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ECIOS_PUBLICO_2020" sheetId="1" r:id="rId1"/>
  </sheets>
  <calcPr calcId="144525"/>
</workbook>
</file>

<file path=xl/calcChain.xml><?xml version="1.0" encoding="utf-8"?>
<calcChain xmlns="http://schemas.openxmlformats.org/spreadsheetml/2006/main">
  <c r="C8279" i="1" l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<sst xmlns="http://schemas.openxmlformats.org/spreadsheetml/2006/main" count="16453" uniqueCount="5636">
  <si>
    <t>Nombre de la Lista</t>
  </si>
  <si>
    <t>PRECIOS PUBLICO 2020</t>
  </si>
  <si>
    <t>Moneda</t>
  </si>
  <si>
    <t>Peso Chileno</t>
  </si>
  <si>
    <t>Tipo de Producto</t>
  </si>
  <si>
    <t>Código Barras</t>
  </si>
  <si>
    <t>SKU</t>
  </si>
  <si>
    <t>Variante</t>
  </si>
  <si>
    <t>Precio Venta</t>
  </si>
  <si>
    <t>AC CABLE</t>
  </si>
  <si>
    <t>AC TAPA 2.0</t>
  </si>
  <si>
    <t>EM AUDIFONO BLUETOOTH</t>
  </si>
  <si>
    <t>AC BATERIA</t>
  </si>
  <si>
    <t>AC VIDRIO TEMPLADO</t>
  </si>
  <si>
    <t>AC TAPA EXCLUSIVA MOTOMO</t>
  </si>
  <si>
    <t>AC TAPA AGUA</t>
  </si>
  <si>
    <t>CELULAR</t>
  </si>
  <si>
    <t>AC TAPA BRILLO</t>
  </si>
  <si>
    <t>AC CARCASA BATERIA</t>
  </si>
  <si>
    <t>AC TAPA GOMA DISEÑO</t>
  </si>
  <si>
    <t>EM CABLE</t>
  </si>
  <si>
    <t>EM VARIOS</t>
  </si>
  <si>
    <t>ACCESORIO GOPRO</t>
  </si>
  <si>
    <t>ACCESORIO GOPRO $1000</t>
  </si>
  <si>
    <t>ACCESORIO GOPRO $1500</t>
  </si>
  <si>
    <t>ACCESORIO GOPRO $2000</t>
  </si>
  <si>
    <t>ACCESORIO GOPRO $2500</t>
  </si>
  <si>
    <t>ACCESORIO GOPRO $3500</t>
  </si>
  <si>
    <t>ACCESORIO GOPRO $4000</t>
  </si>
  <si>
    <t>ACCESORIO GOPRO $5000</t>
  </si>
  <si>
    <t>EM ADAPTADOR</t>
  </si>
  <si>
    <t>ADAPTADOR 1 JACK A AUDIFONO Y MICROFONO</t>
  </si>
  <si>
    <t>ADAPTADOR 220V 2 AMP 2 USB</t>
  </si>
  <si>
    <t>ADAPTADOR 220V A 1USB</t>
  </si>
  <si>
    <t>ADAPTADOR 220V DE 2 USB</t>
  </si>
  <si>
    <t>ADAPTADOR 220V MI 781</t>
  </si>
  <si>
    <t>ADAPTADOR 3 EN 1 PARA CAMARAS O SOPORTE DE CELULAR IRM-07560</t>
  </si>
  <si>
    <t>ADAPTADOR 3 EN 1 PARA CELULARES IRM-07559</t>
  </si>
  <si>
    <t>ADAPTADOR 7.1 AUDIO A USB COD 100374</t>
  </si>
  <si>
    <t>ADAPTADOR ARG-CHI COD 1310</t>
  </si>
  <si>
    <t>AC ADAPTADOR</t>
  </si>
  <si>
    <t>ADAPTADOR ARG-CHI SXC-00451</t>
  </si>
  <si>
    <t>ADAPTADOR AUDIFONO Y MICROFONO A UN PLUG IRM-07855</t>
  </si>
  <si>
    <t>ADAPTADOR AUDIO HEMBRA 6.3 A MACHO 3.5 MONO COD 12</t>
  </si>
  <si>
    <t>ADAPTADOR AUDIO IPHONE ORIG</t>
  </si>
  <si>
    <t>ADAPTADOR AUDIO PLUG-AUDIFONOS+MICROFONO</t>
  </si>
  <si>
    <t>ADAPTADOR AUDIO Y CARGA TIPO C COD 1180</t>
  </si>
  <si>
    <t>ADAPTADOR AUDIO Y CARGA TIPO IPHONE COD 2924</t>
  </si>
  <si>
    <t>ADAPTADOR AV2 A HDMI IRM-06028</t>
  </si>
  <si>
    <t>EM PERIFERICO PC</t>
  </si>
  <si>
    <t>ADAPTADOR BLUETOOTH USB</t>
  </si>
  <si>
    <t>ADAPTADOR C A AUDIO 3,5 HUAWEI ORIGINAL CM20</t>
  </si>
  <si>
    <t>ADAPTADOR C A HDMI</t>
  </si>
  <si>
    <t>ADAPTADOR C A HDMI PHILCO 29ASBHD500</t>
  </si>
  <si>
    <t>ADAPTADOR C A HDMI TC5745</t>
  </si>
  <si>
    <t>ADAPTADOR C A JACK</t>
  </si>
  <si>
    <t>ADAPTADOR C A JACK COD 113816</t>
  </si>
  <si>
    <t>ADAPTADOR C A USB MACHO</t>
  </si>
  <si>
    <t>ADAPTADOR C A USB MACHO COD 119613</t>
  </si>
  <si>
    <t>ADAPTADOR C A V8 IRM-08254</t>
  </si>
  <si>
    <t>ADAPTADOR CARGADOR H21 220V A 2 USB 2100 AMP</t>
  </si>
  <si>
    <t>ADAPTADOR CERTIFICADO IPHONE</t>
  </si>
  <si>
    <t>ADAPTADOR CHI-ARG</t>
  </si>
  <si>
    <t>ADAPTADOR CHI-ARG 1310</t>
  </si>
  <si>
    <t>ADAPTADOR CHI-ARG IRM-05027</t>
  </si>
  <si>
    <t>ADAPTADOR CHI-ARG IRM-815</t>
  </si>
  <si>
    <t>ADAPTADOR DE ENCHUFE</t>
  </si>
  <si>
    <t>ADAPTADOR DISPLAY PORT A HDMI HEMBRA XTC-358</t>
  </si>
  <si>
    <t>ADAPTADOR DVI A VGA COD 91009</t>
  </si>
  <si>
    <t>ADAPTADOR ENCHUFE AMERICANO</t>
  </si>
  <si>
    <t>ADAPTADOR ENCHUFE INTERNACIONAL</t>
  </si>
  <si>
    <t>ADAPTADOR ENCHUFE INTERNACIONAL COD 3169</t>
  </si>
  <si>
    <t>ADAPTADOR ENCHUFE INTERNACIONAL COD 7852</t>
  </si>
  <si>
    <t>ADAPTADOR GOPRO BASTON SELFIE</t>
  </si>
  <si>
    <t>ADAPTADOR HDMI A AV2 IRM-06027</t>
  </si>
  <si>
    <t>ADAPTADOR HDMI A RCA IMPE-17660-19</t>
  </si>
  <si>
    <t>ADAPTADOR HDMI A VGA HDVG2</t>
  </si>
  <si>
    <t>ADAPTADOR HDMI A VGA IRM-00197</t>
  </si>
  <si>
    <t>ADAPTADOR HDMI A VGA PHILCO HD525</t>
  </si>
  <si>
    <t>ADAPTADOR HDMI CURVO COD 3300</t>
  </si>
  <si>
    <t>ADAPTADOR HDMI HEMBRA A HDMI HEMBRA</t>
  </si>
  <si>
    <t>ADAPTADOR HDMI-HDMI COD 106721</t>
  </si>
  <si>
    <t>ADAPTADOR HDMI-LIGHTING ET-W5</t>
  </si>
  <si>
    <t>ADAPTADOR HDMI-MINI HDMI COD 108910</t>
  </si>
  <si>
    <t>ADAPTADOR HUAWEI 2.4 GHZ</t>
  </si>
  <si>
    <t>ADAPTADOR HUB TIPO C ADATA</t>
  </si>
  <si>
    <t>ADAPTADOR INTERNACIONAL COD 321</t>
  </si>
  <si>
    <t>ADAPTADOR INTERNACIONAL IMPE-98328</t>
  </si>
  <si>
    <t>ADAPTADOR INTERNACIONAL IRM-03217</t>
  </si>
  <si>
    <t>ADAPTADOR IPHONE 220V A USB</t>
  </si>
  <si>
    <t>ADAPTADOR IPHONE 5</t>
  </si>
  <si>
    <t>ADAPTADOR IPHONE CASA</t>
  </si>
  <si>
    <t>ADAPTADOR IPHONE PLUG Y JACK</t>
  </si>
  <si>
    <t>ADAPTADOR LIGHTNING A AUX-LIGHTNING S-M403</t>
  </si>
  <si>
    <t>ADAPTADOR LIGHTNING A JACK</t>
  </si>
  <si>
    <t>ADAPTADOR LIGHTNING A JACK JOYROOM S-Y104</t>
  </si>
  <si>
    <t>ADAPTADOR LIGHTNING A JACK MODEL GL032</t>
  </si>
  <si>
    <t>ADAPTADOR LIGHTNING A JACK Y LIGHTNING KY-178 IRM-05756</t>
  </si>
  <si>
    <t>ADAPTADOR LIGHTNING A V8 COD 5111</t>
  </si>
  <si>
    <t>ADAPTADOR MHL MIRASCREEN LD6M-3M</t>
  </si>
  <si>
    <t>ADAPTADOR MICRO A TIPO C</t>
  </si>
  <si>
    <t>ADAPTADOR MICROFONO-JACK A PLUG 3.5 COD 14474</t>
  </si>
  <si>
    <t>ADAPTADOR MINI DISPLAY PORT A HDMI</t>
  </si>
  <si>
    <t>ADAPTADOR MINI DISPLAY PORT A HDMI FASTLINK</t>
  </si>
  <si>
    <t>ADAPTADOR MINI DISPLAY PORT A VGA</t>
  </si>
  <si>
    <t>ADAPTADOR OTG C</t>
  </si>
  <si>
    <t>ADAPTADOR OTG C COD 1483</t>
  </si>
  <si>
    <t>ADAPTADOR OTG C IRM-04394</t>
  </si>
  <si>
    <t>ADAPTADOR OTG C KY-167</t>
  </si>
  <si>
    <t>ADAPTADOR OTG V8 COD 180</t>
  </si>
  <si>
    <t>ADAPTADOR OTG V8 IRM-04397</t>
  </si>
  <si>
    <t>ADAPTADOR OTG V8 IRM-05787</t>
  </si>
  <si>
    <t>ADAPTADOR OTG V8 IRM-06049</t>
  </si>
  <si>
    <t>ADAPTADOR OTG V8 KY-168</t>
  </si>
  <si>
    <t>ADAPTADOR OTG V8/C CON LECTOR MICRO SD IRM-05391</t>
  </si>
  <si>
    <t>ADAPTADOR PARA AUDIO IPHONE 7</t>
  </si>
  <si>
    <t>ADAPTADOR PLUG 3.5 HEMBRA A AUDIFONO Y MICROFONO COD 118847</t>
  </si>
  <si>
    <t>ADAPTADOR PLUG 6,3 A 3,5</t>
  </si>
  <si>
    <t>ADAPTADOR PLUG AUDIFONOS-MICROFONO IRM-04816</t>
  </si>
  <si>
    <t>ADAPTADOR PLUG AUDIO LIGHTNING IRM 05786</t>
  </si>
  <si>
    <t>ADAPTADOR PLUG HEMBRA 3,5 A MACHO 6,3</t>
  </si>
  <si>
    <t>ADAPTADOR PLUG HEMBRA 6,3 A MACHO 3,5</t>
  </si>
  <si>
    <t>ADAPTADOR PLUG TIPO C IRM-05375</t>
  </si>
  <si>
    <t>ADAPTADOR PLUG-IPHONE</t>
  </si>
  <si>
    <t>ADAPTADOR POLOLO</t>
  </si>
  <si>
    <t>ADAPTADOR POLOLO COD 4</t>
  </si>
  <si>
    <t>ADAPTADOR PS3 DUALSCHOCK PARA SMARTPHONE 3261</t>
  </si>
  <si>
    <t>ADAPTADOR PS4 DUALSHOCK PARA CELU</t>
  </si>
  <si>
    <t>ADAPTADOR RCA A HDMI IMPE-17660-18</t>
  </si>
  <si>
    <t>ADAPTADOR TESTER CARGADOR AUTO</t>
  </si>
  <si>
    <t>ADAPTADOR TIPO C A AUDIFONOS</t>
  </si>
  <si>
    <t>ADAPTADOR TIPO C A JACK IRM-05862</t>
  </si>
  <si>
    <t>ADAPTADOR TIPO C A JACK IRM-08515</t>
  </si>
  <si>
    <t>ADAPTADOR TIPO C A JACK MODEL MH20</t>
  </si>
  <si>
    <t>ADAPTADOR TIPO IPHONE A JACK Y CARGADOR IRM-08245</t>
  </si>
  <si>
    <t>ADAPTADOR TYPE C A PLUG</t>
  </si>
  <si>
    <t>ADAPTADOR UINTERNACIONAL ENCHUFE COD 321</t>
  </si>
  <si>
    <t>ADAPTADOR USB A HDMI COD 93354</t>
  </si>
  <si>
    <t>ADAPTADOR USB-WIFI TP-LINK TL-WN727N 150 MBPS</t>
  </si>
  <si>
    <t>ADAPTADOR USB-WIFI TP-LINK TL-WN821N 300 MBPS</t>
  </si>
  <si>
    <t>ADAPTADOR V8/C/IPHONE A HDMI TC6076</t>
  </si>
  <si>
    <t>ADAPTADOR VGA A HDMI</t>
  </si>
  <si>
    <t>ADAPTADOR VGA A HDMI DINON</t>
  </si>
  <si>
    <t>ADAPTADOR VGA A HDMI PHILCO 29VGA08118</t>
  </si>
  <si>
    <t>ADAPTADOR VGA A VGA COD 91013</t>
  </si>
  <si>
    <t>ADAPTADOR VGA-DVI XTECH XTC-362</t>
  </si>
  <si>
    <t>ADAPTADOR VGA-HDMI XTC-361</t>
  </si>
  <si>
    <t>CV HIGIENE Y ASEO</t>
  </si>
  <si>
    <t>AEROSOL HIGIENIZANTE PARA MANOS ALCOHOL 70%</t>
  </si>
  <si>
    <t>ALARGADOR DE CORRIENTE 1.8 MTS PHILCO</t>
  </si>
  <si>
    <t>ALARGADOR DE CORRIENTE PHILCO 1.5MTS COD 861</t>
  </si>
  <si>
    <t>ALARGADOR DE CORRIENTE PHILCO PROTECTOR VOLTAJE COD 1998</t>
  </si>
  <si>
    <t>ALARGADOR ELECTRICO 5 MTS PHILCO</t>
  </si>
  <si>
    <t>ALARGADOR ET-E6713</t>
  </si>
  <si>
    <t>EM VEHICULO</t>
  </si>
  <si>
    <t>ALARMA AUTO ANTI CLON</t>
  </si>
  <si>
    <t>ALCOHOL GEL 237 ML</t>
  </si>
  <si>
    <t>AMONIO DE CUATERNARIO 1000ML</t>
  </si>
  <si>
    <t>AMONIO DE CUATERNARIO CONCENTRADO 1000ML</t>
  </si>
  <si>
    <t>AMONIO DE CUATERNARIO IGENIX 900 ML</t>
  </si>
  <si>
    <t>AMPLIFICADOR DE PANTALLA CON PARLANTE BLUETOOTH IRM-07970</t>
  </si>
  <si>
    <t>AMPLIFICADOR DE PANTALLA IRM-07900</t>
  </si>
  <si>
    <t>AMPOLLETA LED ET-L0025-30W</t>
  </si>
  <si>
    <t>AMPOLLETA LED-F112 CUADRADA</t>
  </si>
  <si>
    <t>AMPOLLETA LED-F113 CUADRADA</t>
  </si>
  <si>
    <t>AMPOLLETA LED-F114 CUADRADA</t>
  </si>
  <si>
    <t>ANDROID TV BOX TC5100</t>
  </si>
  <si>
    <t>ANILLO DE LUZ SELFIE COD 965</t>
  </si>
  <si>
    <t>ANTENA DIGITAL COD 6829 PLANA</t>
  </si>
  <si>
    <t>ANTENA DIGITAL CON USB HOTV-3011</t>
  </si>
  <si>
    <t>ANTENA DIGITAL DVB-T IMPE-4155</t>
  </si>
  <si>
    <t>ANTENA DIGITAL GENERAL ELECTRIC 24807</t>
  </si>
  <si>
    <t>ANTENA DIGITAL IRM-7537</t>
  </si>
  <si>
    <t>ANTENA DIGTAL DVB-T IMPE-4155</t>
  </si>
  <si>
    <t>ANTENA DOBLE ARO COAXIAL TC5793</t>
  </si>
  <si>
    <t>ANTENA MILITAR COD 3775</t>
  </si>
  <si>
    <t>ANTENA NACIONAL COD 96</t>
  </si>
  <si>
    <t>ANTENA TV BASICA IRM-00279</t>
  </si>
  <si>
    <t>ANTENA TV BASICA TC2776</t>
  </si>
  <si>
    <t>ANTENA TV DIGITAL COD 4140</t>
  </si>
  <si>
    <t>ANTENA TV DIGITAL COD 959</t>
  </si>
  <si>
    <t>ANTENA TV DIGITAL COD 970</t>
  </si>
  <si>
    <t>RA4562387925MD</t>
  </si>
  <si>
    <t>ANTENA TV DIGITAL DVB-TW30-T2</t>
  </si>
  <si>
    <t>ANTENA TV DIGITAL PLANA</t>
  </si>
  <si>
    <t>ANTENA TV DIGITAL TC5728</t>
  </si>
  <si>
    <t>ANTENA TV MILITAR IRM-00280</t>
  </si>
  <si>
    <t>ANTENA TV TIPO NACIONAL</t>
  </si>
  <si>
    <t>ANTENA WIFI COD 1781</t>
  </si>
  <si>
    <t>ANTENA WIFI USB 5 GHZ</t>
  </si>
  <si>
    <t>ANTENA WIFI USB COD 1781</t>
  </si>
  <si>
    <t>ANTENA WIFI USB CON ANTENA</t>
  </si>
  <si>
    <t>ANTENA WIFI USB DBLUE DBTW26</t>
  </si>
  <si>
    <t>ANTENA WIFI USB OT-WUA600NM</t>
  </si>
  <si>
    <t>APOYA MUÑECAS GENIUS G-WP 100</t>
  </si>
  <si>
    <t>APPLE JACK LIGHTINING TO HEADPHONE 3.5 MM MMX62AM</t>
  </si>
  <si>
    <t>ARO DE LUZ 26 CMS CON TRIPODE</t>
  </si>
  <si>
    <t>ARO DE LUZ 26 CMS CON TRIPODE QX-260</t>
  </si>
  <si>
    <t>ARO DE LUZ 26 CMS IRM-06133</t>
  </si>
  <si>
    <t>ARO DE LUZ 33 CMS CON TRIPODE</t>
  </si>
  <si>
    <t>ARO DE LUZ IRM--03827</t>
  </si>
  <si>
    <t>AC VARIOS</t>
  </si>
  <si>
    <t>ARO LUZ SELFIE COD 111726</t>
  </si>
  <si>
    <t>EM MICROFONO</t>
  </si>
  <si>
    <t>ATRIL PARA MICROFONO COD 35</t>
  </si>
  <si>
    <t>EM AUDIFONO MANOS LIBRE</t>
  </si>
  <si>
    <t>AUDFONOS MANOS LIBRES COBY</t>
  </si>
  <si>
    <t>AUDIFONO BLUETOOTH COD 118513</t>
  </si>
  <si>
    <t>AUDIFONO BLUETOOTH COD 1307 MANOS LIBRES</t>
  </si>
  <si>
    <t>EM AUDIFONO</t>
  </si>
  <si>
    <t>AUDIFONO EZRA EP08 ELECTRONICA MENOR</t>
  </si>
  <si>
    <t>AUDIFONO GAMER IRM-01423</t>
  </si>
  <si>
    <t>AUDIFONO MANOS LIBRES BLUETOOTH IRM-05830</t>
  </si>
  <si>
    <t>AUDIFONO MANOS LIBRES BLUETOOTH IRM-08838</t>
  </si>
  <si>
    <t>AUDIFONO MANOS LIBRES BLUETOOTH TARGET TT-HB200BT</t>
  </si>
  <si>
    <t>AUDIFONO MULTIMEDIA SONIA SN-288MV ELECTRONICA MENOR</t>
  </si>
  <si>
    <t>AUDIFONOS 72 NEGRO</t>
  </si>
  <si>
    <t>AUDIFONOS AIWA AWB-60 ELECTRONICA MENOR</t>
  </si>
  <si>
    <t>AUDIFONOS AIWA I-10 ELECTRONICA MENOR</t>
  </si>
  <si>
    <t>AUDIFONOS ARCO TM-13</t>
  </si>
  <si>
    <t>AUDIFONOS BAT MUSIC 5800</t>
  </si>
  <si>
    <t>AUDIFONOS BEATS IRM-1131</t>
  </si>
  <si>
    <t>AUDIFONOS BLUETOOH AUDIO PRO AP02019W TIPO EARPODS</t>
  </si>
  <si>
    <t>AUDIFONOS BLUETOOH BT1602</t>
  </si>
  <si>
    <t>AUDIFONOS BLUETOOH ET-A4328B</t>
  </si>
  <si>
    <t>AUDIFONOS BLUETOOH ET-A4655B</t>
  </si>
  <si>
    <t>AUDIFONOS BLUETOOTH</t>
  </si>
  <si>
    <t>AUDIFONOS BLUETOOTH 1446</t>
  </si>
  <si>
    <t>AUDIFONOS BLUETOOTH 4.1 COD 995</t>
  </si>
  <si>
    <t>AUDIFONOS BLUETOOTH 450BT COD 1439</t>
  </si>
  <si>
    <t>AUDIFONOS BLUETOOTH A500</t>
  </si>
  <si>
    <t>AUDIFONOS BLUETOOTH AIR-PRO2 MACRON</t>
  </si>
  <si>
    <t>AUDIFONOS BLUETOOTH AIWA AW-7-TWS</t>
  </si>
  <si>
    <t>AUDIFONOS BLUETOOTH AIWA AW-770S DEPORTIVO</t>
  </si>
  <si>
    <t>AUDIFONOS BLUETOOTH AIWA AW-980 DEPORTIVO</t>
  </si>
  <si>
    <t>AUDIFONOS BLUETOOTH AIWA AW-BT207 ARCO</t>
  </si>
  <si>
    <t>AUDIFONOS BLUETOOTH AIWA AW-D4</t>
  </si>
  <si>
    <t>AUDIFONOS BLUETOOTH AIWA AW3</t>
  </si>
  <si>
    <t>AUDIFONOS BLUETOOTH AIWA AW680BT</t>
  </si>
  <si>
    <t>AUDIFONOS BLUETOOTH AIWA AW8</t>
  </si>
  <si>
    <t>AUDIFONOS BLUETOOTH AIWA DEPORTIVO</t>
  </si>
  <si>
    <t>AUDIFONOS BLUETOOTH ARCO 1409</t>
  </si>
  <si>
    <t>AUDIFONOS BLUETOOTH ARCO TM-003</t>
  </si>
  <si>
    <t>AUDIFONOS BLUETOOTH ARCO TM-019S</t>
  </si>
  <si>
    <t>AUDIFONOS BLUETOOTH AW-660BT AIWA</t>
  </si>
  <si>
    <t>AUDIFONOS BLUETOOTH BEATS 01446</t>
  </si>
  <si>
    <t>AUDIFONOS BLUETOOTH BEATS 1446</t>
  </si>
  <si>
    <t>AUDIFONOS BLUETOOTH COD 1081 TIPO AIRPODS</t>
  </si>
  <si>
    <t>AUDIFONOS BLUETOOTH COD 110 TIPO AIRPODS</t>
  </si>
  <si>
    <t>AUDIFONOS BLUETOOTH COD 112463 ARCO</t>
  </si>
  <si>
    <t>AUDIFONOS BLUETOOTH COD 112694 TIPO AIRPODS</t>
  </si>
  <si>
    <t>AUDIFONOS BLUETOOTH COD 118</t>
  </si>
  <si>
    <t>AUDIFONOS BLUETOOTH COD 1181</t>
  </si>
  <si>
    <t>AUDIFONOS BLUETOOTH COD 120460 KL02</t>
  </si>
  <si>
    <t>AUDIFONOS BLUETOOTH COD 122627 T-14</t>
  </si>
  <si>
    <t>AUDIFONOS BLUETOOTH COD 13638</t>
  </si>
  <si>
    <t>AUDIFONOS BLUETOOTH COD 14100</t>
  </si>
  <si>
    <t>AUDIFONOS BLUETOOTH COD 15750 MOD ZW-02</t>
  </si>
  <si>
    <t>AUDIFONOS BLUETOOTH COD 15772 MS-T9</t>
  </si>
  <si>
    <t>AUDIFONOS BLUETOOTH COD 2214 DEPORTIVO</t>
  </si>
  <si>
    <t>AUDIFONOS BLUETOOTH COD 2825</t>
  </si>
  <si>
    <t>AUDIFONOS BLUETOOTH COD 2843</t>
  </si>
  <si>
    <t>AUDIFONOS BLUETOOTH COD 3080</t>
  </si>
  <si>
    <t>AUDIFONOS BLUETOOTH COD 3679</t>
  </si>
  <si>
    <t>AUDIFONOS BLUETOOTH COD 483</t>
  </si>
  <si>
    <t>AUDIFONOS BLUETOOTH COD 6433</t>
  </si>
  <si>
    <t>AUDIFONOS BLUETOOTH DISNEY</t>
  </si>
  <si>
    <t>AUDIFONOS BLUETOOTH ESCAPE NEGRO</t>
  </si>
  <si>
    <t>AUDIFONOS BLUETOOTH ET-4707B OREJA GATO</t>
  </si>
  <si>
    <t>AUDIFONOS BLUETOOTH ET-A4075B</t>
  </si>
  <si>
    <t>AUDIFONOS BLUETOOTH ET-A4125B</t>
  </si>
  <si>
    <t>AUDIFONOS BLUETOOTH ET-A4141B</t>
  </si>
  <si>
    <t>AUDIFONOS BLUETOOTH ET-A4144B</t>
  </si>
  <si>
    <t>AUDIFONOS BLUETOOTH ET-A4169B</t>
  </si>
  <si>
    <t>AUDIFONOS BLUETOOTH ET-A4207B</t>
  </si>
  <si>
    <t>AUDIFONOS BLUETOOTH ET-A4216A</t>
  </si>
  <si>
    <t>AUDIFONOS BLUETOOTH ET-A4261B</t>
  </si>
  <si>
    <t>AUDIFONOS BLUETOOTH ET-A4293B ARCO</t>
  </si>
  <si>
    <t>AUDIFONOS BLUETOOTH ET-A4326B</t>
  </si>
  <si>
    <t>AUDIFONOS BLUETOOTH ET-A4349B</t>
  </si>
  <si>
    <t>AUDIFONOS BLUETOOTH ET-A4353B</t>
  </si>
  <si>
    <t>AUDIFONOS BLUETOOTH ET-A4358B</t>
  </si>
  <si>
    <t>AUDIFONOS BLUETOOTH ET-A4371BW</t>
  </si>
  <si>
    <t>AUDIFONOS BLUETOOTH ET-A4657B</t>
  </si>
  <si>
    <t>AUDIFONOS BLUETOOTH ET-A4658B</t>
  </si>
  <si>
    <t>AUDIFONOS BLUETOOTH ET-A4688B</t>
  </si>
  <si>
    <t>AUDIFONOS BLUETOOTH ET-A4695B</t>
  </si>
  <si>
    <t>AUDIFONOS BLUETOOTH ET-A4698B</t>
  </si>
  <si>
    <t>AUDIFONOS BLUETOOTH ET-A4708B</t>
  </si>
  <si>
    <t>AUDIFONOS BLUETOOTH ET-A4711BW</t>
  </si>
  <si>
    <t>AUDIFONOS BLUETOOTH ET-A4712BW</t>
  </si>
  <si>
    <t>AUDIFONOS BLUETOOTH ET-A4713BW</t>
  </si>
  <si>
    <t>AUDIFONOS BLUETOOTH ET-A4714BW</t>
  </si>
  <si>
    <t>AUDIFONOS BLUETOOTH ET-A4715B OREJA GATO</t>
  </si>
  <si>
    <t>AUDIFONOS BLUETOOTH ET-A4806B</t>
  </si>
  <si>
    <t>AUDIFONOS BLUETOOTH ET-A4826B</t>
  </si>
  <si>
    <t>AUDIFONOS BLUETOOTH ET-A4833B</t>
  </si>
  <si>
    <t>AUDIFONOS BLUETOOTH EZRA TWS04</t>
  </si>
  <si>
    <t>AUDIFONOS BLUETOOTH FIDDLER FD-B68B</t>
  </si>
  <si>
    <t>AUDIFONOS BLUETOOTH FREE TWINS MICROLAB COD 07753</t>
  </si>
  <si>
    <t>AUDIFONOS BLUETOOTH HYC-300 TIPO AIRPODS PRO</t>
  </si>
  <si>
    <t>AUDIFONOS BLUETOOTH IRM-00995 P47</t>
  </si>
  <si>
    <t>AUDIFONOS BLUETOOTH IRM-04528 I7S</t>
  </si>
  <si>
    <t>AUDIFONOS BLUETOOTH IRM-05331</t>
  </si>
  <si>
    <t>AUDIFONOS BLUETOOTH IRM-06685 950BT</t>
  </si>
  <si>
    <t>AUDIFONOS BLUETOOTH IRM-07219 INPODS 12 MACARON</t>
  </si>
  <si>
    <t>AUDIFONOS BLUETOOTH IRM-07741 B39</t>
  </si>
  <si>
    <t>AUDIFONOS BLUETOOTH IRM-0785 OREJAS</t>
  </si>
  <si>
    <t>AUDIFONOS BLUETOOTH IRM-07850 OREJAS ELECTRONICA MENOR</t>
  </si>
  <si>
    <t>AUDIFONOS BLUETOOTH IRM-08260 INPODS 12</t>
  </si>
  <si>
    <t>AUDIFONOS BLUETOOTH IRM-08302 PRO4</t>
  </si>
  <si>
    <t>AUDIFONOS BLUETOOTH IRM-08381 PRO4</t>
  </si>
  <si>
    <t>AUDIFONOS BLUETOOTH IRM-08382 PRO4 BLACK</t>
  </si>
  <si>
    <t>AUDIFONOS BLUETOOTH IRM-08383 PROB</t>
  </si>
  <si>
    <t>AUDIFONOS BLUETOOTH IRM-08523 PRO18</t>
  </si>
  <si>
    <t>AUDIFONOS BLUETOOTH IRM-08893 T47</t>
  </si>
  <si>
    <t>AUDIFONOS BLUETOOTH IRM-5332</t>
  </si>
  <si>
    <t>AUDIFONOS BLUETOOTH IRM-8380 PRO4 WHITE</t>
  </si>
  <si>
    <t>AUDIFONOS BLUETOOTH JBL TUNE 115BT</t>
  </si>
  <si>
    <t>AUDIFONOS BLUETOOTH JBL TUNE 510BT BLACK</t>
  </si>
  <si>
    <t>AUDIFONOS BLUETOOTH JBL TUNE500BT</t>
  </si>
  <si>
    <t>AUDIFONOS BLUETOOTH KOSS BT115igry</t>
  </si>
  <si>
    <t>AUDIFONOS BLUETOOTH LB 160</t>
  </si>
  <si>
    <t>AUDIFONOS BLUETOOTH LB 180</t>
  </si>
  <si>
    <t>AUDIFONOS BLUETOOTH LG STN 110 SPORT</t>
  </si>
  <si>
    <t>AUDIFONOS BLUETOOTH M-015</t>
  </si>
  <si>
    <t>AUDIFONOS BLUETOOTH MAGNAVOX MBH522</t>
  </si>
  <si>
    <t>AC BLUETOOTH</t>
  </si>
  <si>
    <t>AUDIFONOS BLUETOOTH MANOS LIBRES ESTEREO ET-A4316A</t>
  </si>
  <si>
    <t>AUDIFONOS BLUETOOTH MAXELL EB-BT600 BLK</t>
  </si>
  <si>
    <t>AUDIFONOS BLUETOOTH MAXELL EB-BT600 BLUE</t>
  </si>
  <si>
    <t>AUDIFONOS BLUETOOTH MAXELL EB-BT600 MINT</t>
  </si>
  <si>
    <t>AUDIFONOS BLUETOOTH MAXELL EB-BT600 PINK</t>
  </si>
  <si>
    <t>AUDIFONOS BLUETOOTH MAXELL EB-BT95 BLK</t>
  </si>
  <si>
    <t>AUDIFONOS BLUETOOTH MAXELL EB-BT95 RED</t>
  </si>
  <si>
    <t>AUDIFONOS BLUETOOTH MAXELL EB-BT95 WHT</t>
  </si>
  <si>
    <t>AUDIFONOS BLUETOOTH MAXELL HP-BT400 BLK</t>
  </si>
  <si>
    <t>AUDIFONOS BLUETOOTH MAXELL MXH-BT800 NAVY</t>
  </si>
  <si>
    <t>AUDIFONOS BLUETOOTH MAXELL MXH-BT800 PURPLE</t>
  </si>
  <si>
    <t>AUDIFONOS BLUETOOTH MONO 3258</t>
  </si>
  <si>
    <t>AUDIFONOS BLUETOOTH MONSTER MX800</t>
  </si>
  <si>
    <t>AUDIFONOS BLUETOOTH MONSTER TRUE WIRELESS MTW9 BLACK</t>
  </si>
  <si>
    <t>AUDIFONOS BLUETOOTH MOTOMO EV-13</t>
  </si>
  <si>
    <t>AUDIFONOS BLUETOOTH MOTOMO S460</t>
  </si>
  <si>
    <t>AUDIFONOS BLUETOOTH MOTOMO W6</t>
  </si>
  <si>
    <t>AUDIFONOS BLUETOOTH MOTOMO YDB15</t>
  </si>
  <si>
    <t>AUDIFONOS BLUETOOTH MOTOMO YDB2</t>
  </si>
  <si>
    <t>AUDIFONOS BLUETOOTH P35</t>
  </si>
  <si>
    <t>AUDIFONOS BLUETOOTH P47</t>
  </si>
  <si>
    <t>AUDIFONOS BLUETOOTH P47 COD 3812</t>
  </si>
  <si>
    <t>AUDIFONOS BLUETOOTH PARA CASCO COD 3371</t>
  </si>
  <si>
    <t>AUDIFONOS BLUETOOTH PARA CASCO MOTO M3</t>
  </si>
  <si>
    <t>AUDIFONOS BLUETOOTH PHILIPS SHB-5250</t>
  </si>
  <si>
    <t>AUDIFONOS BLUETOOTH PHILIPS SHB1613</t>
  </si>
  <si>
    <t>AUDIFONOS BLUETOOTH PHILIPS SHB3075</t>
  </si>
  <si>
    <t>AUDIFONOS BLUETOOTH PHILIPS SHB3175</t>
  </si>
  <si>
    <t>AUDIFONOS BLUETOOTH RETROILUMINADO COD 2992</t>
  </si>
  <si>
    <t>AUDIFONOS BLUETOOTH SANSUI</t>
  </si>
  <si>
    <t>AUDIFONOS BLUETOOTH SH16</t>
  </si>
  <si>
    <t>AUDIFONOS BLUETOOTH SONY BT 22</t>
  </si>
  <si>
    <t>AUDIFONOS BLUETOOTH SPORT AMW-22S</t>
  </si>
  <si>
    <t>AUDIFONOS BLUETOOTH SPORT AMW-50</t>
  </si>
  <si>
    <t>AUDIFONOS BLUETOOTH SPORT AMW-50S</t>
  </si>
  <si>
    <t>AUDIFONOS BLUETOOTH SPORT BT-21 COD 2233</t>
  </si>
  <si>
    <t>AUDIFONOS BLUETOOTH SPORT LG 115O</t>
  </si>
  <si>
    <t>AUDIFONOS BLUETOOTH SPORT NUCA</t>
  </si>
  <si>
    <t>AUDIFONOS BLUETOOTH SPORT STN 555</t>
  </si>
  <si>
    <t>AUDIFONOS BLUETOOTH STER 4930</t>
  </si>
  <si>
    <t>AUDIFONOS BLUETOOTH STN-019 COD 162</t>
  </si>
  <si>
    <t>AUDIFONOS BLUETOOTH STN-28 OREJA GATO</t>
  </si>
  <si>
    <t>AUDIFONOS BLUETOOTH SY-BT1603</t>
  </si>
  <si>
    <t>AUDIFONOS BLUETOOTH T524</t>
  </si>
  <si>
    <t>AUDIFONOS BLUETOOTH TARGET TT-HB7050 BK</t>
  </si>
  <si>
    <t>AUDIFONOS BLUETOOTH TARGET TTHB4175 BK BL</t>
  </si>
  <si>
    <t>AUDIFONOS BLUETOOTH TG901</t>
  </si>
  <si>
    <t>AUDIFONOS BLUETOOTH TG903</t>
  </si>
  <si>
    <t>AUDIFONOS BLUETOOTH TIPO AIRPODS CELEBRAT TWS-W10 BLANCO</t>
  </si>
  <si>
    <t>AUDIFONOS BLUETOOTH TIPO AIRPODS CELEBRAT TWS-W10 CELESTE</t>
  </si>
  <si>
    <t>AUDIFONOS BLUETOOTH TIPO AIRPODS CELEBRAT TWS-W10 NEGRO</t>
  </si>
  <si>
    <t>AUDIFONOS BLUETOOTH TIPO AIRPODS I11</t>
  </si>
  <si>
    <t>AUDIFONOS BLUETOOTH TIPO AIRPODS I12</t>
  </si>
  <si>
    <t>AUDIFONOS BLUETOOTH TIPO AIRPODS I12 BLANCOS</t>
  </si>
  <si>
    <t>AUDIFONOS BLUETOOTH TIPO AIRPODS I12 COLORES</t>
  </si>
  <si>
    <t>AUDIFONOS BLUETOOTH TIPO AIRPODS I13 BLANCOS</t>
  </si>
  <si>
    <t>AUDIFONOS BLUETOOTH TIPO AIRPODS I18</t>
  </si>
  <si>
    <t>AUDIFONOS BLUETOOTH TIPO AIRPODS I20</t>
  </si>
  <si>
    <t>AUDIFONOS BLUETOOTH TIPO AIRPODS I9S BLANCOS</t>
  </si>
  <si>
    <t>AUDIFONOS BLUETOOTH TIPO AIRPODS PRO</t>
  </si>
  <si>
    <t>AUDIFONOS BLUETOOTH TIPO AIRPODS R300 ROSADO</t>
  </si>
  <si>
    <t>AUDIFONOS BLUETOOTH TIPO EARPOD X1 COD 1510</t>
  </si>
  <si>
    <t>AUDIFONOS BLUETOOTH TIPO EARPODS COD 1649</t>
  </si>
  <si>
    <t>AUDIFONOS BLUETOOTH TIPO EARPODS COD 261</t>
  </si>
  <si>
    <t>AUDIFONOS BLUETOOTH TIPO EARPODS ET-A4209B</t>
  </si>
  <si>
    <t>AUDIFONOS BLUETOOTH TIPO EARPODS TC5400</t>
  </si>
  <si>
    <t>AUDIFONOS BLUETOOTH TV OTROS</t>
  </si>
  <si>
    <t>AUDIFONOS BLUETOOTH TWS4</t>
  </si>
  <si>
    <t>AUDIFONOS BLUETOOTH WIRELESS P47 COD 163</t>
  </si>
  <si>
    <t>headphones'ledme'xt6</t>
  </si>
  <si>
    <t>AUDIFONOS BLUETOOTH XT6 POWER BASS</t>
  </si>
  <si>
    <t>AUDIFONOS BLUETOOTH, CONTESTA TELEF</t>
  </si>
  <si>
    <t>AUDIFONOS CABLE PLANO</t>
  </si>
  <si>
    <t>AUDIFONOS COBY</t>
  </si>
  <si>
    <t>AUDIFONOS COBY CV 135</t>
  </si>
  <si>
    <t>AUDIFONOS COBY CVE 131</t>
  </si>
  <si>
    <t>AUDIFONOS CON CONTROL DE VOLUMEN</t>
  </si>
  <si>
    <t>AUDIFONOS CON MICROFONO PARA PC</t>
  </si>
  <si>
    <t>AUDIFONOS CORDON 3283 CAJA</t>
  </si>
  <si>
    <t>AUDIFONOS DBLUE AC007BK</t>
  </si>
  <si>
    <t>AUDIFONOS DBLUE AC007R</t>
  </si>
  <si>
    <t>AUDIFONOS DBLUE AC007W</t>
  </si>
  <si>
    <t>AUDIFONOS DEPORTIVO PHILIPS SHQ1200 ROSADO ELECTRONICA MENOR</t>
  </si>
  <si>
    <t>AUDIFONOS DIGILIFE DGL 0203</t>
  </si>
  <si>
    <t>AUDIFONOS DIGILIFE DOT DGL-0093 NEGRO</t>
  </si>
  <si>
    <t>AUDIFONOS DIGILIFE DOT DGL-0094 BLANCO</t>
  </si>
  <si>
    <t>AUDIFONOS DIGILIFE DOT DGL-0095 ROJO</t>
  </si>
  <si>
    <t>AUDIFONOS DIGILIFE DOT DGL-0096 AZUL</t>
  </si>
  <si>
    <t>AUDIFONOS DIGILIFE DOT DGL-0097 AMARILLO</t>
  </si>
  <si>
    <t>AUDIFONOS DIGILIFE DOT DGL-0098 MORADO</t>
  </si>
  <si>
    <t>AUDIFONOS DISNEY CON ESTUCHE</t>
  </si>
  <si>
    <t>AUDIFONOS DISPLAY COLORES ECONOMICO</t>
  </si>
  <si>
    <t>AUDIFONOS EARPODS IPHONE</t>
  </si>
  <si>
    <t>AUDIFONOS ECONOMICO DBG30</t>
  </si>
  <si>
    <t>AUDIFONOS ESTEREO DIYINPAO</t>
  </si>
  <si>
    <t>AUDIFONOS ET-1337</t>
  </si>
  <si>
    <t>AUDIFONOS ET-A1107</t>
  </si>
  <si>
    <t>AUDIFONOS ET-A1109 ELECTRONICA MENOR</t>
  </si>
  <si>
    <t>AUDIFONOS ET-A2123</t>
  </si>
  <si>
    <t>AUDIFONOS ET-A2659M</t>
  </si>
  <si>
    <t>AUDIFONOS ET-A2922 ELECTRONICA MENOR</t>
  </si>
  <si>
    <t>AUDIFONOS ET-A3125 PANEL LED</t>
  </si>
  <si>
    <t>AUDIFONOS EXTRA BASS COD L208</t>
  </si>
  <si>
    <t>AUDIFONOS EZRA EP20 ELECTRONICA MENOR</t>
  </si>
  <si>
    <t>AUDIFONOS FERRARI</t>
  </si>
  <si>
    <t>AUDIFONOS FM SD</t>
  </si>
  <si>
    <t>AUDIFONOS FOLD J-03 COD 496</t>
  </si>
  <si>
    <t>AUDIFONOS GAMER 1 PLUG STEREO CON MICROFONO</t>
  </si>
  <si>
    <t>AUDIFONOS GAMER B3506</t>
  </si>
  <si>
    <t>AUDIFONOS GAMER BYSOUL BS-750 COD 112881 ELECTRONICA MENOR</t>
  </si>
  <si>
    <t>AUDIFONOS GAMER ET-A6801M</t>
  </si>
  <si>
    <t>AUDIFONOS GAMER ET-A6806M</t>
  </si>
  <si>
    <t>AUDIFONOS GAMER ET-A6809M ELECTRONICA MENOR</t>
  </si>
  <si>
    <t>AUDIFONOS GAMER ET-A6822M</t>
  </si>
  <si>
    <t>AUDIFONOS GAMER ET-A6824M</t>
  </si>
  <si>
    <t>AUDIFONOS GAMER ET-A6826M</t>
  </si>
  <si>
    <t>AUDIFONOS GAMER G10</t>
  </si>
  <si>
    <t>AUDIFONOS GAMER G2000</t>
  </si>
  <si>
    <t>AUDIFONOS GAMER G8</t>
  </si>
  <si>
    <t>AUDIFONOS GAMER GENIUS HS-G500V</t>
  </si>
  <si>
    <t>AUDIFONOS GAMER GM-D2</t>
  </si>
  <si>
    <t>AUDIFONOS GAMER HP H200S</t>
  </si>
  <si>
    <t>AUDIFONOS GAMER IRM-05312</t>
  </si>
  <si>
    <t>AUDIFONOS GAMER IRM-05630</t>
  </si>
  <si>
    <t>AUDIFONOS GAMER IRM-05841 PHOINKAS H-1</t>
  </si>
  <si>
    <t>AUDIFONOS GAMER KD75</t>
  </si>
  <si>
    <t>AUDIFONOS GAMER KOMC G313</t>
  </si>
  <si>
    <t>AUDIFONOS GAMER KOMC S66 ELECTRONICA MENOR</t>
  </si>
  <si>
    <t>AUDIFONOS GAMER KOMC S90 COD 120064</t>
  </si>
  <si>
    <t>AUDIFONOS GAMER KOMG K90 COD 2209</t>
  </si>
  <si>
    <t>AUDIFONOS GAMER ONIKUMA K19</t>
  </si>
  <si>
    <t>AUDIFONOS GAMER ONIKUMA K1B PRO</t>
  </si>
  <si>
    <t>AUDIFONOS GAMER ONIKUMA K20</t>
  </si>
  <si>
    <t>AUDIFONOS GAMER ONIKUMA K9</t>
  </si>
  <si>
    <t>AUDIFONOS GAMER PS4 DBAGM41</t>
  </si>
  <si>
    <t>AUDIFONOS GAMER TRUST RAVU GXT 307</t>
  </si>
  <si>
    <t>AUDIFONOS GAMER TRUST RAVU GXT 307B</t>
  </si>
  <si>
    <t>AUDIFONOS GAMER TRUST RUPTOR 7.1 GXT 4376 ELECTRONICA MENOR</t>
  </si>
  <si>
    <t>AUDIFONOS GAMER TRUST ZIVA 21953 ELECTRONICA MENOR</t>
  </si>
  <si>
    <t>AUDIFONOS GAMER ULTRA BLASTER II</t>
  </si>
  <si>
    <t>AUDIFONOS GENIUS HS-200C MICROFONO INCORPORADO</t>
  </si>
  <si>
    <t>AUDIFONOS HANIZU HZ 460 MICROFONO</t>
  </si>
  <si>
    <t>AUDIFONOS HD EW-6202</t>
  </si>
  <si>
    <t>AUDIFONOS HE 7000</t>
  </si>
  <si>
    <t>AUDIFONOS HP DHH-1111 ELECTRONICA MENOR</t>
  </si>
  <si>
    <t>AUDIFONOS INALAMBRICO 5 EN 1 COD 2941</t>
  </si>
  <si>
    <t>AUDIFONOS INALAMBRICO HASTA 8 MT TV, PCS</t>
  </si>
  <si>
    <t>AUDIFONOS INFANTIL MAXELL KZ-13 MORADO</t>
  </si>
  <si>
    <t>AUDIFONOS INFANTIL MAXELL KZ-13 TURQUESA</t>
  </si>
  <si>
    <t>AUDIFONOS IRM-04880 ELECTRONICA MENOR</t>
  </si>
  <si>
    <t>AUDIFONOS IRM-07389 ELECTRONICA MENOR</t>
  </si>
  <si>
    <t>AUDIFONOS IRM-07582 AK-450I</t>
  </si>
  <si>
    <t>AUDIFONOS IRM-07947 ELECTRONICA MENOR</t>
  </si>
  <si>
    <t>AUDIFONOS JBL C300SI ON-EAR ELECTRONICA MENOR</t>
  </si>
  <si>
    <t>AUDIFONOS KOSS KE5k ELECTRONICA MENOR</t>
  </si>
  <si>
    <t>AUDIFONOS KOSS KPH25k BLACK ELECTRONICA MENOR</t>
  </si>
  <si>
    <t>AUDIFONOS KOSS KPH7 AZUL ELECTRONICA MENOR</t>
  </si>
  <si>
    <t>AUDIFONOS KOSS KPH7 BLANCO ELECTRONICA MENOR</t>
  </si>
  <si>
    <t>AUDIFONOS KOSS KPH7 NEGRO ELECTRONICA MENOR</t>
  </si>
  <si>
    <t>AUDIFONOS KOSS KPH7 ROJO ELECTRONICA MENOR</t>
  </si>
  <si>
    <t>AUDIFONOS KOSS KPH7 VERDE ELECTRONICA MENOR</t>
  </si>
  <si>
    <t>AUDIFONOS KOSS KPH8 ELECTRONICA MENOR</t>
  </si>
  <si>
    <t>AUDIFONOS KOSS KPH8 LILA ELECTRONICA MENOR</t>
  </si>
  <si>
    <t>AUDIFONOS KOSS PORTA PRO KTC ELECTRONICA MENOR</t>
  </si>
  <si>
    <t>AUDIFONOS KOSS UR10 ELECTRONICA MENOR</t>
  </si>
  <si>
    <t>AUDIFONOS KOSS UR40 ELECTRONICA MENOR</t>
  </si>
  <si>
    <t>AUDIFONOS KTP-23A COD 2615</t>
  </si>
  <si>
    <t>AUDIFONOS LG ORIGINAL</t>
  </si>
  <si>
    <t>AUDIFONOS MANOS LIBRE ACQUA PARA IPHONE</t>
  </si>
  <si>
    <t>AUDIFONOS MANOS LIBRE COD 1303</t>
  </si>
  <si>
    <t>AUDIFONOS MANOS LIBRE ET-A1468M</t>
  </si>
  <si>
    <t>AUDIFONOS MANOS LIBRE MOXIN COD 4032</t>
  </si>
  <si>
    <t>Audifonos Manos Libre Moxin M-068</t>
  </si>
  <si>
    <t>AUDIFONOS MANOS LIBRE S-100</t>
  </si>
  <si>
    <t>AUDIFONOS MANOS LIBRE SONY COD. 1523</t>
  </si>
  <si>
    <t>AUDIFONOS MANOS LIBRES AIWA ALTA DEFINICION AW-7</t>
  </si>
  <si>
    <t>AUDIFONOS MANOS LIBRES AIWA I-100</t>
  </si>
  <si>
    <t>AUDIFONOS MANOS LIBRES AIWA I-50</t>
  </si>
  <si>
    <t>AUDIFONOS MANOS LIBRES AIWA I-90</t>
  </si>
  <si>
    <t>AUDIFONOS MANOS LIBRES AKG IRM-08766</t>
  </si>
  <si>
    <t>AUDIFONOS MANOS LIBRES AKG S8</t>
  </si>
  <si>
    <t>AUDIFONOS MANOS LIBRES ALTERNATIVO IPHONE</t>
  </si>
  <si>
    <t>AUDIFONOS MANOS LIBRES APPLE ORIGINAL MD827ZM</t>
  </si>
  <si>
    <t>AUDIFONOS MANOS LIBRES BLANCO IPHONE</t>
  </si>
  <si>
    <t>AUDIFONOS MANOS LIBRES BLUETOOTH</t>
  </si>
  <si>
    <t>AUDIFONOS MANOS LIBRES COD 109647 TIPO SAMSUNG</t>
  </si>
  <si>
    <t>AUDIFONOS MANOS LIBRES COD 111858 KR-605</t>
  </si>
  <si>
    <t>AUDIFONOS MANOS LIBRES COD 112067 TIPO C</t>
  </si>
  <si>
    <t>AUDIFONOS MANOS LIBRES COD 1127</t>
  </si>
  <si>
    <t>AUDIFONOS MANOS LIBRES COD 113585</t>
  </si>
  <si>
    <t>AUDIFONOS MANOS LIBRES COD 1237 CON ESTUCHE</t>
  </si>
  <si>
    <t>AUDIFONOS MANOS LIBRES COD 2480</t>
  </si>
  <si>
    <t>AUDIFONOS MANOS LIBRES COD 2977 INFANTIL</t>
  </si>
  <si>
    <t>AUDIFONOS MANOS LIBRES COD 3383 TIPO SAMSUNG</t>
  </si>
  <si>
    <t>AUDIFONOS MANOS LIBRES COD 4013 NW-349</t>
  </si>
  <si>
    <t>AUDIFONOS MANOS LIBRES COD 4032</t>
  </si>
  <si>
    <t>AUDIFONOS MANOS LIBRES COD 608 TIPO SAMSUNG</t>
  </si>
  <si>
    <t>AUDIFONOS MANOS LIBRES COD 9766 U2 METAL</t>
  </si>
  <si>
    <t>AUDIFONOS MANOS LIBRES CON DISEÑO INFANTIL COD 2211</t>
  </si>
  <si>
    <t>AUDIFONOS MANOS LIBRES DEFUNC BASIC TALK BLACK</t>
  </si>
  <si>
    <t>AUDIFONOS MANOS LIBRES DISEÑO INFANTIL COD 113981</t>
  </si>
  <si>
    <t>AUDIFONOS MANOS LIBRES DISEÑO IRONMAN</t>
  </si>
  <si>
    <t>AUDIFONOS MANOS LIBRES DISEÑOS COD 10477</t>
  </si>
  <si>
    <t>AUDIFONOS MANOS LIBRES ECONOMICOS</t>
  </si>
  <si>
    <t>AUDIFONOS MANOS LIBRES ET-A1022M</t>
  </si>
  <si>
    <t>AUDIFONOS MANOS LIBRES ET-A1030M</t>
  </si>
  <si>
    <t>AUDIFONOS MANOS LIBRES ET-A1031M</t>
  </si>
  <si>
    <t>AUDIFONOS MANOS LIBRES ET-A1038M</t>
  </si>
  <si>
    <t>AUDIFONOS MANOS LIBRES ET-A1105M</t>
  </si>
  <si>
    <t>AUDIFONOS MANOS LIBRES ET-A1118</t>
  </si>
  <si>
    <t>AUDIFONOS MANOS LIBRES ET-A1137M</t>
  </si>
  <si>
    <t>AUDIFONOS MANOS LIBRES ET-A1166M</t>
  </si>
  <si>
    <t>AUDIFONOS MANOS LIBRES ET-A1247M</t>
  </si>
  <si>
    <t>AUDIFONOS MANOS LIBRES ET-A1281M</t>
  </si>
  <si>
    <t>AUDIFONOS MANOS LIBRES ET-A1288M</t>
  </si>
  <si>
    <t>AUDIFONOS MANOS LIBRES ET-A1329M</t>
  </si>
  <si>
    <t>AUDIFONOS MANOS LIBRES ET-A1335M</t>
  </si>
  <si>
    <t>AUDIFONOS MANOS LIBRES ET-A1346M</t>
  </si>
  <si>
    <t>AUDIFONOS MANOS LIBRES ET-A1409M</t>
  </si>
  <si>
    <t>AUDIFONOS MANOS LIBRES ET-A1432M</t>
  </si>
  <si>
    <t>AUDIFONOS MANOS LIBRES ET-A1595M</t>
  </si>
  <si>
    <t>AUDIFONOS MANOS LIBRES ET-A1616M</t>
  </si>
  <si>
    <t>AUDIFONOS MANOS LIBRES ET-A1733M</t>
  </si>
  <si>
    <t>AUDIFONOS MANOS LIBRES ET-A2100M</t>
  </si>
  <si>
    <t>AUDIFONOS MANOS LIBRES ET-A2140M</t>
  </si>
  <si>
    <t>AUDIFONOS MANOS LIBRES ET-A2310M</t>
  </si>
  <si>
    <t>AUDIFONOS MANOS LIBRES ET-A2319M</t>
  </si>
  <si>
    <t>AUDIFONOS MANOS LIBRES ET-A2350M</t>
  </si>
  <si>
    <t>AUDIFONOS MANOS LIBRES ET-A2450M</t>
  </si>
  <si>
    <t>AUDIFONOS MANOS LIBRES ET-A2450M EWTTO</t>
  </si>
  <si>
    <t>AUDIFONOS MANOS LIBRES ET-A2492M</t>
  </si>
  <si>
    <t>AUDIFONOS MANOS LIBRES ET-A2650M</t>
  </si>
  <si>
    <t>AUDIFONOS MANOS LIBRES ET-A2700M</t>
  </si>
  <si>
    <t>AUDIFONOS MANOS LIBRES ET-A2911M</t>
  </si>
  <si>
    <t>AUDIFONOS MANOS LIBRES ET-A2921M</t>
  </si>
  <si>
    <t>AUDIFONOS MANOS LIBRES EV117 ELMCOEI COD 2001</t>
  </si>
  <si>
    <t>AUDIFONOS MANOS LIBRES EV130 ELMCOEI COD 1745</t>
  </si>
  <si>
    <t>AUDIFONOS MANOS LIBRES EZRA EZ38</t>
  </si>
  <si>
    <t>AUDIFONOS MANOS LIBRES HAOMAI-06053 INFANTIL</t>
  </si>
  <si>
    <t>AUDIFONOS MANOS LIBRES HUAWEI ORIGINAL</t>
  </si>
  <si>
    <t>AUDIFONOS MANOS LIBRES IPHONE</t>
  </si>
  <si>
    <t>AUDIFONOS MANOS LIBRES IPHONE 5 DISEÑO 2639</t>
  </si>
  <si>
    <t>AUDIFONOS MANOS LIBRES IPHONE 5 Y 6</t>
  </si>
  <si>
    <t>AUDIFONOS MANOS LIBRES IPHONE 6</t>
  </si>
  <si>
    <t>AUDIFONOS MANOS LIBRES IPHONE 7</t>
  </si>
  <si>
    <t>AUDIFONOS MANOS LIBRES IPHONE 7 COD 733</t>
  </si>
  <si>
    <t>AUDIFONOS MANOS LIBRES IPHONE 7 L-P7000</t>
  </si>
  <si>
    <t>AUDIFONOS MANOS LIBRES IPHONE 8 COD 1084</t>
  </si>
  <si>
    <t>AUDIFONOS MANOS LIBRES IPHONE COD 107865</t>
  </si>
  <si>
    <t>AUDIFONOS MANOS LIBRES IPHONE COD 17865</t>
  </si>
  <si>
    <t>AUDIFONOS MANOS LIBRES IPHONE COD 6774</t>
  </si>
  <si>
    <t>AUDIFONOS MANOS LIBRES IPHONE LIGHTNING JH-7A</t>
  </si>
  <si>
    <t>AUDIFONOS MANOS LIBRES IPHONE ORIGINAL A1472</t>
  </si>
  <si>
    <t>AUDIFONOS MANOS LIBRES IRM-05957 ANDOWI QY-9027</t>
  </si>
  <si>
    <t>AUDIFONOS MANOS LIBRES IRM-06371 JY-370</t>
  </si>
  <si>
    <t>AUDIFONOS MANOS LIBRES IRM-07392 SAM S10</t>
  </si>
  <si>
    <t>AUDIFONOS MANOS LIBRES IRM-07651</t>
  </si>
  <si>
    <t>AUDIFONOS MANOS LIBRES IRM-07730 VIDVIE</t>
  </si>
  <si>
    <t>AUDIFONOS MANOS LIBRES IRM-07909 GAMER</t>
  </si>
  <si>
    <t>AUDIFONOS MANOS LIBRES IRM-2300833</t>
  </si>
  <si>
    <t>AUDIFONOS MANOS LIBRES IRM-2301142</t>
  </si>
  <si>
    <t>AUDIFONOS MANOS LIBRES IRM-2301143</t>
  </si>
  <si>
    <t>AUDIFONOS MANOS LIBRES IRM-2601433</t>
  </si>
  <si>
    <t>AUDIFONOS MANOS LIBRES IVON E36</t>
  </si>
  <si>
    <t>AUDIFONOS MANOS LIBRES JBL C50HI BLACK</t>
  </si>
  <si>
    <t>AUDIFONOS MANOS LIBRES JBL C50HI BLUE</t>
  </si>
  <si>
    <t>AUDIFONOS MANOS LIBRES JBL C50HI WHITE</t>
  </si>
  <si>
    <t>AUDIFONOS MANOS LIBRES JBL T110 IN EAR</t>
  </si>
  <si>
    <t>AUDIFONOS MANOS LIBRES JBL T110 IN EAR BLACK</t>
  </si>
  <si>
    <t>AUDIFONOS MANOS LIBRES JBL T110 IN EAR BLUE</t>
  </si>
  <si>
    <t>AUDIFONOS MANOS LIBRES JBL T110 IN EAR WHITE</t>
  </si>
  <si>
    <t>AUDIFONOS MANOS LIBRES JBL TUNE500 ON-EAR</t>
  </si>
  <si>
    <t>AUDIFONOS MANOS LIBRES KOSS KEB9ik BLACK</t>
  </si>
  <si>
    <t>AUDIFONOS MANOS LIBRES KOSS KEB9ik GRAY</t>
  </si>
  <si>
    <t>AUDIFONOS MANOS LIBRES KOSS UR23</t>
  </si>
  <si>
    <t>AUDIFONOS MANOS LIBRES KOSS UR23iw</t>
  </si>
  <si>
    <t>AUDIFONOS MANOS LIBRES L-006 COD 7720</t>
  </si>
  <si>
    <t>AUDIFONOS MANOS LIBRES MAGNAVOX MBH5026M BLACK</t>
  </si>
  <si>
    <t>AUDIFONOS MANOS LIBRES MAGNAVOX MBH5026M WHITE</t>
  </si>
  <si>
    <t>AUDIFONOS MANOS LIBRES MASTER-G MGIE155GP</t>
  </si>
  <si>
    <t>AUDIFONOS MANOS LIBRES MASTER-G MGOE-180</t>
  </si>
  <si>
    <t>AUDIFONOS MANOS LIBRES MAXELL EB-MIC</t>
  </si>
  <si>
    <t>AUDIFONOS MANOS LIBRES MAXELL HP-360</t>
  </si>
  <si>
    <t>AUDIFONOS MANOS LIBRES MAXELL HP-360 WH ELECTRONICA MENOR</t>
  </si>
  <si>
    <t>AUDIFONOS MANOS LIBRES MAXELL IN-BAX</t>
  </si>
  <si>
    <t>AUDIFONOS MANOS LIBRES MAXELL IN-BAX RD ELECTRONICA MENOR</t>
  </si>
  <si>
    <t>AUDIFONOS MANOS LIBRES MAXELL IN-BAX WH ELECTRONICA MENOR</t>
  </si>
  <si>
    <t>AUDIFONOS MANOS LIBRES MAXELL IN-MIC BLK</t>
  </si>
  <si>
    <t>AUDIFONOS MANOS LIBRES MAXELL IN-TIPS BLK</t>
  </si>
  <si>
    <t>AUDIFONOS MANOS LIBRES MAXELL IN-TIPS BLU</t>
  </si>
  <si>
    <t>AUDIFONOS MANOS LIBRES MAXELL IN-TIPS RED</t>
  </si>
  <si>
    <t>AUDIFONOS MANOS LIBRES MAXELL IN-TIPS WHT</t>
  </si>
  <si>
    <t>AUDIFONOS MANOS LIBRES MAXELL SMS-10 BLK</t>
  </si>
  <si>
    <t>AUDIFONOS MANOS LIBRES METALIZADOS</t>
  </si>
  <si>
    <t>AUDIFONOS MANOS LIBRES MO-A06</t>
  </si>
  <si>
    <t>AUDIFONOS MANOS LIBRES MOTOMO MO W-IOS</t>
  </si>
  <si>
    <t>AUDIFONOS MANOS LIBRES MOTOROLA 2 EARBUDS BLACK</t>
  </si>
  <si>
    <t>AUDIFONOS MANOS LIBRES MOTOROLA EARDUBS 2 COD 1687</t>
  </si>
  <si>
    <t>AUDIFONOS MANOS LIBRES MOTOROLA EARDUBS METAL COD 1716</t>
  </si>
  <si>
    <t>AUDIFONOS MANOS LIBRES MOTOROLA PULSE 2 BLUE</t>
  </si>
  <si>
    <t>AUDIFONOS MANOS LIBRES MOTOROLA PULSE MAX OVER NEGRO</t>
  </si>
  <si>
    <t>AUDIFONOS MANOS LIBRES MOTOROLA PULSE MAX WHITE</t>
  </si>
  <si>
    <t>AUDIFONOS MANOS LIBRES MOTOROLA SQUADS 200 BLUE</t>
  </si>
  <si>
    <t>AUDIFONOS MANOS LIBRES MOTOROLA SQUADS 200 PINK</t>
  </si>
  <si>
    <t>AUDIFONOS MANOS LIBRES NEGRO/AZUL NORGE</t>
  </si>
  <si>
    <t>AUDIFONOS MANOS LIBRES NORGE IE-70 NEGRO</t>
  </si>
  <si>
    <t>AUDIFONOS MANOS LIBRES NORGE IE-70 VERDE</t>
  </si>
  <si>
    <t>AUDIFONOS MANOS LIBRES NORGE IE-92</t>
  </si>
  <si>
    <t>AUDÍFONOS MANOS LIBRES ORIGINAL HUAWEI</t>
  </si>
  <si>
    <t>AUDÍFONOS MANOS LIBRES ORIGINAL HUAWEI TIPO C</t>
  </si>
  <si>
    <t>AUDIFONOS MANOS LIBRES ORIGINAL IPHONE</t>
  </si>
  <si>
    <t>AUDIFONOS MANOS LIBRES OV 9008</t>
  </si>
  <si>
    <t>AUDIFONOS MANOS LIBRES PANASONIC MOD RP-TCM115 BLACK</t>
  </si>
  <si>
    <t>AUDIFONOS MANOS LIBRES PANASONIC MOD RP-TCM115 WHITE</t>
  </si>
  <si>
    <t>AUDIFONOS MANOS LIBRES PANASONIC MOD RP-TCM115E BLUE</t>
  </si>
  <si>
    <t>AUDIFONOS MANOS LIBRES PANASONIC MOD RP-TCM125PPA BLUE</t>
  </si>
  <si>
    <t>AUDIFONOS MANOS LIBRES PANASONIC MOD RP-TCM130 BLACK</t>
  </si>
  <si>
    <t>AUDIFONOS MANOS LIBRES PANASONIC RP-TCM105EBL</t>
  </si>
  <si>
    <t>AUDIFONOS MANOS LIBRES PANASONIC RP-TCM55</t>
  </si>
  <si>
    <t>AUDIFONOS MANOS LIBRES PANASONIC RP-TCM55 BLACK</t>
  </si>
  <si>
    <t>AUDIFONOS MANOS LIBRES PANASONIC TCM50</t>
  </si>
  <si>
    <t>AUDIFONOS MANOS LIBRES PHILCO 90WHT</t>
  </si>
  <si>
    <t>AUDIFONOS MANOS LIBRES PHILIPS DEPORTIVOS SHQ 1205</t>
  </si>
  <si>
    <t>AUDIFONOS MANOS LIBRES PHILIPS DEPORTIVOS SHQ 2305</t>
  </si>
  <si>
    <t>AUDIFONOS MANOS LIBRES PHILIPS SHE-1405</t>
  </si>
  <si>
    <t>AUDIFONOS MANOS LIBRES PHILIPS SHE-1405 BK</t>
  </si>
  <si>
    <t>AUDIFONOS MANOS LIBRES PHILIPS SHE-1405 PK</t>
  </si>
  <si>
    <t>AUDIFONOS MANOS LIBRES PHILIPS SHE-1405 WT</t>
  </si>
  <si>
    <t>AUDIFONOS MANOS LIBRES PHILIPS SHE-2500 ELECTRONICA MENOR</t>
  </si>
  <si>
    <t>AUDIFONOS MANOS LIBRES PHILIPS SHE-3555 BL</t>
  </si>
  <si>
    <t>AUDIFONOS MANOS LIBRES PHILIPS SHE-3555 NG</t>
  </si>
  <si>
    <t>AUDIFONOS MANOS LIBRES PHILIPS SHE-3555 RD</t>
  </si>
  <si>
    <t>AUDIFONOS MANOS LIBRES PHILIPS SHE-3555 TB</t>
  </si>
  <si>
    <t>AUDIFONOS MANOS LIBRES PHILIPS SHE-3555 WT</t>
  </si>
  <si>
    <t>AUDIFONOS MANOS LIBRES PHILIPS SHE-4205</t>
  </si>
  <si>
    <t>AUDIFONOS MANOS LIBRES PHILIPS SHE-7055PP ELECTRONICA MENOR</t>
  </si>
  <si>
    <t>AUDIFONOS MANOS LIBRES PHILIPS SHE-9105</t>
  </si>
  <si>
    <t>AUDIFONOS MANOS LIBRES PHILIPS SHE3555WT</t>
  </si>
  <si>
    <t>AUDIFONOS MANOS LIBRES PHILIPS SHQ1305BK</t>
  </si>
  <si>
    <t>AUDIFONOS MANOS LIBRES PHILIPS TAUE101</t>
  </si>
  <si>
    <t>AUDIFONOS MANOS LIBRES PHILIPS TAUE101 WHITE</t>
  </si>
  <si>
    <t>AUDIFONOS MANOS LIBRES PIONEER SE-CL502-K</t>
  </si>
  <si>
    <t>AUDIFONOS MANOS LIBRES PIONEER SE-CL502-L</t>
  </si>
  <si>
    <t>AUDIFONOS MANOS LIBRES PIONEER SEC1T/L AZUL</t>
  </si>
  <si>
    <t>AUDIFONOS MANOS LIBRES PIONEER SEC1T/L BLANCO</t>
  </si>
  <si>
    <t>AUDIFONOS MANOS LIBRES PIONEER SEC1T/L NEGRO</t>
  </si>
  <si>
    <t>AUDIFONOS MANOS LIBRES SAM</t>
  </si>
  <si>
    <t>AUDIFONOS MANOS LIBRES SAM BLANCO</t>
  </si>
  <si>
    <t>AUDIFONOS MANOS LIBRES SAM IRM-4184</t>
  </si>
  <si>
    <t>AUDIFONOS MANOS LIBRES SAMSUNG ORIGINAL ELECTRONICA MENOR</t>
  </si>
  <si>
    <t>AUDIFONOS MANOS LIBRES SAMSUNG ORIGINAL HS1303 BLK</t>
  </si>
  <si>
    <t>AUDIFONOS MANOS LIBRES SAMSUNG ORIGINAL HS1303 WHT</t>
  </si>
  <si>
    <t>AUDIFONOS MANOS LIBRES SAMSUNG RFTFB</t>
  </si>
  <si>
    <t>AUDIFONOS MANOS LIBRES SAMSUNG S8 AKG TELA</t>
  </si>
  <si>
    <t>AUDIFONOS MANOS LIBRES SONY MDR-EX15AP BLACK</t>
  </si>
  <si>
    <t>AUDIFONOS MANOS LIBRES SONY MDR-EX15AP BLUE</t>
  </si>
  <si>
    <t>AUDIFONOS MANOS LIBRES SONY MDR-EX15AP PP</t>
  </si>
  <si>
    <t>AUDIFONOS MANOS LIBRES SONY MDR-EX750NA</t>
  </si>
  <si>
    <t>AUDIFONOS MANOS LIBRES SONY MDR-ZX110AP BLACK ELECTRONICA MENOR</t>
  </si>
  <si>
    <t>AUDIFONOS MANOS LIBRES SONY MDR-ZX110AP PINK</t>
  </si>
  <si>
    <t>AUDIFONOS MANOS LIBRES SONY MDR-ZX310AP BK</t>
  </si>
  <si>
    <t>AUDIFONOS MANOS LIBRES SONY MDR-ZX310AP RED</t>
  </si>
  <si>
    <t>AUDIFONOS MANOS LIBRES STEREO</t>
  </si>
  <si>
    <t>AUDIFONOS MANOS LIBRES TARGET TT-EM1570 BK/BL/RD</t>
  </si>
  <si>
    <t>AUDIFONOS MANOS LIBRES TARGET TTEM150/TTEM200 BK/WH</t>
  </si>
  <si>
    <t>AUDIFONOS MANOS LIBRES TARGET TWISTMIC TT-EM175RD</t>
  </si>
  <si>
    <t>AUDIFONOS MANOS LIBRES TIPO C</t>
  </si>
  <si>
    <t>AUDIFONOS MANOS LIBRES TIPO C ET-A1100M</t>
  </si>
  <si>
    <t>AUDIFONOS MANOS LIBRES TIPO C HUAWEI ORIGINAL</t>
  </si>
  <si>
    <t>AUDIFONOS MANOS LIBRES TIPO IPHONE</t>
  </si>
  <si>
    <t>AUDIFONOS MANOS LIBRES TIPO IPHONE ACQUA</t>
  </si>
  <si>
    <t>AUDIFONOS MANOS LIBRES TIPO IPHONE COD 1197</t>
  </si>
  <si>
    <t>AUDIFONOS MANOS LIBRES TIPO IPHONE CONECTOR LIGHTNING</t>
  </si>
  <si>
    <t>AUDIFONOS MANOS LIBRES TIPO IPHONE ECONOMICO</t>
  </si>
  <si>
    <t>AUDIFONOS MANOS LIBRES TIPO IPHONE IRM-02264</t>
  </si>
  <si>
    <t>AUDIFONOS MANOS LIBRES TIPO IPHONE PRO CONECTOR LIGHTNING NZ7M</t>
  </si>
  <si>
    <t>AUDIFONOS MANOS LIBRES TIPO S6</t>
  </si>
  <si>
    <t>AUDIFONOS MANOS LIBRES TIPO SAMSUNG AKG</t>
  </si>
  <si>
    <t>AUDIFONOS MANOS LIBRES TIPO SAMSUNG BLANCOS</t>
  </si>
  <si>
    <t>AUDIFONOS MANOS LIBRES TIPO SAMSUNG S10</t>
  </si>
  <si>
    <t>AUDIFONOS MANOS LIBRES TV08</t>
  </si>
  <si>
    <t>AUDIFONOS MANOS LIBRES VIDVIE HS604 IRM-04103</t>
  </si>
  <si>
    <t>AUDIFONOS MANOS LIBROS TIPO SAMSUNG COD 14859</t>
  </si>
  <si>
    <t>AUDIFONOS MASTER-G MGIE-120</t>
  </si>
  <si>
    <t>AUDIFONOS MASTER-G MGOE-180 CINTILLO NEGRO</t>
  </si>
  <si>
    <t>AUDIFONOS MAXELL C/MIC</t>
  </si>
  <si>
    <t>AUDIFONOS MAXELL EB-95BK/BL ELECTRONICA MENOR</t>
  </si>
  <si>
    <t>AUDIFONOS MAXELL EB-95BK/OR ELECTRONICA MENOR</t>
  </si>
  <si>
    <t>AUDIFONOS MAXELL EB-95BL ELECTRONICA MENOR</t>
  </si>
  <si>
    <t>AUDIFONOS MAXELL EB-95BL/PNK ELECTRONICA MENOR</t>
  </si>
  <si>
    <t>AUDIFONOS MAXELL EB-95OR ELECTRONICA MENOR</t>
  </si>
  <si>
    <t>AUDIFONOS MAXELL EB-95WH ELECTRONICA MENOR</t>
  </si>
  <si>
    <t>AUDIFONOS MAXELL EBBB T 100</t>
  </si>
  <si>
    <t>AUDIFONOS MAXELL IN-225 BLK ELECTRONICA MENOR</t>
  </si>
  <si>
    <t>AUDIFONOS MAXELL IN-225 NAV ELECTRONICA MENOR</t>
  </si>
  <si>
    <t>AUDIFONOS MAXELL IN-225 RED ELECTRONICA MENOR</t>
  </si>
  <si>
    <t>AUDIFONOS MAXELL IN-225 WHT ELECTRONICA MENOR</t>
  </si>
  <si>
    <t>AUDIFONOS MAXELL ST-2000 ELECTRONICA MENOR</t>
  </si>
  <si>
    <t>AUDIFONOS MDR-EX760NA</t>
  </si>
  <si>
    <t>AUDIFONOS MODELO CIERRE COD 1612</t>
  </si>
  <si>
    <t>AUDIFONOS MONSTER MXX-120 AZUL ELECTRONICA MENOR</t>
  </si>
  <si>
    <t>AUDIFONOS MONSTER MXX-120 BLANCO ELECTRONICA MENOR</t>
  </si>
  <si>
    <t>AUDIFONOS MONSTER MXX-120 NEGRO ELECTRONICA MENOR</t>
  </si>
  <si>
    <t>AUDIFONOS MONSTER MXX-120 ROJO ELECTRONICA MENOR</t>
  </si>
  <si>
    <t>AUDIFONOS MOTOMO IPHONE 6 SMART</t>
  </si>
  <si>
    <t>AUDIFONOS MOTOMO MDR-XB450</t>
  </si>
  <si>
    <t>AUDIFONOS MOTOMO QC 10 DEPORTIVO</t>
  </si>
  <si>
    <t>AUDIFONOS MOTOROLA ESCAPE BLANCO</t>
  </si>
  <si>
    <t>AUDIFONOS MOTOROLA PULSE MAX</t>
  </si>
  <si>
    <t>AUDIFONOS MOTOROLA PULSE MAX COD 2032 ELECTRONICA MENOR</t>
  </si>
  <si>
    <t>AUDIFONOS MS-881A</t>
  </si>
  <si>
    <t>AUDIFONOS MULTIMEDIA COD 119701</t>
  </si>
  <si>
    <t>AUDIFONOS MULTIMEDIA COD 16751 ELECTRONICA MENOR</t>
  </si>
  <si>
    <t>AUDIFONOS MULTIMEDIA GENIUS HS-400A ELECTRONICA MENOR</t>
  </si>
  <si>
    <t>AUDIFONOS MULTIMEDIA GENIUS HS-M505X</t>
  </si>
  <si>
    <t>AUDIFONOS MULTIMEDIA HS-200C GENIUS ELECTRONICA MENOR</t>
  </si>
  <si>
    <t>AUDIFONOS MULTIMEDIA IRM-08228</t>
  </si>
  <si>
    <t>AUDIFONOS MULTIMEDIA KOMC KM-520</t>
  </si>
  <si>
    <t>AUDIFONOS MULTIMEDIA XTECH XTS-220 ELECTRONICA MENOR</t>
  </si>
  <si>
    <t>AUDIFONOS NORGE PC, C.ADAPT.SILICONA</t>
  </si>
  <si>
    <t>AUDIFONOS ORIGINAL IPHONE</t>
  </si>
  <si>
    <t>AUDIFONOS P.C. + MICROFF</t>
  </si>
  <si>
    <t>AUDIFONOS PANASONIC DEPORTIVOS</t>
  </si>
  <si>
    <t>AUDIFONOS PANASONIC DJS 150</t>
  </si>
  <si>
    <t>AUDIFONOS PANASONIC HJE 125 CD</t>
  </si>
  <si>
    <t>AUDIFONOS PANASONIC HJE 125 BL ELECTRONICA MENOR</t>
  </si>
  <si>
    <t>AUDIFONOS PANASONIC HJE 125 BLK</t>
  </si>
  <si>
    <t>AUDIFONOS PANASONIC HJE 125 BLK ELECTRONICA MENOR</t>
  </si>
  <si>
    <t>AUDIFONOS PANASONIC HJE 125 COD 112232 ELECTRONICA MENOR</t>
  </si>
  <si>
    <t>AUDIFONOS PANASONIC HJE 125 PK ELECTRONICA MENOR</t>
  </si>
  <si>
    <t>AUDIFONOS PANASONIC HJE 125 PP ELECTRONICA MENOR</t>
  </si>
  <si>
    <t>AUDIFONOS PANASONIC HJE 125 WH</t>
  </si>
  <si>
    <t>AUDIFONOS PANASONIC HJE 125 WH ELECTRONICA MENOR</t>
  </si>
  <si>
    <t>AUDIFONOS PANASONIC HJE 140</t>
  </si>
  <si>
    <t>AUDIFONOS PANASONIC HS 34</t>
  </si>
  <si>
    <t>AUDIFONOS PANASONIC HS 46 PP</t>
  </si>
  <si>
    <t>AUDIFONOS PANASONIC HT 21</t>
  </si>
  <si>
    <t>AUDIFONOS PANASONIC RP-HF100 ELECTRONICA MENOR</t>
  </si>
  <si>
    <t>AUDIFONOS PANASONIC RP-HT161 ELECTRONICA MENOR</t>
  </si>
  <si>
    <t>AUDIFONOS PANASONIC RP-HT21</t>
  </si>
  <si>
    <t>AUDIFONOS PANASONIC RP-HV096 ELECTRONICA MENOR</t>
  </si>
  <si>
    <t>AUDIFONOS PANASONIC RP-HV096 COD 112210 ELECTRONICA MENOR</t>
  </si>
  <si>
    <t>AUDIFONOS PANASONIC RP-HV41 BLACK ELECTRONICA MENOR</t>
  </si>
  <si>
    <t>AUDIFONOS PANASONIC RP-HV41 GREEN</t>
  </si>
  <si>
    <t>AUDIFONOS PANASONIC RP-HV41 PINK ELECTRONICA MENOR</t>
  </si>
  <si>
    <t>AUDIFONOS PARA PC BYSOUL C/MICROFONO COD 7819</t>
  </si>
  <si>
    <t>AUDIFONOS PARA PC COD 3733 USB ELECTRONICA MENOR</t>
  </si>
  <si>
    <t>AUDIFONOS PARA PC MOD JT-1688 COD 74 ELECTRONICA MENOR</t>
  </si>
  <si>
    <t>AUDIFONOS PARA PC SALAR KX-101 SHARK GAMER COD 46 ELECTRONICA MENOR</t>
  </si>
  <si>
    <t>AUDIFONOS PARA PC/PS4 ULTRA P550</t>
  </si>
  <si>
    <t>AUDIFONOS PARA PS4 ELECTRONICA MENOR</t>
  </si>
  <si>
    <t>AUDIFONOS PARA PS4 COD 3104 ELECTRONICA MENOR</t>
  </si>
  <si>
    <t>Audifonos PC VIKON ME777 Cod 2229</t>
  </si>
  <si>
    <t>AUDIFONOS PHILCO 25BLK ELECTRONICA MENOR</t>
  </si>
  <si>
    <t>AUDIFONOS PHILCO 27PLC18WHT ELECTRONICA MENOR</t>
  </si>
  <si>
    <t>AUDIFONOS PHILCO 80BLK ELECTRONICA MENOR</t>
  </si>
  <si>
    <t>AUDIFONOS PHILCO TRUE WIRELESS TWD2B TOUCH BLANCO</t>
  </si>
  <si>
    <t>AUDIFONOS PHILIP HB 4100</t>
  </si>
  <si>
    <t>AUDIFONOS PHILIP HQ 4200</t>
  </si>
  <si>
    <t>AUDIFONOS PHILIPS</t>
  </si>
  <si>
    <t>AUDIFONOS PHILIPS HE 1360</t>
  </si>
  <si>
    <t>AUDIFONOS PHILIPS HE 3590 BK</t>
  </si>
  <si>
    <t>AUDIFONOS PHILIPS HE 3590 BL</t>
  </si>
  <si>
    <t>AUDIFONOS PHILIPS HE 3590 PK</t>
  </si>
  <si>
    <t>AUDIFONOS PHILIPS HE 3590 PP</t>
  </si>
  <si>
    <t>AUDIFONOS PHILIPS HE 3590 WT</t>
  </si>
  <si>
    <t>AUDIFONOS PHILIPS HE 7000</t>
  </si>
  <si>
    <t>AUDIFONOS PHILIPS HE3595</t>
  </si>
  <si>
    <t>AUDIFONOS PHILIPS HP 1900</t>
  </si>
  <si>
    <t>AUDIFONOS PHILIPS HS 4700</t>
  </si>
  <si>
    <t>AUDIFONOS PHILIPS HS 8100</t>
  </si>
  <si>
    <t>AUDIFONOS PHILIPS KIDS</t>
  </si>
  <si>
    <t>AUDIFONOS PHILIPS KIDS SHK1000BK</t>
  </si>
  <si>
    <t>AUDIFONOS PHILIPS KIDS SHK1000PK</t>
  </si>
  <si>
    <t>AUDIFONOS PHILIPS RP-HS34 ELECTRONICA MENOR</t>
  </si>
  <si>
    <t>AUDIFONOS PHILIPS SH1-3300 DEPORTIVO MANOS LIBRES NARANJO</t>
  </si>
  <si>
    <t>AUDIFONOS PHILIPS SH1-3300 DEPORTIVO MANOS LIBRES VERDE</t>
  </si>
  <si>
    <t>AUDIFONOS PHILIPS SHE 2005</t>
  </si>
  <si>
    <t>Audifonos Philips she 3700 RD</t>
  </si>
  <si>
    <t>AUDIFONOS PHILIPS SHE 3900 BL</t>
  </si>
  <si>
    <t>AUDIFONOS PHILIPS SHE 3900 GR</t>
  </si>
  <si>
    <t>AUDIFONOS PHILIPS SHE 3900 gris</t>
  </si>
  <si>
    <t>AUDIFONOS PHILIPS SHE-1350 ELECTRONICA MENOR</t>
  </si>
  <si>
    <t>AUDIFONOS PHILIPS SHE-3010 AZUL</t>
  </si>
  <si>
    <t>AUDIFONOS PHILIPS SHE-3010 BLANCO</t>
  </si>
  <si>
    <t>AUDIFONOS PHILIPS SHE-3010 ROSADO</t>
  </si>
  <si>
    <t>AUDIFONOS PHILIPS SHE-3550BK ELECTRONICA MENOR</t>
  </si>
  <si>
    <t>AUDIFONOS PHILIPS SHE-3550BL ELECTRONICA MENOR</t>
  </si>
  <si>
    <t>AUDIFONOS PHILIPS SHE-3550WH ELECTRONICA MENOR</t>
  </si>
  <si>
    <t>AUDIFONOS PHILIPS SHE-3590 AZUL</t>
  </si>
  <si>
    <t>AUDIFONOS PHILIPS SHE-3590 BLANCO</t>
  </si>
  <si>
    <t>AUDIFONOS PHILIPS SHE-3590 VERDE</t>
  </si>
  <si>
    <t>AUDIFONOS PHILIPS SHE-3700 AZUL</t>
  </si>
  <si>
    <t>AUDIFONOS PHILIPS SHE-3700 BLANCO</t>
  </si>
  <si>
    <t>AUDIFONOS PHILIPS SHE-3700 NEGRO</t>
  </si>
  <si>
    <t>AUDIFONOS PHILIPS SHE-3700 ROSADO</t>
  </si>
  <si>
    <t>AUDIFONOS PHILIPS SHE-3705RD ELECTRONICA MENOR</t>
  </si>
  <si>
    <t>AUDIFONOS PHILIPS SHE-3900</t>
  </si>
  <si>
    <t>AUDIFONOS PHILIPS SHE-5000 BLACK ELECTRONICA MENOR</t>
  </si>
  <si>
    <t>AUDIFONOS PHILIPS SHE3900 PP</t>
  </si>
  <si>
    <t>AUDIFONOS PHILIPS SHL3000 ELECTRONICA MENOR</t>
  </si>
  <si>
    <t>AUDIFONOS PHILIPS SHL3000 COD 1747 ELECTRONICA MENOR</t>
  </si>
  <si>
    <t>AUDIFONOS PHILIPS SHL3070 COD 112177 ELECTRONICA MENOR</t>
  </si>
  <si>
    <t>AUDIFONOS PHILIPS SHL5000 ELECTRONICA MENOR</t>
  </si>
  <si>
    <t>AUDIFONOS PHILIPS SHQ-1250TBK DEPORTIVOS</t>
  </si>
  <si>
    <t>AUDIFONOS PHILIPS SHQ-4200 DEPORTIVO ELECTRONICA MENOR</t>
  </si>
  <si>
    <t>AUDIFONOS PHILIPS SHS-8100</t>
  </si>
  <si>
    <t>AUDIFONOS PHILIPS TAUE100 ELECTRONICA MENOR</t>
  </si>
  <si>
    <t>AUDIFONOS PHILLIPS SHL 5300</t>
  </si>
  <si>
    <t>AUDIFONOS PIONEER SE-E3M BLACK IRONMAN ELECTRONICA MENOR</t>
  </si>
  <si>
    <t>AUDIFONOS PREMIUM AZ-88</t>
  </si>
  <si>
    <t>AUDIFONOS PROSOUND INALAMBRICO ELECTRONICA MENOR</t>
  </si>
  <si>
    <t>AUDIFONOS SONY</t>
  </si>
  <si>
    <t>AUDIFONOS SONY 110</t>
  </si>
  <si>
    <t>AUDIFONOS SONY 15</t>
  </si>
  <si>
    <t>AUDIFONOS SONY AS 200</t>
  </si>
  <si>
    <t>AUDIFONOS SONY E9LP</t>
  </si>
  <si>
    <t>AUDIFONOS SONY E9LP AZUL ELECTRONICA MENOR</t>
  </si>
  <si>
    <t>AUDIFONOS SONY E9LP BLACK ELECTRONICA MENOR</t>
  </si>
  <si>
    <t>AUDIFONOS SONY E9LP BLANCO ELECTRONICA MENOR</t>
  </si>
  <si>
    <t>AUDIFONOS SONY E9LP GREY ELECTRONICA MENOR</t>
  </si>
  <si>
    <t>AUDIFONOS SONY E9LP NEGRO ELECTRONICA MENOR</t>
  </si>
  <si>
    <t>AUDIFONOS SONY E9LP PINK</t>
  </si>
  <si>
    <t>AUDIFONOS SONY E9LP PINK ELECTRONICA MENOR</t>
  </si>
  <si>
    <t>AUDIFONOS SONY E9LP ROSADO ELECTRONICA MENOR</t>
  </si>
  <si>
    <t>AUDIFONOS SONY MDR-EX15LP BL ELECTRONICA MENOR</t>
  </si>
  <si>
    <t>AUDIFONOS SONY MDR-EX15LP BLK ELECTRONICA MENOR</t>
  </si>
  <si>
    <t>AUDIFONOS SONY MDR-EX15LP PI ELECTRONICA MENOR</t>
  </si>
  <si>
    <t>AUDIFONOS SONY MDR-EX15LP PP</t>
  </si>
  <si>
    <t>AUDIFONOS SONY MDR-EX15LP WH</t>
  </si>
  <si>
    <t>P92474531H</t>
  </si>
  <si>
    <t>AUDIFONOS SONY MDR-EX15LP WH ELECTRONICA MENOR</t>
  </si>
  <si>
    <t>AUDIFONOS SONY MDR-ZX110 BLACK ELECTRONICA MENOR</t>
  </si>
  <si>
    <t>AUDIFONOS SONY MDR-ZX110 BLANCO ELECTRONICA MENOR</t>
  </si>
  <si>
    <t>AUDIFONOS SONY MDR-ZX110BK PC</t>
  </si>
  <si>
    <t>AUDIFONOS SONY MDREX15</t>
  </si>
  <si>
    <t>AUDIFONOS SONY ZX 110</t>
  </si>
  <si>
    <t>AUDIFONOS SONY ZX110</t>
  </si>
  <si>
    <t>AUDIFONOS SPORT NUCA BLUETOOTH</t>
  </si>
  <si>
    <t>AUDIFONOS STER M-808</t>
  </si>
  <si>
    <t>AUDIFONOS STEREO PANASONIC HT 21</t>
  </si>
  <si>
    <t>AUDIFONOS STEREO XB 450</t>
  </si>
  <si>
    <t>AUDIFONOS STEREO ZX300</t>
  </si>
  <si>
    <t>AUDIFONOS TARGET TT-E1460BK ELECTRONICA MENOR</t>
  </si>
  <si>
    <t>AUDIFONOS TARGET TT-E1460BL ELECTRONICA MENOR</t>
  </si>
  <si>
    <t>AUDIFONOS TARGET TT-E1460RD ELECTRONICA MENOR</t>
  </si>
  <si>
    <t>AUDIFONOS TARGET TT-E1460WH ELECTRONICA MENOR</t>
  </si>
  <si>
    <t>AUDIFONOS TARGET TWIST TT-E170BK</t>
  </si>
  <si>
    <t>AUDIFONOS TARGET TWIST TT-E170RD ELECTRONICA MENOR</t>
  </si>
  <si>
    <t>AUDIFONOS TARGET TWIST TT-E170WH</t>
  </si>
  <si>
    <t>AUDIFONOS TECH BLUETOOTH</t>
  </si>
  <si>
    <t>AUDIFONOS TIPO ARCO ET-A2103</t>
  </si>
  <si>
    <t>AUDIFONOS TIPO C IRM-06892 ELECTRONICA MENOR</t>
  </si>
  <si>
    <t>AUDIFONOS VYKON ME888</t>
  </si>
  <si>
    <t>AUDUFONO BLUETOOTH TM 010</t>
  </si>
  <si>
    <t>AURICULAR STEREO C. MICROFONO RCA HM 450</t>
  </si>
  <si>
    <t>BALANZA DIGITAL COD 3002</t>
  </si>
  <si>
    <t>AC ESTUCHE CELULAR</t>
  </si>
  <si>
    <t>BANANO PORTA CELULAR COD 2720</t>
  </si>
  <si>
    <t>BASE PARA CARGAR CELULAR TIPO C</t>
  </si>
  <si>
    <t>BASE PARA CARGAR CELULAR TIPO IPHONE</t>
  </si>
  <si>
    <t>AC BASTON SELFIE</t>
  </si>
  <si>
    <t>BASTON GO PRO GPR22</t>
  </si>
  <si>
    <t>BASTON SELFIE BLUETOOTH 80 CM COD 3432</t>
  </si>
  <si>
    <t>BASTON SELFIE BLUETOOTH YT-1288</t>
  </si>
  <si>
    <t>BASTON SELFIE C/ CABLE BAVIN</t>
  </si>
  <si>
    <t>BASTON SELFIE COD 3046</t>
  </si>
  <si>
    <t>BASTON SELFIE COD 335 CON DISPARADOR</t>
  </si>
  <si>
    <t>BASTON SELFIE CON CABLE IRM-01666</t>
  </si>
  <si>
    <t>BASTON SELFIE CON DISPARADOR IRM-03827</t>
  </si>
  <si>
    <t>BASTON SELFIE CON DISPARADOR IRM-06876</t>
  </si>
  <si>
    <t>BASTON SELFIE CON DISPARADOR Y TRIPODE IRM-07721 K20</t>
  </si>
  <si>
    <t>BASTON SELFIE CON DISPARADOR Y TRIPODE IRM-7720 K07</t>
  </si>
  <si>
    <t>BASTON SELFIE ET N0325B</t>
  </si>
  <si>
    <t>BASTON SELFIE ET-N0469</t>
  </si>
  <si>
    <t>BASTON SELFIE GO PRO 50 CM</t>
  </si>
  <si>
    <t>BASTON SELFIE IRM-06300 TRIPODE, DISPARADOR Y LUZ</t>
  </si>
  <si>
    <t>BASTON SELFIE IRM-06877 BLUETOOTH</t>
  </si>
  <si>
    <t>BASTON SELFIE MOTOMO MOD S9</t>
  </si>
  <si>
    <t>BASTON SELFIE PARA GO PRO</t>
  </si>
  <si>
    <t>BASTON SELFIE PARA GO PRO TC5200</t>
  </si>
  <si>
    <t>BASTON SELFIE Y9 IRM-07924</t>
  </si>
  <si>
    <t>BASTON SELFIE Z 07-5 BLUETOOTH INCORP</t>
  </si>
  <si>
    <t>BASTON SELFIE Z-07 C BLUETOOTH</t>
  </si>
  <si>
    <t>BASTON SELFIE Z-75 COD 843</t>
  </si>
  <si>
    <t>BASTON SELFIE Z07-5</t>
  </si>
  <si>
    <t>BATERIA 3.7 VOLT MOD BL-5C COD 1049</t>
  </si>
  <si>
    <t>BATERIA IPHONE 5G</t>
  </si>
  <si>
    <t>EM PILA</t>
  </si>
  <si>
    <t>BATERIA PARA PARLANTE 3000 MAH EW-18650P</t>
  </si>
  <si>
    <t>BATERIA PARA PARLANTE 3500 MAH EW-18650_H</t>
  </si>
  <si>
    <t>AC POWER BANK</t>
  </si>
  <si>
    <t>BATTERY CASE IPHONE 6/7/8/X Y 6P/7P/8P</t>
  </si>
  <si>
    <t>EM PARLANTES</t>
  </si>
  <si>
    <t>BAZOOCA EWTTO 1471, MP3, FM, CARD,CELULAR,LUCES</t>
  </si>
  <si>
    <t>BAZOOKA BLUETOOTH CON MICROFONO ET-P255MB</t>
  </si>
  <si>
    <t>BAZOOKA CUADRADA B 083 bk</t>
  </si>
  <si>
    <t>EM RADIO PORTATIL</t>
  </si>
  <si>
    <t>BAZOOKA DBLUE DBSB080</t>
  </si>
  <si>
    <t>Bazooka ET-1471</t>
  </si>
  <si>
    <t>BAZOOKA ET-P1472B</t>
  </si>
  <si>
    <t>Bazooka ET-P1758</t>
  </si>
  <si>
    <t>BAZOOKA ET-P1846B</t>
  </si>
  <si>
    <t>BAZOOKA ET-P2452BR WOONDEN</t>
  </si>
  <si>
    <t>BAZOOKA ET-P2455B</t>
  </si>
  <si>
    <t>BAZOOKA ET-P2562MB</t>
  </si>
  <si>
    <t>BAZOOKA ET-R2737B CON LINTERNA</t>
  </si>
  <si>
    <t>BAZOOKA LED BLUETOOTH PHILCO</t>
  </si>
  <si>
    <t>BAZOOKA MINI BT PX37A PHILCO</t>
  </si>
  <si>
    <t>BAZOOKA MINI BT PX37N PHILCO</t>
  </si>
  <si>
    <t>BAZOOKA MINI BT PX37R PHILCO</t>
  </si>
  <si>
    <t>Bazooka Mini Radio Fm</t>
  </si>
  <si>
    <t>BAZUKA CON BLUETOOTH</t>
  </si>
  <si>
    <t>BLUETOOH AUDIO RECEPTOR COD 8017</t>
  </si>
  <si>
    <t>BLUETOOTH 213</t>
  </si>
  <si>
    <t>BLUETOOTH 663 LARGO</t>
  </si>
  <si>
    <t>BLUETOOTH AUDIO RECEPTOR COD 201</t>
  </si>
  <si>
    <t>BLUETOOTH AUDIO RECEPTOR USB COD 2829</t>
  </si>
  <si>
    <t>BLUETOOTH CELU X RADIO AUTO + MEMORIA</t>
  </si>
  <si>
    <t>BLUETOOTH CELULAR A RADIO C. BRAZO LCD+TF+USB</t>
  </si>
  <si>
    <t>BLUETOOTH CELULAR ET-A4243B</t>
  </si>
  <si>
    <t>AC VEHICULO</t>
  </si>
  <si>
    <t>BLUETOOTH CON PARLATE RECEPTOR COD 2039</t>
  </si>
  <si>
    <t>BLUETOOTH GOTA COD 3379</t>
  </si>
  <si>
    <t>BLUETOOTH GOTA STEREO -3379</t>
  </si>
  <si>
    <t>BLUETOOTH MOTOROLA HK 115</t>
  </si>
  <si>
    <t>BLUETOOTH NORGE USB 3.0 510 R</t>
  </si>
  <si>
    <t>BLUETOOTH PARA CELULAR COD 2855</t>
  </si>
  <si>
    <t>BLUETOOTH PERA - TELEFONO Y MUSICA</t>
  </si>
  <si>
    <t>BLUETOOTH STEREO LARGO 3363</t>
  </si>
  <si>
    <t>BLUETOOTH T-120</t>
  </si>
  <si>
    <t>BLUETOOTH TELEF</t>
  </si>
  <si>
    <t>BLUETOOTTH MY VOICE 306M</t>
  </si>
  <si>
    <t>BOLSAS PARA DVDS</t>
  </si>
  <si>
    <t>BOTON L Y R COD 13165</t>
  </si>
  <si>
    <t>BOTON L Y R IRM-05270</t>
  </si>
  <si>
    <t>BOTON L Y R IRM-05271</t>
  </si>
  <si>
    <t>BOTON L Y R PARA SMARTPHONE COD 11790</t>
  </si>
  <si>
    <t>BOTON L Y R TC5334</t>
  </si>
  <si>
    <t>BOTON L Y R TC5335</t>
  </si>
  <si>
    <t>BOTON L Y R TC5336</t>
  </si>
  <si>
    <t>BOTON L Y R TC5337</t>
  </si>
  <si>
    <t>BOTON L Y R TC5359</t>
  </si>
  <si>
    <t>EM JOYSTICK</t>
  </si>
  <si>
    <t>BOTONES L Y R COD 9898 METAL</t>
  </si>
  <si>
    <t>CABLE 2 RCA X PLUG STEREO, 1,5 MT</t>
  </si>
  <si>
    <t>CABLE 2X1 1.8 MTS ULTRA</t>
  </si>
  <si>
    <t>CABLE 2X1 COD 462 1.5 MTS</t>
  </si>
  <si>
    <t>CABLE 2X1 PLUG-RCA 1.0 MT PHILCO</t>
  </si>
  <si>
    <t>CABLE 2X1 RCA 1,5 MTS</t>
  </si>
  <si>
    <t>CABLE 2X1 RCA AVI-2</t>
  </si>
  <si>
    <t>CABLE 2X1 RCA ST 33568 GE COD 1657</t>
  </si>
  <si>
    <t>CABLE 3X1 21090</t>
  </si>
  <si>
    <t>CABLE 3X3 RCA 2.5 MTS</t>
  </si>
  <si>
    <t>CABLE AUDIO 2X1 IRM-05994</t>
  </si>
  <si>
    <t>CABLE AUDIO VIDEO 3 POR 1 AV1-3</t>
  </si>
  <si>
    <t>CABLE AUXILIAR 3.5 MM A RCA AUDIO 1.5 METROS</t>
  </si>
  <si>
    <t>CABLE AUXILIAR COD 2052 1.5 MTS</t>
  </si>
  <si>
    <t>Cable Auxiliar Motomo 1200 mm</t>
  </si>
  <si>
    <t>CABLE AVANTREE IPHONE APPLE CERTIFIED</t>
  </si>
  <si>
    <t>CABLE C MACHO-C MACHO XTECH XTC-530</t>
  </si>
  <si>
    <t>CABLE C-C 1 MT</t>
  </si>
  <si>
    <t>CABLE C-C GYRUX 1 MT</t>
  </si>
  <si>
    <t>CABLE C-C IRM-07551</t>
  </si>
  <si>
    <t>CABLE C-IPHONE</t>
  </si>
  <si>
    <t>CABLE C-IPHONE 1 MT</t>
  </si>
  <si>
    <t>CABLE CARGA RAPIDA V8</t>
  </si>
  <si>
    <t>CABLE CARGADOR PARLANTE COD 375</t>
  </si>
  <si>
    <t>CABLE CORRIENTE IRM 00033</t>
  </si>
  <si>
    <t>CABLE DATA CA 101 CAJA</t>
  </si>
  <si>
    <t>CABLE DATA IPH 5 PLANO</t>
  </si>
  <si>
    <t>CABLE DATA IPHONE</t>
  </si>
  <si>
    <t>CABLE DATA IPHONE 5</t>
  </si>
  <si>
    <t>CABLE DATA IPHONE 5 Y 6 ECONOMICO</t>
  </si>
  <si>
    <t>CABLE DATA IPHONE 5, 6 ORIGINAL</t>
  </si>
  <si>
    <t>CABLE DATA LED USB IPHONE/SAM</t>
  </si>
  <si>
    <t>CABLE DATA TABLET SAMSUNG GALAXIE 107788 - FE</t>
  </si>
  <si>
    <t>CABLE DATA USB MICRO 5 PIN GRUESO 1,5 MT</t>
  </si>
  <si>
    <t>CABLE DATO IPHONE 5 BLANCO</t>
  </si>
  <si>
    <t>CABLE DATO IPHONE 5 COD 1205</t>
  </si>
  <si>
    <t>CABLE DATO IPHONE 5 NEGRO</t>
  </si>
  <si>
    <t>CABLE DE PODER 1,5 MTS PARA COMPUTADOR AOWEIXUN</t>
  </si>
  <si>
    <t>CABLE DE PODER 1,5 MTS TIPO 8 1221-8</t>
  </si>
  <si>
    <t>CABLE DE PODER 1,5 MTS TREBOL 0920-7</t>
  </si>
  <si>
    <t>CABLE DE PODER PARA COMPUTADOR COD 132</t>
  </si>
  <si>
    <t>CABLE DE PODER PARA COMPUTADOR IRM-06013</t>
  </si>
  <si>
    <t>CABLE DE PODER PC CHILENO COD 93013</t>
  </si>
  <si>
    <t>CABLE DE PODER TIPO 8 2 PIN COD 141</t>
  </si>
  <si>
    <t>CABLE DE PODER TIPO 8 2 PIN COD 93083</t>
  </si>
  <si>
    <t>CABLE DE PODER TIPO OCHO</t>
  </si>
  <si>
    <t>CABLE DE PODER TIPO TREBOL</t>
  </si>
  <si>
    <t>CABLE DE PODER TIPO TREBOL COD 3752</t>
  </si>
  <si>
    <t>CABLE DE PODER TIPO TREBOL IRM-06012</t>
  </si>
  <si>
    <t>CABLE DE RED 1 MTS CAT 5</t>
  </si>
  <si>
    <t>CABLE DE RED 10 MTS CAT 5 0920-2</t>
  </si>
  <si>
    <t>CABLE DE RED 10 MTS CAT 5 COD 4243</t>
  </si>
  <si>
    <t>CABLE DE RED 10 MTS CAT 6 0410-3</t>
  </si>
  <si>
    <t>CABLE DE RED 10.5 MTS CAT 5</t>
  </si>
  <si>
    <t>CABLE DE RED 15 MTS CAT 5 1221-3</t>
  </si>
  <si>
    <t>CABLE DE RED 15 MTS CAT 5 COD 4244</t>
  </si>
  <si>
    <t>CABLE DE RED 15 MTS CAT 6 0410-4</t>
  </si>
  <si>
    <t>CABLE DE RED 2 MTS CAT 5</t>
  </si>
  <si>
    <t>CABLE DE RED 2 MTS CAT 6</t>
  </si>
  <si>
    <t>CABLE DE RED 20 MTS CAT 5 1221-4</t>
  </si>
  <si>
    <t>CABLE DE RED 20 MTS CAT 5 COD 4245</t>
  </si>
  <si>
    <t>CABLE DE RED 20 MTS CAT 6 0410-5</t>
  </si>
  <si>
    <t>CABLE DE RED 3 MTS CAT 5</t>
  </si>
  <si>
    <t>CABLE DE RED 3 MTS CAT 5 17660-5</t>
  </si>
  <si>
    <t>CABLE DE RED 3 MTS CAT 5 COD 3704</t>
  </si>
  <si>
    <t>CABLE DE RED 5 MTS CAT 5 1221-1</t>
  </si>
  <si>
    <t>CABLE DE RED 5 MTS CAT 5 COD 3703</t>
  </si>
  <si>
    <t>CABLE DE RED 5 MTS CAT 6 0410-2</t>
  </si>
  <si>
    <t>CABLE DE RED 7.5 MTS CAT 5</t>
  </si>
  <si>
    <t>CABLE DE TELEFONO 10 MTS COD 53</t>
  </si>
  <si>
    <t>CABLE DISPLAY PORT A DISPLAY PORT</t>
  </si>
  <si>
    <t>CABLE DISPLAY PORT A HDMI</t>
  </si>
  <si>
    <t>CABLE DISPLAY PORT-HDMI 2 MTS</t>
  </si>
  <si>
    <t>CABLE DUO USB A V8, IPH5 - 317</t>
  </si>
  <si>
    <t>CABLE EXTENSION PLUG 1,5 MTS 1212-29</t>
  </si>
  <si>
    <t>CABLE EXTENSION PLUG 20 CMS</t>
  </si>
  <si>
    <t>CABLE EXTENSION PLUG 3 MTS</t>
  </si>
  <si>
    <t>CABLE EXTENSION PLUG 3 MTS COD 3250</t>
  </si>
  <si>
    <t>CABLE EXTENSION PLUG 5 MTS COD 7500</t>
  </si>
  <si>
    <t>CABLE EXTENSION USB 1.8 MTS</t>
  </si>
  <si>
    <t>CABLE EXTENSION USB 2.0</t>
  </si>
  <si>
    <t>CABLE EXTENSION USB 2.0 1 MT IRM-08481</t>
  </si>
  <si>
    <t>CABLE EXTENSION USB 2.0 3 MTS IRM-08482</t>
  </si>
  <si>
    <t>CABLE EXTENSION USB 3.0 MTS</t>
  </si>
  <si>
    <t>CABLE EXTENSION USB 4.5 MTS</t>
  </si>
  <si>
    <t>CABLE FIBRA OPTICA 2 MT</t>
  </si>
  <si>
    <t>CABLE FIBRA OPTICA GRUESO COD 2860 1.5 MTS</t>
  </si>
  <si>
    <t>CABLE FONEMAX IPHONE 5 CERTIFICADO</t>
  </si>
  <si>
    <t>Cable Griffin Iphone V8</t>
  </si>
  <si>
    <t>CABLE GRUESO 5 PIN C. FILTRO 1,5 M</t>
  </si>
  <si>
    <t>CABLE GRUESO CON FILTRO V8</t>
  </si>
  <si>
    <t>CABLE HDMI 1 MACHO X 2 HEMBRAS COD 3354</t>
  </si>
  <si>
    <t>CABLE HDMI 10MTS SHD10</t>
  </si>
  <si>
    <t>CABLE HDMI 5MTS SHD5</t>
  </si>
  <si>
    <t>CABLE HDMI A DVI-D</t>
  </si>
  <si>
    <t>CABLE HDMI A HDMI</t>
  </si>
  <si>
    <t>CABLE HDMI A VGA C,FILTRO 1,5 M C FILTRO</t>
  </si>
  <si>
    <t>CABLE HDMI HDMI EN BLISTER 1.8 MT</t>
  </si>
  <si>
    <t>CABLE HDMI IPAD IPHONE 1.8M</t>
  </si>
  <si>
    <t>CABLE HDMI X 3 RCA 1,5 MT</t>
  </si>
  <si>
    <t>CABLE HDMI-DISPLAYPORT 1 MT</t>
  </si>
  <si>
    <t>CABLE HDMI-HDMI 1 MT COD 11526</t>
  </si>
  <si>
    <t>CABLE HDMI-HDMI 1,2 MTS COD 1722</t>
  </si>
  <si>
    <t>CABLE HDMI-HDMI 1,5 M PLANO</t>
  </si>
  <si>
    <t>CABLE HDMI-HDMI 1,5 MT COD 3972 DOBLE FILTRO</t>
  </si>
  <si>
    <t>CABLE HDMI-HDMI 1,5 MTS 4K ULTRA HD PHILCO</t>
  </si>
  <si>
    <t>CABLE HDMI-HDMI 1,5 MTS PHILCO</t>
  </si>
  <si>
    <t>CABLE HDMI-HDMI 1,5 MTS ROHS</t>
  </si>
  <si>
    <t>CABLE HDMI-HDMI 1,5 MTS TC4536</t>
  </si>
  <si>
    <t>CABLE HDMI-HDMI 1,5 MTS ULTRA</t>
  </si>
  <si>
    <t>CABLE HDMI-HDMI 1,8 MTS</t>
  </si>
  <si>
    <t>CABLE HDMI-HDMI 1,8 MTS 4K GENERAL ELECTRIC</t>
  </si>
  <si>
    <t>CABLE HDMI-HDMI 1,8 MTS BARKAN HD18E1</t>
  </si>
  <si>
    <t>CABLE HDMI-HDMI 1,8 MTS COD 2007 ULTRA 4K</t>
  </si>
  <si>
    <t>CABLE HDMI-HDMI 1,8 MTS FIDDLER FD-2330PRO</t>
  </si>
  <si>
    <t>CABLE HDMI-HDMI 1.5 MTS MALLA</t>
  </si>
  <si>
    <t>CABLE HDMI-HDMI 10 MTS</t>
  </si>
  <si>
    <t>CABLE HDMI-HDMI 10 MTS COD 12802</t>
  </si>
  <si>
    <t>CABLE HDMI-HDMI 10 MTS MALLA</t>
  </si>
  <si>
    <t>CABLE HDMI-HDMI 20 MTS MALLA</t>
  </si>
  <si>
    <t>CABLE HDMI-HDMI 20 MTS PLANO 4K</t>
  </si>
  <si>
    <t>CABLE HDMI-HDMI 3 MTS MALLA</t>
  </si>
  <si>
    <t>CABLE HDMI-HDMI 3,0 MTS</t>
  </si>
  <si>
    <t>CABLE HDMI-HDMI 3,0 MTS COD 9997</t>
  </si>
  <si>
    <t>CABLE HDMI-HDMI 3,0 MTS ULTRA</t>
  </si>
  <si>
    <t>CABLE HDMI-HDMI 5 MTS MALLA</t>
  </si>
  <si>
    <t>CABLE HDMI-HDMI 5,0 MTS</t>
  </si>
  <si>
    <t>CABLE HDMI-HDMI 5,0 MTS COD 10008</t>
  </si>
  <si>
    <t>CABLE HDMI-HDMI 5,0 MTS DINON</t>
  </si>
  <si>
    <t>CABLE HDMI-HDMI 5,0 MTS ROHS</t>
  </si>
  <si>
    <t>CABLE HDMI-HDMI 5,0 MTS ULTRA</t>
  </si>
  <si>
    <t>CABLE HDMI-HDMI COD 2418 PLANO</t>
  </si>
  <si>
    <t>CABLE HDMI-HDMI GIRATORIO XTC-606</t>
  </si>
  <si>
    <t>CABLE HDMI-HDMI MICRO</t>
  </si>
  <si>
    <t>CABLE HDMI-HDMI MICRO-MINI 3 EN 1 COD 2519</t>
  </si>
  <si>
    <t>CABLE HDMI-RCA 1,5 MTS SXC-00040</t>
  </si>
  <si>
    <t>CABLE HDMI-RCA 1,8 MTS IRM-01100</t>
  </si>
  <si>
    <t>CABLE HDMI-RCA IRM-05990</t>
  </si>
  <si>
    <t>CABLE HDTV ADAPTER</t>
  </si>
  <si>
    <t>CABLE IPH 5 AA SUELTO</t>
  </si>
  <si>
    <t>CABLE IPHONE 1MT</t>
  </si>
  <si>
    <t>CABLE IPHONE 4 1,5 MTS COD 1221</t>
  </si>
  <si>
    <t>CABLE IPHONE 4 COD 93055</t>
  </si>
  <si>
    <t>CABLE IPHONE 4 ESPIRAL COD 147</t>
  </si>
  <si>
    <t>CABLE IPHONE 4 SUELTO 1 M -661 - FE</t>
  </si>
  <si>
    <t>CABLE IPHONE 4, 30 PINES</t>
  </si>
  <si>
    <t>CABLE IPHONE 5</t>
  </si>
  <si>
    <t>CABLE IPHONE 5 CERTIFICADO POR APPLE, CARGA 2,4 AM</t>
  </si>
  <si>
    <t>Cable Iphone 5 y 6 Cert</t>
  </si>
  <si>
    <t>CABLE IPHONE 5 Y 6 COD 4198</t>
  </si>
  <si>
    <t>CABLE IPHONE 5 Y 6 VITU</t>
  </si>
  <si>
    <t>CABLE IPHONE 5 Y 6, CERTIF. EN CABLE</t>
  </si>
  <si>
    <t>CABLE IPHONE 5, 6 C.FILTRO GRUESO, 1,5 M</t>
  </si>
  <si>
    <t>CABLE IPHONE 5, 6 ORIGINAL LIGHTNING</t>
  </si>
  <si>
    <t>CABLE IPHONE 5,6 A USB MALLA</t>
  </si>
  <si>
    <t>CABLE IPHONE 5,6 LIGHTNING CERTIFICADO</t>
  </si>
  <si>
    <t>CABLE IPHONE 5/6 DURACELL CERTIFICADO</t>
  </si>
  <si>
    <t>CABLE IPHONE 6 ANKER</t>
  </si>
  <si>
    <t>CABLE IPHONE 6 ORIGINAL MD 818 Z</t>
  </si>
  <si>
    <t>CABLE IPHONE 6 Sinoe</t>
  </si>
  <si>
    <t>CABLE IPHONE IRM-259</t>
  </si>
  <si>
    <t>CABLE IPHONE ORIGINAL</t>
  </si>
  <si>
    <t>CABLE IPHONE TIPO ORIGINAL</t>
  </si>
  <si>
    <t>CABLE JACK HEMBRA A MACHO AUDIFONO Y MICROFONO</t>
  </si>
  <si>
    <t>CABLE LIGHTNING 2 MTS CARGA RAPIDA AA103</t>
  </si>
  <si>
    <t>CABLE LIGHTNING IPHONE 5,6&amp;7 CERTIFICADO</t>
  </si>
  <si>
    <t>CABLE LIGHTNING IPHONE ORIGINAL</t>
  </si>
  <si>
    <t>CABLE LIGHTNING-PLUG MACHO IRM-06687</t>
  </si>
  <si>
    <t>Cable Magnetico Andrioid</t>
  </si>
  <si>
    <t>Cable Magnetico Iphone</t>
  </si>
  <si>
    <t>CABLE MAGNETICO V8/IPHONE</t>
  </si>
  <si>
    <t>CABLE MHL IRM-1633</t>
  </si>
  <si>
    <t>CABLE MICRO HDMI A HDMI PHILIPS SWV2462W</t>
  </si>
  <si>
    <t>CABLE MICRO USB</t>
  </si>
  <si>
    <t>CABLE MICRO USB A HDMI PARA CELU CMHL21</t>
  </si>
  <si>
    <t>CABLE MICROFONO 1,5 MT IRM-05211</t>
  </si>
  <si>
    <t>CABLE MINI HDMI A HDMI PHILIPS SWV-2472W</t>
  </si>
  <si>
    <t>CABLE MINI USB 2.0 5 PIN COD 93177</t>
  </si>
  <si>
    <t>CABLE OPTICO 1,5 MTS</t>
  </si>
  <si>
    <t>CABLE OPTICO 3.0 MTS 1212-28</t>
  </si>
  <si>
    <t>CABLE OPTICO COD 575 1,5 MTS 2MM</t>
  </si>
  <si>
    <t>CABLE OPTICO IRM-06011</t>
  </si>
  <si>
    <t>CABLE OPTICO IRM-4473</t>
  </si>
  <si>
    <t>CABLE OPTICO TOSLINK 1.8 MTS</t>
  </si>
  <si>
    <t>CABLE ORIGINAL IPHONE LIGHTNING MD818Z GSM</t>
  </si>
  <si>
    <t>CABLE OTG NOTE 3</t>
  </si>
  <si>
    <t>CABLE OTG PARA SAM CR 128</t>
  </si>
  <si>
    <t>CABLE PARA CARGAR BLUETOOTH COD 1121</t>
  </si>
  <si>
    <t>CABLE PARA CARGAR TABLET PUNTA FINA COD 93061</t>
  </si>
  <si>
    <t>CABLE PARA IMPRESORA 1.5 MTS</t>
  </si>
  <si>
    <t>CABLE PARA IMPRESORA 1.8 MTS</t>
  </si>
  <si>
    <t>CABLE PARA IMPRESORA 1.8 MTS XTECH XTC-307</t>
  </si>
  <si>
    <t>CABLE PARA IMPRESORA 3 MTS XTECH XTC-303</t>
  </si>
  <si>
    <t>CABLE PARA IMPRESORA 3.0 MTS</t>
  </si>
  <si>
    <t>CABLE PARA IMPRESORA COD 6565</t>
  </si>
  <si>
    <t>CABLE PARLANTE IRM-01491</t>
  </si>
  <si>
    <t>CABLE PARLANTE USB-V8-PLUG COD 2775</t>
  </si>
  <si>
    <t>CABLE PLANO C.LUZ IPHONE 4, IPAD A USB 110142 -FE</t>
  </si>
  <si>
    <t>CABLE PLANO COLOR USB A IPHONE 5,6 + IPOD + IPAD</t>
  </si>
  <si>
    <t>CABLE PLANO HDMI 1.5 MTS COD 2520</t>
  </si>
  <si>
    <t>CABLE PLANO HDMI 5 MTS COD 2149</t>
  </si>
  <si>
    <t>CABLE PLANO IPHONE 5 259 - FE</t>
  </si>
  <si>
    <t>CABLE PLANO IPHONE 5 Y V 8 - FE</t>
  </si>
  <si>
    <t>CABLE PLANO T/MILITAR IPH 5/ A USB COD 3429 CAJA</t>
  </si>
  <si>
    <t>CABLE PLUG 1 X 1 FASHION COD 4014 -FE</t>
  </si>
  <si>
    <t>CABLE PLUG 1 X 1 PTA. ROJA</t>
  </si>
  <si>
    <t>CABLE PLUG-AUDIFONO Y MICROFONO</t>
  </si>
  <si>
    <t>CABLE PLUG-PLUG 0.7 MTS ULTRA</t>
  </si>
  <si>
    <t>CABLE PLUG-PLUG 0.9 MT ULTRA</t>
  </si>
  <si>
    <t>CABLE PLUG-PLUG 1 MT</t>
  </si>
  <si>
    <t>CABLE PLUG-PLUG 1 MT ET-E4042</t>
  </si>
  <si>
    <t>CABLE PLUG-PLUG 1 MT IRM-04115</t>
  </si>
  <si>
    <t>CABLE PLUG-PLUG 1 MT IRM-05322</t>
  </si>
  <si>
    <t>CABLE PLUG-PLUG 1 MT IRM-08519</t>
  </si>
  <si>
    <t>CABLE PLUG-PLUG 1 MT XTECH</t>
  </si>
  <si>
    <t>CABLE PLUG-PLUG 1,5 MTS EXTENSION</t>
  </si>
  <si>
    <t>CABLE PLUG-PLUG 1,5 MTS IRM-08518</t>
  </si>
  <si>
    <t>CABLE PLUG-PLUG 1,5M COD 142</t>
  </si>
  <si>
    <t>CABLE PLUG-PLUG 1,8 MTS FIDDLER FD-3110PRO</t>
  </si>
  <si>
    <t>CABLE PLUG-PLUG 1.0 MTS TRENZADO PHILCO</t>
  </si>
  <si>
    <t>CABLE PLUG-PLUG 1.5 MT ET-E4049-150</t>
  </si>
  <si>
    <t>CABLE PLUG-PLUG 1.8 MTS</t>
  </si>
  <si>
    <t>CABLE PLUG-PLUG 1.8 MTS ESPIRAL AZUL PHILCO</t>
  </si>
  <si>
    <t>CABLE PLUG-PLUG 1.8 MTS ESPIRAL BLANCO PHILCO</t>
  </si>
  <si>
    <t>CABLE PLUG-PLUG 1.8 MTS ESPIRAL NEGRO PHILCO</t>
  </si>
  <si>
    <t>CABLE PLUG-PLUG 1.8 MTS GEAR</t>
  </si>
  <si>
    <t>CABLE PLUG-PLUG 1.8 MTS GENERAL ELECTRIC</t>
  </si>
  <si>
    <t>CABLE PLUG-PLUG 1.8 MTS ULTRA</t>
  </si>
  <si>
    <t>CABLE PLUG-PLUG 1.8MTS ESPIRAL CURVO</t>
  </si>
  <si>
    <t>CABLE PLUG-PLUG 2 MTS IRM-08520</t>
  </si>
  <si>
    <t>CABLE PLUG-PLUG 3,5 ESPIRAL 2MTS COD 3576</t>
  </si>
  <si>
    <t>CABLE PLUG-PLUG 3,5MM 1.5MTS COD 142</t>
  </si>
  <si>
    <t>CABLE PLUG-PLUG 3,5MM EXTRA GRUESO</t>
  </si>
  <si>
    <t>CABLE PLUG-PLUG 3,5MM PLANO METALICO COD 598</t>
  </si>
  <si>
    <t>CABLE PLUG-PLUG 3.5 ESPIRAL COD 1357</t>
  </si>
  <si>
    <t>CABLE PLUG-PLUG BOCCINI TC6036</t>
  </si>
  <si>
    <t>CABLE PLUG-PLUG BOCCINI TC6037 2 MTS</t>
  </si>
  <si>
    <t>CABLE PLUG-PLUG BOCCINI TC6111 1,5 MTS</t>
  </si>
  <si>
    <t>CABLE PLUG-PLUG BOCCINI TC6112 2 MTS</t>
  </si>
  <si>
    <t>CABLE PLUG-PLUG BOCCINI TC6113 1 MT</t>
  </si>
  <si>
    <t>CABLE PLUG-PLUG BOCCINI TC6115 1 MT</t>
  </si>
  <si>
    <t>CABLE PLUG-PLUG BOCCINI TC6116 1,5 MTS</t>
  </si>
  <si>
    <t>CABLE PLUG-PLUG BOCCINI TC6117 1,5 MTS</t>
  </si>
  <si>
    <t>CABLE PLUG-PLUG BOCCINI TC6118 1 MT</t>
  </si>
  <si>
    <t>CABLE PLUG-PLUG BOCCINI TC6119 1 MT</t>
  </si>
  <si>
    <t>CABLE PLUG-PLUG BOCCINI TG6114 2 MTS</t>
  </si>
  <si>
    <t>CABLE PLUG-PLUG COD 1109</t>
  </si>
  <si>
    <t>CABLE PLUG-PLUG COD 111660 ARTICULADO</t>
  </si>
  <si>
    <t>CABLE PLUG-PLUG COD 1562</t>
  </si>
  <si>
    <t>CABLE PLUG-PLUG COD 1661 TEXTIL GRUESO</t>
  </si>
  <si>
    <t>CABLE PLUG-PLUG COD 1701</t>
  </si>
  <si>
    <t>CABLE PLUG-PLUG COD 1710 GENERAL ELECTRIC</t>
  </si>
  <si>
    <t>CABLE PLUG-PLUG COD 2335</t>
  </si>
  <si>
    <t>CABLE PLUG-PLUG COD 2591 SOGA GRUESO</t>
  </si>
  <si>
    <t>CABLE PLUG-PLUG COD 2688</t>
  </si>
  <si>
    <t>CABLE PLUG-PLUG COD 3689</t>
  </si>
  <si>
    <t>CABLE PLUG-PLUG CON MICROFONO EZRA LA01</t>
  </si>
  <si>
    <t>CABLE PLUG-PLUG DE 3MTS COD 3966</t>
  </si>
  <si>
    <t>CABLE PLUG-PLUG DURACELL COD 1694</t>
  </si>
  <si>
    <t>CABLE PLUG-PLUG ECONOMICO</t>
  </si>
  <si>
    <t>CABLE PLUG-PLUG IRM-02120</t>
  </si>
  <si>
    <t>CABLE PLUG-PLUG IRM-04807</t>
  </si>
  <si>
    <t>CABLE PLUG-PLUG IRM-05427</t>
  </si>
  <si>
    <t>CABLE PLUG-PLUG IRM-06525</t>
  </si>
  <si>
    <t>CABLE PLUG-PLUG IRM-07802 VIDVIE</t>
  </si>
  <si>
    <t>CABLE PLUG-PLUG P.ROJA DORADA 3M</t>
  </si>
  <si>
    <t>CABLE PLUG-PLUG PHILIPS</t>
  </si>
  <si>
    <t>CABLE PLUG-PLUG PLANO COD 6807</t>
  </si>
  <si>
    <t>CABLE PLUG-PLUG PLANO FIBRA 1M MOD 2020</t>
  </si>
  <si>
    <t>CABLE PLUG-PLUG Q117</t>
  </si>
  <si>
    <t>CABLE PLUG-PLUG Q135</t>
  </si>
  <si>
    <t>CABLE PLUG-PLUG ROJO 1,2M</t>
  </si>
  <si>
    <t>CABLE PLUG-PLUG SOGA COD 1591</t>
  </si>
  <si>
    <t>CABLE PLUG-PLUG ZLC-05189</t>
  </si>
  <si>
    <t>CABLE POLOLO COD 113178</t>
  </si>
  <si>
    <t>CABLE P`LANO IPHONE 4 COD 661</t>
  </si>
  <si>
    <t>CABLE RAPIDO 2.0 IPH 5 Y 6 IRM-1738</t>
  </si>
  <si>
    <t>CABLE RAPIDO TIPO C 2.0 1 M. COD 1739</t>
  </si>
  <si>
    <t>CABLE RAPIDO V8 , 3 MT</t>
  </si>
  <si>
    <t>CABLE RAPIDO V8 3,0 MT COD 1014</t>
  </si>
  <si>
    <t>CABLE RCA 2X1 1,5 MTS COD-12241</t>
  </si>
  <si>
    <t>CABLE RCA 2X1 1.5 MTS PUNTA ROJA</t>
  </si>
  <si>
    <t>CABLE RCA 2X1 3 MTS 1212-35</t>
  </si>
  <si>
    <t>CABLE RCA 2X1 PLUG AZUL 3 MTS COD 12252</t>
  </si>
  <si>
    <t>CABLE RCA 3X1 1,5 MTS COD 1170</t>
  </si>
  <si>
    <t>CABLE RCA 3X3 1,5 MT</t>
  </si>
  <si>
    <t>CABLE RCA 3X3 3 MTS 1212-37</t>
  </si>
  <si>
    <t>CABLE RCA 3X3 AZUL 1,5 M COD 102167</t>
  </si>
  <si>
    <t>CABLE RCA 3X3 COD 8281</t>
  </si>
  <si>
    <t>CABLE RCA 3X3 IRM-01096</t>
  </si>
  <si>
    <t>CABLE REMATE</t>
  </si>
  <si>
    <t>CABLE RETRACTIL MINI MICRO USB</t>
  </si>
  <si>
    <t>CABLE SATA DATOS</t>
  </si>
  <si>
    <t>CABLE SPIDER RCA BF-501</t>
  </si>
  <si>
    <t>CABLE TIPO C</t>
  </si>
  <si>
    <t>CABLE TIPO C 2 MTS CARGA RAPIDA B2521</t>
  </si>
  <si>
    <t>CABLE TIPO C 3,1 BLCO</t>
  </si>
  <si>
    <t>CABLE TIPO C IRM-06638</t>
  </si>
  <si>
    <t>CABLE US-V3 IRM-01627</t>
  </si>
  <si>
    <t>CABLE USB 2.0 EXTENSION 1,5 MT</t>
  </si>
  <si>
    <t>CABLE USB 2.0-COFRE PLUG A MINI USB</t>
  </si>
  <si>
    <t>CABLE USB 20 CM</t>
  </si>
  <si>
    <t>CABLE USB 3.0</t>
  </si>
  <si>
    <t>CABLE USB 3.0 DISCO DURO EXTERNO</t>
  </si>
  <si>
    <t>CABLE USB 3.0 PARA DISCO DURO COD 1017 50 CMS</t>
  </si>
  <si>
    <t>CABLE USB 3.0 PARA DISCO DURO COD 1165 1 MT</t>
  </si>
  <si>
    <t>CABLE USB 3.0 PARA DISCO DURO COD 1592</t>
  </si>
  <si>
    <t>CABLE USB 3.0A 2 MTS</t>
  </si>
  <si>
    <t>CABLE USB 5 PIN SOGA COD 955</t>
  </si>
  <si>
    <t>CABLE USB A 3 RCA 8365 1,5 M</t>
  </si>
  <si>
    <t>CABLE USB A MICRO</t>
  </si>
  <si>
    <t>CABLE USB A MICRO 5 PIN 1 M</t>
  </si>
  <si>
    <t>CABLE USB A MICRO 5 PIN 1 M 659 -FE</t>
  </si>
  <si>
    <t>CABLE USB A MINI USB 1 MT</t>
  </si>
  <si>
    <t>CABLE USB A V8 1.5 MTS</t>
  </si>
  <si>
    <t>CABLE USB CON 4 SALIDAS USB - 13440</t>
  </si>
  <si>
    <t>CABLE USB CON LED</t>
  </si>
  <si>
    <t>CABLE USB HEMBRA-HEMBRA 2.0 2 MT</t>
  </si>
  <si>
    <t>CABLE USB HEMBRA-PLUG MACHO IRM-05799</t>
  </si>
  <si>
    <t>CABLE USB IPHONE</t>
  </si>
  <si>
    <t>CABLE USB IPHONE 5, 6, IPAD REMAX</t>
  </si>
  <si>
    <t>CABLE USB IPHONE PLANO COLOR COD 4453</t>
  </si>
  <si>
    <t>CABLE USB MACHO MACHO 2.0</t>
  </si>
  <si>
    <t>CABLE USB MACHO-HEMBRA 1.5 MTS 0920-24</t>
  </si>
  <si>
    <t>CABLE USB MACHO-HEMBRA 3 MTS 0920-25</t>
  </si>
  <si>
    <t>CABLE USB MACHO-HEMBRA COD 101078</t>
  </si>
  <si>
    <t>CABLE USB MACHO-HEMBRA XTECH XTC-301 EXTENSION</t>
  </si>
  <si>
    <t>CABLE USB MACHO-MACHO</t>
  </si>
  <si>
    <t>CABLE USB MACHO-MACHO 1.5 MTS 0920-26</t>
  </si>
  <si>
    <t>CABLE USB MACHO-MACHO 1.8 MTS</t>
  </si>
  <si>
    <t>CABLE USB MACHO-MACHO 3 MTS</t>
  </si>
  <si>
    <t>CABLE USB MACHO-MACHO IRM 04833</t>
  </si>
  <si>
    <t>CABLE USB MACHO-MACHO IRM-02136</t>
  </si>
  <si>
    <t>CABLE USB MACHO-MACHO IRM-06005</t>
  </si>
  <si>
    <t>CABLE USB MAGNETICO V8/IPHONE</t>
  </si>
  <si>
    <t>CABLE USB MICRO 5 PIN COD 4079 GRUESO 3 MTS</t>
  </si>
  <si>
    <t>CABLE USB MICRO 5 PINES CABLE GRUESO</t>
  </si>
  <si>
    <t>CABLE USB TIPO C BLACK</t>
  </si>
  <si>
    <t>CABLE USB TIPO C BLUE</t>
  </si>
  <si>
    <t>CABLE USB TIPO C CARGA RÁPIDA P5214 BL</t>
  </si>
  <si>
    <t>CABLE USB TIPO C GREEN</t>
  </si>
  <si>
    <t>CABLE USB TIPO C PINK</t>
  </si>
  <si>
    <t>CABLE USB TIPO C WHITE</t>
  </si>
  <si>
    <t>CABLE USB V8 ET-E4204</t>
  </si>
  <si>
    <t>CABLE USB V8 ET-E4242</t>
  </si>
  <si>
    <t>Cable USB V8 sinoe</t>
  </si>
  <si>
    <t>Cable USB V8 VITU</t>
  </si>
  <si>
    <t>CABLE USB-C 1 MT 5A BUDIX</t>
  </si>
  <si>
    <t>CABLE USB-C 1 MT ASPOR</t>
  </si>
  <si>
    <t>CABLE USB-C 1 MT ET-4345C</t>
  </si>
  <si>
    <t>CABLE USB-C 1 MT ET-E4340C</t>
  </si>
  <si>
    <t>CABLE USB-C 1 MT ET-E4364C</t>
  </si>
  <si>
    <t>CABLE USB-C 1 MT ET-E4368C</t>
  </si>
  <si>
    <t>CABLE USB-C 1 MT IRM-04108 VIDVIE</t>
  </si>
  <si>
    <t>CABLE USB-C 1 MT IRM-07819</t>
  </si>
  <si>
    <t>CABLE USB-C 1 MT IRM-08397</t>
  </si>
  <si>
    <t>CABLE USB-C 1 MT JOYROOM JR-S118</t>
  </si>
  <si>
    <t>CABLE USB-C 1 MT REMAX BLANCO</t>
  </si>
  <si>
    <t>CABLE USB-C 1 MT REMAX NEGRO</t>
  </si>
  <si>
    <t>CABLE USB-C 1 MT REMAX PLANO</t>
  </si>
  <si>
    <t>CABLE USB-C 1.5 MTS MOTOMO</t>
  </si>
  <si>
    <t>CABLE USB-C 3 MTS 5V</t>
  </si>
  <si>
    <t>CABLE USB-C A USB-C ILUV iCB57BLK</t>
  </si>
  <si>
    <t>CABLE USB-C BOCCINI TC5716</t>
  </si>
  <si>
    <t>CABLE USB-C BOCCINI TC6040</t>
  </si>
  <si>
    <t>CABLE USB-C BOCCINI TC6107</t>
  </si>
  <si>
    <t>CABLE USB-C CARGA RÁPIDA P5214 NG</t>
  </si>
  <si>
    <t>CABLE USB-C COD 111825 2 MTS PLANO</t>
  </si>
  <si>
    <t>CABLE USB-C COD 111847 5AMP</t>
  </si>
  <si>
    <t>CABLE USB-C COD 11713</t>
  </si>
  <si>
    <t>CABLE USB-C COD 12868</t>
  </si>
  <si>
    <t>CABLE USB-C COD 13132 ESPIRAL</t>
  </si>
  <si>
    <t>CABLE USB-C COD 14298 3 MTS PLANO</t>
  </si>
  <si>
    <t>CABLE USB-C COD 14826</t>
  </si>
  <si>
    <t>CABLE USB-C COD 1531 1.5 MTS</t>
  </si>
  <si>
    <t>CABLE USB-C COD 2867 PUNTA REFORZADA CON RESORTE</t>
  </si>
  <si>
    <t>CABLE USB-C COD 3150 CAJA METALICA</t>
  </si>
  <si>
    <t>CABLE USB-C COD 4530</t>
  </si>
  <si>
    <t>CABLE USB-C COD 9194 CURVO</t>
  </si>
  <si>
    <t>CABLE USB-C COD 9414 CURVO</t>
  </si>
  <si>
    <t>CABLE USB-C DURACELL</t>
  </si>
  <si>
    <t>CABLE USB-C ET-E4237C</t>
  </si>
  <si>
    <t>CABLE USB-C ET-E4344C</t>
  </si>
  <si>
    <t>CABLE USB-C ET-E4362C</t>
  </si>
  <si>
    <t>CABLE USB-C ET-R4925-M</t>
  </si>
  <si>
    <t>CABLE USB-C GYRUX 1.5 MTS</t>
  </si>
  <si>
    <t>CABLE USB-C HUAWEI ORIGINAL</t>
  </si>
  <si>
    <t>CABLE USB-C IRM-02101951</t>
  </si>
  <si>
    <t>CABLE USB-C IRM-02129</t>
  </si>
  <si>
    <t>CABLE USB-C IRM-06527</t>
  </si>
  <si>
    <t>CABLE USB-C IRM-07813</t>
  </si>
  <si>
    <t>CABLE USB-C IRM-2100372</t>
  </si>
  <si>
    <t>CABLE USB-C IRM-2101982 ONEPLUS</t>
  </si>
  <si>
    <t>CABLE USB-C MOTOMO 1 MT</t>
  </si>
  <si>
    <t>CABLE USB-C MOTOMO 2 MTS</t>
  </si>
  <si>
    <t>CABLE USB-C MOTOMO 3 MTS</t>
  </si>
  <si>
    <t>CABLE USB-C ORIGINAL HUAWEI</t>
  </si>
  <si>
    <t>CABLE USB-C PHILIPS DLC1530C/97</t>
  </si>
  <si>
    <t>CABLE USB-C SAMSUNG ORIGINAL</t>
  </si>
  <si>
    <t>CABLE USB-C TIPO MOTO</t>
  </si>
  <si>
    <t>CABLE USB-C TIPO SAMSUNG</t>
  </si>
  <si>
    <t>CABLE USB-IPHONE 1 MT</t>
  </si>
  <si>
    <t>CABLE USB-IPHONE 1 MT ASPOR</t>
  </si>
  <si>
    <t>CABLE USB-IPHONE 1 MT COD 4010</t>
  </si>
  <si>
    <t>CABLE USB-IPHONE 1 MT DURACELL CERTIFICADO</t>
  </si>
  <si>
    <t>CABLE USB-IPHONE 1 MT IRM-06225</t>
  </si>
  <si>
    <t>CABLE USB-IPHONE 1 MT IRM-07812</t>
  </si>
  <si>
    <t>CABLE USB-IPHONE 1 MT IRM-08375</t>
  </si>
  <si>
    <t>CABLE USB-IPHONE 1 MT IRM-08396</t>
  </si>
  <si>
    <t>CABLE USB-IPHONE 1 MT JOYROOM JR-S118</t>
  </si>
  <si>
    <t>CABLE USB-IPHONE 1 MT MASTER-G</t>
  </si>
  <si>
    <t>CABLE USB-IPHONE 1 MT REMAX BLANCO</t>
  </si>
  <si>
    <t>CABLE USB-IPHONE 1 MT REMAX CELESTE</t>
  </si>
  <si>
    <t>CABLE USB-IPHONE 1 MT REMAX NEGRO</t>
  </si>
  <si>
    <t>CABLE USB-IPHONE 1 MT REMAX PLANO</t>
  </si>
  <si>
    <t>CABLE USB-IPHONE 1 MT REMAX ROSADO</t>
  </si>
  <si>
    <t>CABLE USB-IPHONE 1 MT TIPO ORIGINAL</t>
  </si>
  <si>
    <t>CABLE USB-IPHONE 1 MT URBANO CERTIFICADO</t>
  </si>
  <si>
    <t>CABLE USB-IPHONE 1.0 MT ULTRA</t>
  </si>
  <si>
    <t>CABLE USB-IPHONE 1.5 MTS ULTRA</t>
  </si>
  <si>
    <t>CABLE USB-IPHONE 2 MTS</t>
  </si>
  <si>
    <t>CABLE USB-IPHONE 2 MTS TIPO ORIGINAL</t>
  </si>
  <si>
    <t>CABLE USB-IPHONE 3 MTS 5V</t>
  </si>
  <si>
    <t>CABLE USB-IPHONE 3 MTS IRM-08075</t>
  </si>
  <si>
    <t>CABLE USB-IPHONE 4 COD 658</t>
  </si>
  <si>
    <t>CABLE USB-IPHONE 4 COD 8941</t>
  </si>
  <si>
    <t>CABLE USB-IPHONE 7</t>
  </si>
  <si>
    <t>CABLE USB-IPHONE CERTIFICADO</t>
  </si>
  <si>
    <t>CABLE USB-IPHONE CERTIFICADO FONEMAX</t>
  </si>
  <si>
    <t>CABLE USB-IPHONE COD 1075 LED</t>
  </si>
  <si>
    <t>CABLE USB-IPHONE COD 122217 CURVO</t>
  </si>
  <si>
    <t>CABLE USB-IPHONE COD 12362 ESPIRAL</t>
  </si>
  <si>
    <t>CABLE USB-IPHONE COD 2337 CURVO</t>
  </si>
  <si>
    <t>CABLE USB-IPHONE COD 2501 PUNTA REFORZADA</t>
  </si>
  <si>
    <t>CABLE USB-IPHONE COD 2607 TRENZADO</t>
  </si>
  <si>
    <t>CABLE USB-IPHONE COD 2620</t>
  </si>
  <si>
    <t>CABLE USB-IPHONE COD 4299</t>
  </si>
  <si>
    <t>CABLE USB-IPHONE COD 679 SOGA</t>
  </si>
  <si>
    <t>CABLE USB-IPHONE ET-E4165-I</t>
  </si>
  <si>
    <t>CABLE USB-IPHONE ET-E4340I</t>
  </si>
  <si>
    <t>CABLE USB-IPHONE GYRUX CERTIFICADO</t>
  </si>
  <si>
    <t>CABLE USB-IPHONE IRM-02115</t>
  </si>
  <si>
    <t>CABLE USB-IPHONE IRM-04106</t>
  </si>
  <si>
    <t>CABLE USB-IPHONE IRM-05532 CURVO</t>
  </si>
  <si>
    <t>CABLE USB-IPHONE IRM-06528</t>
  </si>
  <si>
    <t>CABLE USB-IPHONE IRM-07818 1 MT</t>
  </si>
  <si>
    <t>CABLE USB-IPHONE IRM-2101962</t>
  </si>
  <si>
    <t>CABLE USB-IPHONE MOTOMO 1 MT</t>
  </si>
  <si>
    <t>CABLE USB-IPHONE MOTOMO 2 MTS</t>
  </si>
  <si>
    <t>CABLE USB-IPHONE MOTOMO 3 MTS</t>
  </si>
  <si>
    <t>CABLE USB-IPHONE ORIGINAL</t>
  </si>
  <si>
    <t>CABLE USB-IPHONE PHILIPS DLC2508W</t>
  </si>
  <si>
    <t>CABLE USB-IPHONE ULTRA 1.5 MTS TRENZADO</t>
  </si>
  <si>
    <t>CABLE USB-MINI USB 3.0 1 MT</t>
  </si>
  <si>
    <t>CABLE USB-PLUG COD 93081</t>
  </si>
  <si>
    <t>CABLE USB-PLUG MACHO IRM-05646</t>
  </si>
  <si>
    <t>CABLE USB-PLUG MACHO IRM-06045</t>
  </si>
  <si>
    <t>CABLE USB-PLUG-V3 CARGARDOR PARLANTE COD 93260</t>
  </si>
  <si>
    <t>CABLE USB-V MOTOMO 2 MTS</t>
  </si>
  <si>
    <t>CABLE USB-V3 1.5 MTS 1212-9</t>
  </si>
  <si>
    <t>CABLE USB-V3 1.5 MTS IRM-08036</t>
  </si>
  <si>
    <t>CABLE USB-V3 1.8 MTS</t>
  </si>
  <si>
    <t>CABLE USB-V3 21009</t>
  </si>
  <si>
    <t>CABLE USB-V3 90 CMS ULTRA 29USB-40825</t>
  </si>
  <si>
    <t>CABLE USB-V8 01-150 CABLE CON LUZ</t>
  </si>
  <si>
    <t>CABLE USB-V8 05-120</t>
  </si>
  <si>
    <t>CABLE USB-V8 1 MT ASPOR</t>
  </si>
  <si>
    <t>CABLE USB-V8 1 MT ET-E4340M</t>
  </si>
  <si>
    <t>CABLE USB-V8 1 MT ET-E4365</t>
  </si>
  <si>
    <t>CABLE USB-V8 1 MT ET-E4366</t>
  </si>
  <si>
    <t>CABLE USB-V8 1 MT ET-E4369</t>
  </si>
  <si>
    <t>CABLE USB-V8 1 MT ET-E4370</t>
  </si>
  <si>
    <t>CABLE USB-V8 1 MT IRM-04107 VIDVIE</t>
  </si>
  <si>
    <t>CABLE USB-V8 1 MT IRM-06224</t>
  </si>
  <si>
    <t>CABLE USB-V8 1 MT IRM-07811</t>
  </si>
  <si>
    <t>CABLE USB-V8 1 MT IRM-07817</t>
  </si>
  <si>
    <t>CABLE USB-V8 1 MT IRM-08376</t>
  </si>
  <si>
    <t>CABLE USB-V8 1 MT IRM-08395</t>
  </si>
  <si>
    <t>CABLE USB-V8 1 MT JOYROOM JR-S118</t>
  </si>
  <si>
    <t>CABLE USB-V8 1 MT REMAX BLANCO</t>
  </si>
  <si>
    <t>CABLE USB-V8 1 MT REMAX CELESTE</t>
  </si>
  <si>
    <t>CABLE USB-V8 1 MT REMAX NEGRO</t>
  </si>
  <si>
    <t>CABLE USB-V8 1 MT REMAX PLANO</t>
  </si>
  <si>
    <t>CABLE USB-V8 1 MT REMAX ROSADO</t>
  </si>
  <si>
    <t>CABLE USB-V8 1,5 M V8 IRM-796</t>
  </si>
  <si>
    <t>CABLE USB-V8 1,5M IRM-796</t>
  </si>
  <si>
    <t>CABLE USB-V8 1.2 MTS ET-E4343M</t>
  </si>
  <si>
    <t>CABLE USB-V8 2.4GHZ CARGA RAPIDA ET-06-125</t>
  </si>
  <si>
    <t>CABLE USB-V8 3 MTS 5A</t>
  </si>
  <si>
    <t>CABLE USB-V8 3 MTS COD 2339</t>
  </si>
  <si>
    <t>CABLE USB-V8 3 MTS ET-17871-117</t>
  </si>
  <si>
    <t>CABLE USB-V8 3 MTS IRM-015248</t>
  </si>
  <si>
    <t>CABLE USB-V8 3 MTS IRM-07531</t>
  </si>
  <si>
    <t>CABLE USB-V8 3 MTS IRM-2124</t>
  </si>
  <si>
    <t>CABLE USB-V8 BOCCINI TC5253</t>
  </si>
  <si>
    <t>CABLE USB-V8 BOCCINI TC6038</t>
  </si>
  <si>
    <t>CABLE USB-V8 BOCCINI TC6105</t>
  </si>
  <si>
    <t>CABLE USB-V8 C ET-E4217</t>
  </si>
  <si>
    <t>CABLE USB-V8 C ET-E4253</t>
  </si>
  <si>
    <t>CABLE USB-V8 C ET-E4254</t>
  </si>
  <si>
    <t>CABLE USB-V8 C ET-E4256</t>
  </si>
  <si>
    <t>CABLE USB-V8 C MT</t>
  </si>
  <si>
    <t>CABLE USB-V8 CARGA RAPIDA IRM-04286</t>
  </si>
  <si>
    <t>CABLE USB-V8 COD 111803 2 MTS PLANO</t>
  </si>
  <si>
    <t>CABLE USB-V8 COD 11273 ESPIRAL</t>
  </si>
  <si>
    <t>CABLE USB-V8 COD 114234 CURVO</t>
  </si>
  <si>
    <t>CABLE USB-V8 COD 116247 2 MTS CON VELCRO</t>
  </si>
  <si>
    <t>CABLE USB-V8 COD 11658 CURVO</t>
  </si>
  <si>
    <t>CABLE USB-V8 COD 16245</t>
  </si>
  <si>
    <t>CABLE USB-V8 COD 2512 CURVO</t>
  </si>
  <si>
    <t>CABLE USB-V8 COD 2545 DURACELL</t>
  </si>
  <si>
    <t>CABLE USB-V8 COD 2653</t>
  </si>
  <si>
    <t>CABLE USB-V8 COD 4106 1 MT</t>
  </si>
  <si>
    <t>CABLE USB-V8 COD 4143 CURVO</t>
  </si>
  <si>
    <t>CABLE USB-V8 COD 4212 PLANO</t>
  </si>
  <si>
    <t>CABLE USB-V8 COD 4248 CUERO</t>
  </si>
  <si>
    <t>CABLE USB-V8 COD 488 METALICO</t>
  </si>
  <si>
    <t>CABLE USB-V8 COD 659 ECONOMICO</t>
  </si>
  <si>
    <t>CABLE USB-V8 COD 7016 TRENZADO</t>
  </si>
  <si>
    <t>CABLE USB-V8 DURACELL</t>
  </si>
  <si>
    <t>CABLE USB-V8 ECONOMICO</t>
  </si>
  <si>
    <t>CABLE USB-V8 ET-4351M</t>
  </si>
  <si>
    <t>CABLE USB-V8 ET-4516 PLANO</t>
  </si>
  <si>
    <t>CABLE USB-V8 ET-E4018</t>
  </si>
  <si>
    <t>CABLE USB-V8 ET-E4019-M</t>
  </si>
  <si>
    <t>CABLE USB-V8 ET-E4131 CARGA RAPIDA</t>
  </si>
  <si>
    <t>CABLE USB-V8 ET-E4147</t>
  </si>
  <si>
    <t>CABLE USB-V8 ET-E4166-M</t>
  </si>
  <si>
    <t>CABLE USB-V8 ET-E4238</t>
  </si>
  <si>
    <t>CABLE USB-V8 ET-E4321M</t>
  </si>
  <si>
    <t>CABLE USB-V8 ET-E4924</t>
  </si>
  <si>
    <t>CABLE USB-V8 GYRUX 1.5 MTS</t>
  </si>
  <si>
    <t>CABLE USB-V8 HUAWEI CARGA RAPIDA</t>
  </si>
  <si>
    <t>CABLE USB-V8 HUAWEI ORIGINAL</t>
  </si>
  <si>
    <t>CABLE USB-V8 IRM-05337</t>
  </si>
  <si>
    <t>CABLE USB-V8 IRM-05531 CURVO</t>
  </si>
  <si>
    <t>CABLE USB-V8 IRM-05614 VIDVIE</t>
  </si>
  <si>
    <t>CABLE USB-V8 IRM-07381</t>
  </si>
  <si>
    <t>CABLE USB-V8 IRM-2114</t>
  </si>
  <si>
    <t>CABLE USB-V8 MOTOMO 1 MT</t>
  </si>
  <si>
    <t>CABLE USB-V8 MOTOMO 2 MTS</t>
  </si>
  <si>
    <t>CABLE USB-V8 MOTOMO 3 MTS</t>
  </si>
  <si>
    <t>CABLE USB-V8 PHILIPS DLC1530U/97</t>
  </si>
  <si>
    <t>CABLE USB-V8 RP-002-M-200 2 MTS</t>
  </si>
  <si>
    <t>CABLE USB-V8 SAMSUNG ORIGINAL</t>
  </si>
  <si>
    <t>CABLE USB-V8 SINOE</t>
  </si>
  <si>
    <t>CABLE USB-V8 TIPO SAMSUNG</t>
  </si>
  <si>
    <t>CABLE USB-V8/C/IPHONE 1 MT BUDIX</t>
  </si>
  <si>
    <t>CABLE USB-V8/C/IPHONE 1 MT CURVO BUDIX</t>
  </si>
  <si>
    <t>CABLE USB-V8/C/IPHONE 1 MT IRM-07717 MAGNETICO</t>
  </si>
  <si>
    <t>CABLE USB-V8/C/IPHONE ET-10908 MAGNETICO</t>
  </si>
  <si>
    <t>CABLE USB-V8/C/IPHONE ET-E4229</t>
  </si>
  <si>
    <t>CABLE USB-V8/C/IPHONE ET-E4341-120</t>
  </si>
  <si>
    <t>CABLE USB-V8/C/IPHONE IRM-08152 MAGNETICO</t>
  </si>
  <si>
    <t>CABLE USB-V8/C/IPHONE MOTOMO</t>
  </si>
  <si>
    <t>CABLE USB-V8/IPHONE ET-E4518</t>
  </si>
  <si>
    <t>CABLE USB-V8/IPHONE SJX-001M</t>
  </si>
  <si>
    <t>CABLE USB-V8/V3/IPHONE/PARLANTE ET-E4148</t>
  </si>
  <si>
    <t>CABLE V3 5 PIN A USB 1 METRO</t>
  </si>
  <si>
    <t>CABLE V8 2 MTS CARGA RAPIDA AS108</t>
  </si>
  <si>
    <t>CABLE V8 VITU</t>
  </si>
  <si>
    <t>CABLE V8-V8 MAXELL MUSB-200 COMPARTE CARGA</t>
  </si>
  <si>
    <t>CABLE VGA 1,5 M</t>
  </si>
  <si>
    <t>CABLE VGA MACHO MACHO</t>
  </si>
  <si>
    <t>CABLE VGA-VGA 1.5 MTS AOWEIXUN</t>
  </si>
  <si>
    <t>CABLE VGA-VGA 1.8 MTS</t>
  </si>
  <si>
    <t>CABLE VGA-VGA 3 MTS COD 13286</t>
  </si>
  <si>
    <t>CABLE VGA-VGA XTC-308</t>
  </si>
  <si>
    <t>CABLE-USB IPHONE LIGHTNING CERTIFICADO</t>
  </si>
  <si>
    <t>CALCULADORA BASICA KK-323A</t>
  </si>
  <si>
    <t>CALCULADORA CASIO FX-350ES PLUS</t>
  </si>
  <si>
    <t>CALCULADORA CASIO FX-570ES PLUS</t>
  </si>
  <si>
    <t>CALCULADORA CASIO FX-82MS</t>
  </si>
  <si>
    <t>CALCULADORA CIENTIFICA FX-350ES PLUS</t>
  </si>
  <si>
    <t>CALCULADORA CIENTIFICA FX-350MS-2C ECONOMICA</t>
  </si>
  <si>
    <t>CALCULADORA CIENTIFICA FX-570ES PLUS</t>
  </si>
  <si>
    <t>CALCULADORA CIENTIFICA FX-82MS</t>
  </si>
  <si>
    <t>CALCULADORA CIENTIFICA KADIO ECONOMICA COD 2155</t>
  </si>
  <si>
    <t>CALCULADORA CSIRO CS-1200V</t>
  </si>
  <si>
    <t>CALCULADORA DE BOLSILLO ET-C510D</t>
  </si>
  <si>
    <t>CAMARA DE VIGILANCIA WIFI COD 2430</t>
  </si>
  <si>
    <t>CAMARA DEPORTIVA AL AGUA</t>
  </si>
  <si>
    <t>CAMARA DEPORTIVA HD AL AGUA</t>
  </si>
  <si>
    <t>CAMARA DEPORTIVA HD AL AGUA 1263</t>
  </si>
  <si>
    <t>CAMARA FRONTAL PARA VEHICULO MOTOROLA COD 4321</t>
  </si>
  <si>
    <t>CAMARA GO PRO</t>
  </si>
  <si>
    <t>CAMARA GO PRO HD COD 719</t>
  </si>
  <si>
    <t>CAMARA GO-PRO</t>
  </si>
  <si>
    <t>CAMARA IP INTERNO COD 2539</t>
  </si>
  <si>
    <t>CAMARA IP WIFI SENSOR DE MOVIMIENTO COD 5278</t>
  </si>
  <si>
    <t>CAMARA LCD 2.0 DVR PARA AUTO COD 298</t>
  </si>
  <si>
    <t>CAMARA LCD 2.0 DVR PARA AUTO COD 729</t>
  </si>
  <si>
    <t>CAMARA LCD 2.0 DVR PORTABLE PARA AUTO COD 109119</t>
  </si>
  <si>
    <t>CAMARA LCD DVR PARA VEHICULO IRM-01914</t>
  </si>
  <si>
    <t>CAMARA LCD PARA VEHICULO IRM-01861</t>
  </si>
  <si>
    <t>CAMARA MINI TIPO GO PRO C CONTROL COD 2923</t>
  </si>
  <si>
    <t>CAMARA MINI TIPO GOPRO COD 719</t>
  </si>
  <si>
    <t>CAMARA PARA AUTO 0783</t>
  </si>
  <si>
    <t>CAMARA PARA VEHICULO 64834</t>
  </si>
  <si>
    <t>CAMARA RETROVISOR PARA VEHICULO COD 112705</t>
  </si>
  <si>
    <t>CAMARA TIPO GO PRO COD 1157 WIFI CONTROL</t>
  </si>
  <si>
    <t>CAMARA TIPO GO PRO COD 117182 BIND.U</t>
  </si>
  <si>
    <t>CAMARA TIPO GO PRO IRM-05828</t>
  </si>
  <si>
    <t>CAMARA TIPO GOPRO 4K COD 2449</t>
  </si>
  <si>
    <t>CAMARA TIPO GOPRO IRM-5511</t>
  </si>
  <si>
    <t>CAMARA VEHICULO COD 3430</t>
  </si>
  <si>
    <t>CAMARA VIDEO P AUTO SCAMC41</t>
  </si>
  <si>
    <t>CAMARA VIDEO P AUTO SCAMC42</t>
  </si>
  <si>
    <t>CAMARA VIGILANCIA CON WIFI C/ MOV COD 1589</t>
  </si>
  <si>
    <t>camara web</t>
  </si>
  <si>
    <t>CAMARA WEB 1080P</t>
  </si>
  <si>
    <t>CAMARA WEB 480P</t>
  </si>
  <si>
    <t>CAMARA WEB 640P JL-02005</t>
  </si>
  <si>
    <t>CAMARA WEB 640P JL-02006</t>
  </si>
  <si>
    <t>CAMARA WEB CON MICROFONO COD 7874</t>
  </si>
  <si>
    <t>CANDADO NOTEBOOK</t>
  </si>
  <si>
    <t>CAPTURADORA DE VIDEO USB A HDMI 4K</t>
  </si>
  <si>
    <t>CAPTURADORA DE VIDEO USB A HDMI 4K COD 120856</t>
  </si>
  <si>
    <t>AC TAPA TRANSPARENTE</t>
  </si>
  <si>
    <t>CARCASA DISNEY IPHONE 5</t>
  </si>
  <si>
    <t>CARCASA DISNEY SAM J2 PRIME</t>
  </si>
  <si>
    <t>CARCASA DISNEY SAM J5 2016</t>
  </si>
  <si>
    <t>CARCASA DISNEY SAM J7</t>
  </si>
  <si>
    <t>CARCASA DISNEY SAM J7 PRIME</t>
  </si>
  <si>
    <t>AC CARGADOR AUTO</t>
  </si>
  <si>
    <t>CARG 12 V SAMSUNG ORIGINAL</t>
  </si>
  <si>
    <t>CARGADOR 12 V. CON 2 USB 3,1 AMP 107832 -FE</t>
  </si>
  <si>
    <t>CARGADOR 12 VOLT A USB 2,1 AMP</t>
  </si>
  <si>
    <t>CARGADOR 12 VOLT MICRFO USB</t>
  </si>
  <si>
    <t>CARGADOR 12 Y 24 VOLT 1.000 AMPER</t>
  </si>
  <si>
    <t>AC CARGADOR CASA</t>
  </si>
  <si>
    <t>CARGADOR 220 V CABLE + ADAPTADOR IPHONE 5,6</t>
  </si>
  <si>
    <t>CARGADOR 220V A 2 USB, 2 AMP , 1220 -FE</t>
  </si>
  <si>
    <t>CARGADOR 220V DOBLE USB CUADRADO</t>
  </si>
  <si>
    <t>CARGADOR 220V SAM 0,75 AMP</t>
  </si>
  <si>
    <t>CARGADOR 2X1 GALAXY COD 6708</t>
  </si>
  <si>
    <t>CARGADOR 2X1 IPHONE 4 220 V</t>
  </si>
  <si>
    <t>CARGADOR 2X1 IPHONE 4 COD 1349</t>
  </si>
  <si>
    <t>CARGADOR 2X1 SAMSUNG</t>
  </si>
  <si>
    <t>CARGADOR 3 EN 1 COD 3731</t>
  </si>
  <si>
    <t>CARGADOR 3 X 1</t>
  </si>
  <si>
    <t>CARGADOR 3X1 PARA IPHONE</t>
  </si>
  <si>
    <t>CARGADOR 3X1 SAMSUMG TARGET</t>
  </si>
  <si>
    <t>CARGADOR ANDROID 2.4 MOTOMO</t>
  </si>
  <si>
    <t>CARGADOR APPLE WATCH JOYROOM S-IW001S</t>
  </si>
  <si>
    <t>CARGADOR ARAÑA CON PANTALLA LCD</t>
  </si>
  <si>
    <t>CARGADOR ARAÑA ECONOMICO</t>
  </si>
  <si>
    <t>CARGADOR ARAÑA ECONOMICO COD 2470</t>
  </si>
  <si>
    <t>Cargador Araña ET-E6090</t>
  </si>
  <si>
    <t>CARGADOR ARAÑA IRM-01532</t>
  </si>
  <si>
    <t>CARGADOR ARAÑA UNIVERSAL ECONOMICO 2470</t>
  </si>
  <si>
    <t>CARGADOR AUTO 12 V SAMSUNG ORIGINAL</t>
  </si>
  <si>
    <t>CARGADOR AUTO 12 VOLT COD. 107832</t>
  </si>
  <si>
    <t>CARGADOR AUTO 2 USB 2.1 AMP COD 1581</t>
  </si>
  <si>
    <t>CARGADOR AUTO 2 USB 2.4 AMP</t>
  </si>
  <si>
    <t>CARGADOR AUTO 2 USB 2.4 AMP B-111</t>
  </si>
  <si>
    <t>CARGADOR AUTO 2 USB 3.6 AMP COD 6059</t>
  </si>
  <si>
    <t>CARGADOR AUTO 2.4 AMP REIMAX</t>
  </si>
  <si>
    <t>CARGADOR AUTO 3 USB 3.4 AMP COD 2494</t>
  </si>
  <si>
    <t>CARGADOR AUTO 3.1 AMP AQ-5A</t>
  </si>
  <si>
    <t>CARGADOR AUTO 3.1 AMP MOTOMO CCI33</t>
  </si>
  <si>
    <t>CARGADOR AUTO 4 PUERTOS USB</t>
  </si>
  <si>
    <t>CARGADOR AUTO BUDIX BD-068</t>
  </si>
  <si>
    <t>CARGADOR AUTO BUDIX C502</t>
  </si>
  <si>
    <t>CARGADOR AUTO CC36 CARGA RAPIDA</t>
  </si>
  <si>
    <t>CARGADOR AUTO COMTRONICS</t>
  </si>
  <si>
    <t>CARGADOR AUTO CON CABLE EMY MY-30</t>
  </si>
  <si>
    <t>CARGADOR AUTO DURACELL COD 1062</t>
  </si>
  <si>
    <t>CARGADOR AUTO E-1347</t>
  </si>
  <si>
    <t>CARGADOR AUTO ECONOMICO COD 3364</t>
  </si>
  <si>
    <t>CARGADOR AUTO ET-D0116</t>
  </si>
  <si>
    <t>CARGADOR AUTO ET-D0275 CAR</t>
  </si>
  <si>
    <t>CARGADOR AUTO ET-D0321M-120</t>
  </si>
  <si>
    <t>CARGADOR AUTO IPHONE IVON</t>
  </si>
  <si>
    <t>CARGADOR AUTO IRM-04125</t>
  </si>
  <si>
    <t>CARGADOR AUTO IRM-05976</t>
  </si>
  <si>
    <t>CARGADOR AUTO IRM-06321</t>
  </si>
  <si>
    <t>CARGADOR AUTO IRM-07796</t>
  </si>
  <si>
    <t>CARGADOR AUTO IRM-08558 CABLE TIPO C</t>
  </si>
  <si>
    <t>CARGADOR AUTO IRM-08559 CABLE IPHONE</t>
  </si>
  <si>
    <t>CARGADOR AUTO IRM-2001245</t>
  </si>
  <si>
    <t>CARGADOR AUTO IRM-2001812</t>
  </si>
  <si>
    <t>CARGADOR AUTO MO-011 V8</t>
  </si>
  <si>
    <t>CARGADOR AUTO MOTOMO 3.4 AMP</t>
  </si>
  <si>
    <t>CARGADOR AUTO MOTOROLA V3</t>
  </si>
  <si>
    <t>CARGADOR AUTO RÁPIDO V8 UN PUERTO</t>
  </si>
  <si>
    <t>Cargador Auto Sam Original</t>
  </si>
  <si>
    <t>CARGADOR AUTO SAMSUNG ORIGINAL</t>
  </si>
  <si>
    <t>CARGADOR AUTO TIPO C IVON CC13 3 AMP</t>
  </si>
  <si>
    <t>CARGADOR AUTO TURBO IVON CC28</t>
  </si>
  <si>
    <t>CARGADOR AUTO TURBO MOTO ORIGINAL</t>
  </si>
  <si>
    <t>CARGADOR AUTO USB-C TURBO CC-7490</t>
  </si>
  <si>
    <t>CARGADOR AUTO V8</t>
  </si>
  <si>
    <t>CARGADOR AUTO V8 IVON CC13 3 AMP</t>
  </si>
  <si>
    <t>CARGADOR BATERIA GOPRO COD 2522</t>
  </si>
  <si>
    <t>CARGADOR CASA 10W SOLO ENCHUFE</t>
  </si>
  <si>
    <t>CARGADOR CASA 2.1 AMP + 2 CABLES COMTRONICS</t>
  </si>
  <si>
    <t>CARGADOR CASA 2X1 V8 1 AMP</t>
  </si>
  <si>
    <t>CARGADOR CASA 2X1 V8 2 USB, 2 AM</t>
  </si>
  <si>
    <t>CARGADOR CASA 3 USB, 3,1 AMP</t>
  </si>
  <si>
    <t>CARGADOR CASA 800 MA V8</t>
  </si>
  <si>
    <t>CARGADOR CASA 934 MINI 2 EN 1 SAM</t>
  </si>
  <si>
    <t>CARGADOR CASA ADAPTADOR</t>
  </si>
  <si>
    <t>CARGADOR CASA BASE IRM-06646</t>
  </si>
  <si>
    <t>CARGADOR CASA BASE TIPO IPHONE ORIGINAL MD813Z</t>
  </si>
  <si>
    <t>CARGADOR CASA BUDIX A3305 3.4A</t>
  </si>
  <si>
    <t>CARGADOR CASA CABLE C-C ET-E6256C</t>
  </si>
  <si>
    <t>CARGADOR CASA CABLE C-C IRM-08600</t>
  </si>
  <si>
    <t>CARGADOR CASA CABLE C-IPHONE ET-E6256</t>
  </si>
  <si>
    <t>CARGADOR CASA CABLE C-IPHONE TIPO IPHONE ORIGINAL</t>
  </si>
  <si>
    <t>CARGADOR CASA CABLE USB-C 8983N</t>
  </si>
  <si>
    <t>CARGADOR CASA CABLE USB-C ET-E6120C</t>
  </si>
  <si>
    <t>CARGADOR CASA CABLE USB-C HUAWEI ORIGINAL</t>
  </si>
  <si>
    <t>CARGADOR CASA CABLE USB-C IRM-06148</t>
  </si>
  <si>
    <t>CARGADOR CASA CABLE USB-C IRM-06184</t>
  </si>
  <si>
    <t>CARGADOR CASA CABLE USB-C IRM-07375</t>
  </si>
  <si>
    <t>CARGADOR CASA CABLE USB-C IRM-08178</t>
  </si>
  <si>
    <t>CARGADOR CASA CABLE USB-C IRM-08635</t>
  </si>
  <si>
    <t>CARGADOR CASA CABLE USB-C IRM-2001702</t>
  </si>
  <si>
    <t>CARGADOR CASA CABLE USB-C IRM-2002121</t>
  </si>
  <si>
    <t>CARGADOR CASA CABLE USB-C IRM-2002151</t>
  </si>
  <si>
    <t>CARGADOR CASA CABLE USB-C IRM-7725</t>
  </si>
  <si>
    <t>CARGADOR CASA CABLE USB-C TIPO MOTOROLA</t>
  </si>
  <si>
    <t>CARGADOR CASA CABLE USB-IPHONE</t>
  </si>
  <si>
    <t>CARGADOR CASA CABLE USB-IPHONE 4</t>
  </si>
  <si>
    <t>CARGADOR CASA CABLE USB-IPHONE IRM-06212</t>
  </si>
  <si>
    <t>CARGADOR CASA CABLE USB-IPHONE IRM-07168 CERTIFICADO</t>
  </si>
  <si>
    <t>CARGADOR CASA CABLE USB-IPHONE IRM-07376</t>
  </si>
  <si>
    <t>CARGADOR CASA CABLE USB-IPHONE IRM-07722</t>
  </si>
  <si>
    <t>CARGADOR CASA CABLE USB-IPHONE IRM-2002111</t>
  </si>
  <si>
    <t>CARGADOR CASA CABLE USB-IPHONE IRM-2002142</t>
  </si>
  <si>
    <t>CARGADOR CASA CABLE USB-V3</t>
  </si>
  <si>
    <t>CARGADOR CASA CABLE USB-V8 2 AMP +.CABLE TABLET SAM 108844 - FE</t>
  </si>
  <si>
    <t>CARGADOR CASA CABLE USB-V8 220 UNIV ECONOMIC</t>
  </si>
  <si>
    <t>CARGADOR CASA CABLE USB-V8 220 V</t>
  </si>
  <si>
    <t>CARGADOR CASA CABLE USB-V8 220 V 1 AMP</t>
  </si>
  <si>
    <t>CARGADOR CASA CABLE USB-V8 220 V 2 USB</t>
  </si>
  <si>
    <t>CARGADOR CASA CABLE USB-V8 220 V 2X1</t>
  </si>
  <si>
    <t>CARGADOR CASA CABLE USB-V8 220 VOLT UNIVERSAL CON LED</t>
  </si>
  <si>
    <t>CARGADOR CASA CABLE USB-V8 220V</t>
  </si>
  <si>
    <t>CARGADOR CASA CABLE USB-V8 COD 1114</t>
  </si>
  <si>
    <t>CARGADOR CASA CABLE USB-V8 COD 1146</t>
  </si>
  <si>
    <t>CARGADOR CASA CABLE USB-V8 COD 1176 V8</t>
  </si>
  <si>
    <t>CARGADOR CASA CABLE USB-V8 ET-4235</t>
  </si>
  <si>
    <t>CARGADOR CASA CABLE USB-V8 ET-6712</t>
  </si>
  <si>
    <t>CARGADOR CASA CABLE USB-V8 ET-E4235_P</t>
  </si>
  <si>
    <t>CARGADOR CASA CABLE USB-V8 ET-E6254M</t>
  </si>
  <si>
    <t>CARGADOR CASA CABLE USB-V8 ET-E6328</t>
  </si>
  <si>
    <t>CARGADOR CASA CABLE USB-V8 ET-E6334M</t>
  </si>
  <si>
    <t>CARGADOR CASA CABLE USB-V8 ET-E6363</t>
  </si>
  <si>
    <t>CARGADOR CASA CABLE USB-V8 ET-E6612</t>
  </si>
  <si>
    <t>CARGADOR CASA CABLE USB-V8 ET-E6644</t>
  </si>
  <si>
    <t>CARGADOR CASA CABLE USB-V8 ET-E6657</t>
  </si>
  <si>
    <t>CARGADOR CASA CABLE USB-V8 ET-E6718</t>
  </si>
  <si>
    <t>CARGADOR CASA CABLE USB-V8 ET-E6726 ECONOMICO</t>
  </si>
  <si>
    <t>CARGADOR CASA CABLE USB-V8 ET-E6740B CON PARLANTE</t>
  </si>
  <si>
    <t>CARGADOR CASA CABLE USB-V8 ET-E6743</t>
  </si>
  <si>
    <t>CARGADOR CASA CABLE USB-V8 ET-E6756</t>
  </si>
  <si>
    <t>CARGADOR CASA CABLE USB-V8 GLOBALTRONICS 1A</t>
  </si>
  <si>
    <t>CARGADOR CASA CABLE USB-V8 IRM-02131 TIPO SAMSUNG</t>
  </si>
  <si>
    <t>CARGADOR CASA CABLE USB-V8 IRM-03860</t>
  </si>
  <si>
    <t>CARGADOR CASA CABLE USB-V8 IRM-04536</t>
  </si>
  <si>
    <t>CARGADOR CASA CABLE USB-V8 IRM-05156</t>
  </si>
  <si>
    <t>CARGADOR CASA CABLE USB-V8 IRM-05619</t>
  </si>
  <si>
    <t>CARGADOR CASA CABLE USB-V8 IRM-05875</t>
  </si>
  <si>
    <t>CARGADOR CASA CABLE USB-V8 IRM-05979 CARGA RAPIDA</t>
  </si>
  <si>
    <t>CARGADOR CASA CABLE USB-V8 IRM-06220</t>
  </si>
  <si>
    <t>CARGADOR CASA CABLE USB-V8 IRM-07231</t>
  </si>
  <si>
    <t>CARGADOR CASA CABLE USB-V8 IRM-07233</t>
  </si>
  <si>
    <t>CARGADOR CASA CABLE USB-V8 IRM-07723 VIDVIE</t>
  </si>
  <si>
    <t>CARGADOR CASA CABLE USB-V8 IRM-2002102</t>
  </si>
  <si>
    <t>CARGADOR CASA CABLE USB-V8 IRM-2002132</t>
  </si>
  <si>
    <t>CARGADOR CASA CABLE USB-V8 IRM-2002171 ONEPLUS A6173</t>
  </si>
  <si>
    <t>CARGADOR CASA CABLE USB-V8 IRM-4531</t>
  </si>
  <si>
    <t>CARGADOR CASA CABLE USB-V8 SAMSUNG ORIGINAL</t>
  </si>
  <si>
    <t>CARGADOR CASA CABLE USB-V8 SIYOTEAM A1204Q CARGA RAPIDA</t>
  </si>
  <si>
    <t>CARGADOR CASA CABLE USB-V8 TIPO LG</t>
  </si>
  <si>
    <t>CARGADOR CASA CABLE USB-V8 TIPO SAMSUNG</t>
  </si>
  <si>
    <t>CARGADOR CASA CABLE USB-V8 TIPO SAMSUNG A10</t>
  </si>
  <si>
    <t>CARGADOR CASA CABLE USB-V8/C ET-E6029</t>
  </si>
  <si>
    <t>CARGADOR CASA CABLE USB-V8/C TIPO HUAWEI</t>
  </si>
  <si>
    <t>CARGADOR CASA CABLE USB-V8/C TIPO SAMSUNG</t>
  </si>
  <si>
    <t>CARGADOR CASA CABLE USB-V8/C/IPHONE MOTOMO M006 CERTIFICADO</t>
  </si>
  <si>
    <t>CARGADOR CASA ECONOMICO 1AMP UNIDAD</t>
  </si>
  <si>
    <t>CARGADOR CASA ECONOMICO V8 COD 1114</t>
  </si>
  <si>
    <t>CARGADOR CASA EZRA 3.0 AMP TIPO C EA-21</t>
  </si>
  <si>
    <t>CARGADOR CASA F 250</t>
  </si>
  <si>
    <t>CARGADOR CASA FAST CHARGE 3.0</t>
  </si>
  <si>
    <t>CARGADOR CASA HUAWEI</t>
  </si>
  <si>
    <t>CARGADOR CASA HUAWEI CP84 TURBO</t>
  </si>
  <si>
    <t>CARGADOR CASA HUAWEI ORIGINAL TIPO C</t>
  </si>
  <si>
    <t>CARGADOR CASA HW V8</t>
  </si>
  <si>
    <t>CARGADOR CASA INALAMBRICO ET-E0258</t>
  </si>
  <si>
    <t>CARGADOR CASA INALAMBRICO ET-E0259</t>
  </si>
  <si>
    <t>CARGADOR CASA INALAMBRICO IRM-08428 MAGSAFE</t>
  </si>
  <si>
    <t>CARGADOR CASA INKAX CD-24 TIPO C</t>
  </si>
  <si>
    <t>CARGADOR CASA INKAX CD-24 V8</t>
  </si>
  <si>
    <t>CARGADOR CASA INKAX IPHONE</t>
  </si>
  <si>
    <t>CARGADOR CASA INKAX TIPO C</t>
  </si>
  <si>
    <t>CARGADOR CASA INKAX V8</t>
  </si>
  <si>
    <t>CARGADOR CASA IPHONE 4 CABLE SEPARADO</t>
  </si>
  <si>
    <t>CARGADOR CASA IPHONE 5,6 MANZANA</t>
  </si>
  <si>
    <t>CARGADOR CASA IPHONE ADAPTADOR</t>
  </si>
  <si>
    <t>CARGADOR CASA IPHONE CERTIFICADO</t>
  </si>
  <si>
    <t>CARGADOR CASA IPHONE MD814</t>
  </si>
  <si>
    <t>CARGADOR CASA JOYROOM IPHONE L-L221</t>
  </si>
  <si>
    <t>CARGADOR CASA LDNIO QUICK CHARGE 3 USB</t>
  </si>
  <si>
    <t>CARGADOR CASA LDNIO QUICK CHARGE IPHONE</t>
  </si>
  <si>
    <t>CARGADOR CASA LDNIO QUICK CHARGE V8</t>
  </si>
  <si>
    <t>CARGADOR CASA LK-1A</t>
  </si>
  <si>
    <t>CARGADOR CASA MOTOMO CR-001 CARGA RAPIDA</t>
  </si>
  <si>
    <t>CARGADOR CASA MOTOMO MO-006</t>
  </si>
  <si>
    <t>CARGADOR CASA MT V8-C</t>
  </si>
  <si>
    <t>CARGADOR CASA NOKIA</t>
  </si>
  <si>
    <t>CARGADOR CASA ORIGINAL SAMSUNG TIPO C</t>
  </si>
  <si>
    <t>CARGADOR CASA PUNTA FINA TABLET 220 V 100110065 -FE</t>
  </si>
  <si>
    <t>CARGADOR CASA RAPIDO MOTOMO IPAD 2.1 AMP</t>
  </si>
  <si>
    <t>CARGADOR CASA SAM S10 C</t>
  </si>
  <si>
    <t>CARGADOR CASA SAMSUNG ORIGINAL 15W 2A</t>
  </si>
  <si>
    <t>CARGADOR CASA SAMSUNG ORIGINAL TIPO C EP-TA20EWE</t>
  </si>
  <si>
    <t>CARGADOR CASA SOLO ENCHUFE IRM 1265</t>
  </si>
  <si>
    <t>CARGADOR CASA TIPO C HUAWEI ORIGINAL</t>
  </si>
  <si>
    <t>CARGADOR CASA TIPO C TIPO HUAWEI</t>
  </si>
  <si>
    <t>CARGADOR CASA TIPO C TIPO SAMSUNG S10</t>
  </si>
  <si>
    <t>CARGADOR CASA TIPO HUB COD 11460</t>
  </si>
  <si>
    <t>CARGADOR CASA TIPO LG CABLE V8</t>
  </si>
  <si>
    <t>CARGADOR CASA TIPO MOTO 8978N</t>
  </si>
  <si>
    <t>CARGADOR CASA TIPO MOTO CABLE C</t>
  </si>
  <si>
    <t>CARGADOR CASA TIPO MOTO CABLE V8</t>
  </si>
  <si>
    <t>CARGADOR CASA TIPO SAMSUNG</t>
  </si>
  <si>
    <t>CARGADOR CASA TIPO SAMSUNG CONECTOR C</t>
  </si>
  <si>
    <t>CARGADOR CASA TOTU 18W TIPO C</t>
  </si>
  <si>
    <t>CARGADOR CASA USB-C TIPO IPHONE</t>
  </si>
  <si>
    <t>CARGADOR CASA USB-IPHONE 2 X 1 IPHONE 5</t>
  </si>
  <si>
    <t>CARGADOR DE NOTEBOOK MACBOOK PRO 16.5V/3.65A 60W</t>
  </si>
  <si>
    <t>CARGADOR DE PILA 18650 ET-E6023</t>
  </si>
  <si>
    <t>CARGADOR DE PILA IRM-04776</t>
  </si>
  <si>
    <t>CARGADOR DE PILAS COD 2377</t>
  </si>
  <si>
    <t>CARGADOR DE PILAS COD 2491</t>
  </si>
  <si>
    <t>CARGADOR DE PILAS CON DOS PILAS AAA</t>
  </si>
  <si>
    <t>CARGADOR DE PILAS PHILCO 42ULX-09580</t>
  </si>
  <si>
    <t>CARGADOR DE PILAS PHILCO 42ULX-9700</t>
  </si>
  <si>
    <t>CARGADOR DE PILAS PHILCO MAS PILAS RECARGABLES AAX4</t>
  </si>
  <si>
    <t>CARGADOR DOCKING SAM CON CABLE USB</t>
  </si>
  <si>
    <t>Cargador ET-E6064</t>
  </si>
  <si>
    <t>CARGADOR INALAM. ADAPTABLE SAM NEGRO</t>
  </si>
  <si>
    <t>CARGADOR INALAMBRICO CON SOPORTE</t>
  </si>
  <si>
    <t>CARGADOR INALAMBRICO IPHONE</t>
  </si>
  <si>
    <t>CARGADOR INALAMBRICO SAM 6 Y 7+ IPHONE+ OTROS</t>
  </si>
  <si>
    <t>CARGADOR INALAMBRICO SAM BLANCO</t>
  </si>
  <si>
    <t>CARGADOR INALAMBRICO SMARTWATCH</t>
  </si>
  <si>
    <t>CARGADOR INALAMBRICO SXC-05017</t>
  </si>
  <si>
    <t>CARGADOR INLAMBRICO 2 AMP PARA CELULARES</t>
  </si>
  <si>
    <t>CARGADOR MACBOOK 13 16.5V 3.6A MAGSAFE CONECTOR L 60W APPLE</t>
  </si>
  <si>
    <t>CARGADOR MACBOOK AIR 14.5V 3.1A MAGSAFE CONECTOR L 45W APPLE</t>
  </si>
  <si>
    <t>CARGADOR MACBOOK AIR 14.85V 3.05A MAGSAFE 2 CONECTOR T 45W</t>
  </si>
  <si>
    <t>CARGADOR MACBOOK RETINA 16.5V 3.6A MAGSAFE CONECTOR T 60W APPLE</t>
  </si>
  <si>
    <t>CARGADOR MAGSAFE 1 60 W PARA MACBOOK PRO 9146</t>
  </si>
  <si>
    <t>CARGADOR MAGSAFE 2 60W PARA MACBOOK AIR 9147</t>
  </si>
  <si>
    <t>CARGADOR MESA ANDROID V8</t>
  </si>
  <si>
    <t>CARGADOR MINI 2 EN 1 GALAXY</t>
  </si>
  <si>
    <t>CARGADOR MOTOMO 2 USB Tipo c</t>
  </si>
  <si>
    <t>Cargador Motorola Turbo</t>
  </si>
  <si>
    <t>CARGADOR NOK 6101</t>
  </si>
  <si>
    <t>CARGADOR NOTEBOOK CASA Y AUTO COD 718</t>
  </si>
  <si>
    <t>CARGADOR NOTEBOOK COD 9216</t>
  </si>
  <si>
    <t>CARGADOR NOTEBOOK HP ALTERNATIVO GENERAL POWER</t>
  </si>
  <si>
    <t>CARGADOR NOTEBOOK IRM-00034</t>
  </si>
  <si>
    <t>CARGADOR NOTEBOOK IRM-06037</t>
  </si>
  <si>
    <t>CARGADOR NOTEBOOK OLIDATA ALTERNATIVO GENERAL POWER</t>
  </si>
  <si>
    <t>CARGADOR NOTEBOOK UNIVERSAL ET-E6926</t>
  </si>
  <si>
    <t>CARGADOR PARA MAC TIPO C</t>
  </si>
  <si>
    <t>CARGADOR PARA NOTEBOOK UNIVERSAL CONECTOR HP</t>
  </si>
  <si>
    <t>CARGADOR PARA NOTEBOOK UNIVERSAL CONECTOR LENOVO</t>
  </si>
  <si>
    <t>CARGADOR PARA TABLET 2 AMP</t>
  </si>
  <si>
    <t>CARGADOR RAPIDO MOTOMO IPAD 2.1 AMP</t>
  </si>
  <si>
    <t>CARGADOR REMATE</t>
  </si>
  <si>
    <t>CARGADOR SAM 1.000 AMP + CABLE USB</t>
  </si>
  <si>
    <t>Cargador SAMSUNG mac</t>
  </si>
  <si>
    <t>CARGADOR SOLAR 2 PUERTOS USB</t>
  </si>
  <si>
    <t>Cargador Sony</t>
  </si>
  <si>
    <t>CARGADOR TURBO MOTO</t>
  </si>
  <si>
    <t>CARGADOR UNIVERSAL 3V A 12V SY688</t>
  </si>
  <si>
    <t>CARGADOR UNIVERSAL 65W SLIM HP PUNTA AZUL</t>
  </si>
  <si>
    <t>CARGADOR UNIVERSAL ARAÑA CON USB Y LCD</t>
  </si>
  <si>
    <t>CARGADOR UNIVERSAL CON DISPLAY Y USB</t>
  </si>
  <si>
    <t>CARGADOR UNIVERSAL DE BATERIAS CON PANTALLA LCD BLACK</t>
  </si>
  <si>
    <t>CARGADOR UNIVERSAL DE NOTEBOOK COD 3604</t>
  </si>
  <si>
    <t>CARGADOR UNIVERSAL ET-E6225 3V A 12V</t>
  </si>
  <si>
    <t>CARGADOR UNIVERSAL NOTEBOOK ET-E6699</t>
  </si>
  <si>
    <t>CARGADOR UNIVERSAL NOTEBOOK LA109</t>
  </si>
  <si>
    <t>CARGADOR UNIVERSAL NOTEBOOK TC6067</t>
  </si>
  <si>
    <t>CARGADOR UNIVERSAL NOTEBOOK TR-070</t>
  </si>
  <si>
    <t>CARGADOR USB C UNIVERSAL</t>
  </si>
  <si>
    <t>CARGADOR V3 220V 2.1A</t>
  </si>
  <si>
    <t>CARGADOR V8 12V 1A</t>
  </si>
  <si>
    <t>CARGADOR V8 220V 2.1A</t>
  </si>
  <si>
    <t>CARGADOR V8 LED, 3 SALIDAS</t>
  </si>
  <si>
    <t>CARGADOR V8 VITU</t>
  </si>
  <si>
    <t>CASCO ADULTO BICI COD 19052</t>
  </si>
  <si>
    <t>CASE PARA AIRPOD SILICONA CON GANCHO</t>
  </si>
  <si>
    <t>CCTV 12 CAMARAS COD 2473</t>
  </si>
  <si>
    <t>CCTV 16 CAMARAS COD 1884</t>
  </si>
  <si>
    <t>CD VIRGEN</t>
  </si>
  <si>
    <t>CELULAR DBLUE CON TAPA TLS10</t>
  </si>
  <si>
    <t>CELULAR DBLUE CON TAPA TLS14 AZUL</t>
  </si>
  <si>
    <t>CELULAR DBLUE CON TAPA TLS14 NEGRO</t>
  </si>
  <si>
    <t>CELULAR DBLUE CON TAPA TLS14 ROJO</t>
  </si>
  <si>
    <t>CELULAR DBLUE SIN TAPA TLS09</t>
  </si>
  <si>
    <t>CELULAR ET-N1375 SENIOR BOTON GRANDE</t>
  </si>
  <si>
    <t>CELULAR GRAND X ROSE</t>
  </si>
  <si>
    <t>CELULAR GRAND XL LTE SILVER</t>
  </si>
  <si>
    <t>CELULAR (R) REAC.</t>
  </si>
  <si>
    <t>CELULAR HTC A9S (R)</t>
  </si>
  <si>
    <t>CELULAR HUAWEI P8 LITE</t>
  </si>
  <si>
    <t>CELULAR HUAWEI Y6 II</t>
  </si>
  <si>
    <t>Celular Huawei Y6-II</t>
  </si>
  <si>
    <t>CELULAR INTRO TECH A255 TECLAS GRANDE</t>
  </si>
  <si>
    <t>CELULAR INTRO TECH CON LINTERNA</t>
  </si>
  <si>
    <t>CELULAR INTRO TECH TECLAS GRANDE CON TAPA</t>
  </si>
  <si>
    <t>CELULAR OWN F1035</t>
  </si>
  <si>
    <t>CELULAR SAM J7 PRIME</t>
  </si>
  <si>
    <t>CELULAR SAM S8 ALTER</t>
  </si>
  <si>
    <t>CELULAR SAMSUNG SEGUNDA MANO</t>
  </si>
  <si>
    <t>CELULAR SENIOR DBTLS15BK ALMEJA</t>
  </si>
  <si>
    <t>CELULAR SENIOR DBTLS15R ALMEJA</t>
  </si>
  <si>
    <t>CELULAR SENIOR DBTLS16BK</t>
  </si>
  <si>
    <t>CELULAR SENIOR DBTLS16R</t>
  </si>
  <si>
    <t>CELULAR SENIOR DBTLS18BK</t>
  </si>
  <si>
    <t>CELULAR SENIOR DINON 9359</t>
  </si>
  <si>
    <t>CELULAR SENIOR SHELL BOTON SOS MLAB7322 BLACK</t>
  </si>
  <si>
    <t>CELULAR SENIOR SHELL BOTON SOS MLAB7323 RED</t>
  </si>
  <si>
    <t>CHARGER 12V COLOR</t>
  </si>
  <si>
    <t>AC CHIP</t>
  </si>
  <si>
    <t>CHIP CLARO CON $ 1.000</t>
  </si>
  <si>
    <t>chip entel</t>
  </si>
  <si>
    <t>CHIP MOVISTAR</t>
  </si>
  <si>
    <t>CHIP NEXTEL CON $ 1.000</t>
  </si>
  <si>
    <t>CLORO CLORINDA CONCENTRADO 1 LT</t>
  </si>
  <si>
    <t>CLORO GEL EXCELL 900CC</t>
  </si>
  <si>
    <t>COFRE CASE PARA DISCO DURO SATA 2.5</t>
  </si>
  <si>
    <t>COFRE CASE PARA DISCO DURO SATA USB 3.0 COD 93149</t>
  </si>
  <si>
    <t>COFRE PARA DISCO DURO 2,5 3.0 PHILCO</t>
  </si>
  <si>
    <t>COFRE PARA DISCO DURO 2,5 PHILCO</t>
  </si>
  <si>
    <t>COFRE PARA DISCO DURO 2,5 PHILCO USB 3.0</t>
  </si>
  <si>
    <t>COFRE PARA DISCO DURO 2,5 PHILCO USB C</t>
  </si>
  <si>
    <t>COFRE PARA DISCO DURO 2,5 USB 2.0 COD 3928</t>
  </si>
  <si>
    <t>COFRE PARA DISCO DURO USB 3.0 SATA III 2,5" HDD/SSD</t>
  </si>
  <si>
    <t>COMPUTADOR BICICLETA 15 FUNCIONES</t>
  </si>
  <si>
    <t>CONECTOR IPHONE/IPAD......A HDMI</t>
  </si>
  <si>
    <t>CONECTOR MICRO USB SAM 2....HDMI</t>
  </si>
  <si>
    <t>CONNECTION KIT TABLET</t>
  </si>
  <si>
    <t>CONSOLA PORTATIL 788 JUEGOS ET-Y9627</t>
  </si>
  <si>
    <t>CONTROL DISPARADOR BLUETOOTH ITM-08000</t>
  </si>
  <si>
    <t>CONVERSOR AUDIO - DIGITAL A ANALOGO COD 3294</t>
  </si>
  <si>
    <t>CONVERSOR AUDIO DIGITAL A ANALOGO 1212-16</t>
  </si>
  <si>
    <t>CONVERSOR AUDIO DIGITAL A ANALOGO IRM-03533</t>
  </si>
  <si>
    <t>CONVERSOR DISPLAY PORT A HDMI</t>
  </si>
  <si>
    <t>CONVERSOR HDMI-VGA</t>
  </si>
  <si>
    <t>CONVERSOR USB A SERIAL</t>
  </si>
  <si>
    <t>CONVERTIDO CABLE TIPO C A MULTIPUERTO Y HDMI COD 1733</t>
  </si>
  <si>
    <t>CONVERTIDOR CABLE TYPE C A HDMI</t>
  </si>
  <si>
    <t>CONVERTIDOR DE VIDEO VGA A HDMI COD 1813</t>
  </si>
  <si>
    <t>CONVERTIDOR DE VIDEO VGA A HDMI COD 355</t>
  </si>
  <si>
    <t>CONVERTIDOR HDMI A VGA COD 1760</t>
  </si>
  <si>
    <t>CONVERTIDOR HDMI A VGA DINON</t>
  </si>
  <si>
    <t>CONVERTIDOR VGA A HDMI CON AUDIO</t>
  </si>
  <si>
    <t>COPLA HDMI-HDMI XTECH XTC-333</t>
  </si>
  <si>
    <t>COPLA PLUG-PLUG COD 11405</t>
  </si>
  <si>
    <t>CORTADORA SIM DUAL</t>
  </si>
  <si>
    <t>CORTE DE CHIP</t>
  </si>
  <si>
    <t>CRONOMETRO DIGITAL</t>
  </si>
  <si>
    <t>DATA CABLE CORTO IPH 5 Y 6 A USB</t>
  </si>
  <si>
    <t>DATA CABLE CORTO IPH 5, 6 A USB</t>
  </si>
  <si>
    <t>DATA CABLE IPH 5,6 SCD-03</t>
  </si>
  <si>
    <t>DATA CABLE IPHONE 5 OREIGINAL</t>
  </si>
  <si>
    <t>DATA CABLE V8</t>
  </si>
  <si>
    <t>DESINFECTANTE ANTIBACTERIAL ORIGINAL</t>
  </si>
  <si>
    <t>DESINFECTANTE IGENIX TRADICIONAL</t>
  </si>
  <si>
    <t>DESINFECTANTE LYSOFORM BEBE 285 CM3</t>
  </si>
  <si>
    <t>DETECTOR BILLETES COD 13671</t>
  </si>
  <si>
    <t>DETECTOR BILLETES COD 4607</t>
  </si>
  <si>
    <t>DETECTOR DE BILLETES PORTATIL COD 3827</t>
  </si>
  <si>
    <t>DISCO DURO 2TB WD PURPLE</t>
  </si>
  <si>
    <t>DISPENSADOR DE AGUA IRM-06265</t>
  </si>
  <si>
    <t>DOCK CARGA SAMSUNG</t>
  </si>
  <si>
    <t>DOCK DE CARGA TIPO C COD 14221</t>
  </si>
  <si>
    <t>DOCK DE CARGA TIPO IPHONE COD 13011</t>
  </si>
  <si>
    <t>DOCK DE CARGA TIPO V8 COD 12967</t>
  </si>
  <si>
    <t>DOCK IPHONE 5,6</t>
  </si>
  <si>
    <t>Dongle iphone 5 y 6 A SMART TV</t>
  </si>
  <si>
    <t>DONGLE RECEPTOR S/CABLE PARA TV</t>
  </si>
  <si>
    <t>Dongle TV a Smart TV</t>
  </si>
  <si>
    <t>DVD VIRGEN</t>
  </si>
  <si>
    <t>DVR CAMARA FRONTAL Y TRASERA PARA VEHICULO COD</t>
  </si>
  <si>
    <t>ENCHUFE TRIPLE-LADRON PHILCO COD 1505</t>
  </si>
  <si>
    <t>ESPANTA CUCO</t>
  </si>
  <si>
    <t>ESPEJO CON LUZ COD 113200 QS-988C</t>
  </si>
  <si>
    <t>ESPEJO CON LUZ IRM-07564 MESA</t>
  </si>
  <si>
    <t>ESPEJO CON LUZ IRM-08028</t>
  </si>
  <si>
    <t>ESPEJO CON LUZ IRM-08085 MESA</t>
  </si>
  <si>
    <t>ESPEJO CON LUZ LED G3 CON PORTA CELULAR CO 119250</t>
  </si>
  <si>
    <t>ESPEJO RETROVISOR CON CAMARA COD 255</t>
  </si>
  <si>
    <t>ESPEJO RETROVISOR CON CAMARA DE RETROCESO Y DVR COD 3374</t>
  </si>
  <si>
    <t>ESPEJO RETROVISOR CON CAMARA FRONTAL 63945</t>
  </si>
  <si>
    <t>ESPEJO RETROVISOR CON CAMARA FRONTAL Y TRASERA 63946</t>
  </si>
  <si>
    <t>ESPEJO RETROVISOR CON PANTALLA COD 549</t>
  </si>
  <si>
    <t>ESTABILIZADOR PARA GOPRO COD 1407</t>
  </si>
  <si>
    <t>ESTUCHE BRAZO SPORT GRANDE</t>
  </si>
  <si>
    <t>EM ESTUCHE TABLET</t>
  </si>
  <si>
    <t>ESTUCHE BRAZO SPORT MEDIANO</t>
  </si>
  <si>
    <t>ESTUCHE CELU BRAZO SPORT GRDE</t>
  </si>
  <si>
    <t>ESTUCHE CELU GRANDE BRAZO</t>
  </si>
  <si>
    <t>ESTUCHE CELULAR BRAZO 5.7PULG</t>
  </si>
  <si>
    <t>ESTUCHE CINTURON 4.5"</t>
  </si>
  <si>
    <t>ESTUCHE CINTURON 5"</t>
  </si>
  <si>
    <t>ESTUCHE CINTURON 5.5"</t>
  </si>
  <si>
    <t>ESTUCHE CINTURON CHICO</t>
  </si>
  <si>
    <t>ESTUCHE CINTURON CUERO CUERO IPHONE 6</t>
  </si>
  <si>
    <t>ESTUCHE CINTURON CUERO CUERO IPHONE 6 PLUS</t>
  </si>
  <si>
    <t>ESTUCHE CINTURON CUERO CUERO SAM S6</t>
  </si>
  <si>
    <t>ESTUCHE CINTURON GRANDE</t>
  </si>
  <si>
    <t>ESTUCHE CINTURON MEDIANO</t>
  </si>
  <si>
    <t>ESTUCHE CINTURON MEGA G 2</t>
  </si>
  <si>
    <t>ESTUCHE CINTURON SAM GRAND</t>
  </si>
  <si>
    <t>ESTUCHE DEPERTIVO CELULAR GRANDE GRANDE</t>
  </si>
  <si>
    <t>ESTUCHE DEPORTIVO CELU</t>
  </si>
  <si>
    <t>ESTUCHE DEPORTIVO CHICO 136</t>
  </si>
  <si>
    <t>ESTUCHE IPAD MINI 7,9`</t>
  </si>
  <si>
    <t>ESTUCHE MONO TABLET 7"</t>
  </si>
  <si>
    <t>ESTUCHE PARA TABLET 8 PULGADAS</t>
  </si>
  <si>
    <t>ESTUCHE SOBRE TABLET 7 NEGRO</t>
  </si>
  <si>
    <t>ESTUCHE SOBRE VERTICAL MEDIANO</t>
  </si>
  <si>
    <t>ESTUCHE TABLET 10,1 UNIV. C.TECLADO BLUETOOTH</t>
  </si>
  <si>
    <t>ESTUCHE TABLET 10.1 SAMSUNG P5100</t>
  </si>
  <si>
    <t>ESTUCHE TABLET 10.1 SOBRE</t>
  </si>
  <si>
    <t>ESTUCHE TABLET 10` UNIVERSAL</t>
  </si>
  <si>
    <t>ESTUCHE TABLET 7 SOBRE</t>
  </si>
  <si>
    <t>ESTUCHE TABLET 7" SAM TAB 2 / T 310</t>
  </si>
  <si>
    <t>ESTUCHE TABLET 7´UNIVERSAL C GANCHOS</t>
  </si>
  <si>
    <t>ESTUCHE TABLET 8 PULG</t>
  </si>
  <si>
    <t>ESTUCHE TABLET 8 UNIVERSAL</t>
  </si>
  <si>
    <t>ESTUCHE TABLET 8" UNIVERSAL</t>
  </si>
  <si>
    <t>Estuche Tablet Diseño Simpons 9-10"</t>
  </si>
  <si>
    <t>Estuche Tablet Diseño Simpsons 7-8"</t>
  </si>
  <si>
    <t>ESTUCHE TABLET GALAXY TAB E 9,6</t>
  </si>
  <si>
    <t>ESTUCHE TABLET IPAD AIR 9,7´</t>
  </si>
  <si>
    <t>ESTUCHE TABLET IPAD AIR ZAZZLE</t>
  </si>
  <si>
    <t>ESTUCHE TABLET IPAD MINI</t>
  </si>
  <si>
    <t>ESTUCHE TABLET NIÑOS 7</t>
  </si>
  <si>
    <t>ESTUCHE TABLET SAM GALAXY A 9,7´</t>
  </si>
  <si>
    <t>ESTUCHE TABLET SAM TAB 2 / T 550</t>
  </si>
  <si>
    <t>ESTUCHE TABLET UNIVERSAL C.TECLADO BLUETOOTH</t>
  </si>
  <si>
    <t>ESTUCHE TABLET UNIVERSAL 10"</t>
  </si>
  <si>
    <t>ESTUCHE TABLET UNIVERSAL 8</t>
  </si>
  <si>
    <t>ESTUCHE TABLET UNIVERSAL 8"</t>
  </si>
  <si>
    <t>Estuche tablet universal 8" c teclado</t>
  </si>
  <si>
    <t>ESTUCHE TABLET UNIVERSAL 8¨´</t>
  </si>
  <si>
    <t>ESTUCHE TABLET UNIVERSAL 9 `</t>
  </si>
  <si>
    <t>ESTUCHE UNIVERSAL 7` - FE -</t>
  </si>
  <si>
    <t>ESTUCHE UNIVERSAL 7`DISSEÑO C. ELASTICO</t>
  </si>
  <si>
    <t>ESTUCHE UNIVERSAL TABLET 7</t>
  </si>
  <si>
    <t>FLASH LED ANILLO PARA SELFIE COD 965</t>
  </si>
  <si>
    <t>FLASH LED ANILLO PARA SELFIE IRM-07862</t>
  </si>
  <si>
    <t>FLASH PARA CELULAR PLUG</t>
  </si>
  <si>
    <t>Sin Tipo</t>
  </si>
  <si>
    <t>FLETE 1</t>
  </si>
  <si>
    <t>FLETE $3.000</t>
  </si>
  <si>
    <t>FLETE 2</t>
  </si>
  <si>
    <t>FLETE $4.000</t>
  </si>
  <si>
    <t>FLETE 3</t>
  </si>
  <si>
    <t>FLETE $5.000</t>
  </si>
  <si>
    <t>AC FLIP COVER</t>
  </si>
  <si>
    <t>FLIP COVE HUAWEI MATE 10 LITE</t>
  </si>
  <si>
    <t>FLIP COVER ACER Z520</t>
  </si>
  <si>
    <t>FLIP COVER ALCATEL 6036</t>
  </si>
  <si>
    <t>FLIP COVER ALCATEL C5</t>
  </si>
  <si>
    <t>FLIP COVER ALCATEL C7</t>
  </si>
  <si>
    <t>FLIP COVER ALCATEL C9</t>
  </si>
  <si>
    <t>FLIP COVER ALCATEL HERO 2C</t>
  </si>
  <si>
    <t>FLIP COVER ALCATEL IDOL 2 MINI S</t>
  </si>
  <si>
    <t>FLIP COVER ALCATEL IDOL 3 - 5.5</t>
  </si>
  <si>
    <t>FLIP COVER ALCATEL IDOL 3 4.7"</t>
  </si>
  <si>
    <t>FLIP COVER ALCATEL IDOL 3 5,5"</t>
  </si>
  <si>
    <t>FLIP COVER ALCATEL IDOL 3 5.5"</t>
  </si>
  <si>
    <t>FLIP COVER ALCATEL IDOL 5 MINI</t>
  </si>
  <si>
    <t>FLIP COVER ALCATEL IDOL S-6036A</t>
  </si>
  <si>
    <t>FLIP COVER ALCATEL PIXI 3 4"</t>
  </si>
  <si>
    <t>FLIP COVER ALCATEL PIXI 3 4,5"</t>
  </si>
  <si>
    <t>FLIP COVER ALCATEL PIXI 3 4.5"</t>
  </si>
  <si>
    <t>FLIP COVER ALCATEL PIXI 3 5"</t>
  </si>
  <si>
    <t>FLIP COVER ALCATEL PIXI 4 5"</t>
  </si>
  <si>
    <t>FLIP COVER ALCATEL PIXI 4 6"</t>
  </si>
  <si>
    <t>FLIP COVER ALCATEL POP STAR</t>
  </si>
  <si>
    <t>FLIP COVER ALCATEL POP 2</t>
  </si>
  <si>
    <t>FLIP COVER ALCATEL POP 3</t>
  </si>
  <si>
    <t>FLIP COVER ALCATEL POP 3 5"</t>
  </si>
  <si>
    <t>FLIP COVER ALCATEL POP 3 5,5"</t>
  </si>
  <si>
    <t>FLIP COVER AZUMI A 40 C</t>
  </si>
  <si>
    <t>FLIP COVER AZUMI A45TV</t>
  </si>
  <si>
    <t>FLIP COVER AZUMI A500</t>
  </si>
  <si>
    <t>FLIP COVER AZUMI A50C</t>
  </si>
  <si>
    <t>FLIP COVER AZUMI A55T</t>
  </si>
  <si>
    <t>FLIP COVER AZUMI SPEED</t>
  </si>
  <si>
    <t>FLIP COVER HTC 626 DESIRE</t>
  </si>
  <si>
    <t>FLIP COVER HUAWEI GR5</t>
  </si>
  <si>
    <t>FLIP COVER HUAWEI G PLAY</t>
  </si>
  <si>
    <t>FLIP COVER HUAWEI G PLAY MINI</t>
  </si>
  <si>
    <t>FLIP COVER HUAWEI G7</t>
  </si>
  <si>
    <t>FLIP COVER HUAWEI G730</t>
  </si>
  <si>
    <t>FLIP COVER HUAWEI GR3</t>
  </si>
  <si>
    <t>FLIP COVER HUAWEI MATE 10 LITE</t>
  </si>
  <si>
    <t>FLIP COVER HUAWEI MATE 20 LITE</t>
  </si>
  <si>
    <t>FLIP COVER HUAWEI MATE 7</t>
  </si>
  <si>
    <t>FLIP COVER HUAWEI MATE 8</t>
  </si>
  <si>
    <t>FLIP COVER HUAWEI MATE 9</t>
  </si>
  <si>
    <t>FLIP COVER HUAWEI MATE 9 LITE</t>
  </si>
  <si>
    <t>FLIP COVER HUAWEI P10 LITE</t>
  </si>
  <si>
    <t>FLIP COVER HUAWEI P10 PLUS</t>
  </si>
  <si>
    <t>FLIP COVER HUAWEI P20</t>
  </si>
  <si>
    <t>FLIP COVER HUAWEI P20 LITE</t>
  </si>
  <si>
    <t>FLIP COVER HUAWEI P20 PRO</t>
  </si>
  <si>
    <t>FLIP COVER HUAWEI P30 LITE</t>
  </si>
  <si>
    <t>FLIP COVER HUAWEI P40 LITE</t>
  </si>
  <si>
    <t>FLIP COVER HUAWEI P8</t>
  </si>
  <si>
    <t>FLIP COVER HUAWEI P8 LITE</t>
  </si>
  <si>
    <t>FLIP COVER HUAWEI P8 LITE 2017</t>
  </si>
  <si>
    <t>FLIP COVER HUAWEI P9</t>
  </si>
  <si>
    <t>FLIP COVER HUAWEI P9 LITE</t>
  </si>
  <si>
    <t>FLIP COVER Huawei P9 Lite</t>
  </si>
  <si>
    <t>FLIP COVER HUAWEI P9 LITE 2017</t>
  </si>
  <si>
    <t>FLIP COVER HUAWEI P9 LITE SMART</t>
  </si>
  <si>
    <t>FLIP COVER HUAWEI PSMART</t>
  </si>
  <si>
    <t>FLIP COVER HUAWEI PSMART 2019</t>
  </si>
  <si>
    <t>FLIP COVER HUAWEI SHOT X</t>
  </si>
  <si>
    <t>FLIP COVER HUAWEI Y3</t>
  </si>
  <si>
    <t>FLIP COVER HUAWEI Y3-II</t>
  </si>
  <si>
    <t>FLIP COVER HUAWEI Y360</t>
  </si>
  <si>
    <t>FLIP COVER HUAWEI Y5-2018</t>
  </si>
  <si>
    <t>FLIP COVER HUAWEI Y5-II</t>
  </si>
  <si>
    <t>FLIP COVER HUAWEI Y6</t>
  </si>
  <si>
    <t>FLIP COVER HUAWEI Y6-2018</t>
  </si>
  <si>
    <t>FLIP COVER HUAWEI Y6-2019</t>
  </si>
  <si>
    <t>FLIP COVER HUAWEI Y6-II</t>
  </si>
  <si>
    <t>Flip Cover Huawei Y6-II</t>
  </si>
  <si>
    <t>FLIP COVER HUAWEI Y600</t>
  </si>
  <si>
    <t>FLIP COVER HUAWEI Y625</t>
  </si>
  <si>
    <t>FLIP COVER HUAWEI Y635</t>
  </si>
  <si>
    <t>FLIP COVER HUAWEI Y6P</t>
  </si>
  <si>
    <t>FLIP COVER HUAWEI Y7</t>
  </si>
  <si>
    <t>FLIP COVER HUAWEI Y7-2018</t>
  </si>
  <si>
    <t>FLIP COVER HUAWEI Y7-2019</t>
  </si>
  <si>
    <t>FLIP COVER HUAWEI Y7P</t>
  </si>
  <si>
    <t>FLIP COVER HUAWEI Y9-2019</t>
  </si>
  <si>
    <t>FLIP COVER HUAWEI Y9-2019 PRIME</t>
  </si>
  <si>
    <t>FLIP COVER HUAWEI Y9S</t>
  </si>
  <si>
    <t>FLIP COVER IDOL 3</t>
  </si>
  <si>
    <t>FLIP COVER IPHON 6 PLUS</t>
  </si>
  <si>
    <t>FLIP COVER IPHONE 4</t>
  </si>
  <si>
    <t>FLIP COVER IPHONE 4 G / S</t>
  </si>
  <si>
    <t>FLIP COVER IPHONE 4G</t>
  </si>
  <si>
    <t>FLIP COVER IPHONE 5</t>
  </si>
  <si>
    <t>FLIP COVER IPHONE 6</t>
  </si>
  <si>
    <t>FLIP COVER IPHONE 6 (4.7)</t>
  </si>
  <si>
    <t>FLIP COVER IPHONE 6 PLUS</t>
  </si>
  <si>
    <t>Flip Cover Iphone 6G</t>
  </si>
  <si>
    <t>FLIP COVER IPHONE 7</t>
  </si>
  <si>
    <t>FLIP COVER IPHONE 7 PLUS</t>
  </si>
  <si>
    <t>FLIP COVER IPHONE X</t>
  </si>
  <si>
    <t>FLIP COVER J1-2016</t>
  </si>
  <si>
    <t>FLIP COVER J3 -2016</t>
  </si>
  <si>
    <t>FLIP COVER J7</t>
  </si>
  <si>
    <t>FLIP COVER LENOVO 2010</t>
  </si>
  <si>
    <t>FLIP COVER LENOVO A7010</t>
  </si>
  <si>
    <t>FLIP COVER LENOVO K5</t>
  </si>
  <si>
    <t>FLIP COVER LENOVO K6</t>
  </si>
  <si>
    <t>FLIP COVER LENOVO VIBE B</t>
  </si>
  <si>
    <t>FLIP COVER LENOVO VIBE C</t>
  </si>
  <si>
    <t>FLIP COVER LG D 690</t>
  </si>
  <si>
    <t>FLIP COVER LG D290 LIFT</t>
  </si>
  <si>
    <t>FLIP COVER LG D680</t>
  </si>
  <si>
    <t>FLIP COVER LG G3</t>
  </si>
  <si>
    <t>FLIP COVER LG G3 MINI</t>
  </si>
  <si>
    <t>FLIP COVER LG G3 STYLUS</t>
  </si>
  <si>
    <t>FLIP COVER LG G4</t>
  </si>
  <si>
    <t>FLIP COVER LG G4 STYLUS</t>
  </si>
  <si>
    <t>FLIP COVER LG G5</t>
  </si>
  <si>
    <t>FLIP COVER LG G6</t>
  </si>
  <si>
    <t>FLIP COVER LG K10</t>
  </si>
  <si>
    <t>FLIP COVER LG K10-2017</t>
  </si>
  <si>
    <t>FLIP COVER LG K20</t>
  </si>
  <si>
    <t>FLIP COVER LG K4-2017</t>
  </si>
  <si>
    <t>FLIP COVER LG K40</t>
  </si>
  <si>
    <t>FLIP COVER LG K5</t>
  </si>
  <si>
    <t>FLIP COVER LG K7</t>
  </si>
  <si>
    <t>FLIP COVER LG K8</t>
  </si>
  <si>
    <t>FLIP COVER LG K8-2017</t>
  </si>
  <si>
    <t>FLIP COVER LG K9</t>
  </si>
  <si>
    <t>FLIP COVER LG L PRIME</t>
  </si>
  <si>
    <t>FLIP COVER LG L PRIME 2D</t>
  </si>
  <si>
    <t>FLIP COVER LG L40</t>
  </si>
  <si>
    <t>FLIP COVER LG LEON</t>
  </si>
  <si>
    <t>FLIP COVER LG LEON 326</t>
  </si>
  <si>
    <t>FLIP COVER LG MAGNA</t>
  </si>
  <si>
    <t>FLIP COVER LG PRIME 2</t>
  </si>
  <si>
    <t>FLIP COVER LG Q60</t>
  </si>
  <si>
    <t>FLIP COVER LG SCREEN</t>
  </si>
  <si>
    <t>FLIP COVER LG STYLE</t>
  </si>
  <si>
    <t>FLIP COVER LG STYLUS 2</t>
  </si>
  <si>
    <t>FLIP COVER LG STYLUS 2 PLUS</t>
  </si>
  <si>
    <t>FLIP COVER LG STYLUS 3</t>
  </si>
  <si>
    <t>FLIP COVER LG X CAM</t>
  </si>
  <si>
    <t>FLIP COVER LG X MAX</t>
  </si>
  <si>
    <t>FLIP COVER LG X POWER</t>
  </si>
  <si>
    <t>FLIP COVER LG X SCREEN</t>
  </si>
  <si>
    <t>FLIP COVER LG X STYLE</t>
  </si>
  <si>
    <t>FLIP COVER LG XCAM</t>
  </si>
  <si>
    <t>FLIP COVER LG XMAX</t>
  </si>
  <si>
    <t>FLIP COVER MERCURY IPHONE 6 PLUS</t>
  </si>
  <si>
    <t>FLIP COVER MERCURY NOTE 4</t>
  </si>
  <si>
    <t>FLIP COVER MERCURY SAMSUNG C0RE 2</t>
  </si>
  <si>
    <t>FLIP COVER MOTO C</t>
  </si>
  <si>
    <t>FLIP COVER MOTO C PLUS</t>
  </si>
  <si>
    <t>FLIP COVER MOTO E</t>
  </si>
  <si>
    <t>FLIP COVER MOTO E2</t>
  </si>
  <si>
    <t>FLIP COVER MOTO E4</t>
  </si>
  <si>
    <t>FLIP COVER MOTO E4 PLUS</t>
  </si>
  <si>
    <t>FLIP COVER MOTO E5</t>
  </si>
  <si>
    <t>FLIP COVER MOTO E6 PLAY</t>
  </si>
  <si>
    <t>FLIP COVER MOTO E6S</t>
  </si>
  <si>
    <t>FLIP COVER MOTO G</t>
  </si>
  <si>
    <t>FLIP COVER MOTO G 1</t>
  </si>
  <si>
    <t>FLIP COVER MOTO G 1º</t>
  </si>
  <si>
    <t>FLIP COVER MOTO G 3ª</t>
  </si>
  <si>
    <t>FLIP COVER MOTO G 720</t>
  </si>
  <si>
    <t>FLIP COVER MOTO G T 1032</t>
  </si>
  <si>
    <t>FLIP COVER MOTO G2</t>
  </si>
  <si>
    <t>FLIP COVER MOTO G3</t>
  </si>
  <si>
    <t>FLIP COVER MOTO G4</t>
  </si>
  <si>
    <t>FLIP COVER MOTO G4 -5.5</t>
  </si>
  <si>
    <t>FLIP COVER MOTO G4 PLAY</t>
  </si>
  <si>
    <t>FLIP COVER MOTO G4 PLUS</t>
  </si>
  <si>
    <t>FLIP COVER MOTO G5</t>
  </si>
  <si>
    <t>FLIP COVER MOTO G5 PLUS</t>
  </si>
  <si>
    <t>FLIP COVER MOTO G5S</t>
  </si>
  <si>
    <t>FLIP COVER MOTO G6 PLAY</t>
  </si>
  <si>
    <t>FLIP COVER MOTO G7 PLAY</t>
  </si>
  <si>
    <t>FLIP COVER MOTO G7 POWER</t>
  </si>
  <si>
    <t>FLIP COVER MOTO G8 PLUS</t>
  </si>
  <si>
    <t>FLIP COVER MOTO G8 POWER</t>
  </si>
  <si>
    <t>FLIP COVER MOTO G8 POWER LITE</t>
  </si>
  <si>
    <t>FLIP COVER MOTO MAXX</t>
  </si>
  <si>
    <t>FLIP COVER MOTO ONE ACTION</t>
  </si>
  <si>
    <t>FLIP COVER MOTO X</t>
  </si>
  <si>
    <t>FLIP COVER MOTO X PLAY</t>
  </si>
  <si>
    <t>FLIP COVER MOTO X STYLE</t>
  </si>
  <si>
    <t>FLIP COVER MOTO X2</t>
  </si>
  <si>
    <t>FLIP COVER MOTO X4</t>
  </si>
  <si>
    <t>FLIP COVER MOTO Z</t>
  </si>
  <si>
    <t>FLIP COVER MOTO Z PLAY</t>
  </si>
  <si>
    <t>FLIP COVER MOTO Z2 PLAY</t>
  </si>
  <si>
    <t>FLIP COVER NOKIA 1</t>
  </si>
  <si>
    <t>FLIP COVER NOKIA 1.1 PLUS</t>
  </si>
  <si>
    <t>FLIP COVER NOKIA 3</t>
  </si>
  <si>
    <t>FLIP COVER NOKIA 3.1</t>
  </si>
  <si>
    <t>FLIP COVER NOKIA 5</t>
  </si>
  <si>
    <t>FLIP COVER NOKIA 5.1 PLUS</t>
  </si>
  <si>
    <t>FLIP COVER NOKIA 6</t>
  </si>
  <si>
    <t>FLIP COVER OT 4035</t>
  </si>
  <si>
    <t>FLIP COVER OWN 4035</t>
  </si>
  <si>
    <t>FLIP COVER OWN 4035 3G</t>
  </si>
  <si>
    <t>FLIP COVER OWN 4035 4G</t>
  </si>
  <si>
    <t>FLIP COVER OWN 4040</t>
  </si>
  <si>
    <t>FLIP COVER OWN 5030</t>
  </si>
  <si>
    <t>FLIP COVER OWN FUN</t>
  </si>
  <si>
    <t>FLIP COVER OWN ONE</t>
  </si>
  <si>
    <t>FLIP COVER OWN SELFIE</t>
  </si>
  <si>
    <t>FLIP COVER P8 LITE</t>
  </si>
  <si>
    <t>FLIP COVER PIXI 3 4,5"</t>
  </si>
  <si>
    <t>FLIP COVER REVERSIBLE OWN 5030</t>
  </si>
  <si>
    <t>FLIP COVER ROBIN IPHONE 4 COLORES</t>
  </si>
  <si>
    <t>FLIP COVER SAM A01</t>
  </si>
  <si>
    <t>FLIP COVER SAM A10</t>
  </si>
  <si>
    <t>FLIP COVER SAM A10S</t>
  </si>
  <si>
    <t>FLIP COVER SAM A11</t>
  </si>
  <si>
    <t>FLIP COVER SAM A20</t>
  </si>
  <si>
    <t>FLIP COVER SAM A20S</t>
  </si>
  <si>
    <t>FLIP COVER SAM A21S</t>
  </si>
  <si>
    <t>FLIP COVER SAM A3-2016</t>
  </si>
  <si>
    <t>FLIP COVER SAM A30</t>
  </si>
  <si>
    <t>FLIP COVER SAM A30S</t>
  </si>
  <si>
    <t>FLIP COVER SAM A31</t>
  </si>
  <si>
    <t>FLIP COVER SAM A5</t>
  </si>
  <si>
    <t>FLIP COVER SAM A5-2016</t>
  </si>
  <si>
    <t>FLIP COVER SAM A50</t>
  </si>
  <si>
    <t>FLIP COVER SAM A51</t>
  </si>
  <si>
    <t>FLIP COVER SAM A7-2016</t>
  </si>
  <si>
    <t>FLIP COVER SAM A7-2017</t>
  </si>
  <si>
    <t>FLIP COVER SAM A70</t>
  </si>
  <si>
    <t>FLIP COVER SAM A71</t>
  </si>
  <si>
    <t>FLIP COVER SAM A8</t>
  </si>
  <si>
    <t>FLIP COVER SAM A8 PLUS</t>
  </si>
  <si>
    <t>FLIP COVER SAM A80</t>
  </si>
  <si>
    <t>FLIP COVER SAM ACE 4</t>
  </si>
  <si>
    <t>FLIP COVER SAM CORE</t>
  </si>
  <si>
    <t>FLIP COVER SAM CORE 2</t>
  </si>
  <si>
    <t>FLIP COVER SAM CORE PRIME</t>
  </si>
  <si>
    <t>FLIP COVER SAM E5</t>
  </si>
  <si>
    <t>FLIP COVER SAM E7</t>
  </si>
  <si>
    <t>FLIP COVER SAM G 313</t>
  </si>
  <si>
    <t>FLIP COVER SAM G 360</t>
  </si>
  <si>
    <t>FLIP COVER SAM G 530</t>
  </si>
  <si>
    <t>FLIP COVER SAM G360</t>
  </si>
  <si>
    <t>FLIP COVER SAM GRAND</t>
  </si>
  <si>
    <t>FLIP COVER SAM GRAND 9080</t>
  </si>
  <si>
    <t>FLIP COVER SAM GRAND PRIME</t>
  </si>
  <si>
    <t>FLIP COVER SAM GRAND PRIME G 530</t>
  </si>
  <si>
    <t>FLIP COVER SAM J1</t>
  </si>
  <si>
    <t>FLIP COVER SAM J1 ACE</t>
  </si>
  <si>
    <t>FLIP COVER SAM J1-2016</t>
  </si>
  <si>
    <t>FLIP COVER SAM J2</t>
  </si>
  <si>
    <t>FLIP COVER SAM J2 CORE</t>
  </si>
  <si>
    <t>FLIP COVER SAM J2 PRIME</t>
  </si>
  <si>
    <t>FLIP COVER SAM J2 Prime</t>
  </si>
  <si>
    <t>FLIP COVER SAM J2-2016</t>
  </si>
  <si>
    <t>FLIP COVER SAM J3</t>
  </si>
  <si>
    <t>FLIP COVER SAM J3-2016</t>
  </si>
  <si>
    <t>FLIP COVER SAM J4</t>
  </si>
  <si>
    <t>FLIP COVER SAM J4 PLUS</t>
  </si>
  <si>
    <t>FLIP COVER SAM J5</t>
  </si>
  <si>
    <t>FLIP COVER SAM J5 PRIME</t>
  </si>
  <si>
    <t>FLIP COVER SAM J5 PRO</t>
  </si>
  <si>
    <t>FLIP COVER SAM J5-2016</t>
  </si>
  <si>
    <t>FLIP COVER SAM J6</t>
  </si>
  <si>
    <t>FLIP COVER SAM J6 PLUS</t>
  </si>
  <si>
    <t>FLIP COVER SAM J7</t>
  </si>
  <si>
    <t>FLIP COVER SAM J7 NEO</t>
  </si>
  <si>
    <t>FLIP COVER SAM J7 PRIME</t>
  </si>
  <si>
    <t>FLIP COVER SAM J7 PRO</t>
  </si>
  <si>
    <t>FLIP COVER SAM J7-2016</t>
  </si>
  <si>
    <t>FLIP COVER SAM J8</t>
  </si>
  <si>
    <t>FLIP COVER SAM L. PRIME 2</t>
  </si>
  <si>
    <t>FLIP COVER SAM NOTE 10 PLUS</t>
  </si>
  <si>
    <t>FLIP COVER SAM NOTE 8</t>
  </si>
  <si>
    <t>FLIP COVER SAM NOTE 9</t>
  </si>
  <si>
    <t>FLIP COVER SAM S10</t>
  </si>
  <si>
    <t>FLIP COVER SAM S10 PLUS</t>
  </si>
  <si>
    <t>FLIP COVER SAM S4</t>
  </si>
  <si>
    <t>FLIP COVER SAM S5</t>
  </si>
  <si>
    <t>FLIP COVER SAM S6</t>
  </si>
  <si>
    <t>FLIP COVER SAM S6 EDGE</t>
  </si>
  <si>
    <t>FLIP COVER SAM S6 EDGE PLUS</t>
  </si>
  <si>
    <t>FLIP COVER SAM S7</t>
  </si>
  <si>
    <t>FLIP COVER SAM S7 EDGE</t>
  </si>
  <si>
    <t>FLIP COVER SAM S8</t>
  </si>
  <si>
    <t>Flip Cover Sam S8</t>
  </si>
  <si>
    <t>FLIP COVER SAM S8 CLEAR VIEW</t>
  </si>
  <si>
    <t>FLIP COVER SAM S8 PLUS</t>
  </si>
  <si>
    <t>FLIP COVER SAM S8 PLUS CLEAR VIEW</t>
  </si>
  <si>
    <t>FLIP COVER SAM S9</t>
  </si>
  <si>
    <t>FLIP COVER SAM S9 PLUS</t>
  </si>
  <si>
    <t>FLIP COVER SHELL SAM CORE PRIME</t>
  </si>
  <si>
    <t>FLIP COVER SONY AQUA M2</t>
  </si>
  <si>
    <t>FLIP COVER SONY AQUA M4</t>
  </si>
  <si>
    <t>FLIP COVER SONY C3</t>
  </si>
  <si>
    <t>FLIP COVER SONY C4</t>
  </si>
  <si>
    <t>FLIP COVER SONY C5</t>
  </si>
  <si>
    <t>FLIP COVER SONY C5 ULTRA</t>
  </si>
  <si>
    <t>FLIP COVER SONY E3</t>
  </si>
  <si>
    <t>FLIP COVER SONY E4</t>
  </si>
  <si>
    <t>FLIP COVER SONY E4G</t>
  </si>
  <si>
    <t>FLIP COVER SONY E5</t>
  </si>
  <si>
    <t>FLIP COVER SONY L1</t>
  </si>
  <si>
    <t>FLIP COVER SONY M2 AQUA</t>
  </si>
  <si>
    <t>FLIP COVER SONY M4</t>
  </si>
  <si>
    <t>FLIP COVER SONY M4 AQUA</t>
  </si>
  <si>
    <t>FLIP COVER SONY XA</t>
  </si>
  <si>
    <t>FLIP COVER SONY XA ULTRA</t>
  </si>
  <si>
    <t>Flip Cover Sony XA ULTRA</t>
  </si>
  <si>
    <t>FLIP COVER SONY XA1 ULTRA</t>
  </si>
  <si>
    <t>FLIP COVER SONY Z1</t>
  </si>
  <si>
    <t>FLIP COVER SONY Z3 MINI</t>
  </si>
  <si>
    <t>FLIP COVER SONY Z4</t>
  </si>
  <si>
    <t>FLIP COVER SONY Z5</t>
  </si>
  <si>
    <t>FLIP COVER SONY Z5 PREMIUM</t>
  </si>
  <si>
    <t>FLIP COVER STYLE</t>
  </si>
  <si>
    <t>FLIP COVER UN VISOR SAMSUNG I9500 S4</t>
  </si>
  <si>
    <t>FLIP COVER UNIVERAL MOD 6</t>
  </si>
  <si>
    <t>FLIP COVER UNIVERSAL</t>
  </si>
  <si>
    <t>FLIP COVER UNIVERSAL 5,</t>
  </si>
  <si>
    <t>FLIP COVER UNIVERSAL 5,5</t>
  </si>
  <si>
    <t>FLIP COVER UNIVERSAL 5,5"</t>
  </si>
  <si>
    <t>FLIP COVER UNIVERSAL MOD 2</t>
  </si>
  <si>
    <t>FLIP COVER UNIVERSAL MOD 3</t>
  </si>
  <si>
    <t>FLIP COVER UNIVERSAL MOD 4</t>
  </si>
  <si>
    <t>FLIP COVER UNIVERSAL MOD 5</t>
  </si>
  <si>
    <t>FLIP COVER VISOR MOTOMO SONY XPERIA Z2</t>
  </si>
  <si>
    <t>FLIP COVER XIAOMI REDMI NOTE 9</t>
  </si>
  <si>
    <t>FLIP COVER ZTE A 460</t>
  </si>
  <si>
    <t>FLIP COVER ZTE BLADE 2</t>
  </si>
  <si>
    <t>FLIP COVER ZTE BLADE 3</t>
  </si>
  <si>
    <t>FLIP COVER ZTE L2</t>
  </si>
  <si>
    <t>FLIP COVER ZTE L3</t>
  </si>
  <si>
    <t>FLIP COVER ZTE Z460</t>
  </si>
  <si>
    <t>FLIP CPVER LG G4</t>
  </si>
  <si>
    <t>FLOP COVER MOTOMO SHELL LG MAGNA</t>
  </si>
  <si>
    <t>FOCO ARO IRM-07120</t>
  </si>
  <si>
    <t>EM LINTERNA</t>
  </si>
  <si>
    <t>FOCO CON SENSOR DE MOVIMIENTO ET-L0820S</t>
  </si>
  <si>
    <t>FOCO HALOGENO LED 25 WATTS C/PANEL SOLAR COD 3225</t>
  </si>
  <si>
    <t>FORRO DE VOLANTE</t>
  </si>
  <si>
    <t>FREIDORA DE AIRE CALIENTE HEAGER HG-5286</t>
  </si>
  <si>
    <t>FUNDA IMPERMEABLE ACQUA IPHONE</t>
  </si>
  <si>
    <t>FUNDA ANTIGOLPE 10'</t>
  </si>
  <si>
    <t>FUNDA IPAD AIR 2</t>
  </si>
  <si>
    <t>FUNDA NETBOOK DISEÑO COD 4940</t>
  </si>
  <si>
    <t>AC PORTA CELULAR</t>
  </si>
  <si>
    <t>FUNDA PARA CELULAR IMPERMEABLE IRM-05382</t>
  </si>
  <si>
    <t>FUNDA PARA TABLET 10" CON TECLADO USB COD 920030</t>
  </si>
  <si>
    <t>FUNDA PARA TABLET 7" CON TECLADO COD 4991</t>
  </si>
  <si>
    <t>FUNDA SUMERGIBLE COD 897</t>
  </si>
  <si>
    <t>FUNDA TABLET 10"</t>
  </si>
  <si>
    <t>FUNDA TABLET 7 PULGADAS</t>
  </si>
  <si>
    <t>FUNDA TABLET 7"</t>
  </si>
  <si>
    <t>FUNDA TABLET 7" A 10"</t>
  </si>
  <si>
    <t>FUNDA TABLET 9" A 10"</t>
  </si>
  <si>
    <t>FUNDA TABLET SAM T230</t>
  </si>
  <si>
    <t>FUNDA TABLET SAM TAB A 10.1 SILICONA</t>
  </si>
  <si>
    <t>FUNDA TABLET SAM TAB A 8 SILICONA</t>
  </si>
  <si>
    <t>GALAXY TAB CONNECT KIT</t>
  </si>
  <si>
    <t>GAMEPAD 4 GATILLOS AK66</t>
  </si>
  <si>
    <t>GAMEPAD CON BOTON L Y R TC5603</t>
  </si>
  <si>
    <t>GAMEPAD L1-R1 IRM-06292 VENTILADOR</t>
  </si>
  <si>
    <t>GAMEPAD PARA CELULAR TC5598</t>
  </si>
  <si>
    <t>GAMEPAD R1-L1 AK-16</t>
  </si>
  <si>
    <t>GAMEPAD R1-L1 IRM-06181</t>
  </si>
  <si>
    <t>GAMEPAD R1-L1 Y ANALOGO COD 1011</t>
  </si>
  <si>
    <t>GAMEPAD R1-L1 Y ANALOGO COD 13627</t>
  </si>
  <si>
    <t>GAMEPAD R1-L1 Y ANALOGO COD 673</t>
  </si>
  <si>
    <t>GAMEPAD R1-L1 Y ANALOGO IRM-05910</t>
  </si>
  <si>
    <t>GOMA BORDE COLOR J5 PRIME</t>
  </si>
  <si>
    <t>GOMA BRILLANTE BORDE BLCO SAM 9000 NOTE 1</t>
  </si>
  <si>
    <t>GOMA IPAD</t>
  </si>
  <si>
    <t>GOOGLE CHROMECAST 3GEN</t>
  </si>
  <si>
    <t>GOOGLE CHROMECAST TERCERA GENERACION</t>
  </si>
  <si>
    <t>GPS TRACKER 303F 2G</t>
  </si>
  <si>
    <t>GPS TRACKER COD 2942</t>
  </si>
  <si>
    <t>GPS TRACKER UBICACION VEHICULO TT-548 + CHIP</t>
  </si>
  <si>
    <t>GRAMERA COD 2749</t>
  </si>
  <si>
    <t>GRAMERA COD 482</t>
  </si>
  <si>
    <t>GRAMERA COD RST-500 COD 3346</t>
  </si>
  <si>
    <t>GRAMERA IRM-00103</t>
  </si>
  <si>
    <t>HDMI WIFI CON MIRACAST</t>
  </si>
  <si>
    <t>HOLDER REJILLA MAGNETICO</t>
  </si>
  <si>
    <t>HOLDER REJILLA PREMIUM</t>
  </si>
  <si>
    <t>HUB</t>
  </si>
  <si>
    <t>HUB 4 PUERTOS 2.0 COD 738</t>
  </si>
  <si>
    <t>HUB 4 PUERTOS COD 2293</t>
  </si>
  <si>
    <t>HUB 4 PUERTOS USB 2.0 IRM-01268</t>
  </si>
  <si>
    <t>HUB 4 PUERTOS USB 3.0 COD 2437</t>
  </si>
  <si>
    <t>HUB 7 PUERTOS 2.0 COD 1220</t>
  </si>
  <si>
    <t>HUB CARGA 4 PUERTOS USB IRM-04392</t>
  </si>
  <si>
    <t>HUB ENERGIZADO 4 USB 4.4 LDNIO</t>
  </si>
  <si>
    <t>HUB USB 2.0 4 PUERTOS HT-1011</t>
  </si>
  <si>
    <t>HUB USB 2.0 4 PUERTOS IRM-08041</t>
  </si>
  <si>
    <t>HUB USB 2.0 HT1003 3 PUERTOS Y LECTOR DE MICRO SD</t>
  </si>
  <si>
    <t>HUB USB 3.0 4 PUERTOS</t>
  </si>
  <si>
    <t>HUB USB 3.0 4 PUERTOS IRM-06688</t>
  </si>
  <si>
    <t>HUB USB 4 PUERTOS IRM-04393</t>
  </si>
  <si>
    <t>HUB USB 4 PUERTOS PHILCO 29USBHB24B</t>
  </si>
  <si>
    <t>HUB USB 7 PUERTOS DBLUE DBHUB061</t>
  </si>
  <si>
    <t>HUB USB ET-E0314</t>
  </si>
  <si>
    <t>HUB USB MH-100</t>
  </si>
  <si>
    <t>HUB USB TIPO C 2 PUERTOS Y LECTOR SD/MICRO SD COD 2939</t>
  </si>
  <si>
    <t>HUB USB TIPO C 2 PUERTOS-LECTOR SD/MICRO-HDMI</t>
  </si>
  <si>
    <t>HUB USB TIPO C 4 PUERTOS T-818A</t>
  </si>
  <si>
    <t>HUB USB TIPO C 4 PUERTOS XL-5011</t>
  </si>
  <si>
    <t>HUB USB-TIPO C COD 1512</t>
  </si>
  <si>
    <t>IGENIX CLOROGEL 900 ML</t>
  </si>
  <si>
    <t>IMPRESORA TERMICA COD 7555 USB</t>
  </si>
  <si>
    <t>JOYPAD CON 64 JGOS</t>
  </si>
  <si>
    <t>JOYSTICK BLUETOOTH ET-Y9PS50B</t>
  </si>
  <si>
    <t>JOYSTICK BLUETOOTH ET-Y9PS56B</t>
  </si>
  <si>
    <t>JOYSTICK BLUETOOTH ET-Y9PS58B</t>
  </si>
  <si>
    <t>JOYSTICK BLUETOOTH IRM-07149</t>
  </si>
  <si>
    <t>JOYSTICK BLUETOOTH PARA CELULARES</t>
  </si>
  <si>
    <t>JOYSTICK BLUETOOTH PARA CELULARES EWTTO</t>
  </si>
  <si>
    <t>JOYSTICK BLUETOOTH ULTRA PG910</t>
  </si>
  <si>
    <t>JOYSTICK INALAMBRICO TRUST YULA GXT 545 PC/PS3</t>
  </si>
  <si>
    <t>JOYSTICK MINI PARA SMARTPHONE BLUETOOTH</t>
  </si>
  <si>
    <t>JOYSTICK PARA CELULAR 883</t>
  </si>
  <si>
    <t>JOYSTICK PARA CELULAR COD 1782</t>
  </si>
  <si>
    <t>JOYSTICK PARA CELULAR COD 2227</t>
  </si>
  <si>
    <t>JOYSTICK PARA CELULAR COD 40</t>
  </si>
  <si>
    <t>JOYSTICK PARA PC SNES</t>
  </si>
  <si>
    <t>JOYSTICK PARA SMARTPHONE 734</t>
  </si>
  <si>
    <t>JOYSTICK PARA SMARTPHONE COD 1474</t>
  </si>
  <si>
    <t>JOYSTICK PC C1001</t>
  </si>
  <si>
    <t>JOYSTICK PS4 ALTERNATIVO</t>
  </si>
  <si>
    <t>JOYSTICK USB COD 1777</t>
  </si>
  <si>
    <t>JOYSTICK USB EUROCASE BAT EUGA-30</t>
  </si>
  <si>
    <t>JOYSTICK USB IRM-04602 TIPO SNES</t>
  </si>
  <si>
    <t>JOYSTICK USB UCOM UC-JS760</t>
  </si>
  <si>
    <t>JUMBO TOALLA WINROLL PACK 190 MTS X2</t>
  </si>
  <si>
    <t>KARAOKE USB, SD, FM C.REM, 20 WATT</t>
  </si>
  <si>
    <t>KIT ACCESORIOS GOPRO COD 1666</t>
  </si>
  <si>
    <t>KIT ACCESORIOS GOPRO COD 2928 51 PIEZAS</t>
  </si>
  <si>
    <t>KIT ARO DE LUZ + TRIPODE COD D666</t>
  </si>
  <si>
    <t>KIT ARO DE LUZ CON PORTA CELULAR Y MICROFONO COD 112606</t>
  </si>
  <si>
    <t>KIT ARO DE LUZ MAS TRIPODE COD 329</t>
  </si>
  <si>
    <t>KIT CARGADOR TABLET SAM 3 X 1 CASA</t>
  </si>
  <si>
    <t>KIT DE LIMPIEZA IRM-08499</t>
  </si>
  <si>
    <t>KIT GAMER TECLADO, MOUSE, AUDIFONOS Y MOUSEPAD 119866</t>
  </si>
  <si>
    <t>KIT LIMPIA LCD 3 EN 1 COD 13198</t>
  </si>
  <si>
    <t>KIT MANOS LIBRES BLUETOOTH</t>
  </si>
  <si>
    <t>KIT OTG 3X1 MICRO USB A USB +MC + SD + TF</t>
  </si>
  <si>
    <t>AC VIDRIO 5D</t>
  </si>
  <si>
    <t>LAMINA 360 SAM NOTE 8</t>
  </si>
  <si>
    <t>LAMINA 360 SAM S10</t>
  </si>
  <si>
    <t>AC LAMINA STICKER</t>
  </si>
  <si>
    <t>LAMINA 360 SAM S6 EDGE</t>
  </si>
  <si>
    <t>LAMINA 360 SAM S7 EDGE</t>
  </si>
  <si>
    <t>LAMINA 360 SAM S8</t>
  </si>
  <si>
    <t>LAMINA 360 SAM S8 PLUS</t>
  </si>
  <si>
    <t>LAMINA 360 SAM S9</t>
  </si>
  <si>
    <t>LAMINA 360 SAM S9 PLUS</t>
  </si>
  <si>
    <t>LAMINA ANTIESPIA HUAWEI P20 LITE</t>
  </si>
  <si>
    <t>LAMINA ANTIESPIA IPHONE 11</t>
  </si>
  <si>
    <t>LAMINA ANTIESPIA IPHONE 11 PRO</t>
  </si>
  <si>
    <t>LAMINA ANTIESPIA IPHONE 7</t>
  </si>
  <si>
    <t>LAMINA ANTIESPIA IPHONE 7 PLUS</t>
  </si>
  <si>
    <t>LAMINA ANTIESPIA IPHONE XR</t>
  </si>
  <si>
    <t>LAMINA ANTIESPIA IPHONE XS MAX</t>
  </si>
  <si>
    <t>LAMINA ANTIESPIA SAM J4 PLUS</t>
  </si>
  <si>
    <t>LAMINA ANTIESPIA SAM J6 PLUS</t>
  </si>
  <si>
    <t>LAMINA ANTIESPIA SAM S8</t>
  </si>
  <si>
    <t>LAMINA ANTIESPIA SAM S9</t>
  </si>
  <si>
    <t>LAMINA BORDE METAL IPHONE 6 PLUS</t>
  </si>
  <si>
    <t>LAMINA DE VIDRIO TRASERA IPHONE 8</t>
  </si>
  <si>
    <t>LAMINA DE VIDRIO TRASERA IPHONE X</t>
  </si>
  <si>
    <t>LAMINA GEL SAM S8 LAMINA GEL CON PEGAMENTO COMPLETO</t>
  </si>
  <si>
    <t>LAMINA HIDROGEL</t>
  </si>
  <si>
    <t>AC LAMINA MEMBRANA FLEXIBLE</t>
  </si>
  <si>
    <t>LAMINA PET SAM S6 EDGE LAMINA PEGAMENTO COMPLETO</t>
  </si>
  <si>
    <t>LAMINA PET SAM S7 EDGE LAMINA PEGAMENTO COMPLETO</t>
  </si>
  <si>
    <t>LAMINA PET SAM S9 LAMINA PEGAMENTO COMPLETO</t>
  </si>
  <si>
    <t>LAMINA PET SAM S9 PLUS LAMINA PEGAMENTO COMPLETO</t>
  </si>
  <si>
    <t>LAMINA STICKER INST. SAM S6 EDGE</t>
  </si>
  <si>
    <t>LAMINA STICKER INST. IPHONE 6</t>
  </si>
  <si>
    <t>LAMINA STICKER INST. IPHONE 7 PLUS</t>
  </si>
  <si>
    <t>LAMINA STICKER INST. IPHONE 7G</t>
  </si>
  <si>
    <t>LAMINA STICKER INST. SAM GRAND PRIME</t>
  </si>
  <si>
    <t>LAMINA STICKER INST. SAM J3</t>
  </si>
  <si>
    <t>LAMINA STICKER INST. SAM J5</t>
  </si>
  <si>
    <t>LAMINA STICKER INST. SAM J5 PRIME</t>
  </si>
  <si>
    <t>LAMINA STICKER INST. SAM J5-2016</t>
  </si>
  <si>
    <t>LAMINA STICKER INST. SAM J7</t>
  </si>
  <si>
    <t>LAMINA STICKER INST. SAM J7 PRIME</t>
  </si>
  <si>
    <t>LAMINA STICKER INST. SAM J7-2016</t>
  </si>
  <si>
    <t>LAMINA STICKER INST. SAM S7 EDGE</t>
  </si>
  <si>
    <t>LAMPARA 360 LED, RADIO RECARGABLE 220 V</t>
  </si>
  <si>
    <t>LAMPARA CAMPING ET-L6123S</t>
  </si>
  <si>
    <t>LAMPARA CAMPING ET-L6127S</t>
  </si>
  <si>
    <t>LAMPARA DE EMERGENCIA PARA ESCRITORIO</t>
  </si>
  <si>
    <t>LAMPARA LUZ DE NOCHE</t>
  </si>
  <si>
    <t>LAMPARA PARA NOTEBOOK ULTRA</t>
  </si>
  <si>
    <t>LAMPARA PROYECTORA DE ESTRELLAS COD 3005</t>
  </si>
  <si>
    <t>LAMPARA RECARGABLE 30 LED</t>
  </si>
  <si>
    <t>LAMPARA SOLAR ET-L0907S-20W</t>
  </si>
  <si>
    <t>LAMPARA SUNSET IRM-08661</t>
  </si>
  <si>
    <t>LAMPARA SUNSET IRM-08870</t>
  </si>
  <si>
    <t>LAPIZ TACTIL JOYROOM JR-BP560</t>
  </si>
  <si>
    <t>LAPIZ TACTIL PUNTA FINA</t>
  </si>
  <si>
    <t>LAPIZ TACTIL STYLUS 42840</t>
  </si>
  <si>
    <t>LAPIZ TOUCH CORTO</t>
  </si>
  <si>
    <t>LAPIZ TOUCH Y PASTA</t>
  </si>
  <si>
    <t>LECTOR CODIGO DE BARRA COD 2198</t>
  </si>
  <si>
    <t>LECTOR DE MICRO SD COD 2478 ECONOMICO</t>
  </si>
  <si>
    <t>LECTOR DE TARJETAS USB IRM-4396</t>
  </si>
  <si>
    <t>LECTOR SD/MICRO SD USB-V8 IRM-05377</t>
  </si>
  <si>
    <t>LECTOR TARJETA 5X1 USB 2.0</t>
  </si>
  <si>
    <t>LECTOR TARJETA IPHONE ADATA AI-910</t>
  </si>
  <si>
    <t>LECTOR USB MICRO SD COD 15871</t>
  </si>
  <si>
    <t>LECTOR/GRABADOR DVD EXTERNO USB PUOST</t>
  </si>
  <si>
    <t>LED DECORATIVO AZUL COD 900</t>
  </si>
  <si>
    <t>LED DECORATIVO ROJO COD 903</t>
  </si>
  <si>
    <t>LED DECORATIVO VERDE COD 902</t>
  </si>
  <si>
    <t>LENTE GRAN ANGULAR SELFIE COD 3384</t>
  </si>
  <si>
    <t>LENTE OJO DE PEZ GRAN ANGULAR</t>
  </si>
  <si>
    <t>LENTE OJO DE PEZ PARA CELULAR COD 346</t>
  </si>
  <si>
    <t>LENTE PARA CELULAR 4 EN 1 COD 9700</t>
  </si>
  <si>
    <t>LENTE PARA CELULAR, MACRO, OJO DE PEZ Y GRAN ANGULAR IRM-1957</t>
  </si>
  <si>
    <t>LENTE PARA SELFIE DOS EN UNO COD 10129</t>
  </si>
  <si>
    <t>LENTE VIRTUAL 3D PARA SMARTPHONE</t>
  </si>
  <si>
    <t>LETRERO ELECTRONICO PROGRAMABLE 1 MT</t>
  </si>
  <si>
    <t>LIMPIA LCD COD 13198</t>
  </si>
  <si>
    <t>LIMPIA PANTALLA CON GEL</t>
  </si>
  <si>
    <t>LIMPIA PISOS POETT 900 ML</t>
  </si>
  <si>
    <t>LIMPIA PISOS VIRUTEX BEBE 1.8 LTS</t>
  </si>
  <si>
    <t>LIMPIA PISOS VIRUTEX LVANDA 1.8 LTS</t>
  </si>
  <si>
    <t>LINTERNA CON GENERADOR ELECTRICO</t>
  </si>
  <si>
    <t>LINTERNA CON RADIO COD 3861</t>
  </si>
  <si>
    <t>LINTERNA DE BOLSILLO ET-0896</t>
  </si>
  <si>
    <t>LINTERNA ET-5034</t>
  </si>
  <si>
    <t>LINTERNA ET-F5391</t>
  </si>
  <si>
    <t>LINTERNA ET-F5789 RECARGABLE CON USB</t>
  </si>
  <si>
    <t>LINTERNA ET-F5951</t>
  </si>
  <si>
    <t>LINTERNA ET-F6351</t>
  </si>
  <si>
    <t>LINTERNA ET-F8411</t>
  </si>
  <si>
    <t>LINTERNA FRONTAL LED COD 14760</t>
  </si>
  <si>
    <t>LINTERNA FRONTAL RECARGABLE 93700</t>
  </si>
  <si>
    <t>LINTERNA FRONTAL RECARGABLE COD 14683</t>
  </si>
  <si>
    <t>LINTERNA FRONTAL RECARGABLE CON ZOOM COD 314</t>
  </si>
  <si>
    <t>LINTERNA LED USB PCTRONIX</t>
  </si>
  <si>
    <t>LINTERNA METAL MULTIHERRAMIENTA ET-F8233</t>
  </si>
  <si>
    <t>LINTERNA PUNTERO LASER ET-F8240</t>
  </si>
  <si>
    <t>LINTERNA RADIO BLUETOOTH PARA BICICLETA</t>
  </si>
  <si>
    <t>LINTERNA REC A. POTENCIA ET-F5620</t>
  </si>
  <si>
    <t>LINTERNA RECARGABLE DE BOLSILLO ET-F8889</t>
  </si>
  <si>
    <t>LINTERNA RT-F6161</t>
  </si>
  <si>
    <t>lluvia laser jardin cod 2038</t>
  </si>
  <si>
    <t>LUCES LED RGB 10 MTS</t>
  </si>
  <si>
    <t>LUCES LED RGB 3 MTS USB</t>
  </si>
  <si>
    <t>LUCES LED RGB 5 MTS</t>
  </si>
  <si>
    <t>LUCES LED RGB 5 MTS COD 106666</t>
  </si>
  <si>
    <t>LUCES LED RGB 5 MTS COD 2503</t>
  </si>
  <si>
    <t>LUCES LED RGB 5 MTS ET-L7050RGB-5M</t>
  </si>
  <si>
    <t>LUCES LED RGB 5 MTS ET-L7635RGB-5M</t>
  </si>
  <si>
    <t>LUPA COD 3028</t>
  </si>
  <si>
    <t>LUZ DE BICI CON BOCINA COD 3372</t>
  </si>
  <si>
    <t>LUZ DE BICI LED BLANCO COD 1411</t>
  </si>
  <si>
    <t>LUZ DE BICI LED ROJO COD 1503</t>
  </si>
  <si>
    <t>LUZ PARA BICICLETA IRM-05365</t>
  </si>
  <si>
    <t>M HM 450ANOS LIBRE NORGE C MICROF</t>
  </si>
  <si>
    <t>M. LIBRE BLUETOOTH SAMSUNG ORIGINAL MG 920</t>
  </si>
  <si>
    <t>MAGNETICO UNIVERSAL COD9425</t>
  </si>
  <si>
    <t>MANOS LIBRE CONTROL VOLUM IPHONE/ANDROIDE</t>
  </si>
  <si>
    <t>MANOS LIBRE PANASONIC TCM 125</t>
  </si>
  <si>
    <t>MANOS LIBRE PANASONIC TCM 125 C.MICROF</t>
  </si>
  <si>
    <t>MANOS LIBRE SAM J5 ORI</t>
  </si>
  <si>
    <t>MANOS LIBRE SAM S6 ORI</t>
  </si>
  <si>
    <t>MANOS LIBRE SAM S6/S7</t>
  </si>
  <si>
    <t>MANOS LIBRE SAMSUNG</t>
  </si>
  <si>
    <t>MANOS LIBRE SAMSUNG ORI</t>
  </si>
  <si>
    <t>MANOS LIBRE STR, IPHONE, SAM. LG MOTO BOTON CONEC</t>
  </si>
  <si>
    <t>Manos Libres Bluetooth</t>
  </si>
  <si>
    <t>MANOS LIBRES BLUETOOTH COD 2192</t>
  </si>
  <si>
    <t>MANOS LIBRES BLUETOOTH HF-100</t>
  </si>
  <si>
    <t>MANOS LIBRES BLUETOOTH HF-90</t>
  </si>
  <si>
    <t>MANOS LIBRES BLUETOOTH MOTOROLA</t>
  </si>
  <si>
    <t>MANOS LIBRES BLUETOOTH PHILIPS SHB 1200</t>
  </si>
  <si>
    <t>MANOS LIBRES BLUETOOTH SPORT AMW-810</t>
  </si>
  <si>
    <t>MANOS LIBRES BLUETOOTH SPORT BT-03</t>
  </si>
  <si>
    <t>MANOS LIBRES DISEÑOS IPHONE</t>
  </si>
  <si>
    <t>MANOS LIBRES ET-A1556M</t>
  </si>
  <si>
    <t>MANOS LIBRES IPHONE 5/6</t>
  </si>
  <si>
    <t>MANOS LIBRES IPHONE CERTIFICADO</t>
  </si>
  <si>
    <t>MANOS LIBRES MAXELL PLUGS TRS</t>
  </si>
  <si>
    <t>MANOS LIBRES MDR-750</t>
  </si>
  <si>
    <t>MANOS LIBRES NOKIA HS-47, 2,5 MM ORIGINAL</t>
  </si>
  <si>
    <t>MANOS LIBRES ORIGINAL IPHONE</t>
  </si>
  <si>
    <t>MANOS LIBRES SAM HS 1303 ORIGINAL</t>
  </si>
  <si>
    <t>MANOS LIBRES SAM J5</t>
  </si>
  <si>
    <t>MANOS LIBRES SAM NHS1303</t>
  </si>
  <si>
    <t>MANOS LIBRES SAM ORIGINAL</t>
  </si>
  <si>
    <t>MANOS LIBRES SAMSUNG 3350</t>
  </si>
  <si>
    <t>MANOS LIBRES SAMSUNG METAL ORIGINAL BK</t>
  </si>
  <si>
    <t>MANOS LIBRES SAMSUNG METAL ORIGINAL WT</t>
  </si>
  <si>
    <t>MANOS LIBRES SPORT MOTOMO M18</t>
  </si>
  <si>
    <t>MANOS LIBRES SPORT MOTOMO M28</t>
  </si>
  <si>
    <t>MANOS LIBRES TIPO EARPOD IRM-04380</t>
  </si>
  <si>
    <t>MASCARILLA 3 PLIEGUES V5</t>
  </si>
  <si>
    <t>MASCARILLA DAFY 3D</t>
  </si>
  <si>
    <t>MASCARILLA KN95</t>
  </si>
  <si>
    <t>MASCARILLA QUIRURGICA PACK X2</t>
  </si>
  <si>
    <t>MEDIDOR DE TEMPERATURA IRM-08056</t>
  </si>
  <si>
    <t>MEDIDOR DE TEMPERATURA UX-A01</t>
  </si>
  <si>
    <t>MEMBRANA FLEXIBLE IPHONE 6 PLUS</t>
  </si>
  <si>
    <t>MEMBRANA FLEXIBLE IPHONE 6S</t>
  </si>
  <si>
    <t>MEMBRANA FLEXIBLE LG K10</t>
  </si>
  <si>
    <t>MEMBRANA FLEXIBLE SAM GRAN PRIME</t>
  </si>
  <si>
    <t>MEMBRANA FLEXIBLE SAM J5</t>
  </si>
  <si>
    <t>MEMBRANA FLEXIBLE SAM S6</t>
  </si>
  <si>
    <t>EM MEMORIA</t>
  </si>
  <si>
    <t>MICRO SD 128 GB SANDISK</t>
  </si>
  <si>
    <t>MICRO SD 16 GB</t>
  </si>
  <si>
    <t>MICRO SD 16 GB ADATA</t>
  </si>
  <si>
    <t>MICRO SD 16 GB CLASE 10</t>
  </si>
  <si>
    <t>MICRO SD 16 GB CON LECTOR USB KINGSTON</t>
  </si>
  <si>
    <t>MICRO SD 16 GB KINGSTON COD 109218</t>
  </si>
  <si>
    <t>MICRO SD 16 GB KINGSTON X2</t>
  </si>
  <si>
    <t>MICRO SD 16 GB MAXELL</t>
  </si>
  <si>
    <t>MICRO SD 16 GB SANDISK</t>
  </si>
  <si>
    <t>MICRO SD 16 GB SANDISK CLASE 10</t>
  </si>
  <si>
    <t>MICRO SD 16 GB SANDISK COD 111066</t>
  </si>
  <si>
    <t>MICRO SD 32 GB</t>
  </si>
  <si>
    <t>MICRO SD 32 GB ADATA</t>
  </si>
  <si>
    <t>MICRO SD 32 GB KINGSTON COD 2399</t>
  </si>
  <si>
    <t>MICRO SD 32 GB MAXELL</t>
  </si>
  <si>
    <t>MICRO SD 32 GB MEMOREX</t>
  </si>
  <si>
    <t>MICRO SD 32 GB SANDISK</t>
  </si>
  <si>
    <t>MICRO SD 32 GB SANDISK CLASE 10</t>
  </si>
  <si>
    <t>MICRO SD 32 GB SANDISK EXTREME PRO</t>
  </si>
  <si>
    <t>MICRO SD 64 GB ADATA</t>
  </si>
  <si>
    <t>MICRO SD 64 GB KINGSTON COD 3345</t>
  </si>
  <si>
    <t>MICRO SD 64 GB MAXELL</t>
  </si>
  <si>
    <t>MICRO SD 64 GB SANDISK</t>
  </si>
  <si>
    <t>MICRO SD 64 GB SANDISK EXTREME PRO</t>
  </si>
  <si>
    <t>MICROFONO ALAMBRICO 3.5 CON ADAPTADOR 6.3</t>
  </si>
  <si>
    <t>MICROFONO ALAMBRICO COD 118854 SM-338</t>
  </si>
  <si>
    <t>MICROFONO ALAMBRICO TRUST STARZZ</t>
  </si>
  <si>
    <t>MICROFONO CON CABLE ET-Y7521</t>
  </si>
  <si>
    <t>MICROFONO CON PARLANTE</t>
  </si>
  <si>
    <t>MICROFONO CON PARLANTE IRM-04213</t>
  </si>
  <si>
    <t>MICROFONO CONDENSADOR COD 122418 CON USB</t>
  </si>
  <si>
    <t>MICROFONO CONDENSADOR EZRA MP01</t>
  </si>
  <si>
    <t>MICROFONO CONDENSADOR EZRA PRO MP05</t>
  </si>
  <si>
    <t>MICROFONO CONDENSADOR IRM-07567</t>
  </si>
  <si>
    <t>MICROFONO CONDENSADOR PARA PC CON ATRIL IRM-07568</t>
  </si>
  <si>
    <t>MICROFONO CONDENSADOR PARA PC CON ATRIL IRM-07569</t>
  </si>
  <si>
    <t>MICROFONO CONDENSADOR PARA PC CON ATRIL IRM-07570</t>
  </si>
  <si>
    <t>MICROFONO DE SOLAPA COD 119525</t>
  </si>
  <si>
    <t>MICROFONO DE SOLAPA INALAMBRICO</t>
  </si>
  <si>
    <t>MICROFONO DE SOLAPA IRM-07790 LAVALIER SIMPLE</t>
  </si>
  <si>
    <t>MICROFONO DE SOLAPA IRM-07791 LAVALIER SIMPLE</t>
  </si>
  <si>
    <t>MICROFONO DE SOLAPA IRM-07852 LAVALIER CON CONECTOR DE AUDIFONO</t>
  </si>
  <si>
    <t>MICROFONO DE SOLAPA IRM-07853 LAVALIER CONECTOR C Y CONECTOR DE AUDIFONO</t>
  </si>
  <si>
    <t>MICROFONO ESTUDIO CON FILTRO</t>
  </si>
  <si>
    <t>MICROFONO ET-7413</t>
  </si>
  <si>
    <t>MICROFONO INALAMBRICO 353</t>
  </si>
  <si>
    <t>MICROFONO INALAMBRICO CAFINI CN-H4030</t>
  </si>
  <si>
    <t>MICROFONO INALAMBRICO COD 1070 R-57</t>
  </si>
  <si>
    <t>MICROFONO INALAMBRICO COD 3749</t>
  </si>
  <si>
    <t>MICROFONO INALAMBRICO IRM-00353</t>
  </si>
  <si>
    <t>MICROFONO INALAMBRICO PHILCO</t>
  </si>
  <si>
    <t>MICROFONO INALAMBRICO X 2 MIC04</t>
  </si>
  <si>
    <t>MICROFONO KARAOKE IRM-04213</t>
  </si>
  <si>
    <t>MICROFONO KARAOKE IRM-08574</t>
  </si>
  <si>
    <t>MICROFONO KARAOKE MK004 NEGRO</t>
  </si>
  <si>
    <t>MICROFONO KARAOKE MK005 ROSADO</t>
  </si>
  <si>
    <t>MICROFONO KYQ-01 CHAYANNE</t>
  </si>
  <si>
    <t>MICROFONO METALICO CON CABLE</t>
  </si>
  <si>
    <t>MICROFONO NOTEBOOK</t>
  </si>
  <si>
    <t>MICROFONO PARA ESCRITORIO TRUST</t>
  </si>
  <si>
    <t>MICROFONO PARLANTE BLUETOOTH</t>
  </si>
  <si>
    <t>MICROFONO PEDESTAL STEREO</t>
  </si>
  <si>
    <t>MICROFONO RST R-97 DOBLE INALAMBRICO COD 989</t>
  </si>
  <si>
    <t>MICROFONO RST-65 ALAMBRICO COD 1096</t>
  </si>
  <si>
    <t>MINI CAMARA ESPIA COD 1194</t>
  </si>
  <si>
    <t>MINI DISPLAY PORT A HDMI/DVI/DP</t>
  </si>
  <si>
    <t>MINI LAMPARA DISEÑO</t>
  </si>
  <si>
    <t>MINI LICUADORA + 1 VASO PORTATIL</t>
  </si>
  <si>
    <t>MINI LICUADORA + 2 VASOS</t>
  </si>
  <si>
    <t>EM MOUSE</t>
  </si>
  <si>
    <t>MINI MOUSE INALAMBRICO</t>
  </si>
  <si>
    <t>MINI PARLANTE BLUETOOTH COD 109317</t>
  </si>
  <si>
    <t>MINI PARLANTE BLUETOOTH PROSOUND</t>
  </si>
  <si>
    <t>MINI PARLANTE BLUETOOTH RAD. FM MP3 C 309</t>
  </si>
  <si>
    <t>MINI PARLANTE DBLUE DBS100</t>
  </si>
  <si>
    <t>MINI PARLANTE ET-P1713B</t>
  </si>
  <si>
    <t>MINI PARLANTE ET-P1734B</t>
  </si>
  <si>
    <t>MINI PARLANTE TARGET</t>
  </si>
  <si>
    <t>MINI RADIO ET-P1413B</t>
  </si>
  <si>
    <t>MINI RADIO ET-P1630B</t>
  </si>
  <si>
    <t>MINI RADIO ET-R1210S</t>
  </si>
  <si>
    <t>Mini Radio ET-R1343</t>
  </si>
  <si>
    <t>MINI RADIO ET-R1573</t>
  </si>
  <si>
    <t>MINI RADIO ET-r1710BFM</t>
  </si>
  <si>
    <t>Mini Radio R-1763</t>
  </si>
  <si>
    <t>MINI SELFIE CON BLUETOOTH</t>
  </si>
  <si>
    <t>EM TECLADO</t>
  </si>
  <si>
    <t>MINI TECLADO BLUETOOTH 7 PULGADAS</t>
  </si>
  <si>
    <t>MINI TECLADO SMART TV</t>
  </si>
  <si>
    <t>MINI TECLADO SMART TV I8-L</t>
  </si>
  <si>
    <t>MINI TECLADO SMART TV IRM-04190</t>
  </si>
  <si>
    <t>MINI TECLADO SMART TV MX3</t>
  </si>
  <si>
    <t>MINI TOUCH</t>
  </si>
  <si>
    <t>MINI TRIPOIDE DE CELULAR</t>
  </si>
  <si>
    <t>MIRACAST ANDROID TV MIRADISPLAY</t>
  </si>
  <si>
    <t>MOCHILA ANTIRROBO XTECH XTB-506G</t>
  </si>
  <si>
    <t>MONO POP SELFIE DISEÑOS</t>
  </si>
  <si>
    <t>MONOPOD 2 ELEMENTOS AQUAPOD COD 1388</t>
  </si>
  <si>
    <t>MONOPOD GOPRO COD 1286</t>
  </si>
  <si>
    <t>MOOUSE INALAMBRICO 3716</t>
  </si>
  <si>
    <t>MOUSE</t>
  </si>
  <si>
    <t>MOUSE ALAMBRICO AOC MS110</t>
  </si>
  <si>
    <t>MOUSE ALAMBRICO ET-M3606 RETRACTIL</t>
  </si>
  <si>
    <t>MOUSE ALAMBRICO FIDDLER MO304</t>
  </si>
  <si>
    <t>MOUSE ALAMBRICO GAMER FIDDLER MO520</t>
  </si>
  <si>
    <t>MOUSE ALAMBRICO GAMER FIDDLER MO532</t>
  </si>
  <si>
    <t>MOUSE ALAMBRICO GAMER FIDDLER MO539</t>
  </si>
  <si>
    <t>MOUSE ALAMBRICO GAMER IRM-03876</t>
  </si>
  <si>
    <t>MOUSE ALAMBRICO GAMER IRM-08175</t>
  </si>
  <si>
    <t>MOUSE ALAMBRICO GAMER ONIKUMA IRM-08333 ROSADO</t>
  </si>
  <si>
    <t>MOUSE ALAMBRICO GAMER TARGET PREDATOR</t>
  </si>
  <si>
    <t>MOUSE ALAMBRICO GAMER XTECH XTM-410 7 BOTONES</t>
  </si>
  <si>
    <t>MOUSE ALAMBRICO GENIUS DX-110</t>
  </si>
  <si>
    <t>MOUSE ALAMBRICO GENIUS DX-120</t>
  </si>
  <si>
    <t>MOUSE ALAMBRICO GENIUS DX-150X</t>
  </si>
  <si>
    <t>MOUSE ALAMBRICO GENIUS TRAVELER RETRACTIL</t>
  </si>
  <si>
    <t>MOUSE ALAMBRICO HP GAMER G160</t>
  </si>
  <si>
    <t>MOUSE ALAMBRICO HP M100</t>
  </si>
  <si>
    <t>MOUSE ALAMBRICO HP M160</t>
  </si>
  <si>
    <t>MOUSE ALAMBRICO KLIP XTREME KMO-111</t>
  </si>
  <si>
    <t>MOUSE ALAMBRICO LOGITECH M110 SILENT</t>
  </si>
  <si>
    <t>MOUSE ALAMBRICO LOGITECH M90</t>
  </si>
  <si>
    <t>MOUSE ALAMBRICO PHILIPS M104</t>
  </si>
  <si>
    <t>MOUSE ALAMBRICO PHILIPS M214</t>
  </si>
  <si>
    <t>MOUSE ALAMBRICO PHILIPS SPK9413</t>
  </si>
  <si>
    <t>MOUSE ALAMBRICO Q52 COD 868</t>
  </si>
  <si>
    <t>MOUSE ALAMBRICO RCA MR-065</t>
  </si>
  <si>
    <t>MOUSE ALAMBRICO TRUST CARVE</t>
  </si>
  <si>
    <t>MOUSE ALAMBRICO TRUST ZAPP GXT 4111</t>
  </si>
  <si>
    <t>MOUSE ALAMBRICO TRUST ZIVA</t>
  </si>
  <si>
    <t>MOUSE ALAMBRICO ULTRA UT-120N</t>
  </si>
  <si>
    <t>MOUSE ALAMBRICO XTECH XTM-165</t>
  </si>
  <si>
    <t>MOUSE ALAMBRICO XTECH XTM-175</t>
  </si>
  <si>
    <t>MOUSE AUTO 2283</t>
  </si>
  <si>
    <t>MOUSE BASICO COD 2752</t>
  </si>
  <si>
    <t>MOUSE BLUETOOTH MLAB 6781</t>
  </si>
  <si>
    <t>MOUSE C CABLES, 3 BOTONES USB MR-060</t>
  </si>
  <si>
    <t>MOUSE ECONOMICO COD 1398</t>
  </si>
  <si>
    <t>MOUSE ECONOMICO COD 15926</t>
  </si>
  <si>
    <t>MOUSE ET-M3577</t>
  </si>
  <si>
    <t>MOUSE GAMER 3262 GAMING C LUZ</t>
  </si>
  <si>
    <t>Mouse Gamer Cod 3740</t>
  </si>
  <si>
    <t>MOUSE GAMER ECONOMICO</t>
  </si>
  <si>
    <t>MOUSE GAMER ET-M3520</t>
  </si>
  <si>
    <t>MOUSE GAMER ET-M3651</t>
  </si>
  <si>
    <t>MOUSE GAMER ET-M3652</t>
  </si>
  <si>
    <t>MOUSE GAMER G15 3200DPI</t>
  </si>
  <si>
    <t>Mouse Gamer G5 Cod 2212</t>
  </si>
  <si>
    <t>MOUSE GAMER G550 3200DPI</t>
  </si>
  <si>
    <t>Mouse Gamer Inalambrico Cod 2410</t>
  </si>
  <si>
    <t>MOUSE GAMER IRM-07301 JIEXIN</t>
  </si>
  <si>
    <t>MOUSE GAMER K90</t>
  </si>
  <si>
    <t>MOUSE GAMER MODELO A9 COD 2773</t>
  </si>
  <si>
    <t>MOUSE GAMER MODELO X7 COD 2956</t>
  </si>
  <si>
    <t>MOUSE GAMER MOTOMO T91</t>
  </si>
  <si>
    <t>MOUSE GAMER MOTOMO X7</t>
  </si>
  <si>
    <t>MOUSE GAMER MOTOMO X8</t>
  </si>
  <si>
    <t>MOUSE GAMER ONIKUMA CW903</t>
  </si>
  <si>
    <t>MOUSE GAMER PHILIPS COD 117457 MOD G314</t>
  </si>
  <si>
    <t>MOUSE GAMER T6 COD 863</t>
  </si>
  <si>
    <t>MOUSE GAMER ULTRA X5 29UTX-000X5</t>
  </si>
  <si>
    <t>MOUSE GAMING 3482</t>
  </si>
  <si>
    <t>MOUSE INALAMBRICO 2.4G COD 4983</t>
  </si>
  <si>
    <t>MOUSE INALAMBRICO AMARILLO MW-150 Y</t>
  </si>
  <si>
    <t>MOUSE INALAMBRICO COD 117853</t>
  </si>
  <si>
    <t>MOUSE INALAMBRICO COD 118502</t>
  </si>
  <si>
    <t>MOUSE INALAMBRICO COD 119844</t>
  </si>
  <si>
    <t>MOUSE INALAMBRICO COD 1578</t>
  </si>
  <si>
    <t>MOUSE INALAMBRICO COD 2301</t>
  </si>
  <si>
    <t>MOUSE INALAMBRICO COD 3003</t>
  </si>
  <si>
    <t>MOUSE INALAMBRICO COD 3162</t>
  </si>
  <si>
    <t>MOUSE INALAMBRICO COD 3357 AUTO</t>
  </si>
  <si>
    <t>MOUSE INALAMBRICO ET-M3567</t>
  </si>
  <si>
    <t>MOUSE INALAMBRICO FIDDLER FD-223B</t>
  </si>
  <si>
    <t>MOUSE INALAMBRICO GENIUS MICRO TRAVELER 900S</t>
  </si>
  <si>
    <t>MOUSE INALAMBRICO GENIUS NX-7000 BLANCO</t>
  </si>
  <si>
    <t>MOUSE INALAMBRICO GENIUS NX-7000 NEGRO</t>
  </si>
  <si>
    <t>MOUSE INALAMBRICO GENIUS NX-7015 BROWN</t>
  </si>
  <si>
    <t>MOUSE INALAMBRICO IRM-06061 ZURDO</t>
  </si>
  <si>
    <t>MOUSE INALAMBRICO MW-150R</t>
  </si>
  <si>
    <t>MOUSE INALAMBRICO PHILCO 210WN</t>
  </si>
  <si>
    <t>MOUSE INALAMBRICO PHILIPS M203 COD 16696</t>
  </si>
  <si>
    <t>MOUSE INALAMBRICO PHILIPS M305 GRIS</t>
  </si>
  <si>
    <t>MOUSE INALAMBRICO PHILIPS M305 NEGRO</t>
  </si>
  <si>
    <t>MOUSE INALAMBRICO PHILIPS M314</t>
  </si>
  <si>
    <t>MOUSE INALAMBRICO PHILIPS M374</t>
  </si>
  <si>
    <t>MOUSE INALAMBRICO PHILIPS M413</t>
  </si>
  <si>
    <t>MOUSE INALAMBRICO PHILIPS M624 ERGONOMICO</t>
  </si>
  <si>
    <t>MOUSE INALAMBRICO PHILIPS SPK7315</t>
  </si>
  <si>
    <t>MOUSE INALAMBRICO TARGET TT-MW550 BL</t>
  </si>
  <si>
    <t>MOUSE INALAMBRICO TARGET TT-MW550 GR</t>
  </si>
  <si>
    <t>MOUSE INALAMBRICO TELA COD 251</t>
  </si>
  <si>
    <t>MOUSE INALAMBRICO TRUST EASYCLICK</t>
  </si>
  <si>
    <t>MOUSE INALAMBRICO TRUST PRIMO</t>
  </si>
  <si>
    <t>MOUSE INALAMBRICO TRUST YVI BLACK</t>
  </si>
  <si>
    <t>MOUSE INALAMBRICO TRUST YVI BLUE</t>
  </si>
  <si>
    <t>MOUSE INALAMBRICO TRUST YVI RED</t>
  </si>
  <si>
    <t>MOUSE INALAMBRICO ULTRA 250WX</t>
  </si>
  <si>
    <t>MOUSE INALAMBRICO USB, 4 BOTONES MW-250</t>
  </si>
  <si>
    <t>MOUSE INALAMBRICO VERTICAL D5</t>
  </si>
  <si>
    <t>MOUSE INALAMBRICO XTECH XTM-300</t>
  </si>
  <si>
    <t>MOUSE MINI AUTO 3167</t>
  </si>
  <si>
    <t>MOUSE MINI AUTO RETRACTIL -106765</t>
  </si>
  <si>
    <t>MOUSE PAD COSIDO 70X30</t>
  </si>
  <si>
    <t>MOUSE RETRACTIL GENIUS</t>
  </si>
  <si>
    <t>MOUSE VERTICAL COD 2756</t>
  </si>
  <si>
    <t>MOUSE VERTICAL IRM-07289</t>
  </si>
  <si>
    <t>MOUSEPAD ANTIDERRAME BORDE COSIDO</t>
  </si>
  <si>
    <t>MOUSEPAD AZUL</t>
  </si>
  <si>
    <t>MOUSEPAD BASICO ECONOMICO</t>
  </si>
  <si>
    <t>MOUSEPAD COD 156 INFANTIL</t>
  </si>
  <si>
    <t>MOUSEPAD CON ALMOHADILLA COD 916004</t>
  </si>
  <si>
    <t>MOUSEPAD CON ALMOHADILLA FIDDLER</t>
  </si>
  <si>
    <t>MOUSEPAD DISEÑO FIDDLER FD-MP12</t>
  </si>
  <si>
    <t>MOUSEPAD DISEÑO FIDDLER FD-MP13</t>
  </si>
  <si>
    <t>MOUSEPAD DISEÑOS</t>
  </si>
  <si>
    <t>MOUSEPAD GAMER COD 117457</t>
  </si>
  <si>
    <t>MOUSEPAD GAMER CON LUCES LED RGB AOAS S4000</t>
  </si>
  <si>
    <t>MOUSEPAD GAMER CON LUCES LED RGB AOAS S4000 IRM-08007</t>
  </si>
  <si>
    <t>MOUSEPAD GAMER CON LUCES LED RGB GMS-WT-5</t>
  </si>
  <si>
    <t>MOUSEPAD GAMER IRM-06064</t>
  </si>
  <si>
    <t>MOUSEPAD GAMER IRM-6063</t>
  </si>
  <si>
    <t>MOUSEPAD GAMER ULTRA 29UTXPAD01</t>
  </si>
  <si>
    <t>MOUSEPAD GEL COD 2013</t>
  </si>
  <si>
    <t>MOUSEPAD GEL COD 9579</t>
  </si>
  <si>
    <t>MOUSEPAD IRM-07296 DISEÑOS</t>
  </si>
  <si>
    <t>MOUSEPAD IRM-08946 ONIKUMA ROSADO</t>
  </si>
  <si>
    <t>MOUSEPAD NEGRO</t>
  </si>
  <si>
    <t>MOUSEPAD XTECH XTA-180</t>
  </si>
  <si>
    <t>MOUSEPAD XTECH XTA-526</t>
  </si>
  <si>
    <t>MP3 COD 2275</t>
  </si>
  <si>
    <t>MP3 ECONOMICO COD 946</t>
  </si>
  <si>
    <t>MP3 MINI EMOTICON CON AUDIFONO COD 2932</t>
  </si>
  <si>
    <t>Mp3 radio</t>
  </si>
  <si>
    <t>MULTIBAND</t>
  </si>
  <si>
    <t>MXQ PRO TV BOX A SMART TV</t>
  </si>
  <si>
    <t>MXQ PRO TV BOX A SMART TV COD 3205</t>
  </si>
  <si>
    <t>OP SERVICIO TECNICO</t>
  </si>
  <si>
    <t>NO</t>
  </si>
  <si>
    <t>OJO DE PEZ</t>
  </si>
  <si>
    <t>OJO DE PEZ PARA CELULAR CON PINZA</t>
  </si>
  <si>
    <t>OJO DE PEZ TC4019-15</t>
  </si>
  <si>
    <t>OTG COD 1542 -1541</t>
  </si>
  <si>
    <t>OTG MICRO USB</t>
  </si>
  <si>
    <t>OTG USB MACHO LECTOR SD-MICRO SD</t>
  </si>
  <si>
    <t>OTG V8</t>
  </si>
  <si>
    <t>OTG VARIOS COD 6554</t>
  </si>
  <si>
    <t>PACK LUCES LED BLANCO COD 207 COLA DE PEZ</t>
  </si>
  <si>
    <t>PAPEL HIGIENICO SCOTT 6 UNIDADES</t>
  </si>
  <si>
    <t>PARLANTE 8´BLUETOOTH KARAOKE</t>
  </si>
  <si>
    <t>PARLANTE BLUETOOTH 2.1 55 W</t>
  </si>
  <si>
    <t>PARLANTE BLUETOOTH AULOM M168</t>
  </si>
  <si>
    <t>PARLANTE BLUETOOTH AUTO ET-P6335BR</t>
  </si>
  <si>
    <t>PARLANTE BLUETOOTH AUTO ET-P6370BR</t>
  </si>
  <si>
    <t>PARLANTE BLUETOOTH AUTO ET-P6386BR</t>
  </si>
  <si>
    <t>PARLANTE BLUETOOTH AUTO ET-P6388BR</t>
  </si>
  <si>
    <t>PARLANTE BLUETOOTH AWEI Y300</t>
  </si>
  <si>
    <t>PARLANTE BLUETOOTH BS-129</t>
  </si>
  <si>
    <t>PARLANTE BLUETOOTH C. LUZ BT 807</t>
  </si>
  <si>
    <t>PARLANTE BLUETOOTH CH.</t>
  </si>
  <si>
    <t>PARLANTE BLUETOOTH COD 113013 MOD ZQS141</t>
  </si>
  <si>
    <t>PARLANTE BLUETOOTH COD 118348 KARAOKE CON MICROFONO</t>
  </si>
  <si>
    <t>PARLANTE BLUETOOTH COD 134</t>
  </si>
  <si>
    <t>PARLANTE BLUETOOTH COD 1642</t>
  </si>
  <si>
    <t>PARLANTE BLUETOOTH COD 278</t>
  </si>
  <si>
    <t>PARLANTE BLUETOOTH CON LUCES</t>
  </si>
  <si>
    <t>PARLANTE BLUETOOTH CON LUCES ET-P1778B</t>
  </si>
  <si>
    <t>PARLANTE BLUETOOTH CR-X6</t>
  </si>
  <si>
    <t>PARLANTE BLUETOOTH DISEÑO IRM-4792</t>
  </si>
  <si>
    <t>PARLANTE BLUETOOTH ET-P1087B</t>
  </si>
  <si>
    <t>PARLANTE BLUETOOTH ET-P1136B</t>
  </si>
  <si>
    <t>PARLANTE BLUETOOTH ET-P1169B LED</t>
  </si>
  <si>
    <t>PARLANTE BLUETOOTH ET-P1195</t>
  </si>
  <si>
    <t>PARLANTE BLUETOOTH ET-P1213B</t>
  </si>
  <si>
    <t>PARLANTE BLUETOOTH ET-P1328B</t>
  </si>
  <si>
    <t>PARLANTE BLUETOOTH ET-P1367B</t>
  </si>
  <si>
    <t>PARLANTE BLUETOOTH ET-P1372B</t>
  </si>
  <si>
    <t>PARLANTE BLUETOOTH ET-P1373B</t>
  </si>
  <si>
    <t>PARLANTE BLUETOOTH ET-P1386B</t>
  </si>
  <si>
    <t>PARLANTE BLUETOOTH ET-P1492B</t>
  </si>
  <si>
    <t>PARLANTE BLUETOOTH ET-P1512B</t>
  </si>
  <si>
    <t>PARLANTE BLUETOOTH ET-P1532B</t>
  </si>
  <si>
    <t>PARLANTE BLUETOOTH ET-P1614 TIPO TELE</t>
  </si>
  <si>
    <t>PARLANTE BLUETOOTH ET-P1649BT</t>
  </si>
  <si>
    <t>PARLANTE BLUETOOTH ET-P1717B</t>
  </si>
  <si>
    <t>PARLANTE BLUETOOTH ET-P1722B</t>
  </si>
  <si>
    <t>PARLANTE BLUETOOTH ET-P1924B CUBO</t>
  </si>
  <si>
    <t>PARLANTE BLUETOOTH ET-P1925B</t>
  </si>
  <si>
    <t>PARLANTE BLUETOOTH ET-P2175MB</t>
  </si>
  <si>
    <t>PARLANTE BLUETOOTH ET-P2240MB</t>
  </si>
  <si>
    <t>PARLANTE BLUETOOTH ET-P2500B</t>
  </si>
  <si>
    <t>PARLANTE BLUETOOTH ET-P2503MB</t>
  </si>
  <si>
    <t>PARLANTE BLUETOOTH ET-P2586B</t>
  </si>
  <si>
    <t>PARLANTE BLUETOOTH ET-P2629B</t>
  </si>
  <si>
    <t>PARLANTE BLUETOOTH ET-P2687B</t>
  </si>
  <si>
    <t>PARLANTE BLUETOOTH ET-P2947MB</t>
  </si>
  <si>
    <t>PARLANTE BLUETOOTH ET-P2965B</t>
  </si>
  <si>
    <t>PARLANTE BLUETOOTH ET-P5280MB</t>
  </si>
  <si>
    <t>PARLANTE BLUETOOTH ET-R1231BS SOLAR</t>
  </si>
  <si>
    <t>PARLANTE BLUETOOTH ET-R1243BS SOLAR</t>
  </si>
  <si>
    <t>PARLANTE BLUETOOTH ET-R1982B</t>
  </si>
  <si>
    <t>PARLANTE BLUETOOTH FIDDLER FD-10U-G</t>
  </si>
  <si>
    <t>PARLANTE BLUETOOTH FIDDLER FD-G2B</t>
  </si>
  <si>
    <t>PARLANTE BLUETOOTH HS10</t>
  </si>
  <si>
    <t>PARLANTE BLUETOOTH IRM-08151</t>
  </si>
  <si>
    <t>PARLANTE BLUETOOTH IRM-08153</t>
  </si>
  <si>
    <t>PARLANTE BLUETOOTH JBL GO2</t>
  </si>
  <si>
    <t>PARLANTE BLUETOOTH KARAOKE COD 122715</t>
  </si>
  <si>
    <t>PARLANTE BLUETOOTH KTS-1019</t>
  </si>
  <si>
    <t>PARLANTE BLUETOOTH MASTER-G MICRO</t>
  </si>
  <si>
    <t>PARLANTE BLUETOOTH MEDIANO</t>
  </si>
  <si>
    <t>PARLANTE BLUETOOTH MINI 2737</t>
  </si>
  <si>
    <t>PARLANTE BLUETOOTH MOTOROLA COD 2886</t>
  </si>
  <si>
    <t>PARLANTE BLUETOOTH NORGE S-BT074</t>
  </si>
  <si>
    <t>PARLANTE BLUETOOTH PELUCHE ET-P8202B</t>
  </si>
  <si>
    <t>PARLANTE BLUETOOTH PELUCHE ET-P8203B</t>
  </si>
  <si>
    <t>PARLANTE BLUETOOTH REC 1019</t>
  </si>
  <si>
    <t>PARLANTE BLUETOOTH RECARGABLE MARCIANO</t>
  </si>
  <si>
    <t>PARLANTE BLUETOOTH REDONDO TELA COD 2866</t>
  </si>
  <si>
    <t>PARLANTE BLUETOOTH S207</t>
  </si>
  <si>
    <t>PARLANTE BLUETOOTH SCOOTER COD 456</t>
  </si>
  <si>
    <t>PARLANTE BLUETOOTH T23</t>
  </si>
  <si>
    <t>PARLANTE BLUETOOTH T9</t>
  </si>
  <si>
    <t>PARLANTE BLUETOOTH WS-887 COD. 1777</t>
  </si>
  <si>
    <t>PARLANTE BLUETOOTH WSA-8602</t>
  </si>
  <si>
    <t>PARLANTE BLUETOOTH WSA-8613</t>
  </si>
  <si>
    <t>PARLANTE BLUETOOTH, FM, CARD, 5 WATT</t>
  </si>
  <si>
    <t>PARLANTE BLUETOOTH-USB P295 AZUL</t>
  </si>
  <si>
    <t>PARLANTE BOLA BLUETOOTH</t>
  </si>
  <si>
    <t>PARLANTE BT MONSTER AUDIO 450A</t>
  </si>
  <si>
    <t>PARLANTE BT MONSTER AUDIO 450D</t>
  </si>
  <si>
    <t>PARLANTE BT MONSTER AUDIO 450M</t>
  </si>
  <si>
    <t>PARLANTE BT MONSTER AUDIO 450N</t>
  </si>
  <si>
    <t>PARLANTE BT MONSTER AUDIO 450R</t>
  </si>
  <si>
    <t>PARLANTE BT NEGRO PHILCO</t>
  </si>
  <si>
    <t>PARLANTE C MICROFONO, GRABADORA, FM,DISPLAY</t>
  </si>
  <si>
    <t>PARLANTE CON LINTERNA ET-R2150B</t>
  </si>
  <si>
    <t>PARLANTE CON MICROFONO GRABADOR</t>
  </si>
  <si>
    <t>PARLANTE CUBO BLUETOOTH</t>
  </si>
  <si>
    <t>PARLANTE CUBO PROSOUND</t>
  </si>
  <si>
    <t>PARLANTE DUCHA BLUETOOTH</t>
  </si>
  <si>
    <t>PARLANTE DUCHA COD 709</t>
  </si>
  <si>
    <t>PARLANTE ET-1583</t>
  </si>
  <si>
    <t>PARLANTE ET-1639B</t>
  </si>
  <si>
    <t>PARLANTE ET-P1627B</t>
  </si>
  <si>
    <t>PARLANTE ET-P1635B</t>
  </si>
  <si>
    <t>PARLANTE ET-P1841B</t>
  </si>
  <si>
    <t>PARLANTE ET-P1874B</t>
  </si>
  <si>
    <t>PARLANTE ET-P2456MB</t>
  </si>
  <si>
    <t>PARLANTE KARAOKE CON LUCES 01105</t>
  </si>
  <si>
    <t>PARLANTE KARAOKE PORTATIL SP-O5BK</t>
  </si>
  <si>
    <t>PARLANTE KARAOKE USB, FM, SD, POTENCIA 20 W</t>
  </si>
  <si>
    <t>PARLANTE LUZ ET-P1932B</t>
  </si>
  <si>
    <t>PARLANTE MALETA KARAOKE SB056</t>
  </si>
  <si>
    <t>PARLANTE MALETIN KARAOKE BLUETOOTH</t>
  </si>
  <si>
    <t>PARLANTE MK 80 C/MICROFONO</t>
  </si>
  <si>
    <t>PARLANTE MOTOMO V2</t>
  </si>
  <si>
    <t>PARLANTE MOTOMO V8</t>
  </si>
  <si>
    <t>PARLANTE MULTIMEDIA D-015</t>
  </si>
  <si>
    <t>PARLANTE PARA CELULAR IRM-1257</t>
  </si>
  <si>
    <t>PARLANTE PARA PC HP DHE6000</t>
  </si>
  <si>
    <t>PARLANTE PARA PC S-200</t>
  </si>
  <si>
    <t>PARLANTE PC MOD D-008</t>
  </si>
  <si>
    <t>PARLANTE PC MOD D-02A</t>
  </si>
  <si>
    <t>PARLANTE PC MOD D-05</t>
  </si>
  <si>
    <t>PARLANTE PC, SD, USB, RADIO, BAT RECARGABLE</t>
  </si>
  <si>
    <t>PARLANTE PHILCO</t>
  </si>
  <si>
    <t>PARLANTE PIKACHU</t>
  </si>
  <si>
    <t>PARLANTE POKE BOLA COD 466</t>
  </si>
  <si>
    <t>PARLANTE POKEBOLA</t>
  </si>
  <si>
    <t>PARLANTE PORTATIL BLUETOOTH-USB P295 BLACK</t>
  </si>
  <si>
    <t>PARLANTE PORTATIL BLUETOOTH-USB P295 PLATA</t>
  </si>
  <si>
    <t>PARLANTE PORTATIL BLUETOOTH-USB P295 RED</t>
  </si>
  <si>
    <t>PARLANTE POWERTUBE 4 DGL-0020 DIGILIFE ROJO</t>
  </si>
  <si>
    <t>PARLANTE POWERTUBE 4 DGL-0077 DIGILIFE AZUL</t>
  </si>
  <si>
    <t>PARLANTE RECARGABLE COD 3196</t>
  </si>
  <si>
    <t>PARLANTE RECARGABLE COD 2670</t>
  </si>
  <si>
    <t>PARLANTE RECARGABLE MASTER-G G-BASS DESIGN 2</t>
  </si>
  <si>
    <t>PARLANTE REDONDO BLUETOOTH</t>
  </si>
  <si>
    <t>PARLANTE SUBWOOFER S-650</t>
  </si>
  <si>
    <t>PARLANTE, FM, 1126</t>
  </si>
  <si>
    <t>PARLANTES PARA COMPUTADOR GENIUS HF-160</t>
  </si>
  <si>
    <t>PARLANTES PARA PC COD 118568</t>
  </si>
  <si>
    <t>PARLANTES PARA PC COD 119954</t>
  </si>
  <si>
    <t>PARLANTES PARA PC D-02A</t>
  </si>
  <si>
    <t>PARLANTES PARA PC HP DHE-6000</t>
  </si>
  <si>
    <t>PARLANTES PARA PC TRUST TYTAN GXT 628</t>
  </si>
  <si>
    <t>PARLANTES PARA PC XTECH XTS-110</t>
  </si>
  <si>
    <t>PARLANTES PC S 220 L</t>
  </si>
  <si>
    <t>PARLANTES PC S 220 R</t>
  </si>
  <si>
    <t>PARLANTES S-300 USB A MULTIMEDIA</t>
  </si>
  <si>
    <t>PASTA TERMICA</t>
  </si>
  <si>
    <t>PELUCHE ESPANTA CUCO IRM-08411</t>
  </si>
  <si>
    <t>EM PENDRIVE</t>
  </si>
  <si>
    <t>PENDRIVE 128 GB SANDISK</t>
  </si>
  <si>
    <t>PENDRIVE 16 GB</t>
  </si>
  <si>
    <t>PENDRIVE 16 GB ADATA</t>
  </si>
  <si>
    <t>PENDRIVE 16 GB CON OTG V8 SANDISK</t>
  </si>
  <si>
    <t>PENDRIVE 16 GB DT101 G2</t>
  </si>
  <si>
    <t>PENDRIVE 16 GB KINGSTON</t>
  </si>
  <si>
    <t>PENDRIVE 16 GB KINGSTON COD 109240</t>
  </si>
  <si>
    <t>PENDRIVE 16 GB KODAK</t>
  </si>
  <si>
    <t>PENDRIVE 16 GB MAXELL</t>
  </si>
  <si>
    <t>PENDRIVE 16 GB MAXELL BK</t>
  </si>
  <si>
    <t>PENDRIVE 16 GB MAXELL BL</t>
  </si>
  <si>
    <t>PENDRIVE 16 GB MAXELL PP</t>
  </si>
  <si>
    <t>PENDRIVE 16 GB MAXELL RD</t>
  </si>
  <si>
    <t>PENDRIVE 16 GB SANDISK</t>
  </si>
  <si>
    <t>PENDRIVE 16 GB SANDISK AZUL</t>
  </si>
  <si>
    <t>PENDRIVE 16 GB SANDISK BLANCO</t>
  </si>
  <si>
    <t>PENDRIVE 16 GB SANDISK COD 3133</t>
  </si>
  <si>
    <t>PENDRIVE 16 GB SANDISK CZ430 ULTRA FIT</t>
  </si>
  <si>
    <t>PENDRIVE 16 GB SANDISK FORCE</t>
  </si>
  <si>
    <t>PENDRIVE 16 GB SANDISK GSM</t>
  </si>
  <si>
    <t>PENDRIVE 16 GB SANDISK ULTRA FLAIR USB 3.0</t>
  </si>
  <si>
    <t>PENDRIVE 16 GB SANDISK VERDE</t>
  </si>
  <si>
    <t>PENDRIVE 32 GB</t>
  </si>
  <si>
    <t>PENDRIVE 32 GB ADATA</t>
  </si>
  <si>
    <t>PENDRIVE 32 GB KINGSTON COD 1753</t>
  </si>
  <si>
    <t>PENDRIVE 32 GB MAXELL</t>
  </si>
  <si>
    <t>PENDRIVE 32 GB MAXELL BK</t>
  </si>
  <si>
    <t>PENDRIVE 32 GB MAXELL BL</t>
  </si>
  <si>
    <t>PENDRIVE 32 GB MAXELL FLIX</t>
  </si>
  <si>
    <t>PENDRIVE 32 GB MAXELL RD</t>
  </si>
  <si>
    <t>PENDRIVE 32 GB SANDISK</t>
  </si>
  <si>
    <t>PENDRIVE 32 GB SANDISK COD 2627</t>
  </si>
  <si>
    <t>PENDRIVE 32 GB SANDISK CZ430 ULTRA FIT</t>
  </si>
  <si>
    <t>PENDRIVE 32 GB SANDISK FORCE</t>
  </si>
  <si>
    <t>PENDRIVE 32 GB SANDISK IPHONE</t>
  </si>
  <si>
    <t>PENDRIVE 32 GB SANDISK ULTRA FLAIR USB 3.0</t>
  </si>
  <si>
    <t>PENDRIVE 64 GB KINGSTON COD 2632</t>
  </si>
  <si>
    <t>PENDRIVE 64 GB MAXELL</t>
  </si>
  <si>
    <t>PENDRIVE 64 GB MAXELL BK</t>
  </si>
  <si>
    <t>PENDRIVE 64 GB MAXELL SL</t>
  </si>
  <si>
    <t>PENDRIVE 64 GB SANDISK</t>
  </si>
  <si>
    <t>PENDRIVE 64 GB SANDISK CZ430 ULTRA FIT</t>
  </si>
  <si>
    <t>PENDRIVE 64 GB SANDISK IPHONE</t>
  </si>
  <si>
    <t>PENDRIVE 64 GB SANDISK ULTRA FLAIR USB 3.0</t>
  </si>
  <si>
    <t>PENDRIVE 8 GB</t>
  </si>
  <si>
    <t>PENDRIVE 8 GB ADATA</t>
  </si>
  <si>
    <t>PENDRIVE 8 GB DISEÑOS 2350</t>
  </si>
  <si>
    <t>PENDRIVE 8 GB DT101 G2</t>
  </si>
  <si>
    <t>PENDRIVE 8 GB SANDISK</t>
  </si>
  <si>
    <t>PENDRIVE 8 GB TOSHIBA COD 2277</t>
  </si>
  <si>
    <t>PENDRIVE 8 GB USB 2.0</t>
  </si>
  <si>
    <t>PENDRIVE-OTG C 16 GB SANDISK</t>
  </si>
  <si>
    <t>PENDRIVE-OTG C 32 GB SANDISK</t>
  </si>
  <si>
    <t>PENDRIVE-OTG C 64GB SANDISK</t>
  </si>
  <si>
    <t>PENDRIVE-OTG V8 16 GB SANDISK</t>
  </si>
  <si>
    <t>PENDRIVE-OTG V8 32 GB SANDISK</t>
  </si>
  <si>
    <t>PENDRIVE-OTG V8 64 GB SANDISK</t>
  </si>
  <si>
    <t>PESA DIGITAL DE COCINA</t>
  </si>
  <si>
    <t>PESA GRAMERA</t>
  </si>
  <si>
    <t>PESA GRAMERA PHILCO</t>
  </si>
  <si>
    <t>PILA 2025 COD 3600</t>
  </si>
  <si>
    <t>PILA 2032 COD 3344</t>
  </si>
  <si>
    <t>PILA 23A GP ULTRA</t>
  </si>
  <si>
    <t>PILA 27A GP ULTRA</t>
  </si>
  <si>
    <t>PILA 9V DURACELL</t>
  </si>
  <si>
    <t>PILA 9V RECARGABLE GP ULTRA</t>
  </si>
  <si>
    <t>PILA AA GP ULTRA PACK X2</t>
  </si>
  <si>
    <t>PILA AA GP ULTRA PACK X4</t>
  </si>
  <si>
    <t>PILA AA MAXELL</t>
  </si>
  <si>
    <t>PILA AA MAXELL PACK X2</t>
  </si>
  <si>
    <t>PILA AA MAXELL PACK X4</t>
  </si>
  <si>
    <t>PILA AA PANASONIC</t>
  </si>
  <si>
    <t>PILA AA RECARGABLE 2700 MAH PHILCO</t>
  </si>
  <si>
    <t>PILA AA SONY</t>
  </si>
  <si>
    <t>PILA AAA GP ULTRA PACK X4</t>
  </si>
  <si>
    <t>PILA AAA MAXELL</t>
  </si>
  <si>
    <t>PILA AAA MAXELL PACK X2</t>
  </si>
  <si>
    <t>PILA AAA MAXELL PACK X4</t>
  </si>
  <si>
    <t>PILA AAA RECARGABLE 1200 MAH PHILCO</t>
  </si>
  <si>
    <t>PILA AAA SONY</t>
  </si>
  <si>
    <t>PILA AAA TOSHIBA PACK X4</t>
  </si>
  <si>
    <t>PILA DURACELL AA</t>
  </si>
  <si>
    <t>PILA DURACELL AA X4</t>
  </si>
  <si>
    <t>PILA DURACELL AAA</t>
  </si>
  <si>
    <t>PILA DURACELL AAAA</t>
  </si>
  <si>
    <t>PILA DURACELL C2</t>
  </si>
  <si>
    <t>PILA DURACELL D2</t>
  </si>
  <si>
    <t>PILA DURACELL R-10 PARA AUDIFONO</t>
  </si>
  <si>
    <t>PILA DURACELL R-13 PARA AUDIFONOS</t>
  </si>
  <si>
    <t>PILA DURACELL R-312 PARA AUDIFONO</t>
  </si>
  <si>
    <t>PILA DURACELL R-675 PARA AUDIFONO</t>
  </si>
  <si>
    <t>PILA ENERGIZER AA</t>
  </si>
  <si>
    <t>PILA ENERGIZER AAA</t>
  </si>
  <si>
    <t>PILA GP ALCALINA 9V</t>
  </si>
  <si>
    <t>PILA LITIO CR1216</t>
  </si>
  <si>
    <t>PILA LITIO CR1220</t>
  </si>
  <si>
    <t>PILA LITIO CR1616</t>
  </si>
  <si>
    <t>PILA LITIO CR1620</t>
  </si>
  <si>
    <t>PILA LITIO CR1632</t>
  </si>
  <si>
    <t>PILA LITIO CR2016</t>
  </si>
  <si>
    <t>PILA LITIO CR2016 GP ULTRA</t>
  </si>
  <si>
    <t>PILA LITIO CR2025</t>
  </si>
  <si>
    <t>PILA LITIO CR2032</t>
  </si>
  <si>
    <t>PILA LITIO CR2032 DURACELL</t>
  </si>
  <si>
    <t>PILA LITIO CR2032 KODAK</t>
  </si>
  <si>
    <t>PILA LITIO CR2430</t>
  </si>
  <si>
    <t>PILA LITIO CR2450</t>
  </si>
  <si>
    <t>PILA LITIO LR1130</t>
  </si>
  <si>
    <t>PILA LITIO LR1130 GP ULTRA</t>
  </si>
  <si>
    <t>PILA LITIO LR41</t>
  </si>
  <si>
    <t>PILA LITIO LR41 MAXELL</t>
  </si>
  <si>
    <t>PILA LITIO LR44 GP ULTRA</t>
  </si>
  <si>
    <t>PILA LITIO LR44 MAXELL</t>
  </si>
  <si>
    <t>PILA LR-1130 MAXELL</t>
  </si>
  <si>
    <t>PILA LR-41 GP ULTRA</t>
  </si>
  <si>
    <t>PILA LR23A</t>
  </si>
  <si>
    <t>PILA LR23A COD 688</t>
  </si>
  <si>
    <t>PILA LR27A COD 2534</t>
  </si>
  <si>
    <t>PILA PARA AUDIFONO 13 RAYOVAC</t>
  </si>
  <si>
    <t>PILA PARA AUDIFONO 312 RAYOVAC</t>
  </si>
  <si>
    <t>PILA RAYOVAC 13 PARA AUDIFONO</t>
  </si>
  <si>
    <t>PILA RECARGABLE 18650 4800 MAH COD 364</t>
  </si>
  <si>
    <t>PILA RECARGABLE AA MACROTEL</t>
  </si>
  <si>
    <t>PILA RECARGABLE AA MASTER-G</t>
  </si>
  <si>
    <t>PILA RECARGABLE AA MLAB</t>
  </si>
  <si>
    <t>PILA RECARGABLE AAA MASTER-G</t>
  </si>
  <si>
    <t>PILA RECARGABLE AAA MLAB</t>
  </si>
  <si>
    <t>PILA SR621SW PARA RELOJ</t>
  </si>
  <si>
    <t>PILA SR626SW PARA RELOJ</t>
  </si>
  <si>
    <t>PILAS AA GP ULTRA</t>
  </si>
  <si>
    <t>PILAS AA SONY CORRIENTE</t>
  </si>
  <si>
    <t>PILAS AAA GP ULTRA</t>
  </si>
  <si>
    <t>PILAS AAA SONY CORRIENTE</t>
  </si>
  <si>
    <t>PILAS ALCALINAS DIGILIFE AAA PACK 10 UNID DGL-0102</t>
  </si>
  <si>
    <t>PINZA CRIMPEADORA RJ-45</t>
  </si>
  <si>
    <t>PINZA CRIMPEADORA UNIVERSAL</t>
  </si>
  <si>
    <t>POP SOCKERS DISEÑOS</t>
  </si>
  <si>
    <t>POP SOCKET</t>
  </si>
  <si>
    <t>POP SOCKET DISEÑO COD 11581</t>
  </si>
  <si>
    <t>POP SOCKET DISEÑO COD 693</t>
  </si>
  <si>
    <t>POP SOCKET DISEÑO ESCARCHA COD 6279</t>
  </si>
  <si>
    <t>POP SOCKET DISEÑO IRM-04970</t>
  </si>
  <si>
    <t>POP SOCKET DISEÑO SQUISHY COD 11900</t>
  </si>
  <si>
    <t>POP SOCKET DISEÑOS</t>
  </si>
  <si>
    <t>POP SOCKET DISEÑOS COD 5014</t>
  </si>
  <si>
    <t>POP SOCKET DISEÑOS COD 6345</t>
  </si>
  <si>
    <t>POP SOCKET IRM-03896</t>
  </si>
  <si>
    <t>POP SOKET DISEÑO TC5809</t>
  </si>
  <si>
    <t>POPSOCKET G211</t>
  </si>
  <si>
    <t>POPSOCKET G215</t>
  </si>
  <si>
    <t>PORTA CAMRA TIPO GOPRO COD 1680 PARA MOTO O BICI</t>
  </si>
  <si>
    <t>PORTA CELU AUTO ESPEJO CH-85</t>
  </si>
  <si>
    <t>PORTA CELU FLEXIBLE LARGO 814</t>
  </si>
  <si>
    <t>PORTA CELU METAL IMPERMEABLE DE BICICL COD 515</t>
  </si>
  <si>
    <t>PORTA CELU VENTILACION AJUSTABLE 017</t>
  </si>
  <si>
    <t>PORTA CELULAR 98335 BICICLETA</t>
  </si>
  <si>
    <t>PORTA CELULAR ADHESIVO CON IMAN</t>
  </si>
  <si>
    <t>PORTA CELULAR AUTO</t>
  </si>
  <si>
    <t>PORTA CELULAR AUTO AL ESPEJO JHD-97</t>
  </si>
  <si>
    <t>PORTA CELULAR AUTO CH-86</t>
  </si>
  <si>
    <t>PORTA CELULAR AUTO FLY</t>
  </si>
  <si>
    <t>PORTA CELULAR AUTO FLY GRANDE</t>
  </si>
  <si>
    <t>PORTA CELULAR AUTO NICE</t>
  </si>
  <si>
    <t>Porta Celular auto small</t>
  </si>
  <si>
    <t>PORTA CELULAR AUTO X&amp;X 213</t>
  </si>
  <si>
    <t>PORTA CELULAR BICICLETA IRM-3822</t>
  </si>
  <si>
    <t>PORTA CELULAR BLISTER TT3001</t>
  </si>
  <si>
    <t>PORTA CELULAR BRACKET REJILLA IMAN</t>
  </si>
  <si>
    <t>PORTA CELULAR BRACKET SH-3105 BICI BRAZO</t>
  </si>
  <si>
    <t>Porta Celular BRAZO</t>
  </si>
  <si>
    <t>PORTA CELULAR BRAZO</t>
  </si>
  <si>
    <t>PORTA CELULAR BRAZO COD 6249</t>
  </si>
  <si>
    <t>PORTA CELULAR BRAZO MOTOMO</t>
  </si>
  <si>
    <t>PORTA CELULAR BUDIX FIJO TABLERO IMAN</t>
  </si>
  <si>
    <t>PORTA CELULAR BUDIX TABLERO IMAN</t>
  </si>
  <si>
    <t>PORTA CELULAR CARGA INALAMBRICA COD 5927</t>
  </si>
  <si>
    <t>PORTA CELULAR CHOYO</t>
  </si>
  <si>
    <t>PORTA CELULAR CHOYO GRDE</t>
  </si>
  <si>
    <t>PORTA CELULAR COD 111792 REJILLA BRAZO</t>
  </si>
  <si>
    <t>PORTA CELULAR COD 112078 REJILLA BRAZO</t>
  </si>
  <si>
    <t>PORTA CELULAR COD 112089 REJILLA IMAN</t>
  </si>
  <si>
    <t>PORTA CELULAR COD 113530 VIDRIO BRAZO</t>
  </si>
  <si>
    <t>PORTA CELULAR COD 114476 REJILLA IMAN</t>
  </si>
  <si>
    <t>PORTA CELULAR COD 117094 REJILLA BRAZO</t>
  </si>
  <si>
    <t>PORTA CELULAR COD 117677 VIDRIO PINZA</t>
  </si>
  <si>
    <t>PORTA CELULAR COD 119129 ESCRITORIO</t>
  </si>
  <si>
    <t>PORTA CELULAR COD 119228 ESCRITORIO</t>
  </si>
  <si>
    <t>PORTA CELULAR COD 119239</t>
  </si>
  <si>
    <t>PORTA CELULAR COD 119393 BICICLETA IMPERMEABLE</t>
  </si>
  <si>
    <t>PORTA CELULAR COD 119569 VIDRIO BRAZO</t>
  </si>
  <si>
    <t>PORTA CELULAR COD 119877 MANUBRIO</t>
  </si>
  <si>
    <t>PORTA CELULAR COD 119888 MANUBRIO CON USB</t>
  </si>
  <si>
    <t>PORTA CELULAR COD 1270 IMAN</t>
  </si>
  <si>
    <t>PORTA CELULAR COD 1664 BRAZO IMAN</t>
  </si>
  <si>
    <t>PORTA CELULAR COD 2461 TABLERO PINZA</t>
  </si>
  <si>
    <t>PORTA CELULAR COD 3547 MOTO CON PUERTO USB</t>
  </si>
  <si>
    <t>PORTA CELULAR COD 52702</t>
  </si>
  <si>
    <t>PORTA CELULAR COD 5806 REJILLA IMAN</t>
  </si>
  <si>
    <t>PORTA CELULAR COD 8204 REJILLA IMAN</t>
  </si>
  <si>
    <t>PORTA CELULAR CON PINZA</t>
  </si>
  <si>
    <t>PORTA CELULAR CON PINZAS</t>
  </si>
  <si>
    <t>PORTA CELULAR CUELLO COD 972</t>
  </si>
  <si>
    <t>PORTA CELULAR CXP-008 TABLERO IMAN</t>
  </si>
  <si>
    <t>PORTA CELULAR DEPORTIVO 1317</t>
  </si>
  <si>
    <t>PORTA CELULAR EH-07 REMAX REJILLA IMAN</t>
  </si>
  <si>
    <t>PORTA CELULAR ESCRITORIO IRM-07444 PRENSA BRAZO</t>
  </si>
  <si>
    <t>PORTA CELULAR ET-0256 VIDRIO BRAZO</t>
  </si>
  <si>
    <t>PORTA CELULAR ET-E0252 VIDRIO BRAZO</t>
  </si>
  <si>
    <t>PORTA CELULAR ET-E0264 BICICLETA</t>
  </si>
  <si>
    <t>PORTA CELULAR FLEXIBLE C/GANCHO</t>
  </si>
  <si>
    <t>PORTA CELULAR FLY</t>
  </si>
  <si>
    <t>PORTA CELULAR HMD-20331 VIDRIO BRAZO</t>
  </si>
  <si>
    <t>PORTA CELULAR IMAN BRAZO EXTENSIBLE COD 572</t>
  </si>
  <si>
    <t>PORTA CELULAR IMAN BRAZO EXTENSIBLE COD 8622</t>
  </si>
  <si>
    <t>PORTA CELULAR IMAN COD 3230</t>
  </si>
  <si>
    <t>PORTA CELULAR IMAN UNIVERSAL</t>
  </si>
  <si>
    <t>PORTA CELULAR IRM-01721 VIDRIO BRAZO</t>
  </si>
  <si>
    <t>PORTA CELULAR IRM-01722 REJILLA IMAN</t>
  </si>
  <si>
    <t>PORTA CELULAR IRM-01724 REJILLA IMAN</t>
  </si>
  <si>
    <t>PORTA CELULAR IRM-02133 BANANO</t>
  </si>
  <si>
    <t>PORTA CELULAR IRM-03506 REJILLA BRAZO</t>
  </si>
  <si>
    <t>PORTA CELULAR IRM-03507</t>
  </si>
  <si>
    <t>PORTA CELULAR IRM-04110 VIDRIO BRAZO</t>
  </si>
  <si>
    <t>PORTA CELULAR IRM-04111 VIDRIO IMAN</t>
  </si>
  <si>
    <t>PORTA CELULAR IRM-05283 RETROVISOR BRAZO</t>
  </si>
  <si>
    <t>PORTA CELULAR IRM-05945 ESCRITORIO</t>
  </si>
  <si>
    <t>PORTA CELULAR IRM-06175 VIDRIO BRAZO</t>
  </si>
  <si>
    <t>PORTA CELULAR IRM-06177 REJILLA IMAN</t>
  </si>
  <si>
    <t>PORTA CELULAR IRM-06179 REJILLA BRAZO</t>
  </si>
  <si>
    <t>PORTA CELULAR IRM-06502 VIDRIO BRAZO</t>
  </si>
  <si>
    <t>PORTA CELULAR IRM-06503 VIDRIO BRAZO</t>
  </si>
  <si>
    <t>PORTA CELULAR IRM-06567 BANANO DEPORTIVO</t>
  </si>
  <si>
    <t>PORTA CELULAR IRM-06659 TABLERO IMAN</t>
  </si>
  <si>
    <t>PORTA CELULAR IRM-06878 PINZA BRAZO</t>
  </si>
  <si>
    <t>PORTA CELULAR IRM-07150 BICICLETA</t>
  </si>
  <si>
    <t>PORTA CELULAR IRM-07151 BICICLETA</t>
  </si>
  <si>
    <t>PORTA CELULAR IRM-07378 ESCRITORIO</t>
  </si>
  <si>
    <t>PORTA CELULAR IRM-07380 REJILLA IMAN</t>
  </si>
  <si>
    <t>PORTA CELULAR IRM-07387 VIDRIO IMAN</t>
  </si>
  <si>
    <t>PORTA CELULAR IRM-07388 VIDRIO BRAZO</t>
  </si>
  <si>
    <t>PORTA CELULAR IRM-07520 ESCRITORIO</t>
  </si>
  <si>
    <t>PORTA CELULAR IRM-07782 BICI BRAZO</t>
  </si>
  <si>
    <t>PORTA CELULAR IRM-08040 REJILLA IMAN</t>
  </si>
  <si>
    <t>PORTA CELULAR IRM-08041 VIDRIO BRAZO</t>
  </si>
  <si>
    <t>PORTA CELULAR IRM-08047 ESCRITORIO</t>
  </si>
  <si>
    <t>PORTA CELULAR IRM-08202 TABLERO IMAN</t>
  </si>
  <si>
    <t>PORTA CELULAR IRM-08217 ESCRITORIO</t>
  </si>
  <si>
    <t>PORTA CELULAR IRM-08305 VIDRIO BRAZO</t>
  </si>
  <si>
    <t>PORTA CELULAR IRM-08343 CARGA INALAMBRICA</t>
  </si>
  <si>
    <t>PORTA CELULAR IRM-08344 CARGA INALAMBRICA</t>
  </si>
  <si>
    <t>PORTA CELULAR IRM-08580 ADHESIVO IMAN</t>
  </si>
  <si>
    <t>PORTA CELULAR IRM-08807 BICI BRAZO CARGADOR</t>
  </si>
  <si>
    <t>PORTA CELULAR IRM-1500003 TABLERO IMAN</t>
  </si>
  <si>
    <t>PORTA CELULAR IRM-1500013 REJILLA IMAN</t>
  </si>
  <si>
    <t>PORTA CELULAR IRM-1500043 REJILLA IMAN</t>
  </si>
  <si>
    <t>PORTA CELULAR MAGNETICO</t>
  </si>
  <si>
    <t>PORTA CELULAR MOD 555 VIDRIO BRAZO</t>
  </si>
  <si>
    <t>PORTA CELULAR MOTO IMPERMEABLE COD 331</t>
  </si>
  <si>
    <t>PORTA CELULAR NORGE SA-04BL</t>
  </si>
  <si>
    <t>PORTA CELULAR PARA BICICLETA</t>
  </si>
  <si>
    <t>PORTA CELULAR PARA BICICLETA COD 140</t>
  </si>
  <si>
    <t>PORTA CELULAR PARA BICICLETA COD 15288</t>
  </si>
  <si>
    <t>PORTA CELULAR PARA BICICLETA IRM-5389</t>
  </si>
  <si>
    <t>PORTA CELULAR PARA REJILLA AUTOMÓVIL</t>
  </si>
  <si>
    <t>PORTA CELULAR PARA REJILLA IMAN COD 2986</t>
  </si>
  <si>
    <t>PORTA CELULAR PATA FLEXIBLE IRM-04806</t>
  </si>
  <si>
    <t>PORTA CELULAR PINZA BRAZO</t>
  </si>
  <si>
    <t>PORTA CELULAR PINZAS</t>
  </si>
  <si>
    <t>PORTA CELULAR PORTA VASO BRAZO</t>
  </si>
  <si>
    <t>PORTA CELULAR REJILLA COD 2385</t>
  </si>
  <si>
    <t>PORTA CELULAR REJILLA CON IMAN A05</t>
  </si>
  <si>
    <t>PORTA CELULAR REJILLA CON IMAN COD 59</t>
  </si>
  <si>
    <t>PORTA CELULAR REJILLA EH07</t>
  </si>
  <si>
    <t>PORTA CELULAR REJILLA GRAVEDAD</t>
  </si>
  <si>
    <t>PORTA CELULAR REJILLA IMAN</t>
  </si>
  <si>
    <t>PORTA CELULAR REJILLA IMAN MAXELL MH-4</t>
  </si>
  <si>
    <t>PORTA CELULAR REJILLA IRM-04812</t>
  </si>
  <si>
    <t>PORTA CELULAR REJILLA IRM-04945</t>
  </si>
  <si>
    <t>PORTA CELULAR REJILLA MAGNETICO</t>
  </si>
  <si>
    <t>PORTA CELULAR REMATE</t>
  </si>
  <si>
    <t>PORTA CELULAR RM-C10 REMAX REJILLA IMAN</t>
  </si>
  <si>
    <t>PORTA CELULAR S5 CARGA INALAMBRICA REJILLA BRAZO</t>
  </si>
  <si>
    <t>PORTA CELULAR SA-06BK</t>
  </si>
  <si>
    <t>PORTA CELULAR SXC-05057 REJILLA BRAZO</t>
  </si>
  <si>
    <t>PORTA CELULAR UNIVERSAL 360</t>
  </si>
  <si>
    <t>PORTA CELULAR VENTILACION AUTOMATICO</t>
  </si>
  <si>
    <t>PORTA CELULAR VENTILACION MOUNT</t>
  </si>
  <si>
    <t>PORTA CELULAR VENTILACION YTF</t>
  </si>
  <si>
    <t>PORTA CELULAR VIDRIO BRAZO</t>
  </si>
  <si>
    <t>PORTA CELULAR X32</t>
  </si>
  <si>
    <t>PORTA CELULAR Y TABLET 3 EN 1 COD 3124</t>
  </si>
  <si>
    <t>PORTA CELULAR Y TABLET IRM-04272</t>
  </si>
  <si>
    <t>PORTA CELUS</t>
  </si>
  <si>
    <t>PORTA GO PRO GRANDE CON VENTOSA COD 2558</t>
  </si>
  <si>
    <t>PORTA GO PRO PARA CASCO COD 3227</t>
  </si>
  <si>
    <t>PORTA GO PRO PARA VEHICULO COD 2358</t>
  </si>
  <si>
    <t>PORTA GOPRO BRAZO COD 3403</t>
  </si>
  <si>
    <t>PORTA GOPRO FLOTADOR COD 3197</t>
  </si>
  <si>
    <t>PORTA IPOD P/ RETROVISOR COD 1544</t>
  </si>
  <si>
    <t>PORTA IPOD MINI CON IMAN COD 1090</t>
  </si>
  <si>
    <t>PORTA IPOD MINI CON IMAN COD 3456</t>
  </si>
  <si>
    <t>PORTA IPOD MINI PARA REJILLA AUTO COD 2218</t>
  </si>
  <si>
    <t>PORTA IPOD MOTO-BICI</t>
  </si>
  <si>
    <t>PORTA NOTEBOOK REGULABLE IRM-08190</t>
  </si>
  <si>
    <t>PORTA NOTEBOOK REGULABLE IRM-08198</t>
  </si>
  <si>
    <t>PORTA TABLET COD 64</t>
  </si>
  <si>
    <t>PORTA TABLET DBLUE ST034</t>
  </si>
  <si>
    <t>PORTA TABLET RESPADO AUTO UNIVERSAL 2612</t>
  </si>
  <si>
    <t>PORTACELULAR AUTO</t>
  </si>
  <si>
    <t>PORTACELULAR AUTO REMAX</t>
  </si>
  <si>
    <t>POWER BANK 10.000 MHA</t>
  </si>
  <si>
    <t>POWER BANK 10000</t>
  </si>
  <si>
    <t>POWER BANK 10000 MAH</t>
  </si>
  <si>
    <t>POWER BANK 10000 MAH AIWA</t>
  </si>
  <si>
    <t>POWER BANK 10000 MAH EZRA</t>
  </si>
  <si>
    <t>POWER BANK 10000 MAH LIBOWEI</t>
  </si>
  <si>
    <t>POWER BANK 10000 MAH MASTER-G</t>
  </si>
  <si>
    <t>POWER BANK 10000 MAH MOTOMO</t>
  </si>
  <si>
    <t>POWER BANK 10000 MAH MOTOMO 02-0622</t>
  </si>
  <si>
    <t>POWER BANK 10000 MAH MOTOMO MO-PWB4010</t>
  </si>
  <si>
    <t>POWER BANK 10000 MAH MOTOMO PRI1009</t>
  </si>
  <si>
    <t>POWER BANK 10000 MAH PHILIPS</t>
  </si>
  <si>
    <t>POWER BANK 10000 MAH REMAX</t>
  </si>
  <si>
    <t>POWER BANK 10000MAH ONEPLUS D5564</t>
  </si>
  <si>
    <t>POWER BANK 10400 MAH COD 2966</t>
  </si>
  <si>
    <t>POWER BANK 11.000 AMP</t>
  </si>
  <si>
    <t>POWER BANK 11000 MAH</t>
  </si>
  <si>
    <t>POWER BANK 11000 MHA</t>
  </si>
  <si>
    <t>POWER BANK 12000 MAH COD 1329</t>
  </si>
  <si>
    <t>POWER BANK 12000MAH ET-E2871S SOLAR</t>
  </si>
  <si>
    <t>POWER BANK 13000 MAH CL-5 EWTTO</t>
  </si>
  <si>
    <t>POWER BANK 14800 MAH</t>
  </si>
  <si>
    <t>POWER BANK 15000 MAH ET-E2302S SOLAR</t>
  </si>
  <si>
    <t>POWER BANK 15000 MAH ET-E2304</t>
  </si>
  <si>
    <t>POWER BANK 20.000 MA T-16, COD 1563</t>
  </si>
  <si>
    <t>POWER BANK 20.000 MAH COD 2195</t>
  </si>
  <si>
    <t>POWER BANK 20.000 MAH CON 3 SALIDAS USB</t>
  </si>
  <si>
    <t>POWER BANK 20000 MAH AWEI P66K</t>
  </si>
  <si>
    <t>POWER BANK 20000 MAH COD 1268</t>
  </si>
  <si>
    <t>POWER BANK 20000 MAH COD 3180</t>
  </si>
  <si>
    <t>POWER BANK 20000 MAH COD 3646</t>
  </si>
  <si>
    <t>POWER BANK 20000 MAH COD 3646 3 USB</t>
  </si>
  <si>
    <t>POWER BANK 20000 MAH IRM-251211</t>
  </si>
  <si>
    <t>POWER BANK 20000MAH 3 USB LCD COD 11592</t>
  </si>
  <si>
    <t>POWER BANK 20000MHA COD 2675</t>
  </si>
  <si>
    <t>POWER BANK 2600 MA DURACELL</t>
  </si>
  <si>
    <t>POWER BANK 2600 MAH</t>
  </si>
  <si>
    <t>POWER BANK 2600 MAH IRM-05440</t>
  </si>
  <si>
    <t>POWER BANK 2600 MAH IRM-2200332</t>
  </si>
  <si>
    <t>POWER BANK 2600MAH COD 12461</t>
  </si>
  <si>
    <t>POWER BANK 2800</t>
  </si>
  <si>
    <t>POWER BANK 3000 MAMP</t>
  </si>
  <si>
    <t>POWER BANK 3000 MHA</t>
  </si>
  <si>
    <t>POWER BANK 3300 MAH IRM-06683</t>
  </si>
  <si>
    <t>POWER BANK 4000 MAH MOTOMO SOLAR</t>
  </si>
  <si>
    <t>POWER BANK 4800MAH COD 11306</t>
  </si>
  <si>
    <t>POWER BANK 4800MAH SINOE</t>
  </si>
  <si>
    <t>POWER BANK 4900 MAH</t>
  </si>
  <si>
    <t>POWER BANK 5000 MAH</t>
  </si>
  <si>
    <t>POWER BANK 5000 MAH AIWA</t>
  </si>
  <si>
    <t>POWER BANK 5000 MAH IRM-05431</t>
  </si>
  <si>
    <t>POWER BANK 5000 MAH IRM-05760</t>
  </si>
  <si>
    <t>POWER BANK 5000 MAH MASTER-G</t>
  </si>
  <si>
    <t>POWER BANK 5000 MAH MOTOMO</t>
  </si>
  <si>
    <t>POWER BANK 5000 MAH MOTOMO 01-0622</t>
  </si>
  <si>
    <t>POWER BANK 5000 MAH MOTOMO X20</t>
  </si>
  <si>
    <t>POWER BANK 5200 MAH PHILCO 79PBP-52002</t>
  </si>
  <si>
    <t>POWER BANK 5600 MAH</t>
  </si>
  <si>
    <t>POWER BANK 5600 MAH ET-E2844</t>
  </si>
  <si>
    <t>POWER BANK 6.000 MA</t>
  </si>
  <si>
    <t>POWER BANK 6000 MAH IRM-05498</t>
  </si>
  <si>
    <t>POWER BANK 6000 MAH PHILCO 79PBP-60001</t>
  </si>
  <si>
    <t>POWER BANK 6500 MAH ONEPLUS D6042</t>
  </si>
  <si>
    <t>POWER BANK 7000 MAH IRM-2200301</t>
  </si>
  <si>
    <t>POWER BANK 7000 MAH IRM-2200302</t>
  </si>
  <si>
    <t>POWER BANK 7800 MAH AWEI P61K</t>
  </si>
  <si>
    <t>POWER BANK 8000 MAH ET-E2160</t>
  </si>
  <si>
    <t>POWER BANK 8000 MAH IRM-05758</t>
  </si>
  <si>
    <t>POWER BANK 8000 MAH MAI GUAN</t>
  </si>
  <si>
    <t>POWER BANK 8000MAH MOTOMO</t>
  </si>
  <si>
    <t>POWER BANK 8800</t>
  </si>
  <si>
    <t>POWER BANK 8800 MHA</t>
  </si>
  <si>
    <t>POWER BANK POKEMON 10.000 MAH</t>
  </si>
  <si>
    <t>POWER BANK SOLAR 500 MAH</t>
  </si>
  <si>
    <t>POWER BANK SOLAR 5000 MHA</t>
  </si>
  <si>
    <t>POWER BANK SOLAR COD 0139</t>
  </si>
  <si>
    <t>POWER BANK SOLAR DBLUE 5600 MHA</t>
  </si>
  <si>
    <t>POWER BANK ULTRA 2200 MAH</t>
  </si>
  <si>
    <t>POWERBANK 10000 MAH ASPOR</t>
  </si>
  <si>
    <t>PRESENTADOR DE DIAPOSITIVAS CON PUNTERO LASER PM27</t>
  </si>
  <si>
    <t>PRESENTADOR LASER COD 1711</t>
  </si>
  <si>
    <t>PRESENTADOR LASER CON ESTUCHE</t>
  </si>
  <si>
    <t>PRESENTADOR LASER PP-1000</t>
  </si>
  <si>
    <t>PROTECTOR AGUA IRM-1526</t>
  </si>
  <si>
    <t>PROTECTOR APPLE WATCH 38MM/40MM</t>
  </si>
  <si>
    <t>PROTECTOR CAMARA IPHONE X</t>
  </si>
  <si>
    <t>PROTECTOR DE CABLES BOCCINI TC5820</t>
  </si>
  <si>
    <t>PROTECTOR FACIAL</t>
  </si>
  <si>
    <t>PROTECTOR PARA CABLE DISEÑOS COD 5685</t>
  </si>
  <si>
    <t>PROYECTOR LUZ LASER IRM-01235</t>
  </si>
  <si>
    <t>PUNTERO LASER COD 8512</t>
  </si>
  <si>
    <t>PUNTERO LASER VERDE ASTRONOMICO COD 1077</t>
  </si>
  <si>
    <t>PUNTERO LASER VERDE COD 111869</t>
  </si>
  <si>
    <t>RAD AKITA 410 10 BAND. 220 V Y PILA REC.MICRÓFONO</t>
  </si>
  <si>
    <t>RAD AKITA 655 3 BAND BAT REC.USB,MEMO 3 PARLANT</t>
  </si>
  <si>
    <t>RAD COLON 800 4 BAND 220 V Y PILA REC, USB MEMO</t>
  </si>
  <si>
    <t>RAD IN 218-8BAND. 220 V Y PILA REC.USB, MEMO, LINT</t>
  </si>
  <si>
    <t>RAD KCHIBO 2005 9 BAND 220 V Y PILA REC.</t>
  </si>
  <si>
    <t>RADIO 9 BANDAS, BAT, PILA, 220 V. USB, SD,</t>
  </si>
  <si>
    <t>RADIO AM/FM/SW, CARGADOR SOLAR, 220 V, MOBILE</t>
  </si>
  <si>
    <t>RADIO BLUETOOTH AKITA 645</t>
  </si>
  <si>
    <t>RADIO BLUETOOTH CON LUCES ET-R2493B</t>
  </si>
  <si>
    <t>RADIO DESPERTADOR FM COD 252 BLUETOOTH</t>
  </si>
  <si>
    <t>RADIO ET-2603B</t>
  </si>
  <si>
    <t>RADIO ET-R1712BFM</t>
  </si>
  <si>
    <t>RADIO ET-R1863S</t>
  </si>
  <si>
    <t>RADIO ET-R2163S</t>
  </si>
  <si>
    <t>RADIO ET-R2253B</t>
  </si>
  <si>
    <t>RADIO ET-R2553S</t>
  </si>
  <si>
    <t>RADIO ET-R2560B</t>
  </si>
  <si>
    <t>RADIO ET-R2561B</t>
  </si>
  <si>
    <t>RADIO ET-R2565B</t>
  </si>
  <si>
    <t>RADIO FM, 9 BANDAS, LINTERNA, RECARGABLE 220 Y 5 V</t>
  </si>
  <si>
    <t>RADIO GALON 1320 CON PANEL SOLAR</t>
  </si>
  <si>
    <t>RADIO GRABADOR CON MICROFONO ET-R1561MB</t>
  </si>
  <si>
    <t>RADIO GRABADOR ET-R1691MB</t>
  </si>
  <si>
    <t>RADIO MP3 ET-2133S</t>
  </si>
  <si>
    <t>Radio Parlante ET-5008</t>
  </si>
  <si>
    <t>Radio Parlante ET-P3311</t>
  </si>
  <si>
    <t>Radio Parlante ET-P3316</t>
  </si>
  <si>
    <t>Radio Parlante ET-P3413</t>
  </si>
  <si>
    <t>RADIO PHILIPS AZ380</t>
  </si>
  <si>
    <t>RADIO PORTATIL AIWA AW-50 FM</t>
  </si>
  <si>
    <t>RADIO PORTATIL AM-FM RP250</t>
  </si>
  <si>
    <t>RADIO PORTATIL AM-FM RP264</t>
  </si>
  <si>
    <t>RADIO PORTATIL AM/FM BLUETOOTH TARGET TT-CF18BT</t>
  </si>
  <si>
    <t>RADIO PORTATIL BLUETOOTH ET-P2382B</t>
  </si>
  <si>
    <t>RADIO PORTATIL CON CASETTE YG-333U</t>
  </si>
  <si>
    <t>RADIO PORTATIL CON RELOJ ET-R2754</t>
  </si>
  <si>
    <t>RADIO PORTATIL ET-P2457MB</t>
  </si>
  <si>
    <t>RADIO PORTATIL ET-R1173B</t>
  </si>
  <si>
    <t>RADIO PORTATIL ET-R1387B</t>
  </si>
  <si>
    <t>RADIO PORTATIL ET-R1573</t>
  </si>
  <si>
    <t>RADIO PORTATIL ET-R1705BFM</t>
  </si>
  <si>
    <t>RADIO PORTATIL ET-R1708BFM</t>
  </si>
  <si>
    <t>RADIO PORTATIL ET-R1716B</t>
  </si>
  <si>
    <t>RADIO PORTATIL ET-R1718B</t>
  </si>
  <si>
    <t>RADIO PORTATIL ET-R1832 CON PANEL SOLAR</t>
  </si>
  <si>
    <t>RADIO PORTATIL ET-R1861MB RADIO PROFESOR</t>
  </si>
  <si>
    <t>RADIO PORTATIL ET-R1882</t>
  </si>
  <si>
    <t>RADIO PORTATIL ET-R2094B</t>
  </si>
  <si>
    <t>RADIO PORTATIL ET-R2124B</t>
  </si>
  <si>
    <t>RADIO PORTATIL ET-R2143B</t>
  </si>
  <si>
    <t>RADIO PORTATIL ET-R2152B</t>
  </si>
  <si>
    <t>RADIO PORTATIL ET-R2156B</t>
  </si>
  <si>
    <t>RADIO PORTATIL ET-R2309BS</t>
  </si>
  <si>
    <t>RADIO PORTATIL ET-R2560B</t>
  </si>
  <si>
    <t>RADIO PORTATIL ET-R2573B</t>
  </si>
  <si>
    <t>RADIO PORTATIL ET-R2593B</t>
  </si>
  <si>
    <t>RADIO PORTATIL ET-R2627B</t>
  </si>
  <si>
    <t>RADIO PORTATIL ET-R2673B</t>
  </si>
  <si>
    <t>RADIO PORTATIL ET-R2683B</t>
  </si>
  <si>
    <t>RADIO PORTATIL ET-R2893B</t>
  </si>
  <si>
    <t>RADIO PORTATIL ET-R2928</t>
  </si>
  <si>
    <t>RADIO PORTATIL ET-R2952B SOLAR</t>
  </si>
  <si>
    <t>RADIO PORTATIL ET-R2955B SOLAR</t>
  </si>
  <si>
    <t>RADIO PORTATIL ET-RF306B</t>
  </si>
  <si>
    <t>RADIO PORTATIL ET-RICF18</t>
  </si>
  <si>
    <t>RADIO PORTATIL FM, USB,SD</t>
  </si>
  <si>
    <t>RADIO PORTATIL FM/AM RP-1240</t>
  </si>
  <si>
    <t>RADIO PORTATIL PHILCO IC-X15 CON AUDIFONO</t>
  </si>
  <si>
    <t>RADIO PORTATIL PHILCO IC-X60</t>
  </si>
  <si>
    <t>RADIO PORTATIL PHILCO IC-X60 COD 100319</t>
  </si>
  <si>
    <t>RADIO PORTATIL PHILCO ICX-20</t>
  </si>
  <si>
    <t>RADIO PORTATIL SONY ICF-P26</t>
  </si>
  <si>
    <t>RADIO PORTATIL VX-031TUF</t>
  </si>
  <si>
    <t>RADIO PORTATIL VX-047SL SOLAR</t>
  </si>
  <si>
    <t>RADIO PORTATIL VX-3103U</t>
  </si>
  <si>
    <t>RADIO PORTATIL VX-310USL SOLAR</t>
  </si>
  <si>
    <t>RADIO PORTATIL VX-322SL SOLAR</t>
  </si>
  <si>
    <t>RADIO PORTATIL VX-337SL SOLAR</t>
  </si>
  <si>
    <t>RADIO PORTATIL VX-341BT</t>
  </si>
  <si>
    <t>RADIO PORTATIL VX-346BT</t>
  </si>
  <si>
    <t>RADIO PORTATIL VX-359</t>
  </si>
  <si>
    <t>RADIO RELOJ</t>
  </si>
  <si>
    <t>P241524314</t>
  </si>
  <si>
    <t>RADIO SONY C.AUDIFONO SRF50- WALKMAN</t>
  </si>
  <si>
    <t>RADIO SONY P26</t>
  </si>
  <si>
    <t>RADIO YG-601 1716</t>
  </si>
  <si>
    <t>RECEPTOR BLUETOOTH AUDIO USB+PLUG COD.92084</t>
  </si>
  <si>
    <t>RECEPTOR BLUETOOTH BOCCINI BT350</t>
  </si>
  <si>
    <t>RECEPTOR BLUETOOTH BOCCINI BT360</t>
  </si>
  <si>
    <t>RECEPTOR BLUETOOTH BOCCINI BT600</t>
  </si>
  <si>
    <t>RECEPTOR BLUETOOTH BOCCINI M188</t>
  </si>
  <si>
    <t>RECEPTOR BLUETOOTH BOCCINI TX6</t>
  </si>
  <si>
    <t>RECEPTOR BLUETOOTH BT-450</t>
  </si>
  <si>
    <t>RECEPTOR BLUETOOTH CON AUXILIAR</t>
  </si>
  <si>
    <t>RECEPTOR BLUETOOTH IRM-01787</t>
  </si>
  <si>
    <t>RECEPTOR BLUETOOTH MICRO SD COD 2892</t>
  </si>
  <si>
    <t>RECEPTOR BLUETOOTH X6 BT-450</t>
  </si>
  <si>
    <t>RECEPTOR USB BLUETOOTH HUBT02</t>
  </si>
  <si>
    <t>RELOJ DIGITAL CUADRADO LED 1019</t>
  </si>
  <si>
    <t>RELOJ PARA SMARTPHONE BLUETOOTH REDONDO COD 886</t>
  </si>
  <si>
    <t>RELOJ RADIO ET-K5027</t>
  </si>
  <si>
    <t>RELOJ SMART WACTH COD 10270</t>
  </si>
  <si>
    <t>RELOJ SMART WATCH COD 2926</t>
  </si>
  <si>
    <t>RELOJ SMART WATCH COD 2993</t>
  </si>
  <si>
    <t>REPETIDOR DE SEÑAL WIFI 600M DOBLE ANTENA</t>
  </si>
  <si>
    <t>REPETIDOR DE SEÑAL WIFI M300</t>
  </si>
  <si>
    <t>REPRODUCTOR MP3 MICRO SD TIPO SHUFFLE BLACK</t>
  </si>
  <si>
    <t>REPRODUCTOR MP3 MICRO SD TIPO SHUFFLE BLUE</t>
  </si>
  <si>
    <t>REPRODUCTOR MP3 MICRO SD TIPO SHUFFLE CON VISOR SILVER</t>
  </si>
  <si>
    <t>REPRODUCTOR MP3 MICRO SD TIPO SHUFFLE RED</t>
  </si>
  <si>
    <t>REPRODUCTOR MP3 MICRO SD TIPO SHUFFLE SILVER</t>
  </si>
  <si>
    <t>REPUESTO PANTALLA IPHONE 7</t>
  </si>
  <si>
    <t>RESPUESTO PANTALLA HUAWEI MATE 10 LITE</t>
  </si>
  <si>
    <t>REVISION SERVICIO TECNICO 3</t>
  </si>
  <si>
    <t>REVISION SERVICIO TECNICO 4</t>
  </si>
  <si>
    <t>REVISION SERVICIO TECNICO 5</t>
  </si>
  <si>
    <t>RING PARA CELULAR DISEÑOS</t>
  </si>
  <si>
    <t>RING PARA CELULAR IRM-06289</t>
  </si>
  <si>
    <t>RING PARA CELULAR IRM-06290</t>
  </si>
  <si>
    <t>ROKU EXPRESS</t>
  </si>
  <si>
    <t>SANITIZANTE AMONIO CUATERNARIO</t>
  </si>
  <si>
    <t>SD 32 SANDISK EXTREME PRO</t>
  </si>
  <si>
    <t>SELFIE CON BLUETOOTH Z 07-5</t>
  </si>
  <si>
    <t>SELFIE CON DISPARADOR BLUETOOTH</t>
  </si>
  <si>
    <t>SELFIE CON TRIPODE MOD 01</t>
  </si>
  <si>
    <t>SELFIE DB SCM14BLUE</t>
  </si>
  <si>
    <t>SELFIE DB SCM14G</t>
  </si>
  <si>
    <t>SELFIE MAXELL RS-100</t>
  </si>
  <si>
    <t>SELFIE MONOPOD + CONTROL BLUETOOTH - FE</t>
  </si>
  <si>
    <t>SELFIE PARA GO PRO</t>
  </si>
  <si>
    <t>SELFIE PARA GO PRO 4 LARGO 1,2 M</t>
  </si>
  <si>
    <t>SELFIE PARA GOPRO CON TRIPODE 2929</t>
  </si>
  <si>
    <t>SELFIE PY 011 + DISPARADOR BLUETOOTH</t>
  </si>
  <si>
    <t>SELFIE STICK IRM-1599</t>
  </si>
  <si>
    <t>SELFIE ULTRA LARGO MOD 1288</t>
  </si>
  <si>
    <t>SELFIE Z 07-5 C. BLUETOOTH INCORPORADO</t>
  </si>
  <si>
    <t>SELFIE Z-07 C. BLUETOOTH - FE</t>
  </si>
  <si>
    <t>SELFIE Z07-5</t>
  </si>
  <si>
    <t>SENSOR DE MOVIMIENTO COD 2248</t>
  </si>
  <si>
    <t>SENSOR PARKING COD 1344</t>
  </si>
  <si>
    <t>SERVICIO TECNICO 2 ACT</t>
  </si>
  <si>
    <t>SERVICIO TECNICO 3 ACT</t>
  </si>
  <si>
    <t>SERVICIO TECNICO 4</t>
  </si>
  <si>
    <t>SERVICIO TECNICO 5</t>
  </si>
  <si>
    <t>SERVICIO TECNICO 6</t>
  </si>
  <si>
    <t>SET DESTORNILLADORES CELULAR COD 111836</t>
  </si>
  <si>
    <t>SET LIMPIADOR LCD 200 ML</t>
  </si>
  <si>
    <t>SET LIMPIADOR LCD 60 ML</t>
  </si>
  <si>
    <t>SET LIMPIEZA LCD 4 EN 1</t>
  </si>
  <si>
    <t>SET LUZ BICI COD 1689</t>
  </si>
  <si>
    <t>SET LUZ BICI COD 4218</t>
  </si>
  <si>
    <t>SILICONA POKEMON</t>
  </si>
  <si>
    <t>SINTONIZADOR BLUETOOTH FM EARLDOM ET-M26</t>
  </si>
  <si>
    <t>SMART BAND COD 14441</t>
  </si>
  <si>
    <t>SMART BAND COD 6103</t>
  </si>
  <si>
    <t>SMART TV</t>
  </si>
  <si>
    <t>SMART TV BOX X 96 ANDROID 10 COD 117809</t>
  </si>
  <si>
    <t>SMART WATCH</t>
  </si>
  <si>
    <t>SMART WATCH ET-K9004B</t>
  </si>
  <si>
    <t>SMART WATCH INALAMBRICO DBSMB02</t>
  </si>
  <si>
    <t>SMARTWATCH COD 3020 BLUETOOTH, MICRO SD</t>
  </si>
  <si>
    <t>SMARTWATCH ET-K9009B</t>
  </si>
  <si>
    <t>SMARTWATCH ET-K9011B</t>
  </si>
  <si>
    <t>SMARTWATCH IRM-08316</t>
  </si>
  <si>
    <t>SMARTWATCH IRM-08317 FT80</t>
  </si>
  <si>
    <t>SMARTWATCH IRM-08636 K60</t>
  </si>
  <si>
    <t>SOBRE GRANDE</t>
  </si>
  <si>
    <t>SOBRE TABLET UNIVERSAL</t>
  </si>
  <si>
    <t>SOOWOOFER MICRO SISTEN 2.1</t>
  </si>
  <si>
    <t>SOPORTE CELULAR BRAZO AJUSTABLE AUTOMATICO</t>
  </si>
  <si>
    <t>SOPORTE CELULAR BRAZO IRM-5068</t>
  </si>
  <si>
    <t>SOPORTE CELULAR MAGNETICO 03821</t>
  </si>
  <si>
    <t>SOPORTE DE AUTO COD 2002 BRACKET</t>
  </si>
  <si>
    <t>SOPORTE DE AUTO COD 2492</t>
  </si>
  <si>
    <t>SOPORTE DE MESA PARA CELULAR</t>
  </si>
  <si>
    <t>SOPORTE DE TV ARTICULADO 17"-55" TARGET TT-STV8</t>
  </si>
  <si>
    <t>SOPORTE DE TV ARTICULADO 32"-70" CP502</t>
  </si>
  <si>
    <t>SOPORTE DE TV FIJO 23"-60" TARGET TT-STV6</t>
  </si>
  <si>
    <t>SOPORTE DE TV FIJO COD 111451 14" A 42"</t>
  </si>
  <si>
    <t>SOPORTE DE TV XTECH XTA-375 32" A 70"</t>
  </si>
  <si>
    <t>soporte go pro</t>
  </si>
  <si>
    <t>SOPORTE MAGNETICO COD 2220</t>
  </si>
  <si>
    <t>SOPORTE PARA LCD 14" A 55" COD 111440</t>
  </si>
  <si>
    <t>SOPORTE PARA LCD 37" A 84" PHILIPS</t>
  </si>
  <si>
    <t>SOPORTE PARA LCD 40" A 65" PHILIPS</t>
  </si>
  <si>
    <t>SOPORTE PARA MOTO O BICICLETA COD 331</t>
  </si>
  <si>
    <t>SOPORTE PARA TABLET ACCELLORIZE</t>
  </si>
  <si>
    <t>SOPORTE TABLET ASIENTO HU201</t>
  </si>
  <si>
    <t>SOPORTE TABLET PARA ASIENTO</t>
  </si>
  <si>
    <t>SOPORTE TRIPODE GOPRO C/TORN</t>
  </si>
  <si>
    <t>SOPORTE UNIVERSAL GOMA</t>
  </si>
  <si>
    <t>SOUND BAR C SUBWOOFER SB-5139BT</t>
  </si>
  <si>
    <t>SPINNER</t>
  </si>
  <si>
    <t>SPLITTER ADSL 2 SALIDAS COD 3973</t>
  </si>
  <si>
    <t>SPLITTER HDMI 1X4</t>
  </si>
  <si>
    <t>SPLITTER HDMI 2 SALIDAS</t>
  </si>
  <si>
    <t>SPLITTER HDMI 4 SALIDAS</t>
  </si>
  <si>
    <t>SPLITTER HDMI IRM-06040 2 SALIDAS</t>
  </si>
  <si>
    <t>SPLITTER HDMI IRM-06041 4 SALIDAS</t>
  </si>
  <si>
    <t>SUBWOOFER 2.1 PHILCO</t>
  </si>
  <si>
    <t>SWITCH HDMI 3 EN 1 1212-15</t>
  </si>
  <si>
    <t>SWITCH HDMI IRM-6029 3 ENTRADAS 1 SALIDA</t>
  </si>
  <si>
    <t>TAMA CELU</t>
  </si>
  <si>
    <t>TAPA 2.0 SAM J5 PRIME</t>
  </si>
  <si>
    <t>TAPA BORDE COLOR SAM J5</t>
  </si>
  <si>
    <t>TAPA G PLAY MINI</t>
  </si>
  <si>
    <t>TAPA MOTOMO GOMA IPHONE 6 (4.7)</t>
  </si>
  <si>
    <t>TAPA YOU YOU-SWAROSKY MOTO G4</t>
  </si>
  <si>
    <t>TAPA + VIDRIO DISEÑO HUAWEI MATE 9 LITE</t>
  </si>
  <si>
    <t>TAPA + VIDRIO DISEÑO HUAWEI P9 LITE SMART</t>
  </si>
  <si>
    <t>TAPA + VIDRIO DISEÑO HUAWEI Y7</t>
  </si>
  <si>
    <t>TAPA + VIDRIO DISEÑO IPHONE 5</t>
  </si>
  <si>
    <t>TAPA + VIDRIO DISEÑO IPHONE 6G</t>
  </si>
  <si>
    <t>TAPA + VIDRIO DISEÑO IPHONE 7G</t>
  </si>
  <si>
    <t>TAPA + VIDRIO DISEÑO LG K10-2017</t>
  </si>
  <si>
    <t>TAPA + VIDRIO DISEÑO MOTO C</t>
  </si>
  <si>
    <t>TAPA + VIDRIO DISEÑO MOTO C PLUS</t>
  </si>
  <si>
    <t>TAPA + VIDRIO DISEÑO NOKIA 6</t>
  </si>
  <si>
    <t>TAPA + VIDRIO DISEÑO SAM J1 ACE</t>
  </si>
  <si>
    <t>TAPA + VIDRIO DISEÑO SAM J2 PRIME</t>
  </si>
  <si>
    <t>TAPA + VIDRIO DISEÑO SAM J5 PRIME</t>
  </si>
  <si>
    <t>TAPA + VIDRIO DISEÑO SAM J7 NEO</t>
  </si>
  <si>
    <t>TAPA + VIDRIO DISEÑO SAM J7 PRIME</t>
  </si>
  <si>
    <t>TAPA + VIDRIO DISEÑO SAM J7 PRO</t>
  </si>
  <si>
    <t>TAPA + VIDRIO DISEÑO SAM J7-2016</t>
  </si>
  <si>
    <t>TAPA + VIDRIO DISEÑO SAM S6 EDGE</t>
  </si>
  <si>
    <t>TAPA 2.0 MOTO C</t>
  </si>
  <si>
    <t>TAPA 2.0 ALCATEL C5</t>
  </si>
  <si>
    <t>TAPA 2.0 ALCATEL C7</t>
  </si>
  <si>
    <t>TAPA 2.0 ALCATEL C9</t>
  </si>
  <si>
    <t>TAPA 2.0 ALCATEL HERO 2C</t>
  </si>
  <si>
    <t>TAPA 2.0 ALCATEL IDOL 2 MINI</t>
  </si>
  <si>
    <t>TAPA 2.0 ALCATEL IDOL 3 4.7"</t>
  </si>
  <si>
    <t>TAPA 2.0 ALCATEL IDOL 4</t>
  </si>
  <si>
    <t>TAPA 2.0 ALCATEL IDOL MINI</t>
  </si>
  <si>
    <t>TAPA 2.0 ALCATEL OT 5025</t>
  </si>
  <si>
    <t>TAPA 2.0 ALCATEL PIXI</t>
  </si>
  <si>
    <t>TAPA 2.0 ALCATEL PIXI 3 5"</t>
  </si>
  <si>
    <t>TAPA 2.0 ALCATEL PIXI 3 4"</t>
  </si>
  <si>
    <t>TAPA 2.0 ALCATEL PIXI 3 4,5"</t>
  </si>
  <si>
    <t>TAPA 2.0 ALCATEL PIXI 3 4,7"</t>
  </si>
  <si>
    <t>TAPA 2.0 ALCATEL PIXI 4 4"</t>
  </si>
  <si>
    <t>TAPA 2.0 ALCATEL PIXI 4 5 CONECTOR ABAJO</t>
  </si>
  <si>
    <t>TAPA 2.0 ALCATEL PIXI 4 5"</t>
  </si>
  <si>
    <t>TAPA 2.0 ALCATEL PIXI 4 6"</t>
  </si>
  <si>
    <t>TAPA 2.0 ALCATEL POP 2</t>
  </si>
  <si>
    <t>TAPA 2.0 ALCATEL POP 3</t>
  </si>
  <si>
    <t>TAPA 2.0 ALCATEL POP 3 5"</t>
  </si>
  <si>
    <t>TAPA 2.0 ALCATEL POP 3 PREMIUM</t>
  </si>
  <si>
    <t>TAPA 2.0 ALCATEL POP 4 5.0</t>
  </si>
  <si>
    <t>TAPA 2.0 ALCATEL POP 4 PLUS</t>
  </si>
  <si>
    <t>TAPA 2.0 ALCATEL POP STAR</t>
  </si>
  <si>
    <t>TAPA 2.0 AZUMI A45T</t>
  </si>
  <si>
    <t>TAPA 2.0 AZUMI A50TQ</t>
  </si>
  <si>
    <t>TAPA 2.0 AZUMI A55T</t>
  </si>
  <si>
    <t>TAPA 2.0 DOBLE SONY E3</t>
  </si>
  <si>
    <t>TAPA 2.0 HTC 626 DESIRE</t>
  </si>
  <si>
    <t>TAPA 2.0 HUAWEI Y5-II</t>
  </si>
  <si>
    <t>TAPA 2.0 HUAWEI G PLAY</t>
  </si>
  <si>
    <t>TAPA 2.0 HUAWEI G PLAY MINI</t>
  </si>
  <si>
    <t>TAPA 2.0 HUAWEI G610</t>
  </si>
  <si>
    <t>TAPA 2.0 HUAWEI G7</t>
  </si>
  <si>
    <t>TAPA 2.0 HUAWEI GR3</t>
  </si>
  <si>
    <t>TAPA 2.0 HUAWEI GR5</t>
  </si>
  <si>
    <t>TAPA 2.0 HUAWEI MATE 10</t>
  </si>
  <si>
    <t>TAPA 2.0 HUAWEI MATE 10 LITE</t>
  </si>
  <si>
    <t>TAPA 2.0 HUAWEI MATE 10 PRO</t>
  </si>
  <si>
    <t>TAPA 2.0 HUAWEI MATE 20</t>
  </si>
  <si>
    <t>TAPA 2.0 HUAWEI MATE 20 LITE</t>
  </si>
  <si>
    <t>TAPA 2.0 HUAWEI MATE 20 PRO</t>
  </si>
  <si>
    <t>TAPA 2.0 HUAWEI MATE 30 LITE</t>
  </si>
  <si>
    <t>TAPA 2.0 HUAWEI MATE 8</t>
  </si>
  <si>
    <t>TAPA 2.0 HUAWEI MATE 9</t>
  </si>
  <si>
    <t>TAPA 2.0 HUAWEI MATE 9 LITE</t>
  </si>
  <si>
    <t>TAPA 2.0 HUAWEI NOVA 7 SE</t>
  </si>
  <si>
    <t>TAPA 2.0 HUAWEI P10</t>
  </si>
  <si>
    <t>TAPA 2.0 HUAWEI P10 LITE</t>
  </si>
  <si>
    <t>TAPA 2.0 HUAWEI P20</t>
  </si>
  <si>
    <t>TAPA 2.0 HUAWEI P20 LITE</t>
  </si>
  <si>
    <t>TAPA 2.0 HUAWEI P20 PRO</t>
  </si>
  <si>
    <t>TAPA 2.0 HUAWEI P30</t>
  </si>
  <si>
    <t>TAPA 2.0 HUAWEI P30 LITE</t>
  </si>
  <si>
    <t>TAPA 2.0 HUAWEI P30 PRO</t>
  </si>
  <si>
    <t>TAPA 2.0 HUAWEI P40</t>
  </si>
  <si>
    <t>TAPA 2.0 HUAWEI P40 LITE</t>
  </si>
  <si>
    <t>TAPA 2.0 HUAWEI P8</t>
  </si>
  <si>
    <t>TAPA 2.0 HUAWEI P8 LITE</t>
  </si>
  <si>
    <t>TAPA 2.0 HUAWEI P8 LITE 2017</t>
  </si>
  <si>
    <t>TAPA 2.0 HUAWEI P9</t>
  </si>
  <si>
    <t>TAPA 2.0 HUAWEI P9 LITE</t>
  </si>
  <si>
    <t>TAPA 2.0 HUAWEI P9 LITE 2017</t>
  </si>
  <si>
    <t>TAPA 2.0 HUAWEI P9 LITE MINI</t>
  </si>
  <si>
    <t>TAPA 2.0 HUAWEI P9 LITE SMART</t>
  </si>
  <si>
    <t>TAPA 2.0 HUAWEI P9 PLUS</t>
  </si>
  <si>
    <t>TAPA 2.0 HUAWEI P9/P8 LITE 2017</t>
  </si>
  <si>
    <t>TAPA 2.0 HUAWEI PSMART</t>
  </si>
  <si>
    <t>TAPA 2.0 HUAWEI PSMART 2019</t>
  </si>
  <si>
    <t>TAPA 2.0 HUAWEI Y3</t>
  </si>
  <si>
    <t>TAPA 2.0 HUAWEI Y3-2017</t>
  </si>
  <si>
    <t>TAPA 2.0 HUAWEI Y3-II</t>
  </si>
  <si>
    <t>TAPA 2.0 HUAWEI Y5-2017</t>
  </si>
  <si>
    <t>TAPA 2.0 HUAWEI Y5-2018</t>
  </si>
  <si>
    <t>TAPA 2.0 HUAWEI Y5-II 2017</t>
  </si>
  <si>
    <t>TAPA 2.0 HUAWEI Y5II</t>
  </si>
  <si>
    <t>TAPA 2.0 HUAWEI Y6</t>
  </si>
  <si>
    <t>TAPA 2.0 HUAWEI Y6 II</t>
  </si>
  <si>
    <t>TAPA 2.0 HUAWEI Y6-2018</t>
  </si>
  <si>
    <t>TAPA 2.0 HUAWEI Y6-2019</t>
  </si>
  <si>
    <t>TAPA 2.0 HUAWEI Y6-II</t>
  </si>
  <si>
    <t>TAPA 2.0 HUAWEI Y620</t>
  </si>
  <si>
    <t>TAPA 2.0 HUAWEI Y625</t>
  </si>
  <si>
    <t>TAPA 2.0 HUAWEI Y635</t>
  </si>
  <si>
    <t>TAPA 2.0 HUAWEI Y635 ASCEND</t>
  </si>
  <si>
    <t>TAPA 2.0 HUAWEI Y6P</t>
  </si>
  <si>
    <t>TAPA 2.0 HUAWEI Y7</t>
  </si>
  <si>
    <t>TAPA 2.0 HUAWEI Y7-2018</t>
  </si>
  <si>
    <t>TAPA 2.0 HUAWEI Y7-2019</t>
  </si>
  <si>
    <t>TAPA 2.0 HUAWEI Y7P</t>
  </si>
  <si>
    <t>TAPA 2.0 HUAWEI Y8P</t>
  </si>
  <si>
    <t>TAPA 2.0 HUAWEI Y9-2018</t>
  </si>
  <si>
    <t>TAPA 2.0 HUAWEI Y9-2019</t>
  </si>
  <si>
    <t>TAPA 2.0 HUAWEI Y9-2019 PRIME</t>
  </si>
  <si>
    <t>TAPA 2.0 HUAWEI Y9S</t>
  </si>
  <si>
    <t>TAPA 2.0 IPHONE 11</t>
  </si>
  <si>
    <t>TAPA 2.0 IPHONE 11 PRO</t>
  </si>
  <si>
    <t>TAPA 2.0 IPHONE 11 PRO MAX</t>
  </si>
  <si>
    <t>TAPA 2.0 IPHONE 12 MINI</t>
  </si>
  <si>
    <t>TAPA 2.0 IPHONE 12 PRO MAX</t>
  </si>
  <si>
    <t>TAPA 2.0 IPHONE 12/12 PRO</t>
  </si>
  <si>
    <t>TAPA 2.0 IPHONE 4</t>
  </si>
  <si>
    <t>TAPA 2.0 IPHONE 5</t>
  </si>
  <si>
    <t>TAPA 2.0 IPHONE 5 SIMPSON</t>
  </si>
  <si>
    <t>TAPA 2.0 IPHONE 6</t>
  </si>
  <si>
    <t>TAPA 2.0 IPHONE 6 5.5</t>
  </si>
  <si>
    <t>TAPA 2.0 IPHONE 6 PLUS</t>
  </si>
  <si>
    <t>TAPA 2.0 IPHONE 7</t>
  </si>
  <si>
    <t>TAPA 2.0 IPHONE 7 TAPA BLINDADA</t>
  </si>
  <si>
    <t>TAPA 2.0 IPHONE 7 PLUS</t>
  </si>
  <si>
    <t>TAPA 2.0 IPHONE 8</t>
  </si>
  <si>
    <t>TAPA 2.0 IPHONE 8 PLUS</t>
  </si>
  <si>
    <t>TAPA 2.0 IPHONE X</t>
  </si>
  <si>
    <t>TAPA 2.0 IPHONE X TAPA BLINDADA</t>
  </si>
  <si>
    <t>TAPA 2.0 IPHONE XR</t>
  </si>
  <si>
    <t>TAPA 2.0 IPHONE XS</t>
  </si>
  <si>
    <t>TAPA 2.0 IPHONE XS MAX</t>
  </si>
  <si>
    <t>TAPA 2.0 LENOVO 6020</t>
  </si>
  <si>
    <t>TAPA 2.0 LENOVO A2010</t>
  </si>
  <si>
    <t>TAPA 2.0 LENOVO K3</t>
  </si>
  <si>
    <t>TAPA 2.0 LENOVO K5</t>
  </si>
  <si>
    <t>TAPA 2.0 LENOVO K6</t>
  </si>
  <si>
    <t>TAPA 2.0 LENOVO K6 PLUS</t>
  </si>
  <si>
    <t>TAPA 2.0 LG STYLUS II</t>
  </si>
  <si>
    <t>TAPA 2.0 LG BEAT G3</t>
  </si>
  <si>
    <t>TAPA 2.0 LG D337 PRIME 2</t>
  </si>
  <si>
    <t>TAPA 2.0 LG G2</t>
  </si>
  <si>
    <t>TAPA 2.0 LG G2 LITE</t>
  </si>
  <si>
    <t>TAPA 2.0 LG G3 BEAT</t>
  </si>
  <si>
    <t>TAPA 2.0 LG G3 MINI</t>
  </si>
  <si>
    <t>TAPA 2.0 LG G3 STYLUS</t>
  </si>
  <si>
    <t>TAPA 2.0 LG G3 STYLUS D690</t>
  </si>
  <si>
    <t>TAPA 2.0 LG G4</t>
  </si>
  <si>
    <t>TAPA 2.0 LG G4 STYLUS</t>
  </si>
  <si>
    <t>TAPA 2.0 LG G5</t>
  </si>
  <si>
    <t>TAPA 2.0 LG K10</t>
  </si>
  <si>
    <t>TAPA 2.0 LG K10-2017</t>
  </si>
  <si>
    <t>TAPA 2.0 LG K11</t>
  </si>
  <si>
    <t>TAPA 2.0 LG K11 PLUS</t>
  </si>
  <si>
    <t>TAPA 2.0 LG K4-2017</t>
  </si>
  <si>
    <t>TAPA 2.0 LG K40</t>
  </si>
  <si>
    <t>TAPA 2.0 LG K5</t>
  </si>
  <si>
    <t>TAPA 2.0 LG K50/Q60</t>
  </si>
  <si>
    <t>TAPA 2.0 LG K500</t>
  </si>
  <si>
    <t>TAPA 2.0 LG K500 SCREEN</t>
  </si>
  <si>
    <t>TAPA 2.0 LG K7</t>
  </si>
  <si>
    <t>TAPA 2.0 LG K8</t>
  </si>
  <si>
    <t>TAPA 2.0 LG K8-2017</t>
  </si>
  <si>
    <t>TAPA 2.0 LG L2 D337 II</t>
  </si>
  <si>
    <t>TAPA 2.0 LG L2 PRIME</t>
  </si>
  <si>
    <t>TAPA 2.0 LG L5</t>
  </si>
  <si>
    <t>TAPA 2.0 LG LEON</t>
  </si>
  <si>
    <t>TAPA 2.0 LG LEON C40</t>
  </si>
  <si>
    <t>TAPA 2.0 LG LIFT D290</t>
  </si>
  <si>
    <t>TAPA 2.0 LG MAGNA</t>
  </si>
  <si>
    <t>TAPA 2.0 LG MAGNA H502</t>
  </si>
  <si>
    <t>TAPA 2.0 LG NEW D 337-II PRIME 2</t>
  </si>
  <si>
    <t>TAPA 2.0 LG PRIME 2</t>
  </si>
  <si>
    <t>TAPA 2.0 LG Q STYLUS</t>
  </si>
  <si>
    <t>TAPA 2.0 LG Q6</t>
  </si>
  <si>
    <t>TAPA 2.0 LG Q7</t>
  </si>
  <si>
    <t>TAPA 2.0 LG STYLUS 2 PLUS</t>
  </si>
  <si>
    <t>TAPA 2.0 LG STYLUS 3</t>
  </si>
  <si>
    <t>TAPA 2.0 LG STYLUS III</t>
  </si>
  <si>
    <t>TAPA 2.0 LG V10</t>
  </si>
  <si>
    <t>TAPA 2.0 LG X CAM</t>
  </si>
  <si>
    <t>TAPA 2.0 LG X MAX</t>
  </si>
  <si>
    <t>TAPA 2.0 LG X POWER</t>
  </si>
  <si>
    <t>TAPA 2.0 LG X POWER 2</t>
  </si>
  <si>
    <t>TAPA 2.0 LG X POWER II</t>
  </si>
  <si>
    <t>TAPA 2.0 LG X SCREEN</t>
  </si>
  <si>
    <t>TAPA 2.0 LG XCAM</t>
  </si>
  <si>
    <t>TAPA 2.0 MOTO C PLUS</t>
  </si>
  <si>
    <t>TAPA 2.0 MOTO E</t>
  </si>
  <si>
    <t>TAPA 2.0 MOTO E2</t>
  </si>
  <si>
    <t>TAPA 2.0 MOTO E4</t>
  </si>
  <si>
    <t>TAPA 2.0 MOTO E4 PLUS</t>
  </si>
  <si>
    <t>TAPA 2.0 MOTO E5</t>
  </si>
  <si>
    <t>TAPA 2.0 MOTO E5 PLAY</t>
  </si>
  <si>
    <t>TAPA 2.0 MOTO E5 PLUS</t>
  </si>
  <si>
    <t>TAPA 2.0 MOTO E6S</t>
  </si>
  <si>
    <t>TAPA 2.0 MOTO G</t>
  </si>
  <si>
    <t>TAPA 2.0 MOTO G2</t>
  </si>
  <si>
    <t>TAPA 2.0 MOTO G3</t>
  </si>
  <si>
    <t>TAPA 2.0 MOTO G4</t>
  </si>
  <si>
    <t>TAPA 2.0 MOTO G4 PLAY</t>
  </si>
  <si>
    <t>TAPA 2.0 MOTO G4 PLUS</t>
  </si>
  <si>
    <t>TAPA 2.0 MOTO G5</t>
  </si>
  <si>
    <t>TAPA 2.0 MOTO G5 PLUS</t>
  </si>
  <si>
    <t>TAPA 2.0 MOTO G5S</t>
  </si>
  <si>
    <t>TAPA 2.0 MOTO G5S PLUS</t>
  </si>
  <si>
    <t>TAPA 2.0 MOTO G6</t>
  </si>
  <si>
    <t>TAPA 2.0 MOTO G6 PLAY</t>
  </si>
  <si>
    <t>TAPA 2.0 MOTO G6 PLUS</t>
  </si>
  <si>
    <t>TAPA 2.0 MOTO G7</t>
  </si>
  <si>
    <t>TAPA 2.0 MOTO G7 PLAY</t>
  </si>
  <si>
    <t>TAPA 2.0 MOTO G7 POWER</t>
  </si>
  <si>
    <t>TAPA 2.0 MOTO G8 POWER LITE</t>
  </si>
  <si>
    <t>TAPA 2.0 MOTO ONE</t>
  </si>
  <si>
    <t>TAPA 2.0 MOTO ONE ACTION</t>
  </si>
  <si>
    <t>TAPA 2.0 MOTO X</t>
  </si>
  <si>
    <t>TAPA 2.0 MOTO X PLAY</t>
  </si>
  <si>
    <t>TAPA 2.0 MOTO X2</t>
  </si>
  <si>
    <t>TAPA 2.0 MOTO X4</t>
  </si>
  <si>
    <t>TAPA 2.0 MOTO Z</t>
  </si>
  <si>
    <t>TAPA 2.0 MOTO Z PLAY</t>
  </si>
  <si>
    <t>TAPA 2.0 MOTO Z2 PLAY</t>
  </si>
  <si>
    <t>TAPA 2.0 NOKIA 1</t>
  </si>
  <si>
    <t>TAPA 2.0 NOKIA 2</t>
  </si>
  <si>
    <t>TAPA 2.0 NOKIA 2.1</t>
  </si>
  <si>
    <t>TAPA 2.0 NOKIA 3</t>
  </si>
  <si>
    <t>TAPA 2.0 NOKIA 3.1</t>
  </si>
  <si>
    <t>TAPA 2.0 NOKIA 5</t>
  </si>
  <si>
    <t>TAPA 2.0 NOKIA 5.1</t>
  </si>
  <si>
    <t>TAPA 2.0 NOKIA 5.1 PLUS</t>
  </si>
  <si>
    <t>TAPA 2.0 NOKIA 6</t>
  </si>
  <si>
    <t>TAPA 2.0 NOKIA 6.1</t>
  </si>
  <si>
    <t>TAPA 2.0 NOKIA 8</t>
  </si>
  <si>
    <t>TAPA 2.0 OWN 4035 4G</t>
  </si>
  <si>
    <t>TAPA 2.0 OWN 4040</t>
  </si>
  <si>
    <t>TAPA 2.0 OWN 5030</t>
  </si>
  <si>
    <t>TAPA 2.0 OWN S 4035</t>
  </si>
  <si>
    <t>TAPA 2.0 OWN S1</t>
  </si>
  <si>
    <t>TAPA 2.0 OWN STYLE</t>
  </si>
  <si>
    <t>TAPA 2.0 SAM 360</t>
  </si>
  <si>
    <t>TAPA 2.0 SAM 530</t>
  </si>
  <si>
    <t>TAPA 2.0 SAM 850 ALPHA</t>
  </si>
  <si>
    <t>TAPA 2.0 SAM 9600 S=5</t>
  </si>
  <si>
    <t>TAPA 2.0 SAM A01</t>
  </si>
  <si>
    <t>TAPA 2.0 SAM A01 CORE</t>
  </si>
  <si>
    <t>TAPA 2.0 SAM A02</t>
  </si>
  <si>
    <t>TAPA 2.0 SAM A02S</t>
  </si>
  <si>
    <t>TAPA 2.0 SAM A10</t>
  </si>
  <si>
    <t>TAPA 2.0 SAM A10S</t>
  </si>
  <si>
    <t>TAPA 2.0 SAM A11</t>
  </si>
  <si>
    <t>TAPA 2.0 SAM A12</t>
  </si>
  <si>
    <t>TAPA 2.0 SAM A20</t>
  </si>
  <si>
    <t>TAPA 2.0 SAM A20S</t>
  </si>
  <si>
    <t>TAPA 2.0 SAM A21S</t>
  </si>
  <si>
    <t>TAPA 2.0 SAM A3</t>
  </si>
  <si>
    <t>TAPA 2.0 SAM A3-2016</t>
  </si>
  <si>
    <t>TAPA 2.0 SAM A30</t>
  </si>
  <si>
    <t>TAPA 2.0 SAM A30S</t>
  </si>
  <si>
    <t>TAPA 2.0 SAM A31</t>
  </si>
  <si>
    <t>TAPA 2.0 SAM A32</t>
  </si>
  <si>
    <t>TAPA 2.0 SAM A40</t>
  </si>
  <si>
    <t>TAPA 2.0 SAM A5</t>
  </si>
  <si>
    <t>TAPA 2.0 SAM A5-2016</t>
  </si>
  <si>
    <t>TAPA 2.0 SAM A5-2017</t>
  </si>
  <si>
    <t>TAPA 2.0 SAM A50</t>
  </si>
  <si>
    <t>TAPA 2.0 SAM A51</t>
  </si>
  <si>
    <t>TAPA 2.0 SAM A52</t>
  </si>
  <si>
    <t>TAPA 2.0 SAM A6</t>
  </si>
  <si>
    <t>TAPA 2.0 SAM A6 PLUS</t>
  </si>
  <si>
    <t>TAPA 2.0 SAM A7-2016</t>
  </si>
  <si>
    <t>TAPA 2.0 SAM A7-2018</t>
  </si>
  <si>
    <t>TAPA 2.0 SAM A70</t>
  </si>
  <si>
    <t>TAPA 2.0 SAM A71</t>
  </si>
  <si>
    <t>TAPA 2.0 SAM A72</t>
  </si>
  <si>
    <t>TAPA 2.0 SAM A8</t>
  </si>
  <si>
    <t>TAPA 2.0 SAM A8 PLUS</t>
  </si>
  <si>
    <t>TAPA 2.0 SAM A9</t>
  </si>
  <si>
    <t>TAPA 2.0 SAM ACE 4</t>
  </si>
  <si>
    <t>TAPA 2.0 SAM CORE</t>
  </si>
  <si>
    <t>TAPA 2.0 SAM CORE 2</t>
  </si>
  <si>
    <t>TAPA 2.0 SAM CORE 2 6355</t>
  </si>
  <si>
    <t>TAPA 2.0 SAM CORE PRIME</t>
  </si>
  <si>
    <t>TAPA 2.0 SAM E5</t>
  </si>
  <si>
    <t>TAPA 2.0 SAM E7</t>
  </si>
  <si>
    <t>TAPA 2.0 SAM FAME</t>
  </si>
  <si>
    <t>TAPA 2.0 SAM G PRIME G530</t>
  </si>
  <si>
    <t>TAPA 2.0 SAM G355</t>
  </si>
  <si>
    <t>TAPA 2.0 SAM G360</t>
  </si>
  <si>
    <t>TAPA 2.0 SAM G530</t>
  </si>
  <si>
    <t>TAPA 2.0 SAM G530 GRAND PRIME</t>
  </si>
  <si>
    <t>TAPA 2.0 SAM G720</t>
  </si>
  <si>
    <t>TAPA 2.0 SAM GRAND</t>
  </si>
  <si>
    <t>TAPA 2.0 SAM GRAND 1480</t>
  </si>
  <si>
    <t>TAPA 2.0 SAM GRAND 3 G7200</t>
  </si>
  <si>
    <t>TAPA 2.0 SAM GRAND 9080</t>
  </si>
  <si>
    <t>TAPA 2.0 SAM GRAND PRIME</t>
  </si>
  <si>
    <t>TAPA 2.0 SAM GRAND PRIME 530</t>
  </si>
  <si>
    <t>TAPA 2.0 SAM GRAND PRIME G530</t>
  </si>
  <si>
    <t>TAPA 2.0 SAM J1</t>
  </si>
  <si>
    <t>TAPA 2.0 SAM J1 ACE</t>
  </si>
  <si>
    <t>TAPA 2.0 SAM J1 MINI</t>
  </si>
  <si>
    <t>TAPA 2.0 SAM J1 MINI PRIME</t>
  </si>
  <si>
    <t>TAPA 2.0 SAM J2</t>
  </si>
  <si>
    <t>TAPA 2.0 SAM J2 CORE</t>
  </si>
  <si>
    <t>TAPA 2.0 SAM J2 PRIME</t>
  </si>
  <si>
    <t>TAPA 2.0 SAM J2 PRO</t>
  </si>
  <si>
    <t>TAPA 2.0 SAM J2-2016</t>
  </si>
  <si>
    <t>TAPA 2.0 SAM J3</t>
  </si>
  <si>
    <t>TAPA 2.0 SAM J3-2015-2016</t>
  </si>
  <si>
    <t>TAPA 2.0 SAM J3-2016</t>
  </si>
  <si>
    <t>TAPA 2.0 SAM J4</t>
  </si>
  <si>
    <t>TAPA 2.0 SAM J5</t>
  </si>
  <si>
    <t>TAPA 2.0 SAM J5 PRO</t>
  </si>
  <si>
    <t>TAPA 2.0 SAM J5-2016</t>
  </si>
  <si>
    <t>TAPA 2.0 SAM J5-2107</t>
  </si>
  <si>
    <t>TAPA 2.0 SAM J6 PLUS</t>
  </si>
  <si>
    <t>TAPA 2.0 SAM J7</t>
  </si>
  <si>
    <t>TAPA 2.0 SAM J7 DUO</t>
  </si>
  <si>
    <t>TAPA 2.0 SAM J7 NEO</t>
  </si>
  <si>
    <t>TAPA 2.0 SAM J7 PRIME</t>
  </si>
  <si>
    <t>TAPA 2.0 SAM J7 PRO</t>
  </si>
  <si>
    <t>TAPA 2.0 SAM J7-2016</t>
  </si>
  <si>
    <t>TAPA 2.0 SAM J8</t>
  </si>
  <si>
    <t>TAPA 2.0 SAM NOTE 10</t>
  </si>
  <si>
    <t>TAPA 2.0 SAM NOTE 10 LITE</t>
  </si>
  <si>
    <t>TAPA 2.0 SAM NOTE 3</t>
  </si>
  <si>
    <t>TAPA 2.0 SAM NOTE 4</t>
  </si>
  <si>
    <t>TAPA 2.0 SAM NOTE 8</t>
  </si>
  <si>
    <t>TAPA 2.0 SAM NOTE 9</t>
  </si>
  <si>
    <t>TAPA 2.0 SAM S10</t>
  </si>
  <si>
    <t>TAPA 2.0 SAM S10 EDGE</t>
  </si>
  <si>
    <t>TAPA 2.0 SAM S10 PLUS</t>
  </si>
  <si>
    <t>TAPA 2.0 SAM S20</t>
  </si>
  <si>
    <t>TAPA 2.0 SAM S20 PLUS</t>
  </si>
  <si>
    <t>TAPA 2.0 SAM S20 ULTRA</t>
  </si>
  <si>
    <t>TAPA 2.0 SAM S20FE</t>
  </si>
  <si>
    <t>TAPA 2.0 SAM S21</t>
  </si>
  <si>
    <t>TAPA 2.0 SAM S3</t>
  </si>
  <si>
    <t>TAPA 2.0 SAM S3 NEO</t>
  </si>
  <si>
    <t>TAPA 2.0 SAM S4</t>
  </si>
  <si>
    <t>TAPA 2.0 SAM S6</t>
  </si>
  <si>
    <t>TAPA 2.0 SAM S6 EDGE</t>
  </si>
  <si>
    <t>TAPA 2.0 SAM S6 EDGE PLUS</t>
  </si>
  <si>
    <t>TAPA 2.0 SAM S6 PLUS</t>
  </si>
  <si>
    <t>TAPA 2.0 SAM S7</t>
  </si>
  <si>
    <t>TAPA 2.0 SAM S7 EDGE</t>
  </si>
  <si>
    <t>TAPA 2.0 SAM S8</t>
  </si>
  <si>
    <t>TAPA 2.0 SAM S8 PLUS</t>
  </si>
  <si>
    <t>TAPA 2.0 SAM S9</t>
  </si>
  <si>
    <t>TAPA 2.0 SAM S9 PLUS</t>
  </si>
  <si>
    <t>TAPA 2.0 SAMSUNG A3</t>
  </si>
  <si>
    <t>TAPA 2.0 SAMSUNG E5</t>
  </si>
  <si>
    <t>TAPA 2.0 SAMSUNG J2</t>
  </si>
  <si>
    <t>TAPA 2.0 SAMSUNG J7</t>
  </si>
  <si>
    <t>TAPA 2.0 SONY C3</t>
  </si>
  <si>
    <t>TAPA 2.0 SONY C5</t>
  </si>
  <si>
    <t>TAPA 2.0 SONY C 3</t>
  </si>
  <si>
    <t>TAPA 2.0 SONY C4</t>
  </si>
  <si>
    <t>TAPA 2.0 SONY E3</t>
  </si>
  <si>
    <t>TAPA 2.0 SONY E4</t>
  </si>
  <si>
    <t>TAPA 2.0 SONY E4G</t>
  </si>
  <si>
    <t>TAPA 2.0 SONY E5</t>
  </si>
  <si>
    <t>TAPA 2.0 SONY E7</t>
  </si>
  <si>
    <t>TAPA 2.0 SONY L1</t>
  </si>
  <si>
    <t>TAPA 2.0 SONY L2</t>
  </si>
  <si>
    <t>TAPA 2.0 SONY M2</t>
  </si>
  <si>
    <t>TAPA 2.0 SONY M4</t>
  </si>
  <si>
    <t>TAPA 2.0 SONY M4 AQUA</t>
  </si>
  <si>
    <t>TAPA 2.0 SONY T2 ULTRA</t>
  </si>
  <si>
    <t>TAPA 2.0 SONY XA</t>
  </si>
  <si>
    <t>TAPA 2.0 SONY XA ULTRA</t>
  </si>
  <si>
    <t>TAPA 2.0 SONY XA1</t>
  </si>
  <si>
    <t>TAPA 2.0 SONY XA1 ULTRA</t>
  </si>
  <si>
    <t>TAPA 2.0 SONY XA2 ULTRA</t>
  </si>
  <si>
    <t>TAPA 2.0 SONY XPERIA G3</t>
  </si>
  <si>
    <t>TAPA 2.0 SONY XPERIA T2 ULTRA</t>
  </si>
  <si>
    <t>TAPA 2.0 SONY Z PLAY</t>
  </si>
  <si>
    <t>TAPA 2.0 SONY Z4</t>
  </si>
  <si>
    <t>TAPA 2.0 SONY Z5</t>
  </si>
  <si>
    <t>TAPA 2.0 SONY Z5 PREMIUM</t>
  </si>
  <si>
    <t>TAPA 2.0 XIAOMI NOTE 8</t>
  </si>
  <si>
    <t>TAPA 2.0 XIAOMI NOTE 9</t>
  </si>
  <si>
    <t>TAPA 2.0 XIAOMI REDMI 6A</t>
  </si>
  <si>
    <t>TAPA 2.0 XIAOMI REDMI 9</t>
  </si>
  <si>
    <t>TAPA 2.0 XIAOMI REDMI 9A</t>
  </si>
  <si>
    <t>TAPA 2.0 XIAOMI REDMI 9C</t>
  </si>
  <si>
    <t>TAPA 2.0 XIAOMI REDMI NOTE 5</t>
  </si>
  <si>
    <t>TAPA 2.0 XIAOMI REDMI NOTE 5 PRO</t>
  </si>
  <si>
    <t>TAPA 2.0 XIAOMI REDMI NOTE 9</t>
  </si>
  <si>
    <t>TAPA 2.0 XIAOMI REDMI NOTE 9 PRO</t>
  </si>
  <si>
    <t>TAPA 2.0 XIAOMI REDMI5</t>
  </si>
  <si>
    <t>TAPA 2.0 ZTE A460</t>
  </si>
  <si>
    <t>TAPA 2.0 ZTE A510</t>
  </si>
  <si>
    <t>TAPA 2.0 ZTE A511</t>
  </si>
  <si>
    <t>TAPA 2.0 ZTE BLADE A460</t>
  </si>
  <si>
    <t>TAPA 2.0 ZTE C 370</t>
  </si>
  <si>
    <t>TAPA 2.0 ZTE L5</t>
  </si>
  <si>
    <t>TAPA 2.0 ZTE V6</t>
  </si>
  <si>
    <t>TAPA 2.0 ZTE V6 PLUS</t>
  </si>
  <si>
    <t>AC TAPA ACRILICA</t>
  </si>
  <si>
    <t>TAPA 360 + VIDRIO IPHONE 7 PLUS</t>
  </si>
  <si>
    <t>TAPA 360 + VIDRIO IPHONE 5</t>
  </si>
  <si>
    <t>TAPA 360 + VIDRIO IPHONE 6 PLUS</t>
  </si>
  <si>
    <t>TAPA 360 + VIDRIO IPHONE 6G</t>
  </si>
  <si>
    <t>TAPA 360 + VIDRIO IPHONE 7G</t>
  </si>
  <si>
    <t>TAPA 360 + VIDRIO SAM J7</t>
  </si>
  <si>
    <t>TAPA 360 + VIDRIO SAM S7</t>
  </si>
  <si>
    <t>TAPA 360 + VIDRIO SAM S7 EDGE</t>
  </si>
  <si>
    <t>TAPA 360 DISEÑO SAM J1 ACE</t>
  </si>
  <si>
    <t>TAPA 360 HUAWEI P9 LITE</t>
  </si>
  <si>
    <t>TAPA 360 HUAWEI P9 LITE 2017</t>
  </si>
  <si>
    <t>AC TAPA 360°</t>
  </si>
  <si>
    <t>TAPA 360 HUAWEI Y6-II</t>
  </si>
  <si>
    <t>TAPA 360 HUAWEI Y7</t>
  </si>
  <si>
    <t>TAPA 360 IPHONE 5</t>
  </si>
  <si>
    <t>TAPA 360 IPHONE 6</t>
  </si>
  <si>
    <t>TAPA 360 IPHONE 6 PLUS</t>
  </si>
  <si>
    <t>TAPA 360 IPHONE 7</t>
  </si>
  <si>
    <t>TAPA 360 IPHONE 7G</t>
  </si>
  <si>
    <t>TAPA 360 LG K10-2017</t>
  </si>
  <si>
    <t>TAPA 360 LG K8-2017</t>
  </si>
  <si>
    <t>TAPA 360 LG STYLUS III</t>
  </si>
  <si>
    <t>TAPA 360 MOTO E4</t>
  </si>
  <si>
    <t>TAPA 360 MOTO E4 plus</t>
  </si>
  <si>
    <t>TAPA 360 MOTO G5</t>
  </si>
  <si>
    <t>TAPA 360 MOTO G5 PLUS</t>
  </si>
  <si>
    <t>TAPA 360 MOTO G5S</t>
  </si>
  <si>
    <t>TAPA 360 SAM A8</t>
  </si>
  <si>
    <t>TAPA 360 SAM A8 PLUS</t>
  </si>
  <si>
    <t>TAPA 360 SAM J2 PRIME</t>
  </si>
  <si>
    <t>TAPA 360 SAM J5 PRIME</t>
  </si>
  <si>
    <t>TAPA 360 SAM J5 PRO</t>
  </si>
  <si>
    <t>TAPA 360 SAM J5-2016</t>
  </si>
  <si>
    <t>TAPA 360 SAM J7 PRIME</t>
  </si>
  <si>
    <t>TAPA 360 SAM J7 PRO</t>
  </si>
  <si>
    <t>TAPA 360 SAM J7-2016</t>
  </si>
  <si>
    <t>TAPA 360 SAM S8</t>
  </si>
  <si>
    <t>TAPA 360 SAM S8 PLUS</t>
  </si>
  <si>
    <t>TAPA BORDE COLOR IPHONE 5</t>
  </si>
  <si>
    <t>TAPA BORDE COLOR IPHONE 6 -4.7</t>
  </si>
  <si>
    <t>TAPA BORDE COLOR MOTO G3</t>
  </si>
  <si>
    <t>TAPA BORDE COLOR MOTOM0 SAM J5 PRIME</t>
  </si>
  <si>
    <t>TAPA BORDE COLOR S7</t>
  </si>
  <si>
    <t>TAPA CASE IPHONE 8G</t>
  </si>
  <si>
    <t>TAPA COLOR LENOVO K5</t>
  </si>
  <si>
    <t>TAPA COLOR MOTOROLA MOTO E BLCO ORIGINAL</t>
  </si>
  <si>
    <t>TAPA CORE 2</t>
  </si>
  <si>
    <t>TAPA CUERO IPHONE 6</t>
  </si>
  <si>
    <t>TAPA CUERO SAM J7</t>
  </si>
  <si>
    <t>TAPA DISEÑO 2.0 SONY M4 AQUA</t>
  </si>
  <si>
    <t>TAPA DISEÑO ALCATEL PIXI 4 5"</t>
  </si>
  <si>
    <t>TAPA DISEÑO LG K8</t>
  </si>
  <si>
    <t>TAPA DISEÑO MANZANA IPH 6 -4.7</t>
  </si>
  <si>
    <t>TAPA DISEÑO MOTO E4</t>
  </si>
  <si>
    <t>TAPA DISEÑO SAM GRAND PRIME</t>
  </si>
  <si>
    <t>TAPA DISEÑO SAM J1 ACE</t>
  </si>
  <si>
    <t>TAPA DISNEY HUAWEI Y6-II</t>
  </si>
  <si>
    <t>TAPA DISNEY IPHONE 7G</t>
  </si>
  <si>
    <t>TAPA DISNEY LG K10</t>
  </si>
  <si>
    <t>TAPA DISNEY SAM GRAND PRIME G530</t>
  </si>
  <si>
    <t>TAPA DISNEY SAM J2 PRIME</t>
  </si>
  <si>
    <t>TAPA DISNEY SAM J5</t>
  </si>
  <si>
    <t>TAPA DISNEY SAM J5 PRIME</t>
  </si>
  <si>
    <t>TAPA DISNEY SAM J5-2016</t>
  </si>
  <si>
    <t>TAPA DISNEY SAM J7</t>
  </si>
  <si>
    <t>TAPA DISNEY SAM J7-2016</t>
  </si>
  <si>
    <t>TAPA DOBLE C. DISEÑO MOTO G 3</t>
  </si>
  <si>
    <t>TAPA DOBLE DISEÑO 2.0 MOTO G 3</t>
  </si>
  <si>
    <t>TAPA DOBLE DISEÑO HUAWEI SHOT X</t>
  </si>
  <si>
    <t>TAPA DOBLE DISEÑO HUAWEI Y6-2</t>
  </si>
  <si>
    <t>TAPA DOBLE DISEÑO MOTO G4</t>
  </si>
  <si>
    <t>TAPA DOBLE DISEÑO SAM A5-2016</t>
  </si>
  <si>
    <t>TAPA DOBLE DISEÑO SAM CORE 2</t>
  </si>
  <si>
    <t>TAPA DOBLE DISEÑO SAM CORE 2 G 355</t>
  </si>
  <si>
    <t>TAPA DOBLE DISEÑO SAM G 323</t>
  </si>
  <si>
    <t>TAPA DOBLE DISEÑO SAM J5 -2016</t>
  </si>
  <si>
    <t>TAPA DOBLE DISEÑO SAM J7</t>
  </si>
  <si>
    <t>TAPA DOBLE DISEÑO SAM S3</t>
  </si>
  <si>
    <t>TAPA DOBLE DISEÑO SAMSUNG I9190 S4 MINI</t>
  </si>
  <si>
    <t>TAPA DOBLE DISEÑO SAMSUNG S3 MINI I8190</t>
  </si>
  <si>
    <t>TAPA DOBLE DISEÑO SONY XA ULTRA</t>
  </si>
  <si>
    <t>TAPA GLISTTER SAMS J3</t>
  </si>
  <si>
    <t>TAPA GOMA DISEÑO SAM GRAND</t>
  </si>
  <si>
    <t>TAPA GOMA SAMSUNG G360</t>
  </si>
  <si>
    <t>TAPA GOMA ALCATEL C9</t>
  </si>
  <si>
    <t>TAPA GOMA BORDE COLOR SAM 9080</t>
  </si>
  <si>
    <t>TAPA GOMA BORDE COLOR SAM J7</t>
  </si>
  <si>
    <t>TAPA GOMA COLOR SAM A10S</t>
  </si>
  <si>
    <t>TAPA GOMA COLOR SAM A20S</t>
  </si>
  <si>
    <t>TAPA GOMA DISEÑO SONY E 4</t>
  </si>
  <si>
    <t>TAPA GOMA DISEÑO ALCATEL PIXI 3 4,5"</t>
  </si>
  <si>
    <t>TAPA GOMA DISEÑO ALCATEL PIXI 3 4.7"</t>
  </si>
  <si>
    <t>TAPA GOMA DISEÑO ALCATEL PIXI 4 3,5"</t>
  </si>
  <si>
    <t>TAPA GOMA DISEÑO ALCATEL POP 3</t>
  </si>
  <si>
    <t>TAPA GOMA DISEÑO DISNEY 5 PULG</t>
  </si>
  <si>
    <t>TAPA GOMA DISEÑO FASHION MOTO G5 PLUS</t>
  </si>
  <si>
    <t>TAPA GOMA DISEÑO HTC M9</t>
  </si>
  <si>
    <t>TAPA GOMA DISEÑO HTC ONE</t>
  </si>
  <si>
    <t>TAPA GOMA DISEÑO HUAWEI G PLAY MINI</t>
  </si>
  <si>
    <t>TAPA GOMA DISEÑO HUAWEI G7</t>
  </si>
  <si>
    <t>TAPA GOMA DISEÑO HUAWEI GR 5</t>
  </si>
  <si>
    <t>TAPA GOMA DISEÑO HUAWEI MATE 10 LITE</t>
  </si>
  <si>
    <t>TAPA GOMA DISEÑO HUAWEI MATE 10 PRO</t>
  </si>
  <si>
    <t>TAPA GOMA DISEÑO HUAWEI MATE 20 LITE</t>
  </si>
  <si>
    <t>TAPA GOMA DISEÑO HUAWEI MATE 7</t>
  </si>
  <si>
    <t>TAPA GOMA DISEÑO HUAWEI MATE 9 LITE</t>
  </si>
  <si>
    <t>TAPA GOMA DISEÑO HUAWEI NOVA 5T</t>
  </si>
  <si>
    <t>TAPA GOMA DISEÑO HUAWEI P10</t>
  </si>
  <si>
    <t>TAPA GOMA DISEÑO HUAWEI P20</t>
  </si>
  <si>
    <t>TAPA GOMA DISEÑO HUAWEI P20 LITE</t>
  </si>
  <si>
    <t>TAPA GOMA DISEÑO HUAWEI P40</t>
  </si>
  <si>
    <t>TAPA GOMA DISEÑO HUAWEI P8 LITE</t>
  </si>
  <si>
    <t>TAPA GOMA DISEÑO HUAWEI P8 LITE 2017</t>
  </si>
  <si>
    <t>TAPA GOMA DISEÑO HUAWEI P9</t>
  </si>
  <si>
    <t>TAPA GOMA DISEÑO HUAWEI P9 LITE</t>
  </si>
  <si>
    <t>TAPA GOMA DISEÑO HUAWEI P9 LITE 2017</t>
  </si>
  <si>
    <t>TAPA GOMA DISEÑO HUAWEI P9 LITE SMART</t>
  </si>
  <si>
    <t>TAPA GOMA DISEÑO HUAWEI PSMART</t>
  </si>
  <si>
    <t>TAPA GOMA DISEÑO HUAWEI Y PLAY MINI</t>
  </si>
  <si>
    <t>TAPA GOMA DISEÑO HUAWEI Y3-II</t>
  </si>
  <si>
    <t>TAPA GOMA DISEÑO HUAWEI Y360</t>
  </si>
  <si>
    <t>TAPA GOMA DISEÑO HUAWEI Y5-2018</t>
  </si>
  <si>
    <t>TAPA GOMA DISEÑO HUAWEI Y6-2018</t>
  </si>
  <si>
    <t>TAPA GOMA DISEÑO HUAWEI Y6-II</t>
  </si>
  <si>
    <t>TAPA GOMA DISEÑO HUAWEI Y7-2018</t>
  </si>
  <si>
    <t>TAPA GOMA DISEÑO HUAWEI Y7-2019</t>
  </si>
  <si>
    <t>TAPA GOMA DISEÑO HUAWEI Y9 PRIME 2019</t>
  </si>
  <si>
    <t>TAPA GOMA DISEÑO HUAWEI Y9-2018</t>
  </si>
  <si>
    <t>TAPA GOMA DISEÑO HUAWEI Y9-2019</t>
  </si>
  <si>
    <t>TAPA GOMA DISEÑO IPHONE 11</t>
  </si>
  <si>
    <t>TAPA GOMA DISEÑO IPHONE 3</t>
  </si>
  <si>
    <t>TAPA GOMA DISEÑO IPHONE 4</t>
  </si>
  <si>
    <t>TAPA GOMA DISEÑO IPHONE 4G</t>
  </si>
  <si>
    <t>TAPA GOMA DISEÑO IPHONE 5</t>
  </si>
  <si>
    <t>TAPA GOMA DISEÑO IPHONE 5C</t>
  </si>
  <si>
    <t>TAPA GOMA DISEÑO IPHONE 6</t>
  </si>
  <si>
    <t>TAPA GOMA DISEÑO IPHONE 6 4.7</t>
  </si>
  <si>
    <t>TAPA GOMA DISEÑO IPHONE 6 PLUS</t>
  </si>
  <si>
    <t>TAPA GOMA DISEÑO IPHONE 7</t>
  </si>
  <si>
    <t>TAPA GOMA DISEÑO IPHONE 7 PLUS</t>
  </si>
  <si>
    <t>TAPA GOMA DISEÑO IPHONE 7G</t>
  </si>
  <si>
    <t>TAPA GOMA DISEÑO IPHONE 8</t>
  </si>
  <si>
    <t>TAPA GOMA DISEÑO IPHONE X</t>
  </si>
  <si>
    <t>TAPA GOMA DISEÑO LENOVO A7010</t>
  </si>
  <si>
    <t>TAPA GOMA DISEÑO LENOVO K5</t>
  </si>
  <si>
    <t>TAPA GOMA DISEÑO LG G3 BEAT</t>
  </si>
  <si>
    <t>TAPA GOMA DISEÑO LG G4</t>
  </si>
  <si>
    <t>TAPA GOMA DISEÑO LG G4 STYLUS</t>
  </si>
  <si>
    <t>TAPA GOMA DISEÑO LG G5</t>
  </si>
  <si>
    <t>TAPA GOMA DISEÑO LG G7</t>
  </si>
  <si>
    <t>TAPA GOMA DISEÑO LG K10</t>
  </si>
  <si>
    <t>TAPA GOMA DISEÑO LG K10-2017</t>
  </si>
  <si>
    <t>TAPA GOMA DISEÑO LG K11</t>
  </si>
  <si>
    <t>TAPA GOMA DISEÑO LG K20</t>
  </si>
  <si>
    <t>TAPA GOMA DISEÑO LG K5</t>
  </si>
  <si>
    <t>TAPA GOMA DISEÑO LG K8</t>
  </si>
  <si>
    <t>TAPA GOMA DISEÑO LG LEON</t>
  </si>
  <si>
    <t>TAPA GOMA DISEÑO LG LEON H 502 MAGNA</t>
  </si>
  <si>
    <t>TAPA GOMA DISEÑO LG PRIME 2 D337</t>
  </si>
  <si>
    <t>TAPA GOMA DISEÑO LG STYLUS 2 PLUS</t>
  </si>
  <si>
    <t>TAPA GOMA DISEÑO LG STYLUS 3</t>
  </si>
  <si>
    <t>TAPA GOMA DISEÑO MOTO C</t>
  </si>
  <si>
    <t>TAPA GOMA DISEÑO MOTO C PLUS</t>
  </si>
  <si>
    <t>TAPA GOMA DISEÑO MOTO E</t>
  </si>
  <si>
    <t>TAPA GOMA DISEÑO MOTO E4</t>
  </si>
  <si>
    <t>TAPA GOMA DISEÑO MOTO E5</t>
  </si>
  <si>
    <t>TAPA GOMA DISEÑO MOTO E6 PLUS</t>
  </si>
  <si>
    <t>TAPA GOMA DISEÑO MOTO G</t>
  </si>
  <si>
    <t>TAPA GOMA DISEÑO MOTO G2</t>
  </si>
  <si>
    <t>TAPA GOMA DISEÑO MOTO G4</t>
  </si>
  <si>
    <t>TAPA GOMA DISEÑO MOTO G4 PLAY</t>
  </si>
  <si>
    <t>TAPA GOMA DISEÑO MOTO G4 PLUS</t>
  </si>
  <si>
    <t>TAPA GOMA DISEÑO MOTO G5</t>
  </si>
  <si>
    <t>TAPA GOMA DISEÑO MOTO G5S</t>
  </si>
  <si>
    <t>TAPA GOMA DISEÑO MOTO G5S PLUS</t>
  </si>
  <si>
    <t>TAPA GOMA DISEÑO MOTO G6</t>
  </si>
  <si>
    <t>TAPA GOMA DISEÑO MOTO G6 PLAY</t>
  </si>
  <si>
    <t>TAPA GOMA DISEÑO MOTO G8 PLAY</t>
  </si>
  <si>
    <t>TAPA GOMA DISEÑO MOTO G8 PLUS</t>
  </si>
  <si>
    <t>TAPA GOMA DISEÑO MOTO MAXX</t>
  </si>
  <si>
    <t>TAPA GOMA DISEÑO MOTO ONE ACTION</t>
  </si>
  <si>
    <t>TAPA GOMA DISEÑO MOTO X 2</t>
  </si>
  <si>
    <t>TAPA GOMA DISEÑO MOTO X2</t>
  </si>
  <si>
    <t>TAPA GOMA DISEÑO NOKIA 3</t>
  </si>
  <si>
    <t>TAPA GOMA DISEÑO NOKIA 3.1</t>
  </si>
  <si>
    <t>TAPA GOMA DISEÑO NOKIA 5.1 PLUS</t>
  </si>
  <si>
    <t>TAPA GOMA DISEÑO NOKIA 6</t>
  </si>
  <si>
    <t>TAPA GOMA DISEÑO NOKIA 6.1</t>
  </si>
  <si>
    <t>TAPA GOMA DISEÑO NOKIA LUMIA 505</t>
  </si>
  <si>
    <t>TAPA GOMA DISEÑO OWN 3030</t>
  </si>
  <si>
    <t>TAPA GOMA DISEÑO OWN 5030</t>
  </si>
  <si>
    <t>TAPA GOMA DISEÑO OWN FUN</t>
  </si>
  <si>
    <t>TAPA GOMA DISEÑO OWN ONE</t>
  </si>
  <si>
    <t>TAPA GOMA DISEÑO OWN SELF</t>
  </si>
  <si>
    <t>TAPA GOMA DISEÑO SAM 6 EDGE</t>
  </si>
  <si>
    <t>TAPA GOMA DISEÑO SAM A10S</t>
  </si>
  <si>
    <t>TAPA GOMA DISEÑO SAM A20</t>
  </si>
  <si>
    <t>TAPA GOMA DISEÑO SAM A20S</t>
  </si>
  <si>
    <t>TAPA GOMA DISEÑO SAM A3-2016</t>
  </si>
  <si>
    <t>TAPA GOMA DISEÑO SAM A30</t>
  </si>
  <si>
    <t>TAPA GOMA DISEÑO SAM A30S</t>
  </si>
  <si>
    <t>TAPA GOMA DISEÑO SAM A5-2016</t>
  </si>
  <si>
    <t>TAPA GOMA DISEÑO SAM A5-2017</t>
  </si>
  <si>
    <t>TAPA GOMA DISEÑO SAM A50</t>
  </si>
  <si>
    <t>TAPA GOMA DISEÑO SAM A7-2016</t>
  </si>
  <si>
    <t>TAPA GOMA DISEÑO SAM A7-2017</t>
  </si>
  <si>
    <t>TAPA GOMA DISEÑO SAM A70</t>
  </si>
  <si>
    <t>TAPA GOMA DISEÑO SAM A8</t>
  </si>
  <si>
    <t>TAPA GOMA DISEÑO SAM A8 PLUS</t>
  </si>
  <si>
    <t>TAPA GOMA DISEÑO SAM ACE 4 G 313</t>
  </si>
  <si>
    <t>TAPA GOMA DISEÑO SAM CORE 2</t>
  </si>
  <si>
    <t>TAPA GOMA DISEÑO SAM CORE 2 G 355</t>
  </si>
  <si>
    <t>TAPA GOMA DISEÑO SAM CORE PRIME</t>
  </si>
  <si>
    <t>TAPA GOMA DISEÑO SAM E5</t>
  </si>
  <si>
    <t>TAPA GOMA DISEÑO SAM GRAND 9080</t>
  </si>
  <si>
    <t>TAPA GOMA DISEÑO SAM GRAND PRIME G 530</t>
  </si>
  <si>
    <t>TAPA GOMA DISEÑO SAM GRAND PRIME G530</t>
  </si>
  <si>
    <t>TAPA GOMA DISEÑO SAM J1</t>
  </si>
  <si>
    <t>TAPA GOMA DISEÑO SAM J1 ACE</t>
  </si>
  <si>
    <t>TAPA GOMA DISEÑO SAM J1-2016</t>
  </si>
  <si>
    <t>TAPA GOMA DISEÑO SAM J2 PRIME</t>
  </si>
  <si>
    <t>TAPA GOMA DISEÑO SAM J2-2016</t>
  </si>
  <si>
    <t>TAPA GOMA DISEÑO SAM J3</t>
  </si>
  <si>
    <t>TAPA GOMA DISEÑO SAM J4</t>
  </si>
  <si>
    <t>TAPA GOMA DISEÑO SAM J5</t>
  </si>
  <si>
    <t>TAPA GOMA DISEÑO SAM J5 PRIME</t>
  </si>
  <si>
    <t>TAPA GOMA DISEÑO SAM J5-2016</t>
  </si>
  <si>
    <t>TAPA GOMA DISEÑO SAM J6</t>
  </si>
  <si>
    <t>TAPA GOMA DISEÑO SAM J7</t>
  </si>
  <si>
    <t>TAPA GOMA DISEÑO SAM J7 NEO</t>
  </si>
  <si>
    <t>TAPA GOMA DISEÑO SAM J7 PRIME</t>
  </si>
  <si>
    <t>TAPA GOMA DISEÑO SAM J7-2016</t>
  </si>
  <si>
    <t>TAPA GOMA DISEÑO SAM J8</t>
  </si>
  <si>
    <t>TAPA GOMA DISEÑO SAM NOTE 3</t>
  </si>
  <si>
    <t>TAPA GOMA DISEÑO SAM NOTE 8</t>
  </si>
  <si>
    <t>TAPA GOMA DISEÑO SAM S2</t>
  </si>
  <si>
    <t>TAPA GOMA DISEÑO SAM S3</t>
  </si>
  <si>
    <t>TAPA GOMA DISEÑO SAM S6</t>
  </si>
  <si>
    <t>TAPA GOMA DISEÑO SAM S7</t>
  </si>
  <si>
    <t>TAPA GOMA DISEÑO SAM S7 EDGE</t>
  </si>
  <si>
    <t>TAPA GOMA DISEÑO SAM S8</t>
  </si>
  <si>
    <t>TAPA GOMA DISEÑO SAM S8 PLUS</t>
  </si>
  <si>
    <t>TAPA GOMA DISEÑO SAM S9</t>
  </si>
  <si>
    <t>TAPA GOMA DISEÑO SAMSUNG A3</t>
  </si>
  <si>
    <t>TAPA GOMA DISEÑO SAMSUNG G360 CORE PRIME</t>
  </si>
  <si>
    <t>TAPA GOMA DISEÑO SHOT X</t>
  </si>
  <si>
    <t>TAPA GOMA DISEÑO SONY C 3</t>
  </si>
  <si>
    <t>TAPA GOMA DISEÑO SONY C3</t>
  </si>
  <si>
    <t>TAPA GOMA DISEÑO SONY E3</t>
  </si>
  <si>
    <t>TAPA GOMA DISEÑO SONY M2</t>
  </si>
  <si>
    <t>TAPA GOMA DISEÑO SONY XA ULTRA</t>
  </si>
  <si>
    <t>TAPA GOMA DISEÑO SONY XPERIA Z2</t>
  </si>
  <si>
    <t>TAPA GOMA DISEÑO SONY Z4</t>
  </si>
  <si>
    <t>TAPA GOMA DISEÑO ZTE BLADE L3</t>
  </si>
  <si>
    <t>TAPA GOMA DISEÑO ZTE C6265</t>
  </si>
  <si>
    <t>TAPA GOMA DISSEÑO SAM S6</t>
  </si>
  <si>
    <t>TAPA GOMA DOBLE DISEÑO LG G4 STYLUS</t>
  </si>
  <si>
    <t>TAPA GOMA DOBLE DISEÑO LG LEON</t>
  </si>
  <si>
    <t>TAPA GOMA DOBLE DISEÑO MOTO X PLAY</t>
  </si>
  <si>
    <t>TAPA GOMA G3 MINI</t>
  </si>
  <si>
    <t>TAPA GOMA HUAWEI Y5-II</t>
  </si>
  <si>
    <t>TAPA GOMA HUAWEY G 7200</t>
  </si>
  <si>
    <t>TAPA GOMA IPHONE 6 G/S</t>
  </si>
  <si>
    <t>TAPA GOMA IPHONE 6 PLUS</t>
  </si>
  <si>
    <t>TAPA GOMA LENOVO K-5</t>
  </si>
  <si>
    <t>TAPA GOMA LG C3</t>
  </si>
  <si>
    <t>TAPA GOMA LG G2</t>
  </si>
  <si>
    <t>TAPA GOMA LG G2 MINI</t>
  </si>
  <si>
    <t>TAPA GOMA LG K10-2017</t>
  </si>
  <si>
    <t>TAPA GOMA LG K4-2017</t>
  </si>
  <si>
    <t>TAPA GOMA LG POWER</t>
  </si>
  <si>
    <t>TAPA GOMA LG STYLUS 3</t>
  </si>
  <si>
    <t>TAPA GOMA METAL SAM GRAND 9082</t>
  </si>
  <si>
    <t>TAPA GOMA MOTO G</t>
  </si>
  <si>
    <t>TAPA GOMA MOTO G3</t>
  </si>
  <si>
    <t>TAPA GOMA MOTO X</t>
  </si>
  <si>
    <t>TAPA GOMA MOTOMO IPHONE 6 4,7</t>
  </si>
  <si>
    <t>TAPA GOMA NOKIA 3 DISEÑO</t>
  </si>
  <si>
    <t>TAPA GOMA OWN SMART PLUS</t>
  </si>
  <si>
    <t>TAPA GOMA SAM 9080 GRAND</t>
  </si>
  <si>
    <t>TAPA GOMA SAM 9300 C3</t>
  </si>
  <si>
    <t>TAPA GOMA SAM WIN 8550</t>
  </si>
  <si>
    <t>TAPA GOMA SAMSUNG J7 PRIME</t>
  </si>
  <si>
    <t>TAPA GOMA SAMSUNG S6 EDGE</t>
  </si>
  <si>
    <t>TAPA GOMA SAWROSKY IPHONE 5 C</t>
  </si>
  <si>
    <t>TAPA GOMA SWAROSKY P8 LITE</t>
  </si>
  <si>
    <t>Tapa Goma Tras Moto X Play</t>
  </si>
  <si>
    <t>TAPA GOMO SAMG 530</t>
  </si>
  <si>
    <t>TAPA HAUWEI P8</t>
  </si>
  <si>
    <t>TAPA HUAWEI P8</t>
  </si>
  <si>
    <t>TAPA HUAWEI GR3</t>
  </si>
  <si>
    <t>TAPA HUAWEI P9</t>
  </si>
  <si>
    <t>TAPA HUAWEI Y5-II</t>
  </si>
  <si>
    <t>TAPA HUAWEI YS2</t>
  </si>
  <si>
    <t>TAPA I9500</t>
  </si>
  <si>
    <t>TAPA IFACE MOTOMO J2</t>
  </si>
  <si>
    <t>TAPA IFACE MOTOMO SAM J1 ACE</t>
  </si>
  <si>
    <t>TAPA IFACE SAM J7</t>
  </si>
  <si>
    <t>TAPA INCIPIO HUAWEI P8</t>
  </si>
  <si>
    <t>TAPA INCIPIO HUAWEI P8 LITE</t>
  </si>
  <si>
    <t>TAPA INCIPIO IPHONE 4</t>
  </si>
  <si>
    <t>TAPA INCIPIO SAM J1 ACE</t>
  </si>
  <si>
    <t>TAPA INCIPIO SWAROSKY IPHONE 5 G</t>
  </si>
  <si>
    <t>TAPA INCIPIO-SWAROSKY IPHONE 6 - 4.7</t>
  </si>
  <si>
    <t>TAPA IPEFET HUAWEI P8 LITE</t>
  </si>
  <si>
    <t>TAPA IPEFET HUAWEI P9 LITE</t>
  </si>
  <si>
    <t>TAPA IPEFET HUAWEI Y6-II</t>
  </si>
  <si>
    <t>TAPA IPEFET MOTO G5</t>
  </si>
  <si>
    <t>TAPA IPHONE 4</t>
  </si>
  <si>
    <t>TAPA IPHONE 5</t>
  </si>
  <si>
    <t>TAPA IPHONE 5 C</t>
  </si>
  <si>
    <t>TAPA IPHONE 5 G ORI</t>
  </si>
  <si>
    <t>TAPA IPHONE 6 (4.7)</t>
  </si>
  <si>
    <t>TAPA LG G3</t>
  </si>
  <si>
    <t>TAPA LG G4 STYLUS</t>
  </si>
  <si>
    <t>TAPA LG K10</t>
  </si>
  <si>
    <t>TAPA METAL MOTOMO SAMSUNG G360 CORE PRIME</t>
  </si>
  <si>
    <t>TAPA METAL MOTOMO SAMSUNG I8190 S3 MINI</t>
  </si>
  <si>
    <t>TAPA MOTO G3</t>
  </si>
  <si>
    <t>TAPA MOTO G4 PLUS</t>
  </si>
  <si>
    <t>TAPA MOTOMO CAJA BLANCA LENOVO K5</t>
  </si>
  <si>
    <t>TAPA MOTOMO CAJA BLANCA MOTO G4 PLAY</t>
  </si>
  <si>
    <t>TAPA MOTOMO DISEÑO SAM J7</t>
  </si>
  <si>
    <t>TAPA MOTOMO HUA GR 5</t>
  </si>
  <si>
    <t>TAPA MOTOMO HUAWEI MATE 10 LITE</t>
  </si>
  <si>
    <t>TAPA MOTOMO HUAWEI MATE 9 LITE</t>
  </si>
  <si>
    <t>TAPA MOTOMO HUAWEI P10</t>
  </si>
  <si>
    <t>TAPA MOTOMO HUAWEI P9 LITE</t>
  </si>
  <si>
    <t>TAPA MOTOMO HUAWEI P9 LITE 2017</t>
  </si>
  <si>
    <t>TAPA MOTOMO HUAWEI P9 LITE MINI</t>
  </si>
  <si>
    <t>TAPA MOTOMO HUAWEI Y3 II</t>
  </si>
  <si>
    <t>TAPA MOTOMO HUAWEI Y5 II</t>
  </si>
  <si>
    <t>TAPA MOTOMO HUAWEI Y6 II</t>
  </si>
  <si>
    <t>Tapa Motomo Huawei Y6-II</t>
  </si>
  <si>
    <t>TAPA MOTOMO HUAWEI Y7</t>
  </si>
  <si>
    <t>TAPA MOTOMO IFACE SAM J5</t>
  </si>
  <si>
    <t>TAPA MOTOMO INCIPIO LG G4 STYLUS</t>
  </si>
  <si>
    <t>TAPA MOTOMO LENOVO K5</t>
  </si>
  <si>
    <t>TAPA MOTOMO LENOVO K6</t>
  </si>
  <si>
    <t>TAPA MOTOMO LG G4 STYLUS</t>
  </si>
  <si>
    <t>TAPA MOTOMO LG K10</t>
  </si>
  <si>
    <t>TAPA MOTOMO LG K10-2017</t>
  </si>
  <si>
    <t>TAPA MOTOMO LG K4 2017</t>
  </si>
  <si>
    <t>TAPA MOTOMO LG Q6</t>
  </si>
  <si>
    <t>TAPA MOTOMO LG STYLUS III</t>
  </si>
  <si>
    <t>TAPA MOTOMO METAL</t>
  </si>
  <si>
    <t>TAPA MOTOMO METALICA HUAWEI GR 5</t>
  </si>
  <si>
    <t>TAPA MOTOMO METALLG K10</t>
  </si>
  <si>
    <t>TAPA MOTOMO MOTO C</t>
  </si>
  <si>
    <t>TAPA MOTOMO MOTO C PLUS</t>
  </si>
  <si>
    <t>TAPA MOTOMO MOTO E4</t>
  </si>
  <si>
    <t>TAPA MOTOMO MOTO E4 PLUS</t>
  </si>
  <si>
    <t>TAPA MOTOMO MOTO G4</t>
  </si>
  <si>
    <t>Tapa Motomo Moto G4 Play</t>
  </si>
  <si>
    <t>Tapa Motomo Moto G5</t>
  </si>
  <si>
    <t>TAPA MOTOMO MOTO G5 PLUS</t>
  </si>
  <si>
    <t>TAPA MOTOMO MOTO G5S</t>
  </si>
  <si>
    <t>TAPA MOTOMO MOTO G5S PLUS</t>
  </si>
  <si>
    <t>TAPA MOTOMO MOTO X4</t>
  </si>
  <si>
    <t>TAPA MOTOMO MOTO Z</t>
  </si>
  <si>
    <t>TAPA MOTOMO MOTO-SWAROSKY MOTO G 3</t>
  </si>
  <si>
    <t>TAPA MOTOMO NEW LG K10</t>
  </si>
  <si>
    <t>TAPA MOTOMO NEW SAM GRAN PRIME 5 G 530</t>
  </si>
  <si>
    <t>TAPA MOTOMO NEW SAM J5</t>
  </si>
  <si>
    <t>TAPA MOTOMO NEW SAM J7 II</t>
  </si>
  <si>
    <t>TAPA MOTOMO NOKIA 6</t>
  </si>
  <si>
    <t>TAPA MOTOMO SAM A5-2017</t>
  </si>
  <si>
    <t>TAPA MOTOMO SAM A7-2017</t>
  </si>
  <si>
    <t>TAPA MOTOMO SAM J2 PRIME</t>
  </si>
  <si>
    <t>TAPA MOTOMO SAM J3</t>
  </si>
  <si>
    <t>TAPA MOTOMO SAM J5 2016</t>
  </si>
  <si>
    <t>TAPA MOTOMO SAM J5 PRIME</t>
  </si>
  <si>
    <t>TAPA MOTOMO SAM J7</t>
  </si>
  <si>
    <t>TAPA MOTOMO SAM J7 PRIME</t>
  </si>
  <si>
    <t>TAPA MOTOMO SAM J7 PRO</t>
  </si>
  <si>
    <t>TAPA MOTOMO SAM S7 EDGE</t>
  </si>
  <si>
    <t>TAPA MOTOMO SAM S8</t>
  </si>
  <si>
    <t>TAPA MOTOMO SAMSUNG J5 2016</t>
  </si>
  <si>
    <t>TAPA MOTOMO SAMSUNG J5 PRIME</t>
  </si>
  <si>
    <t>TAPA MOTOMO SAMSUNG J7 PRIME</t>
  </si>
  <si>
    <t>TAPA MOTOMO SAMSUNG S6</t>
  </si>
  <si>
    <t>TAPA MOTOMO SLIM FIT MOTO G4 PLUS</t>
  </si>
  <si>
    <t>TAPA MOTOMO SLIPPER FIT SAM J5</t>
  </si>
  <si>
    <t>TAPA MOTOMO SONY L1</t>
  </si>
  <si>
    <t>Tapa Motomo Sony Xa 1 ultra</t>
  </si>
  <si>
    <t>TAPA MOTOMO YOU NEED MOTO G4 PLAY</t>
  </si>
  <si>
    <t>TAPA MOTOMO YOU YOU MOTO G2 - FE</t>
  </si>
  <si>
    <t>TAPA MOTOMO YOU YOU SAM 530 G. PRIME</t>
  </si>
  <si>
    <t>TAPA NEW CASE HUAWEI P9</t>
  </si>
  <si>
    <t>TAPA NEW CASE IPH0NE 7 G</t>
  </si>
  <si>
    <t>TAPA NICE HUAWEI GR5</t>
  </si>
  <si>
    <t>TAPA NICE SAM GRAND PRIME G 530</t>
  </si>
  <si>
    <t>TAPA NICE SAM J3</t>
  </si>
  <si>
    <t>TAPA NOKIA LUMIA X10</t>
  </si>
  <si>
    <t>TAPA RELIEVE AZUMI SPEED 5.5.</t>
  </si>
  <si>
    <t>TAPA RELIEVE IPHONE 7</t>
  </si>
  <si>
    <t>TAPA RELIEVE J2</t>
  </si>
  <si>
    <t>TAPA RELIEVE J5 PRIME</t>
  </si>
  <si>
    <t>TAPA RELIEVE LG X CAM</t>
  </si>
  <si>
    <t>TAPA RELIEVE LG X POWER</t>
  </si>
  <si>
    <t>TAPA RELIEVE MOTO G3</t>
  </si>
  <si>
    <t>TAPA RELIEVE SAM J1 ACE</t>
  </si>
  <si>
    <t>TAPA RELIEVE SAMSUNG J7 PRIME</t>
  </si>
  <si>
    <t>TAPA RELIEVE SAMSUNG J7-2016</t>
  </si>
  <si>
    <t>TAPA RELIEVE SAMSUNG S3</t>
  </si>
  <si>
    <t>TAPA RELIEVE SAMSUNG S5</t>
  </si>
  <si>
    <t>TAPA RELIEVE SAMSUNG WIN</t>
  </si>
  <si>
    <t>TAPA SAWROSKY HUAWEI P8 LITE</t>
  </si>
  <si>
    <t>TAPA SAWROSKY J7 PRIME</t>
  </si>
  <si>
    <t>TAPA SAWROSKY LENOVO K5</t>
  </si>
  <si>
    <t>TAPA SHELL IPH 5 G/S</t>
  </si>
  <si>
    <t>TAPA SHELL MOTO X PLAY</t>
  </si>
  <si>
    <t>TAPA SHELL IPH 6 G/S</t>
  </si>
  <si>
    <t>TAPA SHELL IPHONE 5C</t>
  </si>
  <si>
    <t>TAPA SHELL LENOVO K5</t>
  </si>
  <si>
    <t>TAPA SHELL LG K8</t>
  </si>
  <si>
    <t>TAPA SHELL MOTO G</t>
  </si>
  <si>
    <t>TAPA SHELL MOTO G 4 PLUS</t>
  </si>
  <si>
    <t>TAPA SHELL MOTO G4</t>
  </si>
  <si>
    <t>TAPA SHELL/ FASHION LG K10</t>
  </si>
  <si>
    <t>TAPA SILICONA TABLET SAMSUNG P3200 7"</t>
  </si>
  <si>
    <t>TAPA SILICONA TABLET T 230 7"</t>
  </si>
  <si>
    <t>TAPA SLIM ARMOR HUAWEI G PLAY</t>
  </si>
  <si>
    <t>TAPA SLIM ARMOR LG MAGNA H 502</t>
  </si>
  <si>
    <t>TAPA SLIM ARMOR MOTO X 2</t>
  </si>
  <si>
    <t>TAPA SLIM ARMOR MOTO X PLAY</t>
  </si>
  <si>
    <t>TAPA SLIM ARMOR SONY M4 AQUA</t>
  </si>
  <si>
    <t>TAPA SLIM FIT MOTO G4</t>
  </si>
  <si>
    <t>TAPA SOFT IPHONE 4 G/S</t>
  </si>
  <si>
    <t>TAPA SOFT IPHONE 5</t>
  </si>
  <si>
    <t>TAPA SOFT IPHONE 6G</t>
  </si>
  <si>
    <t>TAPA SOFT SAM J1 ACE</t>
  </si>
  <si>
    <t>TAPA SOFT SAM GRAND 9080</t>
  </si>
  <si>
    <t>TAPA SWAROSKY HUAWEI GR5</t>
  </si>
  <si>
    <t>TAPA SWAROSKY J5 PRIME</t>
  </si>
  <si>
    <t>TAPA SWAROSKY MOTO C</t>
  </si>
  <si>
    <t>TAPA SWAROSKY SAMSUNG J5</t>
  </si>
  <si>
    <t>TAPA SWAROVSKI HUAWEI GR5</t>
  </si>
  <si>
    <t>TAPA SWAROVSKI MOTO G3</t>
  </si>
  <si>
    <t>TAPA SWAROVSKI MOTO G4 PLUS</t>
  </si>
  <si>
    <t>TAPA SYMMETRY IPHONE 6 PLUS</t>
  </si>
  <si>
    <t>TAPA SYMMETRY IPHONE 6G</t>
  </si>
  <si>
    <t>TAPA T.ARMOUR IPHONE 4</t>
  </si>
  <si>
    <t>TAPA TRANSAPARENTE SAM J7-2016</t>
  </si>
  <si>
    <t>TAPA TRANSPARENTE ALCATEL C5</t>
  </si>
  <si>
    <t>TAPA TRANSPARENTE ALCATEL C7</t>
  </si>
  <si>
    <t>TAPA TRANSPARENTE ALCATEL IDOL 2 MINI</t>
  </si>
  <si>
    <t>TAPA TRANSPARENTE ALCATEL IDOL 3 4.7"</t>
  </si>
  <si>
    <t>TAPA TRANSPARENTE ALCATEL IDOL 5,5"</t>
  </si>
  <si>
    <t>TAPA TRANSPARENTE AZUMI A50C</t>
  </si>
  <si>
    <t>TAPA TRANSPARENTE HTC 626</t>
  </si>
  <si>
    <t>TAPA TRANSPARENTE HTC 626 DESIRE</t>
  </si>
  <si>
    <t>TAPA TRANSPARENTE HTC 820</t>
  </si>
  <si>
    <t>TAPA TRANSPARENTE HUAWEI G PLAY</t>
  </si>
  <si>
    <t>TAPA TRANSPARENTE HUAWEI G PLAY MINI</t>
  </si>
  <si>
    <t>TAPA TRANSPARENTE HUAWEI G7</t>
  </si>
  <si>
    <t>TAPA TRANSPARENTE HUAWEI GR3</t>
  </si>
  <si>
    <t>TAPA TRANSPARENTE HUAWEI GR5</t>
  </si>
  <si>
    <t>TAPA TRANSPARENTE HUAWEI GR5-2017</t>
  </si>
  <si>
    <t>TAPA TRANSPARENTE HUAWEI MATE 10 LITE</t>
  </si>
  <si>
    <t>TAPA TRANSPARENTE HUAWEI MATE 10 PRO</t>
  </si>
  <si>
    <t>TAPA TRANSPARENTE HUAWEI MATE 20 LITE</t>
  </si>
  <si>
    <t>TAPA TRANSPARENTE HUAWEI MATE 7</t>
  </si>
  <si>
    <t>TAPA TRANSPARENTE HUAWEI MATE 9</t>
  </si>
  <si>
    <t>TAPA TRANSPARENTE HUAWEI MATE 9 LITE</t>
  </si>
  <si>
    <t>TAPA TRANSPARENTE HUAWEI P 8</t>
  </si>
  <si>
    <t>TAPA TRANSPARENTE HUAWEI P10</t>
  </si>
  <si>
    <t>TAPA TRANSPARENTE HUAWEI P10 LITE</t>
  </si>
  <si>
    <t>TAPA TRANSPARENTE HUAWEI P20</t>
  </si>
  <si>
    <t>TAPA TRANSPARENTE HUAWEI P20 PRO</t>
  </si>
  <si>
    <t>TAPA TRANSPARENTE HUAWEI P30 LITE</t>
  </si>
  <si>
    <t>TAPA TRANSPARENTE HUAWEI P40 LITE</t>
  </si>
  <si>
    <t>TAPA TRANSPARENTE HUAWEI P8</t>
  </si>
  <si>
    <t>TAPA TRANSPARENTE HUAWEI P8 LITE</t>
  </si>
  <si>
    <t>TAPA TRANSPARENTE HUAWEI P9 LITE</t>
  </si>
  <si>
    <t>TAPA TRANSPARENTE HUAWEI P9 LITE 2017</t>
  </si>
  <si>
    <t>TAPA TRANSPARENTE HUAWEI P9 LITE MINI</t>
  </si>
  <si>
    <t>TAPA TRANSPARENTE HUAWEI P9 LITE SMART</t>
  </si>
  <si>
    <t>TAPA TRANSPARENTE HUAWEI PSMART</t>
  </si>
  <si>
    <t>TAPA TRANSPARENTE HUAWEI PSMART 2019</t>
  </si>
  <si>
    <t>TAPA TRANSPARENTE HUAWEI Y360</t>
  </si>
  <si>
    <t>TAPA TRANSPARENTE HUAWEI Y6-2018</t>
  </si>
  <si>
    <t>TAPA TRANSPARENTE HUAWEI Y6-2019</t>
  </si>
  <si>
    <t>TAPA TRANSPARENTE HUAWEI Y6-II</t>
  </si>
  <si>
    <t>TAPA TRANSPARENTE HUAWEI Y600</t>
  </si>
  <si>
    <t>TAPA TRANSPARENTE HUAWEI Y635</t>
  </si>
  <si>
    <t>TAPA TRANSPARENTE HUAWEI Y6P</t>
  </si>
  <si>
    <t>TAPA TRANSPARENTE HUAWEI Y6S</t>
  </si>
  <si>
    <t>TAPA TRANSPARENTE HUAWEI Y7</t>
  </si>
  <si>
    <t>TAPA TRANSPARENTE HUAWEI Y7-2018</t>
  </si>
  <si>
    <t>TAPA TRANSPARENTE HUAWEI Y7-2019</t>
  </si>
  <si>
    <t>TAPA TRANSPARENTE HUAWEI Y7P</t>
  </si>
  <si>
    <t>TAPA TRANSPARENTE HUAWEI Y8P</t>
  </si>
  <si>
    <t>TAPA TRANSPARENTE HUAWEI Y8S</t>
  </si>
  <si>
    <t>TAPA TRANSPARENTE HUAWEI Y9 PRIME 2019</t>
  </si>
  <si>
    <t>TAPA TRANSPARENTE HUAWEI Y9-2018</t>
  </si>
  <si>
    <t>TAPA TRANSPARENTE HUAWEI Y9-2019</t>
  </si>
  <si>
    <t>TAPA TRANSPARENTE HUAWEI Y9S</t>
  </si>
  <si>
    <t>TAPA TRANSPARENTE IPAD 9,7</t>
  </si>
  <si>
    <t>TAPA TRANSPARENTE IPHONE 11</t>
  </si>
  <si>
    <t>TAPA TRANSPARENTE IPHONE 11 PRO</t>
  </si>
  <si>
    <t>TAPA TRANSPARENTE IPHONE 11 PRO MAX</t>
  </si>
  <si>
    <t>TAPA TRANSPARENTE IPHONE 12</t>
  </si>
  <si>
    <t>TAPA TRANSPARENTE IPHONE 12 MINI</t>
  </si>
  <si>
    <t>TAPA TRANSPARENTE IPHONE 12 PRO</t>
  </si>
  <si>
    <t>TAPA TRANSPARENTE IPHONE 12 PRO MAX</t>
  </si>
  <si>
    <t>TAPA TRANSPARENTE IPHONE 4</t>
  </si>
  <si>
    <t>TAPA TRANSPARENTE IPHONE 5</t>
  </si>
  <si>
    <t>TAPA TRANSPARENTE IPHONE 6</t>
  </si>
  <si>
    <t>TAPA TRANSPARENTE IPHONE 6 PLUS</t>
  </si>
  <si>
    <t>TAPA TRANSPARENTE IPHONE 7</t>
  </si>
  <si>
    <t>TAPA TRANSPARENTE IPHONE 7 PLUS</t>
  </si>
  <si>
    <t>TAPA TRANSPARENTE IPHONE 8</t>
  </si>
  <si>
    <t>TAPA TRANSPARENTE IPHONE 8 PLUS</t>
  </si>
  <si>
    <t>TAPA TRANSPARENTE IPHONE X</t>
  </si>
  <si>
    <t>TAPA TRANSPARENTE IPHONE XR</t>
  </si>
  <si>
    <t>TAPA TRANSPARENTE IPHONE XS</t>
  </si>
  <si>
    <t>TAPA TRANSPARENTE IPHONE XS MAX</t>
  </si>
  <si>
    <t>TAPA TRANSPARENTE LENOVO A 7010</t>
  </si>
  <si>
    <t>TAPA TRANSPARENTE LENOVO K6</t>
  </si>
  <si>
    <t>TAPA TRANSPARENTE LENOVO K6 PLUS</t>
  </si>
  <si>
    <t>TAPA TRANSPARENTE LENOVO VIBE C2</t>
  </si>
  <si>
    <t>TAPA TRANSPARENTE LENOVO VIKE B</t>
  </si>
  <si>
    <t>TAPA TRANSPARENTE LG G3</t>
  </si>
  <si>
    <t>TAPA TRANSPARENTE LG G3 STYLE</t>
  </si>
  <si>
    <t>TAPA TRANSPARENTE LG G6</t>
  </si>
  <si>
    <t>TAPA TRANSPARENTE LG K10</t>
  </si>
  <si>
    <t>TAPA TRANSPARENTE LG K10-2017</t>
  </si>
  <si>
    <t>TAPA TRANSPARENTE LG K11</t>
  </si>
  <si>
    <t>TAPA TRANSPARENTE LG K40</t>
  </si>
  <si>
    <t>TAPA TRANSPARENTE LG K50</t>
  </si>
  <si>
    <t>TAPA TRANSPARENTE LG K7</t>
  </si>
  <si>
    <t>TAPA TRANSPARENTE LG K8</t>
  </si>
  <si>
    <t>TAPA TRANSPARENTE LG K8-2017</t>
  </si>
  <si>
    <t>TAPA TRANSPARENTE LG K9</t>
  </si>
  <si>
    <t>TAPA TRANSPARENTE LG LEON</t>
  </si>
  <si>
    <t>TAPA TRANSPARENTE LG Q6</t>
  </si>
  <si>
    <t>TAPA TRANSPARENTE LG Q7</t>
  </si>
  <si>
    <t>TAPA TRANSPARENTE LG STYLE</t>
  </si>
  <si>
    <t>TAPA TRANSPARENTE LG STYLUS 3</t>
  </si>
  <si>
    <t>TAPA TRANSPARENTE LG STYLUS II</t>
  </si>
  <si>
    <t>TAPA TRANSPARENTE LG X CAM</t>
  </si>
  <si>
    <t>TAPA TRANSPARENTE LG X POWER</t>
  </si>
  <si>
    <t>TAPA TRANSPARENTE MATE 10 LITE</t>
  </si>
  <si>
    <t>TAPA TRANSPARENTE MOTO C PLUS</t>
  </si>
  <si>
    <t>TAPA TRANSPARENTE MOTO E4 PLUS</t>
  </si>
  <si>
    <t>TAPA TRANSPARENTE MOTO E5</t>
  </si>
  <si>
    <t>TAPA TRANSPARENTE MOTO E5 PLUS</t>
  </si>
  <si>
    <t>TAPA TRANSPARENTE MOTO G</t>
  </si>
  <si>
    <t>TAPA TRANSPARENTE MOTO G3</t>
  </si>
  <si>
    <t>TAPA TRANSPARENTE MOTO G4</t>
  </si>
  <si>
    <t>TAPA TRANSPARENTE MOTO G4 PLAY</t>
  </si>
  <si>
    <t>TAPA TRANSPARENTE MOTO G4 PLUS</t>
  </si>
  <si>
    <t>TAPA TRANSPARENTE MOTO G5</t>
  </si>
  <si>
    <t>TAPA TRANSPARENTE MOTO G5 PLUS</t>
  </si>
  <si>
    <t>TAPA TRANSPARENTE MOTO G5S</t>
  </si>
  <si>
    <t>TAPA TRANSPARENTE MOTO G5S PLUS</t>
  </si>
  <si>
    <t>TAPA TRANSPARENTE MOTO G6</t>
  </si>
  <si>
    <t>TAPA TRANSPARENTE MOTO G6 PLAY</t>
  </si>
  <si>
    <t>TAPA TRANSPARENTE MOTO G6 PLUS</t>
  </si>
  <si>
    <t>TAPA TRANSPARENTE MOTO G7</t>
  </si>
  <si>
    <t>TAPA TRANSPARENTE MOTO G7 PLAY</t>
  </si>
  <si>
    <t>TAPA TRANSPARENTE MOTO ONE</t>
  </si>
  <si>
    <t>TAPA TRANSPARENTE MOTO X PLAY</t>
  </si>
  <si>
    <t>TAPA TRANSPARENTE MOTO X2</t>
  </si>
  <si>
    <t>TAPA TRANSPARENTE MOTO X4</t>
  </si>
  <si>
    <t>TAPA TRANSPARENTE MOTO Z2 PLAY</t>
  </si>
  <si>
    <t>TAPA TRANSPARENTE NOKIA 1</t>
  </si>
  <si>
    <t>TAPA TRANSPARENTE NOKIA 3</t>
  </si>
  <si>
    <t>TAPA TRANSPARENTE NOKIA 3.1</t>
  </si>
  <si>
    <t>TAPA TRANSPARENTE NOKIA 5</t>
  </si>
  <si>
    <t>TAPA TRANSPARENTE NOKIA 5.1</t>
  </si>
  <si>
    <t>TAPA TRANSPARENTE NOKIA 5.1 PLUS</t>
  </si>
  <si>
    <t>TAPA TRANSPARENTE NOKIA 6</t>
  </si>
  <si>
    <t>TAPA TRANSPARENTE NOKIA 6.1</t>
  </si>
  <si>
    <t>TAPA TRANSPARENTE NOKIA 7.1 PLUS</t>
  </si>
  <si>
    <t>TAPA TRANSPARENTE NOKIA 8</t>
  </si>
  <si>
    <t>TAPA TRANSPARENTE OWN 4020</t>
  </si>
  <si>
    <t>TAPA TRANSPARENTE SAM A10</t>
  </si>
  <si>
    <t>TAPA TRANSPARENTE SAM A10S</t>
  </si>
  <si>
    <t>TAPA TRANSPARENTE SAM A3-2016</t>
  </si>
  <si>
    <t>TAPA TRANSPARENTE SAM A31</t>
  </si>
  <si>
    <t>TAPA TRANSPARENTE SAM A5</t>
  </si>
  <si>
    <t>TAPA TRANSPARENTE SAM A5-2016</t>
  </si>
  <si>
    <t>TAPA TRANSPARENTE SAM A5-2017</t>
  </si>
  <si>
    <t>TAPA TRANSPARENTE SAM A51</t>
  </si>
  <si>
    <t>TAPA TRANSPARENTE SAM A6</t>
  </si>
  <si>
    <t>TAPA TRANSPARENTE SAM A6 PLUS</t>
  </si>
  <si>
    <t>TAPA TRANSPARENTE SAM A7-2016</t>
  </si>
  <si>
    <t>TAPA TRANSPARENTE SAM A7-2017</t>
  </si>
  <si>
    <t>TAPA TRANSPARENTE SAM A7-2018</t>
  </si>
  <si>
    <t>TAPA TRANSPARENTE SAM A70</t>
  </si>
  <si>
    <t>TAPA TRANSPARENTE SAM A8</t>
  </si>
  <si>
    <t>TAPA TRANSPARENTE SAM A8 PLUS</t>
  </si>
  <si>
    <t>TAPA TRANSPARENTE SAM A9</t>
  </si>
  <si>
    <t>TAPA TRANSPARENTE SAM ACE 4</t>
  </si>
  <si>
    <t>TAPA TRANSPARENTE SAM CORE</t>
  </si>
  <si>
    <t>TAPA TRANSPARENTE SAM CORE 2</t>
  </si>
  <si>
    <t>TAPA TRANSPARENTE SAM CORE PRIME</t>
  </si>
  <si>
    <t>TAPA TRANSPARENTE SAM E5</t>
  </si>
  <si>
    <t>TAPA TRANSPARENTE SAM GALAXY GRAND</t>
  </si>
  <si>
    <t>TAPA TRANSPARENTE SAM GRAND</t>
  </si>
  <si>
    <t>TAPA TRANSPARENTE SAM GRAND 9080</t>
  </si>
  <si>
    <t>TAPA TRANSPARENTE SAM GRAND 9082</t>
  </si>
  <si>
    <t>TAPA TRANSPARENTE SAM GRAND PRIME</t>
  </si>
  <si>
    <t>TAPA TRANSPARENTE SAM J1</t>
  </si>
  <si>
    <t>TAPA TRANSPARENTE SAM J1 ACE</t>
  </si>
  <si>
    <t>TAPA TRANSPARENTE SAM J1-2016</t>
  </si>
  <si>
    <t>TAPA TRANSPARENTE SAM J2</t>
  </si>
  <si>
    <t>TAPA TRANSPARENTE SAM J2 CORE</t>
  </si>
  <si>
    <t>TAPA TRANSPARENTE SAM J2 PRIME</t>
  </si>
  <si>
    <t>TAPA TRANSPARENTE SAM J2 PRO</t>
  </si>
  <si>
    <t>TAPA TRANSPARENTE SAM J4</t>
  </si>
  <si>
    <t>TAPA TRANSPARENTE SAM J4 PLUS</t>
  </si>
  <si>
    <t>TAPA TRANSPARENTE SAM J5</t>
  </si>
  <si>
    <t>TAPA TRANSPARENTE SAM J5 PRIME</t>
  </si>
  <si>
    <t>TAPA TRANSPARENTE SAM J5 PRO</t>
  </si>
  <si>
    <t>TAPA TRANSPARENTE SAM J5-2016</t>
  </si>
  <si>
    <t>TAPA TRANSPARENTE SAM J5-2017</t>
  </si>
  <si>
    <t>TAPA TRANSPARENTE SAM J6</t>
  </si>
  <si>
    <t>TAPA TRANSPARENTE SAM J6 PLUS</t>
  </si>
  <si>
    <t>TAPA TRANSPARENTE SAM J7</t>
  </si>
  <si>
    <t>TAPA TRANSPARENTE SAM J7 DUO</t>
  </si>
  <si>
    <t>TAPA TRANSPARENTE SAM J7 NEO</t>
  </si>
  <si>
    <t>TAPA TRANSPARENTE SAM J7 PRIME</t>
  </si>
  <si>
    <t>TAPA TRANSPARENTE SAM J7 PRO</t>
  </si>
  <si>
    <t>TAPA TRANSPARENTE SAM J7-2016</t>
  </si>
  <si>
    <t>TAPA TRANSPARENTE SAM J7-2017</t>
  </si>
  <si>
    <t>TAPA TRANSPARENTE SAM J8</t>
  </si>
  <si>
    <t>TAPA TRANSPARENTE SAM NOTE 8</t>
  </si>
  <si>
    <t>TAPA TRANSPARENTE SAM NOTE 9</t>
  </si>
  <si>
    <t>TAPA TRANSPARENTE SAM S10</t>
  </si>
  <si>
    <t>TAPA TRANSPARENTE SAM S10 LITE</t>
  </si>
  <si>
    <t>TAPA TRANSPARENTE SAM S10 PLUS</t>
  </si>
  <si>
    <t>TAPA TRANSPARENTE SAM S3 MINI</t>
  </si>
  <si>
    <t>TAPA TRANSPARENTE SAM S4 MINI</t>
  </si>
  <si>
    <t>TAPA TRANSPARENTE SAM S6</t>
  </si>
  <si>
    <t>TAPA TRANSPARENTE SAM S6 EDGE</t>
  </si>
  <si>
    <t>TAPA TRANSPARENTE SAM S7</t>
  </si>
  <si>
    <t>TAPA TRANSPARENTE SAM S7 EDGE</t>
  </si>
  <si>
    <t>TAPA TRANSPARENTE SAM S8</t>
  </si>
  <si>
    <t>TAPA TRANSPARENTE SAM S8 EDGE</t>
  </si>
  <si>
    <t>TAPA TRANSPARENTE SAM S8 PLUS</t>
  </si>
  <si>
    <t>TAPA TRANSPARENTE SAM S9</t>
  </si>
  <si>
    <t>TAPA TRANSPARENTE SAM S9 PLUS</t>
  </si>
  <si>
    <t>TAPA TRANSPARENTE SAMS</t>
  </si>
  <si>
    <t>TAPA TRANSPARENTE SONY C4</t>
  </si>
  <si>
    <t>TAPA TRANSPARENTE SONY E 4</t>
  </si>
  <si>
    <t>TAPA TRANSPARENTE SONY L1</t>
  </si>
  <si>
    <t>TAPA TRANSPARENTE SONY M4</t>
  </si>
  <si>
    <t>TAPA TRANSPARENTE SONY M4 AQUA</t>
  </si>
  <si>
    <t>TAPA TRANSPARENTE SONY M5</t>
  </si>
  <si>
    <t>TAPA TRANSPARENTE SONY X</t>
  </si>
  <si>
    <t>TAPA TRANSPARENTE SONY XA1</t>
  </si>
  <si>
    <t>TAPA TRANSPARENTE SONY XA1 ULTRA</t>
  </si>
  <si>
    <t>TAPA TRANSPARENTE SONY XZ</t>
  </si>
  <si>
    <t>TAPA TRANSPARENTE SONY XZ PREMIUM</t>
  </si>
  <si>
    <t>TAPA TRANSPARENTE SONY Z3</t>
  </si>
  <si>
    <t>TAPA TRANSPARENTE SONY Z5</t>
  </si>
  <si>
    <t>TAPA TRANSPARENTE SONY Z5 PREMIUN</t>
  </si>
  <si>
    <t>TAPA TRANSPARENTE XIAOMI MI A1</t>
  </si>
  <si>
    <t>TAPA TRANSPARENTE XIAOMI REDMI 9</t>
  </si>
  <si>
    <t>TAPA TRANSPARENTE XIAOMI REDMI 9C</t>
  </si>
  <si>
    <t>TAPA TRANSPARENTE XIAOMI REDMI NOTE 5</t>
  </si>
  <si>
    <t>TAPA TRANSPARENTE XIAOMI REDMI NOTE 9</t>
  </si>
  <si>
    <t>TAPA TRANSPARENTE ZTE L2</t>
  </si>
  <si>
    <t>TARJETA DE AUDIO USB 7.1</t>
  </si>
  <si>
    <t>TARJETA DE AUDIO USB 7.1 COD 1684 DOBLE</t>
  </si>
  <si>
    <t>TARJETA MEMEORIA MAXELL 16 GB</t>
  </si>
  <si>
    <t>TARJETA MEMORIA 8 GB</t>
  </si>
  <si>
    <t>TARJETA MEMORIA KINGSTON 32 GB</t>
  </si>
  <si>
    <t>TARJETA MULTILECTORA METALICA 15 EN 1</t>
  </si>
  <si>
    <t>TECLADO</t>
  </si>
  <si>
    <t>TECLADO ALAMBRICO CON USB T-100</t>
  </si>
  <si>
    <t>TECLADO + MOUSE C. CABLE T-201</t>
  </si>
  <si>
    <t>TECLADO + MOUSE INALAMBRICO TM-400</t>
  </si>
  <si>
    <t>TECLADO ALAMBRICO COD 1538</t>
  </si>
  <si>
    <t>TECLADO ALAMBRICO GENIUS KB-100</t>
  </si>
  <si>
    <t>TECLADO ALAMBRICO GENIUS KB-102</t>
  </si>
  <si>
    <t>TECLADO ALAMBRICO GENIUS KB-116</t>
  </si>
  <si>
    <t>TECLADO ALAMBRICO GENIUS KB-125 BASICO</t>
  </si>
  <si>
    <t>TECLADO ALAMBRICO GENIUS KM-160</t>
  </si>
  <si>
    <t>TECLADO ALAMBRICO GENIUS LUXEMATE 100</t>
  </si>
  <si>
    <t>TECLADO ALAMBRICO GENIUS SLIMSTAR 126</t>
  </si>
  <si>
    <t>TECLADO ALAMBRICO GENIUS SLIMSTAR 230</t>
  </si>
  <si>
    <t>TECLADO ALAMBRICO GENIUS SMART KB-101</t>
  </si>
  <si>
    <t>TECLADO ALAMBRICO JX-123</t>
  </si>
  <si>
    <t>TECLADO ALAMBRICO KLIP XTREME KKS-050S</t>
  </si>
  <si>
    <t>TECLADO ALAMBRICO MECANICO TARGET PREDATOR</t>
  </si>
  <si>
    <t>TECLADO ALAMBRICO NUMERICO KLIP EXTREME KNP-100</t>
  </si>
  <si>
    <t>TECLADO ALAMBRICO ULTRA UT-K100U</t>
  </si>
  <si>
    <t>TECLADO ALAMBRICO XTECH XTK-160S</t>
  </si>
  <si>
    <t>TECLADO BLUETOOTH T-500B</t>
  </si>
  <si>
    <t>TECLADO BLUETOOTH TM-450WL</t>
  </si>
  <si>
    <t>TECLADO BLUETOOTH VERBATIM PLEGABLE</t>
  </si>
  <si>
    <t>TECLADO C. CABLE MULTIMEDIA T-150</t>
  </si>
  <si>
    <t>TECLADO GAMER AOAS M-600 HAOMAI-04906</t>
  </si>
  <si>
    <t>TECLADO GAMER AOAS M-888 HAOMAI-05033</t>
  </si>
  <si>
    <t>TECLADO GAMER GENIUS SCORPION K215 RETROILUMINADO</t>
  </si>
  <si>
    <t>TECLADO GAMER GENIUS SCORPION K220 RETROILUMINADO</t>
  </si>
  <si>
    <t>TECLADO GAMER JX-K8 39 TECLAS</t>
  </si>
  <si>
    <t>TECLADO GAMER KW-900 MECANICO RETROILUMINADO</t>
  </si>
  <si>
    <t>TECLADO GAMER MECANICO K-30</t>
  </si>
  <si>
    <t>TECLADO GAMER TRUST AVONN GXT 830RW</t>
  </si>
  <si>
    <t>TECLADO INALAMBRICO BLUETOOTH 59002</t>
  </si>
  <si>
    <t>TECLADO INALAMBRICO BLUETOOTH BK3001</t>
  </si>
  <si>
    <t>TECLADO INALAMBRICO PARA APPLE</t>
  </si>
  <si>
    <t>TECLADO MAGIC GAMING GM 700</t>
  </si>
  <si>
    <t>TECLADO NUMERICO ALAMBRICO ULTRA</t>
  </si>
  <si>
    <t>TECLADO NUMERICO COD 2162</t>
  </si>
  <si>
    <t>TECLADO NUMERICO INALAMBRICO</t>
  </si>
  <si>
    <t>TECLADO NUMERICO ULTRA UT-K200U</t>
  </si>
  <si>
    <t>TECLADO PARA SMART TV</t>
  </si>
  <si>
    <t>TECLADO PARA SMART TV COD 1351</t>
  </si>
  <si>
    <t>TECLADO PC CONECC USB 1538</t>
  </si>
  <si>
    <t>TECLADO PC GAMER COD 2123</t>
  </si>
  <si>
    <t>TECLADO TABLET 10.1" FCT010</t>
  </si>
  <si>
    <t>TECLADO TABLET 7" FCB008</t>
  </si>
  <si>
    <t>TECLADO ULTRA UT0-K50UP</t>
  </si>
  <si>
    <t>TECLADO Y MOUSE ALAMBRICO GENIUS KM-130</t>
  </si>
  <si>
    <t>TECLADO Y MOUSE ALAMBRICO GENIUS KM-160</t>
  </si>
  <si>
    <t>TECLADO Y MOUSE ALAMBRICO GENIUS SLIMSTAR C130</t>
  </si>
  <si>
    <t>TECLADO Y MOUSE ALAMBRICO PHILIPS C234</t>
  </si>
  <si>
    <t>TECLADO Y MOUSE ALAMBRICO XTECH XTK-301S</t>
  </si>
  <si>
    <t>TECLADO Y MOUSE GAMER PHILIPS SPT8264/00</t>
  </si>
  <si>
    <t>TECLADO Y MOUSE GAMER TRUST AZOR GXT 838</t>
  </si>
  <si>
    <t>TECLADO Y MOUSE INALAMBRICO GENIUS KB-8000X</t>
  </si>
  <si>
    <t>TECLADO Y MOUSE INALAMBRICO GENIUS SLIMSTAR 8006</t>
  </si>
  <si>
    <t>TECLADO Y MOUSE INALAMBRICO GENIUS SMART KM-8100</t>
  </si>
  <si>
    <t>TECLADO Y MOUSE INALAMBRICO GENIUS SMART KM-8200</t>
  </si>
  <si>
    <t>TECLADO Y MOUSE INALAMBRICO PHILIPS C134 COD 100099</t>
  </si>
  <si>
    <t>TECLADO Y MOUSE INALAMBRICO TARGET TT-CW500</t>
  </si>
  <si>
    <t>TECLADO Y MOUSE INALAMBRICO TRUST NOVA</t>
  </si>
  <si>
    <t>TECLADO Y MOUSE INALAMBRICO TRUST ZIVA</t>
  </si>
  <si>
    <t>TECLADO Y MOUSE INALAMBRICO XTECH XTK-301S</t>
  </si>
  <si>
    <t>TECLADO Y MOUSE TIPO GAMER ALAMBRICO COD 966</t>
  </si>
  <si>
    <t>TECLADO Y MOUSE TIPO GAMER INALAMBRICO COD 966</t>
  </si>
  <si>
    <t>TECLADO Y MOUSE XTECH XTK-300S</t>
  </si>
  <si>
    <t>TELEFONO INALAMBRICO MOTOROLA M700 NEGRO</t>
  </si>
  <si>
    <t>TELEFONO INALAMBRICO MOTOROLA MODELO M700 COD 1685</t>
  </si>
  <si>
    <t>TERMOMETRO DIGITAL CON DISPENSADOR DE ALCOHOL GEL IRM-08899</t>
  </si>
  <si>
    <t>TERMOMETRO DIGITAL IRM-07672</t>
  </si>
  <si>
    <t>TESTEADOR REDES</t>
  </si>
  <si>
    <t>TESTER DIGITAL DT9205A COD 3787</t>
  </si>
  <si>
    <t>TGAPA MOTOMO YOU YOU SAM S6</t>
  </si>
  <si>
    <t>TOALLA DE PAPEL LA PATRONA 100 MTS</t>
  </si>
  <si>
    <t>TOALLA DESINFECTANTE BELUX 72 UN</t>
  </si>
  <si>
    <t>TOALLA DESINFECTANTE VIRUTEX LIMON 35 UDS</t>
  </si>
  <si>
    <t>TOALLA DESINFECTANTE VIRUTEX LIMON 50 UDS ELECTRONICA MENOR</t>
  </si>
  <si>
    <t>TOALLA NOVA UNIDAD</t>
  </si>
  <si>
    <t>TOALLA OSO CLASICA 12.6 MTS</t>
  </si>
  <si>
    <t>TRABA VOLANTE TIPO T COD 3322</t>
  </si>
  <si>
    <t>TRANSFORMADOR 12V IRM-00729</t>
  </si>
  <si>
    <t>TRANSFORMADOR 2,5 A 12V COD 2393</t>
  </si>
  <si>
    <t>TRANSFORMADOR 220-110V COD 2628</t>
  </si>
  <si>
    <t>TRANSFORMADOR 3 A 12V IRM-06039</t>
  </si>
  <si>
    <t>TRANSMIDOR FM 8 EN 1 DEZZER</t>
  </si>
  <si>
    <t>TRANSMISOR AUTO BLUETOOTH COD 520</t>
  </si>
  <si>
    <t>TRANSMISOR BLUETOOTH AUTO COD 522</t>
  </si>
  <si>
    <t>TRANSMISOR BLUETOOTH BT600 PHILCO</t>
  </si>
  <si>
    <t>TRANSMISOR BLUETOOTH DAIKU FM-29B</t>
  </si>
  <si>
    <t>TRANSMISOR BLUETOOTH FM COD 1094</t>
  </si>
  <si>
    <t>TRANSMISOR BLUETOOTH FM IRM-04909</t>
  </si>
  <si>
    <t>TRANSMISOR BLUETOOTH FM IRM-05829 T10</t>
  </si>
  <si>
    <t>TRANSMISOR BLUETOOTH FM IRM-05840</t>
  </si>
  <si>
    <t>TRANSMISOR BLUETOOTH FM IRM-06374 X22</t>
  </si>
  <si>
    <t>TRANSMISOR BLUETOOTH FM IRM-07293</t>
  </si>
  <si>
    <t>TRANSMISOR FM 5476 C. CABLE V8, DC, AUX,</t>
  </si>
  <si>
    <t>TRANSMISOR FM BLUETOOH IRM-03198</t>
  </si>
  <si>
    <t>TRANSMISOR FM BLUETOOTH COD 118139</t>
  </si>
  <si>
    <t>TRANSMISOR FM BLUETOOTH COD 118205</t>
  </si>
  <si>
    <t>TRANSMISOR FM BLUETOOTH COD 37</t>
  </si>
  <si>
    <t>TRANSMISOR FM BLUETOOTH COD 4217</t>
  </si>
  <si>
    <t>TRANSMISOR FM BLUETOOTH MAXELL FMT-21</t>
  </si>
  <si>
    <t>TRANSMISOR FM BLUETOOTH PHILCO X1</t>
  </si>
  <si>
    <t>TRANSMISOR FM BT 3.4 A PHILCO</t>
  </si>
  <si>
    <t>TRANSMISOR Y RECEPTOR BLUETOOTH RX TX T11 2 EN 1</t>
  </si>
  <si>
    <t>TRIPLE ELECTRICO COD 117710</t>
  </si>
  <si>
    <t>TRIPODE 1,0 MT 3110</t>
  </si>
  <si>
    <t>TRIPODE 1,0 MT CON CONTROL IRM-07586</t>
  </si>
  <si>
    <t>TRIPODE 1,1MT CAMARA REFLEX COD 42</t>
  </si>
  <si>
    <t>TRIPODE 1,3 MT 330A</t>
  </si>
  <si>
    <t>TRIPODE 1,5 MTS COD 14815 MOD 330A</t>
  </si>
  <si>
    <t>TRIPODE 2,1 MTS PARA ARO DE LUZ</t>
  </si>
  <si>
    <t>TRIPODE CAMARA REFLEX COD 1346</t>
  </si>
  <si>
    <t>TRIPODE CAMARA REFLEX COD 629 1,5 MTS</t>
  </si>
  <si>
    <t>TRIPODE CAMARA REFLEX IRM-06297</t>
  </si>
  <si>
    <t>TRIPODE CON CONTROL 128 CMS IRM-06295</t>
  </si>
  <si>
    <t>TRIPODE FIJO COD 116236</t>
  </si>
  <si>
    <t>TRIPODE GORILAPOD CABALLO</t>
  </si>
  <si>
    <t>TRIPODE GORILAPOD PATA FLEXIBLE</t>
  </si>
  <si>
    <t>TRIPODE MINI EXTENSIBLE COD 2312</t>
  </si>
  <si>
    <t>TRIPODE MINI FLEXIBLE COD 2417</t>
  </si>
  <si>
    <t>TRIPODE PARA CAMARA 1.50 MTS</t>
  </si>
  <si>
    <t>TRIPODE PARA CAMARA 120 CMS SXC-00549</t>
  </si>
  <si>
    <t>TRIPODE PARA CAMARA 150 CMS IRM-07629 3110</t>
  </si>
  <si>
    <t>TRIPODE PARA CAMARA IRM-02268</t>
  </si>
  <si>
    <t>TRIPODE PARA CAMARA IRM-02269</t>
  </si>
  <si>
    <t>TRIPODE PARA CAMARA PEQ 1,2 MTS</t>
  </si>
  <si>
    <t>TRIPODE PARA CAMARA SXC-00554 160 CMS</t>
  </si>
  <si>
    <t>TRIPODE PARA CELULAR IRM-05110</t>
  </si>
  <si>
    <t>TRIPODE PARA CELULAR IRM-06505 PATA EXTENSIBLE</t>
  </si>
  <si>
    <t>TRIPODE PARA CELULAR IRM-07716 330A</t>
  </si>
  <si>
    <t>TRIPODE PARA CELULAR PATA METALICA</t>
  </si>
  <si>
    <t>TRIPODE PATA FIJA IRM-03096</t>
  </si>
  <si>
    <t>TRIPODE PATA FIJA IRM-07988</t>
  </si>
  <si>
    <t>TRIPODE PATA FIJA YUNTFNG</t>
  </si>
  <si>
    <t>TRIPODE PATA FLEXIBLE</t>
  </si>
  <si>
    <t>TRIPODE PATA FLEXIBLE IRM-02113</t>
  </si>
  <si>
    <t>TRIPODE PATA FLEXIBLE BA-1028</t>
  </si>
  <si>
    <t>TRIPODE PATA FLEXIBLE IRM-06413</t>
  </si>
  <si>
    <t>TRIPODE TRIPLE IRM-07558</t>
  </si>
  <si>
    <t>TV BOX ANDROID 8.1 COD 2890</t>
  </si>
  <si>
    <t>TV BOX ANDROID 9.0 IRM-07235</t>
  </si>
  <si>
    <t>TV BOX ANDROID 9.0 IRM-07236</t>
  </si>
  <si>
    <t>TV BOX ANDROID 9.0 MXQ-4K</t>
  </si>
  <si>
    <t>TV BOX ANDROID X96 MATE 4K</t>
  </si>
  <si>
    <t>V. T 3D + TAPA GOMA IPHONE 7 PLUS ESTUCHE EXCLUSIV</t>
  </si>
  <si>
    <t>V. T 3D + TAPA GOMA IPHONE 7G ESTUCHE EXCLUSIVO</t>
  </si>
  <si>
    <t>V. T BORDE COLOR IPH 7G VIDRIO PEGAMENTO COMPLETO</t>
  </si>
  <si>
    <t>V.T BORDE COLOR IPHONE 4</t>
  </si>
  <si>
    <t>V.T BORDE COLOR SAM S3</t>
  </si>
  <si>
    <t>VENTILADOR C/ AGUA</t>
  </si>
  <si>
    <t>VENTILADOR MINI PORTABLE COD 2938</t>
  </si>
  <si>
    <t>VENTILADOR NOTEBOOK CL-022BK</t>
  </si>
  <si>
    <t>VENTILADOR NOTEBOOK CL-022BL</t>
  </si>
  <si>
    <t>VENTILADOR NOTEBOOK FIDDLER FD-YL025</t>
  </si>
  <si>
    <t>VENTILADOR PARA NOTEBOOK 10" A 15" 883</t>
  </si>
  <si>
    <t>VENTILADOR PARA NOTEBOOK 10" A 15" N18</t>
  </si>
  <si>
    <t>VENTILADOR SOLAR COD 2457 PARA AUTO</t>
  </si>
  <si>
    <t>VENTILADOR USB DE ESCRITORIO COD 2687</t>
  </si>
  <si>
    <t>VENTILADOR USB ULTRA</t>
  </si>
  <si>
    <t>VIDEO JUEGO MINI COD 6323 PORTATIL A TV</t>
  </si>
  <si>
    <t>VIDEO PORTERO 4,3 CITOFONO INALAMBRICO</t>
  </si>
  <si>
    <t>VIDRIO 3D BORDE COLOR IPHONE 7 VIDRIO PEGAMENTO COMPLETO</t>
  </si>
  <si>
    <t>VIDRIO 3D CURVA S6 EDGE</t>
  </si>
  <si>
    <t>VIDRIO 3D CURVO SAM NOTE 8</t>
  </si>
  <si>
    <t>VIDRIO 3D CURVO SAM S6 EDGE</t>
  </si>
  <si>
    <t>VIDRIO 3D CURVO SAM S7 EDGE</t>
  </si>
  <si>
    <t>VIDRIO 3D CURVO SAM S8</t>
  </si>
  <si>
    <t>VIDRIO 3D CURVO SAM S8 PLUS</t>
  </si>
  <si>
    <t>VIDRIO 3D HUAWEI MATE 20 LITE</t>
  </si>
  <si>
    <t>VIDRIO 3D HUAWEI MATE 20 PRO</t>
  </si>
  <si>
    <t>VIDRIO 3D HUAWEI P9 LITE VIDRIO PEGAMENTO EN BORDE</t>
  </si>
  <si>
    <t>VIDRIO 3D HUAWEI PSMART</t>
  </si>
  <si>
    <t>VIDRIO 3D NOKIA 6.1</t>
  </si>
  <si>
    <t>VIDRIO 3D SAM A8 PLUS</t>
  </si>
  <si>
    <t>VIDRIO 3D SAM J5 VIDRIO PEGAMENTO EN BORDE</t>
  </si>
  <si>
    <t>VIDRIO 3D SAM J5 PRIME VIDRIO PEGAMENTO EN BORDE</t>
  </si>
  <si>
    <t>VIDRIO 3D SAM J5-2016 VIDRIO PEGAMENTO EN BORDE</t>
  </si>
  <si>
    <t>VIDRIO 3D SAM J6</t>
  </si>
  <si>
    <t>VIDRIO 3D SAM J7</t>
  </si>
  <si>
    <t>VIDRIO 3D SAM J7-2016</t>
  </si>
  <si>
    <t>VIDRIO 3D SAM J8</t>
  </si>
  <si>
    <t>VIDRIO 3D SAM NOTE 9</t>
  </si>
  <si>
    <t>VIDRIO 3D SAM S6 EDGE PLUS VIDRIO PEGAMENTO EN BORDE</t>
  </si>
  <si>
    <t>VIDRIO 3D SAM S7 EDGE</t>
  </si>
  <si>
    <t>VIDRIO 3D SAM S8 PLUS</t>
  </si>
  <si>
    <t>VIDRIO 3D SAM S8 PLUS VIDRIO PEGAMENTO COMPLETO</t>
  </si>
  <si>
    <t>VIDRIO 3D SAM S8 PLUS VIDRIO PEGAMENTO EN BORDE</t>
  </si>
  <si>
    <t>VIDRIO 3D SAM S9</t>
  </si>
  <si>
    <t>VIDRIO 3D SAM S9 PLUS</t>
  </si>
  <si>
    <t>VIDRIO 4D HUAWEI P SMART</t>
  </si>
  <si>
    <t>VIDRIO 4D IPHONE 6</t>
  </si>
  <si>
    <t>VIDRIO 4D IPHONE 6 VIDRIO CON BORDE METALICO</t>
  </si>
  <si>
    <t>VIDRIO 4D IPHONE 6 PLUS VIDRIO CON BORDE METALICO</t>
  </si>
  <si>
    <t>VIDRIO 4D IPHONE 7 VIDRIO CON BORDE METALICO</t>
  </si>
  <si>
    <t>VIDRIO 4D IPHONE 7 PLUS VIDRIO CON BORDE METALICO</t>
  </si>
  <si>
    <t>VIDRIO 4D IPHONE 8 VIDRIO CON BORDE METALICO</t>
  </si>
  <si>
    <t>VIDRIO 4D IPHONE 8 PLUS VIDRIO CON BORDE METALICO</t>
  </si>
  <si>
    <t>VIDRIO 4D IPHONE X VIDRIO CON BORDE METALICO</t>
  </si>
  <si>
    <t>VIDRIO 4D LG K10</t>
  </si>
  <si>
    <t>VIDRIO 4D SAM J5 PRIME VIDRIO CON BORDE METALICO</t>
  </si>
  <si>
    <t>VIDRIO 4D SAM J5 PRO VIDRIO CON BORDE METALICO</t>
  </si>
  <si>
    <t>VIDRIO 4D SAM J7 NEO VIDRIO CON BORDE METALICO</t>
  </si>
  <si>
    <t>VIDRIO 4D SAM J7 PRIME VIDRIO CON BORDE METALICO</t>
  </si>
  <si>
    <t>VIDRIO 4D SAM J7 PRIME VIDRIO PEGAMENTO EN BORDE</t>
  </si>
  <si>
    <t>VIDRIO 4D SAM J7 PRO VIDRIO CON BORDE METALICO</t>
  </si>
  <si>
    <t>VIDRIO 4D SAM J7-2016 VIDRIO CON BORDE METALICO</t>
  </si>
  <si>
    <t>VIDRIO 4D SAM NOTE 8 VIDRIO PEGAMENTO EN BORDE</t>
  </si>
  <si>
    <t>VIDRIO 4D SAM S6 EDGE VIDRIO PEGAMENTO EN BORDE</t>
  </si>
  <si>
    <t>VIDRIO 4D SAM S7 EDGE</t>
  </si>
  <si>
    <t>VIDRIO 5 D SAM NOTE 9</t>
  </si>
  <si>
    <t>VIDRIO 5D HUAWEI MATE 10 LITE</t>
  </si>
  <si>
    <t>VIDRIO 5D HUAWEI MATE 10 LITE VIDRIO PEGAMENTO COMPLETO</t>
  </si>
  <si>
    <t>VIDRIO 5D HUAWEI MATE 10 PRO VIDRIO PEGAMENTO COMPLETO</t>
  </si>
  <si>
    <t>VIDRIO 5D HUAWEI MATE 20 LITE</t>
  </si>
  <si>
    <t>VIDRIO 5D HUAWEI MATE 20 LITE VIDRIO PEGAMENTO COMPLETO</t>
  </si>
  <si>
    <t>VIDRIO 5D HUAWEI MATE 30 LITE VIDRIO PEGAMENTO COMPLETO</t>
  </si>
  <si>
    <t>VIDRIO 5D HUAWEI MATE 9 LITE</t>
  </si>
  <si>
    <t>VIDRIO 5D HUAWEI NOVA 5T VIDRIO PEGAMENTO COMPLETO</t>
  </si>
  <si>
    <t>VIDRIO 5D HUAWEI NOVA 7 SE</t>
  </si>
  <si>
    <t>VIDRIO 5D HUAWEI P20</t>
  </si>
  <si>
    <t>VIDRIO 5D HUAWEI P20 LITE</t>
  </si>
  <si>
    <t>VIDRIO 5D HUAWEI P20 LITE VIDRIO PEGAMENTO COMPLETO</t>
  </si>
  <si>
    <t>VIDRIO 5D HUAWEI P30 VIDRIO PEGAMENTO COMPLETO</t>
  </si>
  <si>
    <t>VIDRIO 5D HUAWEI P30 LITE</t>
  </si>
  <si>
    <t>VIDRIO 5D HUAWEI P30 LITE VIDRIO PEGAMENTO COMPLETO</t>
  </si>
  <si>
    <t>VIDRIO 5D HUAWEI P40 LITE</t>
  </si>
  <si>
    <t>VIDRIO 5D HUAWEI P40 LITE VIDRIO PEGAMENTO COMPLETO</t>
  </si>
  <si>
    <t>VIDRIO 5D HUAWEI P40 PRO VIDRIO PEGAMENTO COMPLETO</t>
  </si>
  <si>
    <t>VIDRIO 5D HUAWEI PSMART 2019</t>
  </si>
  <si>
    <t>VIDRIO 5D HUAWEI PSMART 2019 VIDRIO PEGAMENTO COMPLETO</t>
  </si>
  <si>
    <t>VIDRIO 5D HUAWEI Y5S</t>
  </si>
  <si>
    <t>VIDRIO 5D HUAWEI Y5S VIDRIO PEGAMENTO COMPLETO</t>
  </si>
  <si>
    <t>VIDRIO 5D HUAWEI Y6-2019</t>
  </si>
  <si>
    <t>VIDRIO 5D HUAWEI Y6P</t>
  </si>
  <si>
    <t>VIDRIO 5D HUAWEI Y6P VIDRIO PEGAMENTO COMPLETO</t>
  </si>
  <si>
    <t>VIDRIO 5D HUAWEI Y6S</t>
  </si>
  <si>
    <t>VIDRIO 5D HUAWEI Y7-2019</t>
  </si>
  <si>
    <t>VIDRIO 5D HUAWEI Y7-2019 VIDRIO PEGAMENTO COMPLETO</t>
  </si>
  <si>
    <t>VIDRIO 5D HUAWEI Y8S</t>
  </si>
  <si>
    <t>VIDRIO 5D HUAWEI Y8S VIDRIO PEGAMENTO COMPLETO</t>
  </si>
  <si>
    <t>VIDRIO 5D HUAWEI Y9-2018 VIDRIO PEGAMENTO COMPLETO</t>
  </si>
  <si>
    <t>VIDRIO 5D HUAWEI Y9-2019</t>
  </si>
  <si>
    <t>VIDRIO 5D HUAWEI Y9-2019 VIDRIO PEGAMENTO COMPLETO</t>
  </si>
  <si>
    <t>VIDRIO 5D HUAWEI Y9-2019 PRIME</t>
  </si>
  <si>
    <t>VIDRIO 5D HUAWEI Y9-2019 PRIME VIDRIO PEGAMENTO COMPLETO</t>
  </si>
  <si>
    <t>VIDRIO 5D HUAWEI Y9S</t>
  </si>
  <si>
    <t>VIDRIO 5D HUAWEI Y9S VIDRIO PEGAMENTO COMPLETO</t>
  </si>
  <si>
    <t>VIDRIO 5D IPHONE 11</t>
  </si>
  <si>
    <t>VIDRIO 5D IPHONE 11 VIDRIO PEGAMENTO COMPLETO</t>
  </si>
  <si>
    <t>VIDRIO 5D IPHONE 11 PRO</t>
  </si>
  <si>
    <t>VIDRIO 5D IPHONE 11 PRO VIDRIO PEGAMENTO COMPLETO</t>
  </si>
  <si>
    <t>VIDRIO 5D IPHONE 11 PRO MAX</t>
  </si>
  <si>
    <t>VIDRIO 5D IPHONE 11 PRO MAX VIDRIO PEGAMENTO COMPLETO</t>
  </si>
  <si>
    <t>VIDRIO 5D IPHONE 12</t>
  </si>
  <si>
    <t>VIDRIO 5D IPHONE 12 MINI</t>
  </si>
  <si>
    <t>VIDRIO 5D IPHONE 12 PRO VIDRIO PEGAMENTO EN BORDE</t>
  </si>
  <si>
    <t>VIDRIO 5D IPHONE 12 PRO MAX VIDRIO PEGAMENTO COMPLETO</t>
  </si>
  <si>
    <t>VIDRIO 5D IPHONE 6</t>
  </si>
  <si>
    <t>VIDRIO 5D IPHONE 6 VIDRIO PEGAMENTO COMPLETO</t>
  </si>
  <si>
    <t>VIDRIO 5D IPHONE 6 PLUS</t>
  </si>
  <si>
    <t>VIDRIO 5D IPHONE 6 PLUS VIDRIO PEGAMENTO COMPLETO</t>
  </si>
  <si>
    <t>VIDRIO 5D IPHONE 7</t>
  </si>
  <si>
    <t>VIDRIO 5D IPHONE 7 VIDRIO PEGAMENTO COMPLETO</t>
  </si>
  <si>
    <t>VIDRIO 5D IPHONE 7 PLUS</t>
  </si>
  <si>
    <t>VIDRIO 5D IPHONE 7 PLUS VIDRIO PEGAMENTO COMPLETO</t>
  </si>
  <si>
    <t>VIDRIO 5D IPHONE 7 WHITE</t>
  </si>
  <si>
    <t>VIDRIO 5D IPHONE 8 PLUS VIDRIO PEGAMENTO COMPLETO</t>
  </si>
  <si>
    <t>VIDRIO 5D IPHONE SE 2020 VIDRIO PEGAMENTO COMPLETO</t>
  </si>
  <si>
    <t>VIDRIO 5D IPHONE X</t>
  </si>
  <si>
    <t>VIDRIO 5D IPHONE X VIDRIO PEGAMENTO COMPLETO</t>
  </si>
  <si>
    <t>VIDRIO 5D IPHONE XR</t>
  </si>
  <si>
    <t>VIDRIO 5D IPHONE XS MAX VIDRIO PEGAMENTO COMPLETO</t>
  </si>
  <si>
    <t>VIDRIO 5D LG K22/K22 PLUS</t>
  </si>
  <si>
    <t>VIDRIO 5D LG K40S</t>
  </si>
  <si>
    <t>VIDRIO 5D LG K41S</t>
  </si>
  <si>
    <t>VIDRIO 5D LG K41S VIDRIO PEGAMENTO COMPLETO</t>
  </si>
  <si>
    <t>VIDRIO 5D LG K50 VIDRIO PEGAMENTO COMPLETO</t>
  </si>
  <si>
    <t>VIDRIO 5D LG K50S VIDRIO PEGAMENTO COMPLETO</t>
  </si>
  <si>
    <t>VIDRIO 5D LG K51S</t>
  </si>
  <si>
    <t>VIDRIO 5D MOTO E6S VIDRIO PEGAMENTO COMPLETO</t>
  </si>
  <si>
    <t>VIDRIO 5D MOTO E6S PLUS VIDRIO PEGAMENTO EN BORDE</t>
  </si>
  <si>
    <t>VIDRIO 5D MOTO G30</t>
  </si>
  <si>
    <t>VIDRIO 5D MOTO G7 VIDRIO PEGAMENTO COMPLETO</t>
  </si>
  <si>
    <t>VIDRIO 5D MOTO G7 PLAY VIDRIO PEGAMENTO COMPLETO</t>
  </si>
  <si>
    <t>VIDRIO 5D MOTO G8 PLUS</t>
  </si>
  <si>
    <t>VIDRIO 5D MOTO G8 POWER VIDRIO PEGAMENTO COMPLETO</t>
  </si>
  <si>
    <t>VIDRIO 5D MOTO G9 PLAY VIDRIO PEGAMENTO COMPLETO</t>
  </si>
  <si>
    <t>VIDRIO 5D MOTO G9 POWER</t>
  </si>
  <si>
    <t>VIDRIO 5D MOTO G9 POWER VIDRIO PEGAMENTO EN BORDE</t>
  </si>
  <si>
    <t>VIDRIO 5D MOTO ONE VIDRIO PEGAMENTO COMPLETO</t>
  </si>
  <si>
    <t>VIDRIO 5D MOTO ONE FUSION</t>
  </si>
  <si>
    <t>VIDRIO 5D NOKIA 7.2</t>
  </si>
  <si>
    <t>VIDRIO 5D SAM A01</t>
  </si>
  <si>
    <t>VIDRIO 5D SAM A02S</t>
  </si>
  <si>
    <t>VIDRIO 5D SAM A10</t>
  </si>
  <si>
    <t>VIDRIO 5D SAM A10 VIDRIO PEGAMENTO COMPLETO</t>
  </si>
  <si>
    <t>VIDRIO 5D SAM A10S</t>
  </si>
  <si>
    <t>VIDRIO 5D SAM A10S VIDRIO PEGAMENTO COMPLETO</t>
  </si>
  <si>
    <t>VIDRIO 5D SAM A11</t>
  </si>
  <si>
    <t>VIDRIO 5D SAM A12</t>
  </si>
  <si>
    <t>VIDRIO 5D SAM A20 VIDRIO PEGAMENTO COMPLETO</t>
  </si>
  <si>
    <t>VIDRIO 5D SAM A20S</t>
  </si>
  <si>
    <t>VIDRIO 5D SAM A20S VIDRIO PEGAMENTO COMPLETO</t>
  </si>
  <si>
    <t>VIDRIO 5D SAM A21S</t>
  </si>
  <si>
    <t>VIDRIO 5D SAM A21S VIDRIO PEGAMENTO COMPLETO</t>
  </si>
  <si>
    <t>VIDRIO 5D SAM A30</t>
  </si>
  <si>
    <t>VIDRIO 5D SAM A30/A50 VIDRIO PEGAMENTO COMPLETO</t>
  </si>
  <si>
    <t>VIDRIO 5D SAM A30S/A50S</t>
  </si>
  <si>
    <t>VIDRIO 5D SAM A30S/A50S VIDRIO PEGAMENTO COMPLETO</t>
  </si>
  <si>
    <t>VIDRIO 5D SAM A31</t>
  </si>
  <si>
    <t>VIDRIO 5D SAM A31 VIDRIO PEGAMENTO COMPLETO</t>
  </si>
  <si>
    <t>VIDRIO 5D SAM A32</t>
  </si>
  <si>
    <t>VIDRIO 5D SAM A32 4G</t>
  </si>
  <si>
    <t>VIDRIO 5D SAM A50</t>
  </si>
  <si>
    <t>VIDRIO 5D SAM A50 VIDRIO PEGAMENTO COMPLETO</t>
  </si>
  <si>
    <t>VIDRIO 5D SAM A51</t>
  </si>
  <si>
    <t>VIDRIO 5D SAM A51 VIDRIO PEGAMENTO COMPLETO</t>
  </si>
  <si>
    <t>VIDRIO 5D SAM A52</t>
  </si>
  <si>
    <t>VIDRIO 5D SAM A7-2018</t>
  </si>
  <si>
    <t>VIDRIO 5D SAM A70 VIDRIO PEGAMENTO COMPLETO</t>
  </si>
  <si>
    <t>VIDRIO 5D SAM A71 VIDRIO PEGAMENTO COMPLETO</t>
  </si>
  <si>
    <t>VIDRIO 5D SAM A71 VIDRIO PEGAMENTO EN BORDE</t>
  </si>
  <si>
    <t>VIDRIO 5D SAM A72</t>
  </si>
  <si>
    <t>VIDRIO 5D SAM A8-2018 VIDRIO PEGAMENTO COMPLETO</t>
  </si>
  <si>
    <t>VIDRIO 5D SAM A8-2018 VIDRIO PEGAMENTO EN BORDE</t>
  </si>
  <si>
    <t>VIDRIO 5D SAM A80</t>
  </si>
  <si>
    <t>VIDRIO 5D SAM J4 VIDRIO PEGAMENTO COMPLETO</t>
  </si>
  <si>
    <t>VIDRIO 5D SAM J6 VIDRIO PEGAMENTO COMPLETO</t>
  </si>
  <si>
    <t>VIDRIO 5D SAM J6 PLUS</t>
  </si>
  <si>
    <t>VIDRIO 5D SAM J6 PLUS VIDRIO PEGAMENTO COMPLETO</t>
  </si>
  <si>
    <t>VIDRIO 5D SAM J7 NEO</t>
  </si>
  <si>
    <t>VIDRIO 5D SAM J7 PRIME VIDRIO PEGAMENTO COMPLETO</t>
  </si>
  <si>
    <t>VIDRIO 5D SAM J8</t>
  </si>
  <si>
    <t>VIDRIO 5D SAM J8 VIDRIO PEGAMENTO COMPLETO</t>
  </si>
  <si>
    <t>VIDRIO 5D SAM M31</t>
  </si>
  <si>
    <t>VIDRIO 5D SAM NOTE 9 VIDRIO PEGAMENTO COMPLETO</t>
  </si>
  <si>
    <t>VIDRIO 5D SAM S10 LAMINA PET</t>
  </si>
  <si>
    <t>VIDRIO 5D SAM S10 VIDRIO PEGAMENTO COMPLETO</t>
  </si>
  <si>
    <t>VIDRIO 5D SAM S10 EDGE VIDRIO PEGAMENTO COMPLETO</t>
  </si>
  <si>
    <t>VIDRIO 5D SAM S10 LITE</t>
  </si>
  <si>
    <t>VIDRIO 5D SAM S10 PLUS LAMINA PET</t>
  </si>
  <si>
    <t>VIDRIO 5D SAM S10 PLUS VIDRIO PEGAMENTO COMPLETO</t>
  </si>
  <si>
    <t>VIDRIO 5D SAM S20 VIDRIO PEGAMENTO COMPLETO</t>
  </si>
  <si>
    <t>VIDRIO 5D SAM S20 PLUS</t>
  </si>
  <si>
    <t>VIDRIO 5D SAM S20FE</t>
  </si>
  <si>
    <t>VIDRIO 5D SAM S6 EDGE VIDRIO PEGAMENTO EN LOS BORDES</t>
  </si>
  <si>
    <t>VIDRIO 5D SAM S7 VIDRIO PEGAMENTO EN BORDE</t>
  </si>
  <si>
    <t>VIDRIO 5D SAM S7 EDGE VIDRIO PEGAMENTO COMPLETO</t>
  </si>
  <si>
    <t>VIDRIO 5D SAM S7 EDGE VIDRIO PEGAMENTO EN BORDE</t>
  </si>
  <si>
    <t>VIDRIO 5D SAM S8</t>
  </si>
  <si>
    <t>VIDRIO 5D SAM S8 VIDRIO PEGAMENTO COMPLETO</t>
  </si>
  <si>
    <t>VIDRIO 5D SAM S8 VIDRIO PEGAMENTO EN BORDE</t>
  </si>
  <si>
    <t>VIDRIO 5D SAM S8 VIDRIO PEGAMENTO EN LOS BORDES</t>
  </si>
  <si>
    <t>VIDRIO 5D SAM S8 PLUS</t>
  </si>
  <si>
    <t>VIDRIO 5D SAM S8 PLUS VIDRIO PEGAMENTO COMPLETO</t>
  </si>
  <si>
    <t>VIDRIO 5D SAM S8 PLUS VIDRIO PEGAMENTO EN BORDE</t>
  </si>
  <si>
    <t>VIDRIO 5D SAM S8 PLUS VIDRIO PEGAMENTO EN LOS BORDES</t>
  </si>
  <si>
    <t>VIDRIO 5D SAM S9</t>
  </si>
  <si>
    <t>VIDRIO 5D SAM S9 VIDRIO PEGAMENTO COMPLETO</t>
  </si>
  <si>
    <t>VIDRIO 5D SAM S9 PLUS VIDRIO PEGAMENTO COMPLETO</t>
  </si>
  <si>
    <t>VIDRIO 5D SAM S9 PLUS VIDRIO PEGAMENTO EN BORDE</t>
  </si>
  <si>
    <t>VIDRIO 5D SAM S9 PLUS VIDRIO PEGAMENTO EN LOS BORDES</t>
  </si>
  <si>
    <t>VIDRIO 5D SONY XA2</t>
  </si>
  <si>
    <t>VIDRIO 5D SONY XA2 ULTRA</t>
  </si>
  <si>
    <t>VIDRIO 5D XIAOMI MI 10T</t>
  </si>
  <si>
    <t>VIDRIO 5D XIAOMI MI A1</t>
  </si>
  <si>
    <t>VIDRIO 5D XIAOMI NOTE 8</t>
  </si>
  <si>
    <t>VIDRIO 5D XIAOMI NOTE 8 PRO</t>
  </si>
  <si>
    <t>VIDRIO 5D XIAOMI NOTE 9</t>
  </si>
  <si>
    <t>VIDRIO 5D XIAOMI NOTE 9 PRO</t>
  </si>
  <si>
    <t>VIDRIO 5D XIAOMI NOTE 9S</t>
  </si>
  <si>
    <t>VIDRIO 5D XIAOMI REDMI 9</t>
  </si>
  <si>
    <t>VIDRIO 5D XIAOMI REDMI 9C</t>
  </si>
  <si>
    <t>VIDRIO 5D XIAOMI REDMI NOTE 8</t>
  </si>
  <si>
    <t>VIDRIO 5D XIAOMI REDMI NOTE 9</t>
  </si>
  <si>
    <t>VIDRIO BORDE COLOR IPHONE 6</t>
  </si>
  <si>
    <t>VIDRIO CURVO SAM NOTE 8</t>
  </si>
  <si>
    <t>VIDRIO CURVO SAM S7 VIDRIO PEGAMENTO EN BORDE</t>
  </si>
  <si>
    <t>VIDRIO CURVO SAM S7 EDGE</t>
  </si>
  <si>
    <t>VIDRIO CURVO SAM S8</t>
  </si>
  <si>
    <t>VIDRIO CURVO SAM S8 PLUS</t>
  </si>
  <si>
    <t>VIDRIO TEMPLADO ALCATEL C7 (4.7)</t>
  </si>
  <si>
    <t>VIDRIO TEMPLADO ALCATEL IDOL 3 5,5"</t>
  </si>
  <si>
    <t>VIDRIO TEMPLADO ALCATEL PIXI 3 5.5"</t>
  </si>
  <si>
    <t>VIDRIO TEMPLADO ALCATEL C2</t>
  </si>
  <si>
    <t>VIDRIO TEMPLADO ALCATEL C3</t>
  </si>
  <si>
    <t>VIDRIO TEMPLADO ALCATEL C5</t>
  </si>
  <si>
    <t>VIDRIO TEMPLADO ALCATEL C7</t>
  </si>
  <si>
    <t>VIDRIO TEMPLADO ALCATEL C9</t>
  </si>
  <si>
    <t>VIDRIO TEMPLADO ALCATEL IDOL 2 MINI</t>
  </si>
  <si>
    <t>VIDRIO TEMPLADO ALCATEL IDOL 3 5.5"</t>
  </si>
  <si>
    <t>VIDRIO TEMPLADO ALCATEL IDOL 3 4.7</t>
  </si>
  <si>
    <t>VIDRIO TEMPLADO ALCATEL IDOL 3 4.7"</t>
  </si>
  <si>
    <t>VIDRIO TEMPLADO ALCATEL IDOL 4</t>
  </si>
  <si>
    <t>VIDRIO TEMPLADO ALCATEL IDOL 5,5 "</t>
  </si>
  <si>
    <t>VIDRIO TEMPLADO ALCATEL IDOL S</t>
  </si>
  <si>
    <t>VIDRIO TEMPLADO ALCATEL IDOL S - 6036</t>
  </si>
  <si>
    <t>VIDRIO TEMPLADO ALCATEL PIX 3 4.5"</t>
  </si>
  <si>
    <t>VIDRIO TEMPLADO ALCATEL PIXI 3 4.5"</t>
  </si>
  <si>
    <t>VIDRIO TEMPLADO ALCATEL PIXI 3 3,5"</t>
  </si>
  <si>
    <t>VIDRIO TEMPLADO ALCATEL PIXI 3 3.5</t>
  </si>
  <si>
    <t>VIDRIO TEMPLADO ALCATEL PIXI 3 4"</t>
  </si>
  <si>
    <t>VIDRIO TEMPLADO ALCATEL PIXI 3 4.7</t>
  </si>
  <si>
    <t>VIDRIO TEMPLADO ALCATEL PIXI 3 5"</t>
  </si>
  <si>
    <t>VIDRIO TEMPLADO ALCATEL PIXI 4 . 6.0</t>
  </si>
  <si>
    <t>VIDRIO TEMPLADO ALCATEL PIXI 4 4"</t>
  </si>
  <si>
    <t>VIDRIO TEMPLADO ALCATEL PIXI 4 4.5</t>
  </si>
  <si>
    <t>VIDRIO TEMPLADO ALCATEL PIXI 4 5"</t>
  </si>
  <si>
    <t>VIDRIO TEMPLADO ALCATEL PIXI 4 6 OT 6.0</t>
  </si>
  <si>
    <t>VIDRIO TEMPLADO ALCATEL PIXI 4 6"</t>
  </si>
  <si>
    <t>VIDRIO TEMPLADO ALCATEL PIXI 4.0</t>
  </si>
  <si>
    <t>VIDRIO TEMPLADO ALCATEL PIXI 4.5"</t>
  </si>
  <si>
    <t>VIDRIO TEMPLADO ALCATEL PIXI FIRST 4024 CONECTOR ABAJO</t>
  </si>
  <si>
    <t>VIDRIO TEMPLADO ALCATEL POP 2</t>
  </si>
  <si>
    <t>VIDRIO TEMPLADO ALCATEL POP 2 4.5"</t>
  </si>
  <si>
    <t>VIDRIO TEMPLADO ALCATEL POP 2 5" PREMIUM</t>
  </si>
  <si>
    <t>VIDRIO TEMPLADO ALCATEL POP 3</t>
  </si>
  <si>
    <t>VIDRIO TEMPLADO ALCATEL POP 3 - 5,0</t>
  </si>
  <si>
    <t>VIDRIO TEMPLADO ALCATEL POP 3 5</t>
  </si>
  <si>
    <t>VIDRIO TEMPLADO ALCATEL POP 4 PLUS</t>
  </si>
  <si>
    <t>VIDRIO TEMPLADO ALCATEL POP STAR</t>
  </si>
  <si>
    <t>VIDRIO TEMPLADO AZUMI A55 T</t>
  </si>
  <si>
    <t>VIDRIO TEMPLADO AZUMI A40C</t>
  </si>
  <si>
    <t>VIDRIO TEMPLADO AZUMI A45 TV</t>
  </si>
  <si>
    <t>VIDRIO TEMPLADO AZUMI A50 TQ</t>
  </si>
  <si>
    <t>VIDRIO TEMPLADO AZUMI A50C</t>
  </si>
  <si>
    <t>VIDRIO TEMPLADO AZUMI A50C PLUS</t>
  </si>
  <si>
    <t>VIDRIO TEMPLADO AZUMI SPEED</t>
  </si>
  <si>
    <t>VIDRIO TEMPLADO AZUMI SPEED 5.5</t>
  </si>
  <si>
    <t>VIDRIO TEMPLADO AZUMI ULTRA</t>
  </si>
  <si>
    <t>VIDRIO TEMPLADO HTC 530</t>
  </si>
  <si>
    <t>VIDRIO TEMPLADO HTC 626 DESIRE</t>
  </si>
  <si>
    <t>VIDRIO TEMPLADO HTC 66626 DESIRE</t>
  </si>
  <si>
    <t>VIDRIO TEMPLADO HTC D 530</t>
  </si>
  <si>
    <t>VIDRIO TEMPLADO HTC DESIRE 820</t>
  </si>
  <si>
    <t>VIDRIO TEMPLADO HTC M7</t>
  </si>
  <si>
    <t>VIDRIO TEMPLADO HTC M9</t>
  </si>
  <si>
    <t>VIDRIO TEMPLADO HTC MB</t>
  </si>
  <si>
    <t>VIDRIO TEMPLADO HUAWEI Y630</t>
  </si>
  <si>
    <t>VIDRIO TEMPLADO HUAWEI G PLAY</t>
  </si>
  <si>
    <t>VIDRIO TEMPLADO HUAWEI G PLAY 4X</t>
  </si>
  <si>
    <t>VIDRIO TEMPLADO HUAWEI G PLAY MINI</t>
  </si>
  <si>
    <t>VIDRIO TEMPLADO HUAWEI G620</t>
  </si>
  <si>
    <t>VIDRIO TEMPLADO HUAWEI G620-S</t>
  </si>
  <si>
    <t>VIDRIO TEMPLADO HUAWEI G630</t>
  </si>
  <si>
    <t>VIDRIO TEMPLADO HUAWEI G7</t>
  </si>
  <si>
    <t>VIDRIO TEMPLADO HUAWEI G730</t>
  </si>
  <si>
    <t>VIDRIO TEMPLADO HUAWEI G8</t>
  </si>
  <si>
    <t>VIDRIO TEMPLADO HUAWEI GR3</t>
  </si>
  <si>
    <t>VIDRIO TEMPLADO HUAWEI GR5</t>
  </si>
  <si>
    <t>VIDRIO TEMPLADO HUAWEI MATE 10</t>
  </si>
  <si>
    <t>VIDRIO TEMPLADO HUAWEI MATE 10 PRO</t>
  </si>
  <si>
    <t>VIDRIO TEMPLADO HUAWEI MATE 20</t>
  </si>
  <si>
    <t>VIDRIO TEMPLADO HUAWEI MATE 20 LITE</t>
  </si>
  <si>
    <t>VIDRIO TEMPLADO HUAWEI MATE 20 PRO</t>
  </si>
  <si>
    <t>VIDRIO TEMPLADO HUAWEI MATE 30 LITE</t>
  </si>
  <si>
    <t>VIDRIO TEMPLADO HUAWEI MATE 7</t>
  </si>
  <si>
    <t>VIDRIO TEMPLADO HUAWEI MATE 8</t>
  </si>
  <si>
    <t>VIDRIO TEMPLADO HUAWEI MATE 9</t>
  </si>
  <si>
    <t>VIDRIO TEMPLADO HUAWEI MATE 9 LITE</t>
  </si>
  <si>
    <t>VIDRIO TEMPLADO HUAWEI NOVA 2 PLUS</t>
  </si>
  <si>
    <t>VIDRIO TEMPLADO HUAWEI NOVA 5T</t>
  </si>
  <si>
    <t>VIDRIO TEMPLADO HUAWEI P10</t>
  </si>
  <si>
    <t>VIDRIO TEMPLADO HUAWEI P10 LITE</t>
  </si>
  <si>
    <t>VIDRIO TEMPLADO HUAWEI P10 PLUS</t>
  </si>
  <si>
    <t>VIDRIO TEMPLADO HUAWEI P10 SELFIE</t>
  </si>
  <si>
    <t>VIDRIO TEMPLADO HUAWEI P20</t>
  </si>
  <si>
    <t>VIDRIO TEMPLADO HUAWEI P20 LITE</t>
  </si>
  <si>
    <t>VIDRIO TEMPLADO HUAWEI P20 PRO</t>
  </si>
  <si>
    <t>VIDRIO TEMPLADO HUAWEI P30</t>
  </si>
  <si>
    <t>VIDRIO TEMPLADO HUAWEI P30 LITE</t>
  </si>
  <si>
    <t>VIDRIO TEMPLADO HUAWEI P40</t>
  </si>
  <si>
    <t>VIDRIO TEMPLADO HUAWEI P40 LITE</t>
  </si>
  <si>
    <t>VIDRIO TEMPLADO HUAWEI P8</t>
  </si>
  <si>
    <t>VIDRIO TEMPLADO HUAWEI P8 LITE</t>
  </si>
  <si>
    <t>VIDRIO TEMPLADO HUAWEI P9</t>
  </si>
  <si>
    <t>VIDRIO TEMPLADO HUAWEI P9 LITE</t>
  </si>
  <si>
    <t>VIDRIO TEMPLADO HUAWEI P9 LITE 2017</t>
  </si>
  <si>
    <t>VIDRIO TEMPLADO HUAWEI P9 LITE MINI</t>
  </si>
  <si>
    <t>VIDRIO TEMPLADO HUAWEI P9 LITE SMART</t>
  </si>
  <si>
    <t>VIDRIO TEMPLADO HUAWEI P9 PLUS</t>
  </si>
  <si>
    <t>VIDRIO TEMPLADO HUAWEI PSMART 2019</t>
  </si>
  <si>
    <t>VIDRIO TEMPLADO HUAWEI SHOT X</t>
  </si>
  <si>
    <t>VIDRIO TEMPLADO HUAWEI Y3</t>
  </si>
  <si>
    <t>VIDRIO TEMPLADO HUAWEI Y3-II</t>
  </si>
  <si>
    <t>VIDRIO TEMPLADO HUAWEI Y360</t>
  </si>
  <si>
    <t>VIDRIO TEMPLADO HUAWEI Y5 2017</t>
  </si>
  <si>
    <t>VIDRIO TEMPLADO HUAWEI Y5 II</t>
  </si>
  <si>
    <t>VIDRIO TEMPLADO HUAWEI Y5 LITE 2017</t>
  </si>
  <si>
    <t>VIDRIO TEMPLADO HUAWEI Y5-2017</t>
  </si>
  <si>
    <t>VIDRIO TEMPLADO HUAWEI Y5-2018</t>
  </si>
  <si>
    <t>VIDRIO TEMPLADO HUAWEI Y5-II</t>
  </si>
  <si>
    <t>VIDRIO TEMPLADO HUAWEI Y5-II 2017</t>
  </si>
  <si>
    <t>VIDRIO TEMPLADO HUAWEI Y6</t>
  </si>
  <si>
    <t>VIDRIO TEMPLADO HUAWEI Y6 2017</t>
  </si>
  <si>
    <t>VIDRIO TEMPLADO HUAWEI Y6 II</t>
  </si>
  <si>
    <t>VIDRIO TEMPLADO HUAWEI Y6-2018</t>
  </si>
  <si>
    <t>VIDRIO TEMPLADO HUAWEI Y6-II</t>
  </si>
  <si>
    <t>VIDRIO TEMPLADO HUAWEI Y625</t>
  </si>
  <si>
    <t>VIDRIO TEMPLADO HUAWEI Y635</t>
  </si>
  <si>
    <t>VIDRIO TEMPLADO HUAWEI Y6P</t>
  </si>
  <si>
    <t>VIDRIO TEMPLADO HUAWEI Y6S</t>
  </si>
  <si>
    <t>VIDRIO TEMPLADO HUAWEI Y7</t>
  </si>
  <si>
    <t>VIDRIO TEMPLADO HUAWEI Y7 PRIME</t>
  </si>
  <si>
    <t>VIDRIO TEMPLADO HUAWEI Y7-2019</t>
  </si>
  <si>
    <t>VIDRIO TEMPLADO HUAWEI Y7P</t>
  </si>
  <si>
    <t>VIDRIO TEMPLADO HUAWEI Y8P</t>
  </si>
  <si>
    <t>VIDRIO TEMPLADO HUAWEI Y9 PRIME 2019</t>
  </si>
  <si>
    <t>VIDRIO TEMPLADO HUAWEI Y9-2018</t>
  </si>
  <si>
    <t>VIDRIO TEMPLADO HUAWEI Y9-2019</t>
  </si>
  <si>
    <t>VIDRIO TEMPLADO HUAWEI Y9-2019 PRIME</t>
  </si>
  <si>
    <t>VIDRIO TEMPLADO IDOL 3 5.5"</t>
  </si>
  <si>
    <t>VIDRIO TEMPLADO IPAD 2018 9,7"</t>
  </si>
  <si>
    <t>VIDRIO TEMPLADO IPAD AIR</t>
  </si>
  <si>
    <t>VIDRIO TEMPLADO IPAD MINI</t>
  </si>
  <si>
    <t>VIDRIO TEMPLADO IPAD PRO</t>
  </si>
  <si>
    <t>VIDRIO TEMPLADO IPHON 5 FE</t>
  </si>
  <si>
    <t>VIDRIO TEMPLADO IPHONE 11 PRO</t>
  </si>
  <si>
    <t>VIDRIO TEMPLADO IPHONE 4</t>
  </si>
  <si>
    <t>VIDRIO TEMPLADO IPHONE 5</t>
  </si>
  <si>
    <t>VIDRIO TEMPLADO IPHONE 5/5S</t>
  </si>
  <si>
    <t>VIDRIO TEMPLADO IPHONE 6</t>
  </si>
  <si>
    <t>VIDRIO TEMPLADO IPHONE 6 (4,7)</t>
  </si>
  <si>
    <t>VIDRIO TEMPLADO IPHONE 6 - 5.5</t>
  </si>
  <si>
    <t>VIDRIO TEMPLADO IPHONE 6 PLUS</t>
  </si>
  <si>
    <t>VIDRIO TEMPLADO IPHONE 6/7/8</t>
  </si>
  <si>
    <t>VIDRIO TEMPLADO IPHONE 7</t>
  </si>
  <si>
    <t>VIDRIO TEMPLADO IPHONE 7 PLUS</t>
  </si>
  <si>
    <t>VIDRIO TEMPLADO IPHONE 7G</t>
  </si>
  <si>
    <t>VIDRIO TEMPLADO IPHONE 8 PLUS</t>
  </si>
  <si>
    <t>VIDRIO TEMPLADO IPHONE X</t>
  </si>
  <si>
    <t>VIDRIO TEMPLADO IPHONE XR</t>
  </si>
  <si>
    <t>VIDRIO TEMPLADO IPHONE XS</t>
  </si>
  <si>
    <t>VIDRIO TEMPLADO IPHONE XS MAX</t>
  </si>
  <si>
    <t>VIDRIO TEMPLADO LENOVO 2010</t>
  </si>
  <si>
    <t>VIDRIO TEMPLADO LENOVO 600</t>
  </si>
  <si>
    <t>VIDRIO TEMPLADO LENOVO 820</t>
  </si>
  <si>
    <t>VIDRIO TEMPLADO LENOVO A2010</t>
  </si>
  <si>
    <t>VIDRIO TEMPLADO LENOVO A7010</t>
  </si>
  <si>
    <t>VIDRIO TEMPLADO LENOVO K 5</t>
  </si>
  <si>
    <t>VIDRIO TEMPLADO LENOVO K4</t>
  </si>
  <si>
    <t>VIDRIO TEMPLADO LENOVO K5</t>
  </si>
  <si>
    <t>VIDRIO TEMPLADO LENOVO K6</t>
  </si>
  <si>
    <t>VIDRIO TEMPLADO LENOVO K6 PLUS</t>
  </si>
  <si>
    <t>VIDRIO TEMPLADO LENOVO K8</t>
  </si>
  <si>
    <t>VIDRIO TEMPLADO LENOVO K900</t>
  </si>
  <si>
    <t>VIDRIO TEMPLADO LENOVO VIBE B</t>
  </si>
  <si>
    <t>VIDRIO TEMPLADO LENOVO VIBE C2</t>
  </si>
  <si>
    <t>VIDRIO TEMPLADO LG K10</t>
  </si>
  <si>
    <t>VIDRIO TEMPLADO LG C9</t>
  </si>
  <si>
    <t>VIDRIO TEMPLADO LG D290 LIFT</t>
  </si>
  <si>
    <t>VIDRIO TEMPLADO LG D3 PRIME</t>
  </si>
  <si>
    <t>VIDRIO TEMPLADO LG G2</t>
  </si>
  <si>
    <t>VIDRIO TEMPLADO LG G2 MINI</t>
  </si>
  <si>
    <t>VIDRIO TEMPLADO LG G3</t>
  </si>
  <si>
    <t>VIDRIO TEMPLADO LG G3 BEAT</t>
  </si>
  <si>
    <t>VIDRIO TEMPLADO LG G3 BEAT D722</t>
  </si>
  <si>
    <t>VIDRIO TEMPLADO LG G3 MINI</t>
  </si>
  <si>
    <t>VIDRIO TEMPLADO LG G3 STYLUS</t>
  </si>
  <si>
    <t>VIDRIO TEMPLADO LG G4</t>
  </si>
  <si>
    <t>VIDRIO TEMPLADO LG G4 STYLUS</t>
  </si>
  <si>
    <t>VIDRIO TEMPLADO LG G5</t>
  </si>
  <si>
    <t>VIDRIO TEMPLADO LG G6</t>
  </si>
  <si>
    <t>VIDRIO TEMPLADO LG K10-2017</t>
  </si>
  <si>
    <t>VIDRIO TEMPLADO LG K11</t>
  </si>
  <si>
    <t>VIDRIO TEMPLADO LG K4-2017</t>
  </si>
  <si>
    <t>VIDRIO TEMPLADO LG K40</t>
  </si>
  <si>
    <t>VIDRIO TEMPLADO LG K5</t>
  </si>
  <si>
    <t>VIDRIO TEMPLADO LG K7</t>
  </si>
  <si>
    <t>VIDRIO TEMPLADO LG K8</t>
  </si>
  <si>
    <t>VIDRIO TEMPLADO LG K8-2017</t>
  </si>
  <si>
    <t>VIDRIO TEMPLADO LG K8-2018</t>
  </si>
  <si>
    <t>VIDRIO TEMPLADO LG K9</t>
  </si>
  <si>
    <t>VIDRIO TEMPLADO LG L LIFT</t>
  </si>
  <si>
    <t>VIDRIO TEMPLADO LG L PRIME 2</t>
  </si>
  <si>
    <t>VIDRIO TEMPLADO LG LEON 340</t>
  </si>
  <si>
    <t>VIDRIO TEMPLADO LG LIFT</t>
  </si>
  <si>
    <t>VIDRIO TEMPLADO LG LIFT D 290</t>
  </si>
  <si>
    <t>VIDRIO TEMPLADO LG MAGNA</t>
  </si>
  <si>
    <t>VIDRIO TEMPLADO LG Q STYLUS</t>
  </si>
  <si>
    <t>VIDRIO TEMPLADO LG Q6</t>
  </si>
  <si>
    <t>VIDRIO TEMPLADO LG Q60</t>
  </si>
  <si>
    <t>VIDRIO TEMPLADO LG Q60/K50</t>
  </si>
  <si>
    <t>VIDRIO TEMPLADO LG SCREEN</t>
  </si>
  <si>
    <t>VIDRIO TEMPLADO LG STYLUS 2</t>
  </si>
  <si>
    <t>VIDRIO TEMPLADO LG STYLUS 2 PLUS</t>
  </si>
  <si>
    <t>VIDRIO TEMPLADO LG STYLUS 3</t>
  </si>
  <si>
    <t>VIDRIO TEMPLADO LG STYLUS 4</t>
  </si>
  <si>
    <t>VIDRIO TEMPLADO LG STYLUS D 690</t>
  </si>
  <si>
    <t>VIDRIO TEMPLADO LG V10</t>
  </si>
  <si>
    <t>VIDRIO TEMPLADO LG X CAM</t>
  </si>
  <si>
    <t>VIDRIO TEMPLADO LG X MAX</t>
  </si>
  <si>
    <t>VIDRIO TEMPLADO LG X POWER</t>
  </si>
  <si>
    <t>VIDRIO TEMPLADO LG X POWER 2</t>
  </si>
  <si>
    <t>VIDRIO TEMPLADO LG X SCREE</t>
  </si>
  <si>
    <t>VIDRIO TEMPLADO LG X SCREEN</t>
  </si>
  <si>
    <t>VIDRIO TEMPLADO LG X STYLE</t>
  </si>
  <si>
    <t>VIDRIO TEMPLADO LG XMAX</t>
  </si>
  <si>
    <t>VIDRIO TEMPLADO MOGO Z PLAY</t>
  </si>
  <si>
    <t>VIDRIO TEMPLADO MOTO G4</t>
  </si>
  <si>
    <t>VIDRIO TEMPLADO MOTO X PLAY</t>
  </si>
  <si>
    <t>VIDRIO TEMPLADO MOTO C</t>
  </si>
  <si>
    <t>VIDRIO TEMPLADO MOTO C PLUS</t>
  </si>
  <si>
    <t>VIDRIO TEMPLADO MOTO E</t>
  </si>
  <si>
    <t>VIDRIO TEMPLADO MOTO E2</t>
  </si>
  <si>
    <t>VIDRIO TEMPLADO MOTO E4</t>
  </si>
  <si>
    <t>VIDRIO TEMPLADO MOTO E4 PLUS</t>
  </si>
  <si>
    <t>VIDRIO TEMPLADO MOTO E5 PLAY</t>
  </si>
  <si>
    <t>VIDRIO TEMPLADO MOTO E5 PLUS</t>
  </si>
  <si>
    <t>VIDRIO TEMPLADO MOTO E6 PLUS</t>
  </si>
  <si>
    <t>VIDRIO TEMPLADO MOTO E6S</t>
  </si>
  <si>
    <t>VIDRIO TEMPLADO MOTO G</t>
  </si>
  <si>
    <t>VIDRIO TEMPLADO MOTO G 2</t>
  </si>
  <si>
    <t>VIDRIO TEMPLADO MOTO G 3</t>
  </si>
  <si>
    <t>VIDRIO TEMPLADO MOTO G 4</t>
  </si>
  <si>
    <t>VIDRIO TEMPLADO MOTO G2</t>
  </si>
  <si>
    <t>VIDRIO TEMPLADO MOTO G3</t>
  </si>
  <si>
    <t>VIDRIO TEMPLADO MOTO G4 PLAY</t>
  </si>
  <si>
    <t>VIDRIO TEMPLADO MOTO G4 PLUS</t>
  </si>
  <si>
    <t>VIDRIO TEMPLADO MOTO G5</t>
  </si>
  <si>
    <t>VIDRIO TEMPLADO MOTO G5 PLUS</t>
  </si>
  <si>
    <t>VIDRIO TEMPLADO MOTO G5S</t>
  </si>
  <si>
    <t>VIDRIO TEMPLADO MOTO G5S PLUS</t>
  </si>
  <si>
    <t>VIDRIO TEMPLADO MOTO G6 PLAY</t>
  </si>
  <si>
    <t>VIDRIO TEMPLADO MOTO G6 PLUS</t>
  </si>
  <si>
    <t>VIDRIO TEMPLADO MOTO G7 PLAY</t>
  </si>
  <si>
    <t>VIDRIO TEMPLADO MOTO G7 POWER</t>
  </si>
  <si>
    <t>VIDRIO TEMPLADO MOTO G8 PLUS</t>
  </si>
  <si>
    <t>VIDRIO TEMPLADO MOTO G8 POWER LITE</t>
  </si>
  <si>
    <t>VIDRIO TEMPLADO MOTO MAXX</t>
  </si>
  <si>
    <t>VIDRIO TEMPLADO MOTO ONE</t>
  </si>
  <si>
    <t>VIDRIO TEMPLADO MOTO ONE ACTION</t>
  </si>
  <si>
    <t>VIDRIO TEMPLADO MOTO X</t>
  </si>
  <si>
    <t>VIDRIO TEMPLADO MOTO X 2</t>
  </si>
  <si>
    <t>VIDRIO TEMPLADO MOTO X STYLE</t>
  </si>
  <si>
    <t>VIDRIO TEMPLADO MOTO X STYLUS</t>
  </si>
  <si>
    <t>VIDRIO TEMPLADO MOTO X2</t>
  </si>
  <si>
    <t>VIDRIO TEMPLADO MOTO X4</t>
  </si>
  <si>
    <t>VIDRIO TEMPLADO MOTO Z</t>
  </si>
  <si>
    <t>VIDRIO TEMPLADO MOTO Z PLAY</t>
  </si>
  <si>
    <t>VIDRIO TEMPLADO MOTO Z2 PLAY</t>
  </si>
  <si>
    <t>VIDRIO TEMPLADO MOTO Z3 PLAY</t>
  </si>
  <si>
    <t>VIDRIO TEMPLADO NINTENDO SWITCH IRM-08294</t>
  </si>
  <si>
    <t>VIDRIO TEMPLADO NOKIA 1</t>
  </si>
  <si>
    <t>VIDRIO TEMPLADO NOKIA 2</t>
  </si>
  <si>
    <t>VIDRIO TEMPLADO NOKIA 2.1</t>
  </si>
  <si>
    <t>VIDRIO TEMPLADO NOKIA 3</t>
  </si>
  <si>
    <t>VIDRIO TEMPLADO NOKIA 3.1</t>
  </si>
  <si>
    <t>VIDRIO TEMPLADO NOKIA 3.1 PLUS</t>
  </si>
  <si>
    <t>VIDRIO TEMPLADO NOKIA 5</t>
  </si>
  <si>
    <t>VIDRIO TEMPLADO NOKIA 5.1</t>
  </si>
  <si>
    <t>VIDRIO TEMPLADO NOKIA 5.1 PLUS</t>
  </si>
  <si>
    <t>VIDRIO TEMPLADO NOKIA 6</t>
  </si>
  <si>
    <t>VIDRIO TEMPLADO NOKIA 6-2018</t>
  </si>
  <si>
    <t>VIDRIO TEMPLADO NOKIA 6.1</t>
  </si>
  <si>
    <t>VIDRIO TEMPLADO NOKIA 8</t>
  </si>
  <si>
    <t>VIDRIO TEMPLADO OWN 4035</t>
  </si>
  <si>
    <t>VIDRIO TEMPLADO OWN 4035 -4.7</t>
  </si>
  <si>
    <t>VIDRIO TEMPLADO OWN 4035 -5.5</t>
  </si>
  <si>
    <t>VIDRIO TEMPLADO OWN 4040</t>
  </si>
  <si>
    <t>VIDRIO TEMPLADO OWN 5030</t>
  </si>
  <si>
    <t>VIDRIO TEMPLADO OWN FUN</t>
  </si>
  <si>
    <t>VIDRIO TEMPLADO OWN FUN PLUS</t>
  </si>
  <si>
    <t>Vidrio Templado OWN Fun PLUS</t>
  </si>
  <si>
    <t>VIDRIO TEMPLADO OWN ONE</t>
  </si>
  <si>
    <t>VIDRIO TEMPLADO OWN S3030</t>
  </si>
  <si>
    <t>VIDRIO TEMPLADO OWN SELFIE</t>
  </si>
  <si>
    <t>VIDRIO TEMPLADO OWN SMART PLUS</t>
  </si>
  <si>
    <t>VIDRIO TEMPLADO PIXI 3 4"</t>
  </si>
  <si>
    <t>VIDRIO TEMPLADO PIXI 3 4,5"</t>
  </si>
  <si>
    <t>VIDRIO TEMPLADO PIXI 3 4.5"</t>
  </si>
  <si>
    <t>VIDRIO TEMPLADO PIXI 3 4.7"</t>
  </si>
  <si>
    <t>VIDRIO TEMPLADO PIXI 3 5"</t>
  </si>
  <si>
    <t>VIDRIO TEMPLADO POP 3 -5.0</t>
  </si>
  <si>
    <t>VIDRIO TEMPLADO PRIME 2</t>
  </si>
  <si>
    <t>VIDRIO TEMPLADO SAM 355 CORE 2</t>
  </si>
  <si>
    <t>VIDRIO TEMPLADO SAM 530</t>
  </si>
  <si>
    <t>VIDRIO TEMPLADO SAM 7560 TREND</t>
  </si>
  <si>
    <t>VIDRIO TEMPLADO SAM A01</t>
  </si>
  <si>
    <t>VIDRIO TEMPLADO SAM A10</t>
  </si>
  <si>
    <t>VIDRIO TEMPLADO SAM A10S</t>
  </si>
  <si>
    <t>VIDRIO TEMPLADO SAM A11</t>
  </si>
  <si>
    <t>VIDRIO TEMPLADO SAM A20</t>
  </si>
  <si>
    <t>VIDRIO TEMPLADO SAM A20S</t>
  </si>
  <si>
    <t>VIDRIO TEMPLADO SAM A3</t>
  </si>
  <si>
    <t>VIDRIO TEMPLADO SAM A3-2016</t>
  </si>
  <si>
    <t>VIDRIO TEMPLADO SAM A3-2017</t>
  </si>
  <si>
    <t>VIDRIO TEMPLADO SAM A30</t>
  </si>
  <si>
    <t>VIDRIO TEMPLADO SAM A30S</t>
  </si>
  <si>
    <t>VIDRIO TEMPLADO SAM A30S/A50S</t>
  </si>
  <si>
    <t>VIDRIO TEMPLADO SAM A40</t>
  </si>
  <si>
    <t>VIDRIO TEMPLADO SAM A5</t>
  </si>
  <si>
    <t>VIDRIO TEMPLADO SAM A5-2016</t>
  </si>
  <si>
    <t>VIDRIO TEMPLADO SAM A5-2017</t>
  </si>
  <si>
    <t>VIDRIO TEMPLADO SAM A50</t>
  </si>
  <si>
    <t>VIDRIO TEMPLADO SAM A51</t>
  </si>
  <si>
    <t>VIDRIO TEMPLADO SAM A6 PLUS</t>
  </si>
  <si>
    <t>VIDRIO TEMPLADO SAM A7</t>
  </si>
  <si>
    <t>VIDRIO TEMPLADO SAM A7-2015</t>
  </si>
  <si>
    <t>VIDRIO TEMPLADO SAM A7-2016</t>
  </si>
  <si>
    <t>VIDRIO TEMPLADO SAM A7-2017</t>
  </si>
  <si>
    <t>VIDRIO TEMPLADO SAM A70</t>
  </si>
  <si>
    <t>VIDRIO TEMPLADO SAM A71</t>
  </si>
  <si>
    <t>VIDRIO TEMPLADO SAM A8</t>
  </si>
  <si>
    <t>VIDRIO TEMPLADO SAM A8 PLUS 2018</t>
  </si>
  <si>
    <t>VIDRIO TEMPLADO SAM A80</t>
  </si>
  <si>
    <t>VIDRIO TEMPLADO SAM A9</t>
  </si>
  <si>
    <t>VIDRIO TEMPLADO SAM ACE 4</t>
  </si>
  <si>
    <t>VIDRIO TEMPLADO SAM ACE 4 G 313</t>
  </si>
  <si>
    <t>VIDRIO TEMPLADO SAM ACE 4 G313</t>
  </si>
  <si>
    <t>VIDRIO TEMPLADO SAM CORE 2</t>
  </si>
  <si>
    <t>VIDRIO TEMPLADO SAM CORE 2 G 355</t>
  </si>
  <si>
    <t>VIDRIO TEMPLADO SAM CORE 8060</t>
  </si>
  <si>
    <t>VIDRIO TEMPLADO SAM CORE 8260</t>
  </si>
  <si>
    <t>VIDRIO TEMPLADO SAM CORE PLUS G 350</t>
  </si>
  <si>
    <t>VIDRIO TEMPLADO SAM CORE PRIME</t>
  </si>
  <si>
    <t>VIDRIO TEMPLADO SAM E4</t>
  </si>
  <si>
    <t>VIDRIO TEMPLADO SAM E5</t>
  </si>
  <si>
    <t>VIDRIO TEMPLADO SAM E7</t>
  </si>
  <si>
    <t>VIDRIO TEMPLADO SAM G 530 GRAND PRIME</t>
  </si>
  <si>
    <t>VIDRIO TEMPLADO SAM G355 CORE DOS</t>
  </si>
  <si>
    <t>VIDRIO TEMPLADO SAM G360 CORE PRIME</t>
  </si>
  <si>
    <t>VIDRIO TEMPLADO SAM G530</t>
  </si>
  <si>
    <t>VIDRIO TEMPLADO SAM GRAN3 / G7200</t>
  </si>
  <si>
    <t>VIDRIO TEMPLADO SAM GRAND 2</t>
  </si>
  <si>
    <t>VIDRIO TEMPLADO SAM GRAND 2 7106</t>
  </si>
  <si>
    <t>VIDRIO TEMPLADO SAM GRAND 9080</t>
  </si>
  <si>
    <t>VIDRIO TEMPLADO SAM GRAND NEO</t>
  </si>
  <si>
    <t>VIDRIO TEMPLADO SAM GRAND NEO 9080</t>
  </si>
  <si>
    <t>VIDRIO TEMPLADO SAM GRAND PRIME</t>
  </si>
  <si>
    <t>VIDRIO TEMPLADO SAM GRAND PRIME G 530</t>
  </si>
  <si>
    <t>VIDRIO TEMPLADO SAM GRAND PRIME 530</t>
  </si>
  <si>
    <t>VIDRIO TEMPLADO SAM GRAND3 / G7200</t>
  </si>
  <si>
    <t>VIDRIO TEMPLADO SAM J1</t>
  </si>
  <si>
    <t>VIDRIO TEMPLADO SAM J1 ACE</t>
  </si>
  <si>
    <t>VIDRIO TEMPLADO SAM J1 MINI PRIME</t>
  </si>
  <si>
    <t>VIDRIO TEMPLADO SAM J1-2016</t>
  </si>
  <si>
    <t>VIDRIO TEMPLADO SAM J2</t>
  </si>
  <si>
    <t>VIDRIO TEMPLADO SAM J2 CORE</t>
  </si>
  <si>
    <t>VIDRIO TEMPLADO SAM J2 PRIME</t>
  </si>
  <si>
    <t>VIDRIO TEMPLADO SAM J2 PRO</t>
  </si>
  <si>
    <t>VIDRIO TEMPLADO SAM J2-2016</t>
  </si>
  <si>
    <t>VIDRIO TEMPLADO SAM J3</t>
  </si>
  <si>
    <t>VIDRIO TEMPLADO SAM J3 PRO</t>
  </si>
  <si>
    <t>VIDRIO TEMPLADO SAM J3-2015</t>
  </si>
  <si>
    <t>VIDRIO TEMPLADO SAM J3-2016</t>
  </si>
  <si>
    <t>VIDRIO TEMPLADO SAM J4</t>
  </si>
  <si>
    <t>VIDRIO TEMPLADO SAM J4 CORE</t>
  </si>
  <si>
    <t>VIDRIO TEMPLADO SAM J4 PLUS</t>
  </si>
  <si>
    <t>VIDRIO TEMPLADO SAM J5</t>
  </si>
  <si>
    <t>VIDRIO TEMPLADO SAM J5 PRIME</t>
  </si>
  <si>
    <t>VIDRIO TEMPLADO SAM J5 PRIME 2016</t>
  </si>
  <si>
    <t>VIDRIO TEMPLADO SAM J5 PRO</t>
  </si>
  <si>
    <t>VIDRIO TEMPLADO SAM J5-2016</t>
  </si>
  <si>
    <t>VIDRIO TEMPLADO SAM J5-2017</t>
  </si>
  <si>
    <t>VIDRIO TEMPLADO SAM J6</t>
  </si>
  <si>
    <t>VIDRIO TEMPLADO SAM J6 PLUS</t>
  </si>
  <si>
    <t>VIDRIO TEMPLADO SAM J7</t>
  </si>
  <si>
    <t>VIDRIO TEMPLADO SAM J7 DUO</t>
  </si>
  <si>
    <t>VIDRIO TEMPLADO SAM J7 NEO</t>
  </si>
  <si>
    <t>VIDRIO TEMPLADO SAM J7 PRIME</t>
  </si>
  <si>
    <t>VIDRIO TEMPLADO SAM J7 PRIME 2</t>
  </si>
  <si>
    <t>VIDRIO TEMPLADO SAM J7 PRIME 2016</t>
  </si>
  <si>
    <t>VIDRIO TEMPLADO SAM J7 PRO</t>
  </si>
  <si>
    <t>VIDRIO TEMPLADO SAM J7-2016</t>
  </si>
  <si>
    <t>VIDRIO TEMPLADO SAM MEGA 5.8</t>
  </si>
  <si>
    <t>VIDRIO TEMPLADO SAM MEGA 9150</t>
  </si>
  <si>
    <t>VIDRIO TEMPLADO SAM NOTE 2</t>
  </si>
  <si>
    <t>VIDRIO TEMPLADO SAM NOTE 4</t>
  </si>
  <si>
    <t>VIDRIO TEMPLADO SAM NOTE 5</t>
  </si>
  <si>
    <t>VIDRIO TEMPLADO SAM S3</t>
  </si>
  <si>
    <t>VIDRIO TEMPLADO SAM S3 MINI</t>
  </si>
  <si>
    <t>VIDRIO TEMPLADO SAM S3 MINI 8190</t>
  </si>
  <si>
    <t>VIDRIO TEMPLADO SAM S4</t>
  </si>
  <si>
    <t>VIDRIO TEMPLADO SAM S4 MINI</t>
  </si>
  <si>
    <t>VIDRIO TEMPLADO SAM S5</t>
  </si>
  <si>
    <t>VIDRIO TEMPLADO SAM S5 MINI</t>
  </si>
  <si>
    <t>VIDRIO TEMPLADO SAM S6</t>
  </si>
  <si>
    <t>VIDRIO TEMPLADO SAM S6 EDGE</t>
  </si>
  <si>
    <t>VIDRIO TEMPLADO SAM S7</t>
  </si>
  <si>
    <t>VIDRIO TEMPLADO SAM S7 EDGE</t>
  </si>
  <si>
    <t>VIDRIO TEMPLADO SAM S8</t>
  </si>
  <si>
    <t>VIDRIO TEMPLADO SAM S8 PLUS</t>
  </si>
  <si>
    <t>VIDRIO TEMPLADO SAM S9</t>
  </si>
  <si>
    <t>VIDRIO TEMPLADO SAM S9 PLUS</t>
  </si>
  <si>
    <t>VIDRIO TEMPLADO SAM TAB 230 7´</t>
  </si>
  <si>
    <t>VIDRIO TEMPLADO SAM TAB 4, T230 (TODOS LOS 7`)</t>
  </si>
  <si>
    <t>VIDRIO TEMPLADO SAM TAB E 97 DE 9,1</t>
  </si>
  <si>
    <t>VIDRIO TEMPLADO SAM TAB M8</t>
  </si>
  <si>
    <t>VIDRIO TEMPLADO SAM TAB S5E 10.5</t>
  </si>
  <si>
    <t>VIDRIO TEMPLADO SAM TAB T110</t>
  </si>
  <si>
    <t>VIDRIO TEMPLADO SAM TAB T113</t>
  </si>
  <si>
    <t>VIDRIO TEMPLADO SAM TAB T560</t>
  </si>
  <si>
    <t>VIDRIO TEMPLADO SAM TAB T715</t>
  </si>
  <si>
    <t>VIDRIO TEMPLADO SAM TABLET T230</t>
  </si>
  <si>
    <t>VIDRIO TEMPLADO SAM TABLET T530</t>
  </si>
  <si>
    <t>VIDRIO TEMPLADO SAM TREND 7560</t>
  </si>
  <si>
    <t>VIDRIO TEMPLADO SAM WIN 8550</t>
  </si>
  <si>
    <t>VIDRIO TEMPLADO SHOT X</t>
  </si>
  <si>
    <t>VIDRIO TEMPLADO SIN MODELO</t>
  </si>
  <si>
    <t>VIDRIO TEMPLADO SONY AQUA M2</t>
  </si>
  <si>
    <t>VIDRIO TEMPLADO SONY C-5</t>
  </si>
  <si>
    <t>VIDRIO TEMPLADO SONY C3</t>
  </si>
  <si>
    <t>VIDRIO TEMPLADO SONY C4</t>
  </si>
  <si>
    <t>VIDRIO TEMPLADO SONY C5</t>
  </si>
  <si>
    <t>VIDRIO TEMPLADO SONY C5 ULTRA</t>
  </si>
  <si>
    <t>VIDRIO TEMPLADO SONY E 4G</t>
  </si>
  <si>
    <t>VIDRIO TEMPLADO SONY E3</t>
  </si>
  <si>
    <t>VIDRIO TEMPLADO SONY E4</t>
  </si>
  <si>
    <t>VIDRIO TEMPLADO SONY E4G</t>
  </si>
  <si>
    <t>VIDRIO TEMPLADO SONY E5</t>
  </si>
  <si>
    <t>VIDRIO TEMPLADO SONY L1</t>
  </si>
  <si>
    <t>VIDRIO TEMPLADO SONY L2</t>
  </si>
  <si>
    <t>VIDRIO TEMPLADO SONY M2</t>
  </si>
  <si>
    <t>VIDRIO TEMPLADO SONY M2 AQUA</t>
  </si>
  <si>
    <t>VIDRIO TEMPLADO SONY M4</t>
  </si>
  <si>
    <t>VIDRIO TEMPLADO SONY M4 AQUA</t>
  </si>
  <si>
    <t>VIDRIO TEMPLADO SONY M4/M4 AQUA</t>
  </si>
  <si>
    <t>VIDRIO TEMPLADO SONY M5</t>
  </si>
  <si>
    <t>VIDRIO TEMPLADO SONY T2</t>
  </si>
  <si>
    <t>VIDRIO TEMPLADO SONY T2 ULTRA</t>
  </si>
  <si>
    <t>VIDRIO TEMPLADO SONY T3</t>
  </si>
  <si>
    <t>VIDRIO TEMPLADO SONY XA</t>
  </si>
  <si>
    <t>VIDRIO TEMPLADO SONY XA 1 ULTRA</t>
  </si>
  <si>
    <t>VIDRIO TEMPLADO SONY XA ULTRA</t>
  </si>
  <si>
    <t>VIDRIO TEMPLADO SONY XA1</t>
  </si>
  <si>
    <t>VIDRIO TEMPLADO SONY XA1 ULTRA</t>
  </si>
  <si>
    <t>VIDRIO TEMPLADO SONY XA2</t>
  </si>
  <si>
    <t>VIDRIO TEMPLADO SONY XA2 ULTRA</t>
  </si>
  <si>
    <t>VIDRIO TEMPLADO SONY XZ PREMIUM</t>
  </si>
  <si>
    <t>VIDRIO TEMPLADO SONY Z1</t>
  </si>
  <si>
    <t>VIDRIO TEMPLADO SONY Z2</t>
  </si>
  <si>
    <t>VIDRIO TEMPLADO SONY Z3</t>
  </si>
  <si>
    <t>VIDRIO TEMPLADO SONY Z3 MINI</t>
  </si>
  <si>
    <t>VIDRIO TEMPLADO SONY Z4</t>
  </si>
  <si>
    <t>VIDRIO TEMPLADO SONY Z5</t>
  </si>
  <si>
    <t>VIDRIO TEMPLADO SONY Z5 COMPACT</t>
  </si>
  <si>
    <t>VIDRIO TEMPLADO SONY Z5 PREMIUM</t>
  </si>
  <si>
    <t>VIDRIO TEMPLADO TAB 3 / UNIV</t>
  </si>
  <si>
    <t>VIDRIO TEMPLADO TAB 7 - UNIV</t>
  </si>
  <si>
    <t>VIDRIO TEMPLADO TAB SAM T530</t>
  </si>
  <si>
    <t>VIDRIO TEMPLADO TABLET 10.1</t>
  </si>
  <si>
    <t>VIDRIO TEMPLADO TABLET 7"</t>
  </si>
  <si>
    <t>VIDRIO TEMPLADO TABLET IPAD MINI</t>
  </si>
  <si>
    <t>VIDRIO TEMPLADO TABLET SAM P350</t>
  </si>
  <si>
    <t>VIDRIO TEMPLADO TABLET SAM T110</t>
  </si>
  <si>
    <t>VIDRIO TEMPLADO TABLET SAM T230</t>
  </si>
  <si>
    <t>VIDRIO TEMPLADO TABLET SAM T230 7´UNIV</t>
  </si>
  <si>
    <t>VIDRIO TEMPLADO TABLET T 110 SAM</t>
  </si>
  <si>
    <t>VIDRIO TEMPLADO TABLET T 110/111</t>
  </si>
  <si>
    <t>VIDRIO TEMPLADO TABLET T 550</t>
  </si>
  <si>
    <t>VIDRIO TEMPLADO TABLET T110/113</t>
  </si>
  <si>
    <t>VIDRIO TEMPLADO TABLET T230</t>
  </si>
  <si>
    <t>VIDRIO TEMPLADO TABLET T280</t>
  </si>
  <si>
    <t>VIDRIO TEMPLADO TABLET T550</t>
  </si>
  <si>
    <t>VIDRIO TEMPLADO TABLET T560</t>
  </si>
  <si>
    <t>VIDRIO TEMPLADO TABLET UNIVERSAL</t>
  </si>
  <si>
    <t>VIDRIO TEMPLADO TABLET UNIVERSAL 7</t>
  </si>
  <si>
    <t>VIDRIO TEMPLADO UNIVERSAL 10.1 PULGADAS</t>
  </si>
  <si>
    <t>VIDRIO TEMPLADO UNIVERSAL 4</t>
  </si>
  <si>
    <t>VIDRIO TEMPLADO UNIVERSAL 4,7 PULGADAS</t>
  </si>
  <si>
    <t>VIDRIO TEMPLADO UNIVERSAL 4.5</t>
  </si>
  <si>
    <t>VIDRIO TEMPLADO UNIVERSAL 5 PULGADAS</t>
  </si>
  <si>
    <t>VIDRIO TEMPLADO UNIVERSAL 5"</t>
  </si>
  <si>
    <t>VIDRIO TEMPLADO UNIVERSAL 5,5</t>
  </si>
  <si>
    <t>VIDRIO TEMPLADO UNIVERSAL 5.0 PULGADAS</t>
  </si>
  <si>
    <t>VIDRIO TEMPLADO UNIVERSAL 5.3 PULGADAS</t>
  </si>
  <si>
    <t>VIDRIO TEMPLADO UNIVERSAL 5.5</t>
  </si>
  <si>
    <t>VIDRIO TEMPLADO UNIVERSAL 6</t>
  </si>
  <si>
    <t>VIDRIO TEMPLADO UNIVERSAL 6 PULGADAS</t>
  </si>
  <si>
    <t>VIDRIO TEMPLADO UNIVERSAL 8 PULGADAS</t>
  </si>
  <si>
    <t>VIDRIO TEMPLADO UNIVERSAL 9 PULGADAS</t>
  </si>
  <si>
    <t>VIDRIO TEMPLADO XIAOMI MI 5S</t>
  </si>
  <si>
    <t>VIDRIO TEMPLADO XIAOMI MI NOTE 5 PRO</t>
  </si>
  <si>
    <t>VIDRIO TEMPLADO XIAOMI REDMI 4A</t>
  </si>
  <si>
    <t>VIDRIO TEMPLADO XIAOMI REDMI 4X</t>
  </si>
  <si>
    <t>VIDRIO TEMPLADO XIAOMI REDMI 5A PRIME</t>
  </si>
  <si>
    <t>VIDRIO TEMPLADO XIAOMI REDMI 5X</t>
  </si>
  <si>
    <t>VIDRIO TEMPLADO XIAOMI REDMI NOTE 4</t>
  </si>
  <si>
    <t>VIDRIO TEMPLADO ZT A 460</t>
  </si>
  <si>
    <t>VIDRIO TEMPLADO ZTE A 510</t>
  </si>
  <si>
    <t>VIDRIO TEMPLADO ZTE A 511</t>
  </si>
  <si>
    <t>VIDRIO TEMPLADO ZTE A460</t>
  </si>
  <si>
    <t>VIDRIO TEMPLADO ZTE A511</t>
  </si>
  <si>
    <t>VIDRIO TEMPLADO ZTE A602</t>
  </si>
  <si>
    <t>VIDRIO TEMPLADO ZTE BLADE X3 (C 370)</t>
  </si>
  <si>
    <t>VIDRIO TEMPLADO ZTE L2</t>
  </si>
  <si>
    <t>VIDRIO TEMPLADO ZTE L3</t>
  </si>
  <si>
    <t>VIDRIO TEMPLADO ZTE L5</t>
  </si>
  <si>
    <t>VIDRIO TEMPLADO ZTE L7</t>
  </si>
  <si>
    <t>VIDRIO TEMPLADO ZTE V6</t>
  </si>
  <si>
    <t>VIDRIO TEMPLADO ZTE V6 PLUS</t>
  </si>
  <si>
    <t>WALKIE TALKIE ET-Y7004PLUS</t>
  </si>
  <si>
    <t>ZAPATILLA 10 AMPERE 250 VOLT</t>
  </si>
  <si>
    <t>ZOOM C/TRIPODE PARA CELULAR IRM-03828</t>
  </si>
  <si>
    <t>ZOOM PARA CELULAR COD 3695</t>
  </si>
  <si>
    <t>ZOOM PARA CELULAR CON SOPORTE 71635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</si>
</sst>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4" fontId="18" fillId="0" borderId="0" xfId="0" applyNumberFormat="1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79"/>
  <sheetViews>
    <sheetView showGridLines="0" tabSelected="1" workbookViewId="0"/>
  </sheetViews>
  <sheetFormatPr baseColWidth="10" defaultRowHeight="15" x14ac:dyDescent="0.25"/>
  <cols>
    <col min="1" max="1" width="26.42578125" bestFit="1" customWidth="1"/>
    <col min="2" max="2" width="18.7109375" bestFit="1" customWidth="1"/>
    <col min="3" max="3" width="6.5703125" customWidth="1"/>
    <col min="4" max="4" width="45.7109375" bestFit="1" customWidth="1"/>
    <col min="5" max="5" width="11" customWidth="1"/>
  </cols>
  <sheetData>
    <row r="1" spans="1:5" x14ac:dyDescent="0.25">
      <c r="A1" s="1" t="s">
        <v>0</v>
      </c>
      <c r="B1" s="3" t="s">
        <v>1</v>
      </c>
      <c r="C1" s="3"/>
      <c r="D1" s="3"/>
    </row>
    <row r="2" spans="1:5" x14ac:dyDescent="0.25">
      <c r="A2" s="1" t="s">
        <v>2</v>
      </c>
      <c r="B2" s="3" t="s">
        <v>3</v>
      </c>
      <c r="C2" s="3"/>
      <c r="D2" s="3"/>
    </row>
    <row r="3" spans="1:5" x14ac:dyDescent="0.25">
      <c r="A3" s="3"/>
      <c r="B3" s="3"/>
      <c r="C3" s="3"/>
      <c r="D3" s="3"/>
    </row>
    <row r="4" spans="1:5" x14ac:dyDescent="0.25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x14ac:dyDescent="0.25">
      <c r="A5" s="2" t="s">
        <v>9</v>
      </c>
      <c r="B5" s="2" t="str">
        <f>"34080714"</f>
        <v>34080714</v>
      </c>
      <c r="C5" s="2" t="str">
        <f>"34080714"</f>
        <v>34080714</v>
      </c>
      <c r="D5" s="2">
        <v>1</v>
      </c>
      <c r="E5" s="4">
        <v>5000</v>
      </c>
    </row>
    <row r="6" spans="1:5" x14ac:dyDescent="0.25">
      <c r="A6" s="2" t="s">
        <v>9</v>
      </c>
      <c r="B6" s="2" t="str">
        <f>"66080714"</f>
        <v>66080714</v>
      </c>
      <c r="C6" s="2" t="str">
        <f>"66080714"</f>
        <v>66080714</v>
      </c>
      <c r="D6" s="2">
        <v>1</v>
      </c>
      <c r="E6" s="4">
        <v>2500</v>
      </c>
    </row>
    <row r="7" spans="1:5" x14ac:dyDescent="0.25">
      <c r="A7" s="2" t="s">
        <v>9</v>
      </c>
      <c r="B7" s="2" t="str">
        <f>"34080716"</f>
        <v>34080716</v>
      </c>
      <c r="C7" s="2" t="str">
        <f>"34080716"</f>
        <v>34080716</v>
      </c>
      <c r="D7" s="2">
        <v>1</v>
      </c>
      <c r="E7" s="4">
        <v>6500</v>
      </c>
    </row>
    <row r="8" spans="1:5" x14ac:dyDescent="0.25">
      <c r="A8" s="2" t="s">
        <v>9</v>
      </c>
      <c r="B8" s="2" t="str">
        <f>"49090716"</f>
        <v>49090716</v>
      </c>
      <c r="C8" s="2" t="str">
        <f>"49090716"</f>
        <v>49090716</v>
      </c>
      <c r="D8" s="2">
        <v>1</v>
      </c>
      <c r="E8" s="4">
        <v>4000</v>
      </c>
    </row>
    <row r="9" spans="1:5" x14ac:dyDescent="0.25">
      <c r="A9" s="2" t="s">
        <v>9</v>
      </c>
      <c r="B9" s="2" t="str">
        <f>"340807106"</f>
        <v>340807106</v>
      </c>
      <c r="C9" s="2" t="str">
        <f>"340807106"</f>
        <v>340807106</v>
      </c>
      <c r="D9" s="2">
        <v>1</v>
      </c>
      <c r="E9" s="4">
        <v>9500</v>
      </c>
    </row>
    <row r="10" spans="1:5" x14ac:dyDescent="0.25">
      <c r="A10" s="2" t="s">
        <v>9</v>
      </c>
      <c r="B10" s="2" t="str">
        <f>"6999584001050"</f>
        <v>6999584001050</v>
      </c>
      <c r="C10" s="2" t="str">
        <f>"34080013"</f>
        <v>34080013</v>
      </c>
      <c r="D10" s="2">
        <v>1</v>
      </c>
      <c r="E10" s="4">
        <v>5500</v>
      </c>
    </row>
    <row r="11" spans="1:5" x14ac:dyDescent="0.25">
      <c r="A11" s="2" t="s">
        <v>10</v>
      </c>
      <c r="B11" s="2" t="str">
        <f>"174805247"</f>
        <v>174805247</v>
      </c>
      <c r="C11" s="2" t="str">
        <f>"174805247"</f>
        <v>174805247</v>
      </c>
      <c r="D11" s="2">
        <v>1</v>
      </c>
      <c r="E11" s="4">
        <v>3500</v>
      </c>
    </row>
    <row r="12" spans="1:5" x14ac:dyDescent="0.25">
      <c r="A12" s="2" t="s">
        <v>10</v>
      </c>
      <c r="B12" s="2" t="str">
        <f>"275105247"</f>
        <v>275105247</v>
      </c>
      <c r="C12" s="2" t="str">
        <f>"275105247"</f>
        <v>275105247</v>
      </c>
      <c r="D12" s="2">
        <v>1</v>
      </c>
      <c r="E12" s="4">
        <v>3500</v>
      </c>
    </row>
    <row r="13" spans="1:5" x14ac:dyDescent="0.25">
      <c r="A13" s="2" t="s">
        <v>10</v>
      </c>
      <c r="B13" s="2" t="str">
        <f>"175105247"</f>
        <v>175105247</v>
      </c>
      <c r="C13" s="2" t="str">
        <f>"175105247"</f>
        <v>175105247</v>
      </c>
      <c r="D13" s="2">
        <v>1</v>
      </c>
      <c r="E13" s="4">
        <v>3500</v>
      </c>
    </row>
    <row r="14" spans="1:5" x14ac:dyDescent="0.25">
      <c r="A14" s="2" t="s">
        <v>10</v>
      </c>
      <c r="B14" s="2" t="str">
        <f>"99999"</f>
        <v>99999</v>
      </c>
      <c r="C14" s="2" t="str">
        <f>"99999"</f>
        <v>99999</v>
      </c>
      <c r="D14" s="2">
        <v>1</v>
      </c>
      <c r="E14" s="4">
        <v>3500</v>
      </c>
    </row>
    <row r="15" spans="1:5" x14ac:dyDescent="0.25">
      <c r="A15" s="2" t="s">
        <v>10</v>
      </c>
      <c r="B15" s="2" t="str">
        <f>"764714136"</f>
        <v>764714136</v>
      </c>
      <c r="C15" s="2" t="str">
        <f>"764714136"</f>
        <v>764714136</v>
      </c>
      <c r="D15" s="2">
        <v>1</v>
      </c>
      <c r="E15" s="4">
        <v>3500</v>
      </c>
    </row>
    <row r="16" spans="1:5" x14ac:dyDescent="0.25">
      <c r="A16" s="2" t="s">
        <v>10</v>
      </c>
      <c r="B16" s="2" t="str">
        <f>"7674814136"</f>
        <v>7674814136</v>
      </c>
      <c r="C16" s="2" t="str">
        <f>"7674814136"</f>
        <v>7674814136</v>
      </c>
      <c r="D16" s="2">
        <v>1</v>
      </c>
      <c r="E16" s="4">
        <v>3000</v>
      </c>
    </row>
    <row r="17" spans="1:5" x14ac:dyDescent="0.25">
      <c r="A17" s="2" t="s">
        <v>11</v>
      </c>
      <c r="B17" s="2" t="str">
        <f>"6686996011462"</f>
        <v>6686996011462</v>
      </c>
      <c r="C17" s="2" t="str">
        <f>"54741146"</f>
        <v>54741146</v>
      </c>
      <c r="D17" s="2">
        <v>1</v>
      </c>
      <c r="E17" s="4">
        <v>18990</v>
      </c>
    </row>
    <row r="18" spans="1:5" x14ac:dyDescent="0.25">
      <c r="A18" s="2" t="s">
        <v>11</v>
      </c>
      <c r="B18" s="2" t="str">
        <f>"54740392"</f>
        <v>54740392</v>
      </c>
      <c r="C18" s="2" t="str">
        <f>"54740392"</f>
        <v>54740392</v>
      </c>
      <c r="D18" s="2">
        <v>1</v>
      </c>
      <c r="E18" s="4">
        <v>18990</v>
      </c>
    </row>
    <row r="19" spans="1:5" x14ac:dyDescent="0.25">
      <c r="A19" s="2" t="s">
        <v>11</v>
      </c>
      <c r="B19" s="2" t="str">
        <f>"7804625561464"</f>
        <v>7804625561464</v>
      </c>
      <c r="C19" s="2" t="str">
        <f>"42740850"</f>
        <v>42740850</v>
      </c>
      <c r="D19" s="2">
        <v>1</v>
      </c>
      <c r="E19" s="4">
        <v>15990</v>
      </c>
    </row>
    <row r="20" spans="1:5" x14ac:dyDescent="0.25">
      <c r="A20" s="2" t="s">
        <v>11</v>
      </c>
      <c r="B20" s="2" t="str">
        <f>"6686996300306"</f>
        <v>6686996300306</v>
      </c>
      <c r="C20" s="2" t="str">
        <f>"547430030"</f>
        <v>547430030</v>
      </c>
      <c r="D20" s="2">
        <v>1</v>
      </c>
      <c r="E20" s="4">
        <v>29990</v>
      </c>
    </row>
    <row r="21" spans="1:5" x14ac:dyDescent="0.25">
      <c r="A21" s="2" t="s">
        <v>12</v>
      </c>
      <c r="B21" s="2" t="str">
        <f>"41051400"</f>
        <v>41051400</v>
      </c>
      <c r="C21" s="2" t="str">
        <f>"41051400"</f>
        <v>41051400</v>
      </c>
      <c r="D21" s="2">
        <v>1</v>
      </c>
      <c r="E21" s="4">
        <v>10500</v>
      </c>
    </row>
    <row r="22" spans="1:5" x14ac:dyDescent="0.25">
      <c r="A22" s="2" t="s">
        <v>12</v>
      </c>
      <c r="B22" s="2" t="str">
        <f>"49051447"</f>
        <v>49051447</v>
      </c>
      <c r="C22" s="2" t="str">
        <f>"49051447"</f>
        <v>49051447</v>
      </c>
      <c r="D22" s="2">
        <v>1</v>
      </c>
      <c r="E22" s="4">
        <v>12000</v>
      </c>
    </row>
    <row r="23" spans="1:5" x14ac:dyDescent="0.25">
      <c r="A23" s="2" t="s">
        <v>12</v>
      </c>
      <c r="B23" s="2" t="str">
        <f>"88051447"</f>
        <v>88051447</v>
      </c>
      <c r="C23" s="2" t="str">
        <f>"88051447"</f>
        <v>88051447</v>
      </c>
      <c r="D23" s="2">
        <v>1</v>
      </c>
      <c r="E23" s="4">
        <v>12000</v>
      </c>
    </row>
    <row r="24" spans="1:5" x14ac:dyDescent="0.25">
      <c r="A24" s="2" t="s">
        <v>12</v>
      </c>
      <c r="B24" s="2" t="str">
        <f>"76051447"</f>
        <v>76051447</v>
      </c>
      <c r="C24" s="2" t="str">
        <f>"76051447"</f>
        <v>76051447</v>
      </c>
      <c r="D24" s="2">
        <v>1</v>
      </c>
      <c r="E24" s="4">
        <v>12000</v>
      </c>
    </row>
    <row r="25" spans="1:5" ht="26.25" x14ac:dyDescent="0.25">
      <c r="A25" s="2" t="s">
        <v>12</v>
      </c>
      <c r="B25" s="2" t="str">
        <f>"49051430"</f>
        <v>49051430</v>
      </c>
      <c r="C25" s="2" t="str">
        <f>"49051430"</f>
        <v>49051430</v>
      </c>
      <c r="D25" s="2">
        <v>1</v>
      </c>
      <c r="E25" s="4">
        <v>12000</v>
      </c>
    </row>
    <row r="26" spans="1:5" ht="26.25" x14ac:dyDescent="0.25">
      <c r="A26" s="2" t="s">
        <v>12</v>
      </c>
      <c r="B26" s="2" t="str">
        <f>"86051430"</f>
        <v>86051430</v>
      </c>
      <c r="C26" s="2" t="str">
        <f>"86051430"</f>
        <v>86051430</v>
      </c>
      <c r="D26" s="2">
        <v>1</v>
      </c>
      <c r="E26" s="4">
        <v>12000</v>
      </c>
    </row>
    <row r="27" spans="1:5" ht="26.25" x14ac:dyDescent="0.25">
      <c r="A27" s="2" t="s">
        <v>13</v>
      </c>
      <c r="B27" s="2" t="str">
        <f>"76530136"</f>
        <v>76530136</v>
      </c>
      <c r="C27" s="2" t="str">
        <f>"76530136"</f>
        <v>76530136</v>
      </c>
      <c r="D27" s="2">
        <v>1</v>
      </c>
      <c r="E27" s="4">
        <v>3000</v>
      </c>
    </row>
    <row r="28" spans="1:5" ht="26.25" x14ac:dyDescent="0.25">
      <c r="A28" s="2" t="s">
        <v>14</v>
      </c>
      <c r="B28" s="2" t="str">
        <f>"17581458"</f>
        <v>17581458</v>
      </c>
      <c r="C28" s="2" t="str">
        <f>"17581458"</f>
        <v>17581458</v>
      </c>
      <c r="D28" s="2">
        <v>1</v>
      </c>
      <c r="E28" s="4">
        <v>4000</v>
      </c>
    </row>
    <row r="29" spans="1:5" ht="26.25" x14ac:dyDescent="0.25">
      <c r="A29" s="2" t="s">
        <v>14</v>
      </c>
      <c r="B29" s="2" t="str">
        <f>"17581478"</f>
        <v>17581478</v>
      </c>
      <c r="C29" s="2" t="str">
        <f>"17581478"</f>
        <v>17581478</v>
      </c>
      <c r="D29" s="2">
        <v>1</v>
      </c>
      <c r="E29" s="4">
        <v>4500</v>
      </c>
    </row>
    <row r="30" spans="1:5" ht="26.25" x14ac:dyDescent="0.25">
      <c r="A30" s="2" t="s">
        <v>14</v>
      </c>
      <c r="B30" s="2" t="str">
        <f>"76581064"</f>
        <v>76581064</v>
      </c>
      <c r="C30" s="2" t="str">
        <f>"76581064"</f>
        <v>76581064</v>
      </c>
      <c r="D30" s="2">
        <v>1</v>
      </c>
      <c r="E30" s="4">
        <v>5000</v>
      </c>
    </row>
    <row r="31" spans="1:5" ht="26.25" x14ac:dyDescent="0.25">
      <c r="A31" s="2" t="s">
        <v>15</v>
      </c>
      <c r="B31" s="2" t="str">
        <f>"17710548"</f>
        <v>17710548</v>
      </c>
      <c r="C31" s="2" t="str">
        <f>"17710548"</f>
        <v>17710548</v>
      </c>
      <c r="D31" s="2">
        <v>1</v>
      </c>
      <c r="E31" s="4">
        <v>4800</v>
      </c>
    </row>
    <row r="32" spans="1:5" ht="26.25" x14ac:dyDescent="0.25">
      <c r="A32" s="2" t="s">
        <v>15</v>
      </c>
      <c r="B32" s="2" t="str">
        <f>"17710720"</f>
        <v>17710720</v>
      </c>
      <c r="C32" s="2" t="str">
        <f>"17710720"</f>
        <v>17710720</v>
      </c>
      <c r="D32" s="2">
        <v>1</v>
      </c>
      <c r="E32" s="4">
        <v>4500</v>
      </c>
    </row>
    <row r="33" spans="1:5" ht="26.25" x14ac:dyDescent="0.25">
      <c r="A33" s="2" t="s">
        <v>15</v>
      </c>
      <c r="B33" s="2" t="str">
        <f>"34710715"</f>
        <v>34710715</v>
      </c>
      <c r="C33" s="2" t="str">
        <f>"34710715"</f>
        <v>34710715</v>
      </c>
      <c r="D33" s="2">
        <v>1</v>
      </c>
      <c r="E33" s="4">
        <v>3800</v>
      </c>
    </row>
    <row r="34" spans="1:5" ht="26.25" x14ac:dyDescent="0.25">
      <c r="A34" s="2" t="s">
        <v>15</v>
      </c>
      <c r="B34" s="2" t="str">
        <f>"68710715"</f>
        <v>68710715</v>
      </c>
      <c r="C34" s="2" t="str">
        <f>"68710715"</f>
        <v>68710715</v>
      </c>
      <c r="D34" s="2">
        <v>1</v>
      </c>
      <c r="E34" s="4">
        <v>4800</v>
      </c>
    </row>
    <row r="35" spans="1:5" ht="26.25" x14ac:dyDescent="0.25">
      <c r="A35" s="2" t="s">
        <v>15</v>
      </c>
      <c r="B35" s="2" t="str">
        <f>"68710717"</f>
        <v>68710717</v>
      </c>
      <c r="C35" s="2" t="str">
        <f>"68710717"</f>
        <v>68710717</v>
      </c>
      <c r="D35" s="2">
        <v>1</v>
      </c>
      <c r="E35" s="4">
        <v>4800</v>
      </c>
    </row>
    <row r="36" spans="1:5" ht="26.25" x14ac:dyDescent="0.25">
      <c r="A36" s="2" t="s">
        <v>15</v>
      </c>
      <c r="B36" s="2" t="str">
        <f>"68711430"</f>
        <v>68711430</v>
      </c>
      <c r="C36" s="2" t="str">
        <f>"68711430"</f>
        <v>68711430</v>
      </c>
      <c r="D36" s="2">
        <v>1</v>
      </c>
      <c r="E36" s="4">
        <v>4800</v>
      </c>
    </row>
    <row r="37" spans="1:5" ht="26.25" x14ac:dyDescent="0.25">
      <c r="A37" s="2" t="s">
        <v>15</v>
      </c>
      <c r="B37" s="2" t="str">
        <f>"177101135"</f>
        <v>177101135</v>
      </c>
      <c r="C37" s="2" t="str">
        <f>"177101135"</f>
        <v>177101135</v>
      </c>
      <c r="D37" s="2">
        <v>1</v>
      </c>
      <c r="E37" s="4">
        <v>4500</v>
      </c>
    </row>
    <row r="38" spans="1:5" ht="26.25" x14ac:dyDescent="0.25">
      <c r="A38" s="2" t="s">
        <v>15</v>
      </c>
      <c r="B38" s="2" t="str">
        <f>"177105159"</f>
        <v>177105159</v>
      </c>
      <c r="C38" s="2" t="str">
        <f>"177105159"</f>
        <v>177105159</v>
      </c>
      <c r="D38" s="2">
        <v>1</v>
      </c>
      <c r="E38" s="4">
        <v>4500</v>
      </c>
    </row>
    <row r="39" spans="1:5" ht="26.25" x14ac:dyDescent="0.25">
      <c r="A39" s="2" t="s">
        <v>15</v>
      </c>
      <c r="B39" s="2" t="str">
        <f>"177105196"</f>
        <v>177105196</v>
      </c>
      <c r="C39" s="2" t="str">
        <f>"177105196"</f>
        <v>177105196</v>
      </c>
      <c r="D39" s="2">
        <v>1</v>
      </c>
      <c r="E39" s="4">
        <v>4500</v>
      </c>
    </row>
    <row r="40" spans="1:5" ht="26.25" x14ac:dyDescent="0.25">
      <c r="A40" s="2" t="s">
        <v>15</v>
      </c>
      <c r="B40" s="2" t="str">
        <f>"177114108"</f>
        <v>177114108</v>
      </c>
      <c r="C40" s="2" t="str">
        <f>"177114108"</f>
        <v>177114108</v>
      </c>
      <c r="D40" s="2">
        <v>1</v>
      </c>
      <c r="E40" s="4">
        <v>4800</v>
      </c>
    </row>
    <row r="41" spans="1:5" ht="26.25" x14ac:dyDescent="0.25">
      <c r="A41" s="2" t="s">
        <v>15</v>
      </c>
      <c r="B41" s="2" t="str">
        <f>"177114194"</f>
        <v>177114194</v>
      </c>
      <c r="C41" s="2" t="str">
        <f>"177114194"</f>
        <v>177114194</v>
      </c>
      <c r="D41" s="2">
        <v>1</v>
      </c>
      <c r="E41" s="4">
        <v>4800</v>
      </c>
    </row>
    <row r="42" spans="1:5" ht="26.25" x14ac:dyDescent="0.25">
      <c r="A42" s="2" t="s">
        <v>15</v>
      </c>
      <c r="B42" s="2" t="str">
        <f>"177114127"</f>
        <v>177114127</v>
      </c>
      <c r="C42" s="2" t="str">
        <f>"177114127"</f>
        <v>177114127</v>
      </c>
      <c r="D42" s="2">
        <v>1</v>
      </c>
      <c r="E42" s="4">
        <v>4800</v>
      </c>
    </row>
    <row r="43" spans="1:5" ht="26.25" x14ac:dyDescent="0.25">
      <c r="A43" s="2" t="s">
        <v>15</v>
      </c>
      <c r="B43" s="2" t="str">
        <f>"178614266"</f>
        <v>178614266</v>
      </c>
      <c r="C43" s="2" t="str">
        <f>"178614266"</f>
        <v>178614266</v>
      </c>
      <c r="D43" s="2">
        <v>1</v>
      </c>
      <c r="E43" s="4">
        <v>5000</v>
      </c>
    </row>
    <row r="44" spans="1:5" ht="26.25" x14ac:dyDescent="0.25">
      <c r="A44" s="2" t="s">
        <v>15</v>
      </c>
      <c r="B44" s="2" t="str">
        <f>"178632214"</f>
        <v>178632214</v>
      </c>
      <c r="C44" s="2" t="str">
        <f>"178632214"</f>
        <v>178632214</v>
      </c>
      <c r="D44" s="2">
        <v>1</v>
      </c>
      <c r="E44" s="4">
        <v>5000</v>
      </c>
    </row>
    <row r="45" spans="1:5" ht="26.25" x14ac:dyDescent="0.25">
      <c r="A45" s="2" t="s">
        <v>15</v>
      </c>
      <c r="B45" s="2" t="str">
        <f>"347114136"</f>
        <v>347114136</v>
      </c>
      <c r="C45" s="2" t="str">
        <f>"347114136"</f>
        <v>347114136</v>
      </c>
      <c r="D45" s="2">
        <v>1</v>
      </c>
      <c r="E45" s="4">
        <v>3800</v>
      </c>
    </row>
    <row r="46" spans="1:5" ht="26.25" x14ac:dyDescent="0.25">
      <c r="A46" s="2" t="s">
        <v>15</v>
      </c>
      <c r="B46" s="2" t="str">
        <f>"687105238"</f>
        <v>687105238</v>
      </c>
      <c r="C46" s="2" t="str">
        <f>"687105238"</f>
        <v>687105238</v>
      </c>
      <c r="D46" s="2">
        <v>1</v>
      </c>
      <c r="E46" s="4">
        <v>4800</v>
      </c>
    </row>
    <row r="47" spans="1:5" ht="26.25" x14ac:dyDescent="0.25">
      <c r="A47" s="2" t="s">
        <v>15</v>
      </c>
      <c r="B47" s="2" t="str">
        <f>"687109221"</f>
        <v>687109221</v>
      </c>
      <c r="C47" s="2" t="str">
        <f>"687109221"</f>
        <v>687109221</v>
      </c>
      <c r="D47" s="2">
        <v>1</v>
      </c>
      <c r="E47" s="4">
        <v>4800</v>
      </c>
    </row>
    <row r="48" spans="1:5" ht="26.25" x14ac:dyDescent="0.25">
      <c r="A48" s="2" t="s">
        <v>15</v>
      </c>
      <c r="B48" s="2" t="str">
        <f>"687109269"</f>
        <v>687109269</v>
      </c>
      <c r="C48" s="2" t="str">
        <f>"687109269"</f>
        <v>687109269</v>
      </c>
      <c r="D48" s="2">
        <v>1</v>
      </c>
      <c r="E48" s="4">
        <v>4800</v>
      </c>
    </row>
    <row r="49" spans="1:5" ht="26.25" x14ac:dyDescent="0.25">
      <c r="A49" s="2" t="s">
        <v>16</v>
      </c>
      <c r="B49" s="2" t="str">
        <f>"301310755"</f>
        <v>301310755</v>
      </c>
      <c r="C49" s="2" t="str">
        <f>"301310755"</f>
        <v>301310755</v>
      </c>
      <c r="D49" s="2">
        <v>1</v>
      </c>
      <c r="E49" s="4">
        <v>44500</v>
      </c>
    </row>
    <row r="50" spans="1:5" ht="26.25" x14ac:dyDescent="0.25">
      <c r="A50" s="2" t="s">
        <v>16</v>
      </c>
      <c r="B50" s="2" t="str">
        <f>"7809596510497"</f>
        <v>7809596510497</v>
      </c>
      <c r="C50" s="2" t="str">
        <f>"30131035"</f>
        <v>30131035</v>
      </c>
      <c r="D50" s="2">
        <v>1</v>
      </c>
      <c r="E50" s="4">
        <v>19990</v>
      </c>
    </row>
    <row r="51" spans="1:5" ht="26.25" x14ac:dyDescent="0.25">
      <c r="A51" s="2" t="s">
        <v>16</v>
      </c>
      <c r="B51" s="2" t="str">
        <f>"7809596510398"</f>
        <v>7809596510398</v>
      </c>
      <c r="C51" s="2" t="str">
        <f>"30134014"</f>
        <v>30134014</v>
      </c>
      <c r="D51" s="2">
        <v>1</v>
      </c>
      <c r="E51" s="4">
        <v>13990</v>
      </c>
    </row>
    <row r="52" spans="1:5" ht="26.25" x14ac:dyDescent="0.25">
      <c r="A52" s="2" t="s">
        <v>17</v>
      </c>
      <c r="B52" s="2" t="str">
        <f>"34901447"</f>
        <v>34901447</v>
      </c>
      <c r="C52" s="2" t="str">
        <f>"34901447"</f>
        <v>34901447</v>
      </c>
      <c r="D52" s="2">
        <v>1</v>
      </c>
      <c r="E52" s="4">
        <v>5500</v>
      </c>
    </row>
    <row r="53" spans="1:5" ht="26.25" x14ac:dyDescent="0.25">
      <c r="A53" s="2" t="s">
        <v>17</v>
      </c>
      <c r="B53" s="2" t="str">
        <f>"76550715"</f>
        <v>76550715</v>
      </c>
      <c r="C53" s="2" t="str">
        <f>"76550715"</f>
        <v>76550715</v>
      </c>
      <c r="D53" s="2">
        <v>1</v>
      </c>
      <c r="E53" s="4">
        <v>5000</v>
      </c>
    </row>
    <row r="54" spans="1:5" ht="26.25" x14ac:dyDescent="0.25">
      <c r="A54" s="2" t="s">
        <v>17</v>
      </c>
      <c r="B54" s="2" t="str">
        <f>"776550715"</f>
        <v>776550715</v>
      </c>
      <c r="C54" s="2" t="str">
        <f>"776550715"</f>
        <v>776550715</v>
      </c>
      <c r="D54" s="2">
        <v>1</v>
      </c>
      <c r="E54" s="4">
        <v>5000</v>
      </c>
    </row>
    <row r="55" spans="1:5" ht="26.25" x14ac:dyDescent="0.25">
      <c r="A55" s="2" t="s">
        <v>17</v>
      </c>
      <c r="B55" s="2" t="str">
        <f>"76550716"</f>
        <v>76550716</v>
      </c>
      <c r="C55" s="2" t="str">
        <f>"76550716"</f>
        <v>76550716</v>
      </c>
      <c r="D55" s="2">
        <v>1</v>
      </c>
      <c r="E55" s="4">
        <v>5000</v>
      </c>
    </row>
    <row r="56" spans="1:5" ht="26.25" x14ac:dyDescent="0.25">
      <c r="A56" s="2" t="s">
        <v>17</v>
      </c>
      <c r="B56" s="2" t="str">
        <f>"76551454"</f>
        <v>76551454</v>
      </c>
      <c r="C56" s="2" t="str">
        <f>"76551454"</f>
        <v>76551454</v>
      </c>
      <c r="D56" s="2">
        <v>1</v>
      </c>
      <c r="E56" s="4">
        <v>5000</v>
      </c>
    </row>
    <row r="57" spans="1:5" ht="26.25" x14ac:dyDescent="0.25">
      <c r="A57" s="2" t="s">
        <v>17</v>
      </c>
      <c r="B57" s="2" t="str">
        <f>"76551480"</f>
        <v>76551480</v>
      </c>
      <c r="C57" s="2" t="str">
        <f>"76551480"</f>
        <v>76551480</v>
      </c>
      <c r="D57" s="2">
        <v>1</v>
      </c>
      <c r="E57" s="4">
        <v>5000</v>
      </c>
    </row>
    <row r="58" spans="1:5" ht="26.25" x14ac:dyDescent="0.25">
      <c r="A58" s="2" t="s">
        <v>17</v>
      </c>
      <c r="B58" s="2" t="str">
        <f>"76551486"</f>
        <v>76551486</v>
      </c>
      <c r="C58" s="2" t="str">
        <f>"76551486"</f>
        <v>76551486</v>
      </c>
      <c r="D58" s="2">
        <v>1</v>
      </c>
      <c r="E58" s="4">
        <v>5000</v>
      </c>
    </row>
    <row r="59" spans="1:5" ht="26.25" x14ac:dyDescent="0.25">
      <c r="A59" s="2" t="s">
        <v>17</v>
      </c>
      <c r="B59" s="2" t="str">
        <f>"76581425"</f>
        <v>76581425</v>
      </c>
      <c r="C59" s="2" t="str">
        <f>"76581425"</f>
        <v>76581425</v>
      </c>
      <c r="D59" s="2">
        <v>1</v>
      </c>
      <c r="E59" s="4">
        <v>5000</v>
      </c>
    </row>
    <row r="60" spans="1:5" ht="26.25" x14ac:dyDescent="0.25">
      <c r="A60" s="2" t="s">
        <v>17</v>
      </c>
      <c r="B60" s="2" t="str">
        <f>"76591428"</f>
        <v>76591428</v>
      </c>
      <c r="C60" s="2" t="str">
        <f>"76591428"</f>
        <v>76591428</v>
      </c>
      <c r="D60" s="2">
        <v>1</v>
      </c>
      <c r="E60" s="4">
        <v>4000</v>
      </c>
    </row>
    <row r="61" spans="1:5" ht="26.25" x14ac:dyDescent="0.25">
      <c r="A61" s="2" t="s">
        <v>17</v>
      </c>
      <c r="B61" s="2" t="str">
        <f>"76591430"</f>
        <v>76591430</v>
      </c>
      <c r="C61" s="2" t="str">
        <f>"76591430"</f>
        <v>76591430</v>
      </c>
      <c r="D61" s="2">
        <v>1</v>
      </c>
      <c r="E61" s="4">
        <v>4000</v>
      </c>
    </row>
    <row r="62" spans="1:5" ht="26.25" x14ac:dyDescent="0.25">
      <c r="A62" s="2" t="s">
        <v>17</v>
      </c>
      <c r="B62" s="2" t="str">
        <f>"179007254"</f>
        <v>179007254</v>
      </c>
      <c r="C62" s="2" t="str">
        <f>"179007254"</f>
        <v>179007254</v>
      </c>
      <c r="D62" s="2">
        <v>1</v>
      </c>
      <c r="E62" s="4">
        <v>4500</v>
      </c>
    </row>
    <row r="63" spans="1:5" ht="26.25" x14ac:dyDescent="0.25">
      <c r="A63" s="2" t="s">
        <v>17</v>
      </c>
      <c r="B63" s="2" t="str">
        <f>"179014108"</f>
        <v>179014108</v>
      </c>
      <c r="C63" s="2" t="str">
        <f>"179014108"</f>
        <v>179014108</v>
      </c>
      <c r="D63" s="2">
        <v>1</v>
      </c>
      <c r="E63" s="4">
        <v>5500</v>
      </c>
    </row>
    <row r="64" spans="1:5" ht="26.25" x14ac:dyDescent="0.25">
      <c r="A64" s="2" t="s">
        <v>17</v>
      </c>
      <c r="B64" s="2" t="str">
        <f>"349007253"</f>
        <v>349007253</v>
      </c>
      <c r="C64" s="2" t="str">
        <f>"349007253"</f>
        <v>349007253</v>
      </c>
      <c r="D64" s="2">
        <v>1</v>
      </c>
      <c r="E64" s="4">
        <v>5500</v>
      </c>
    </row>
    <row r="65" spans="1:5" ht="26.25" x14ac:dyDescent="0.25">
      <c r="A65" s="2" t="s">
        <v>17</v>
      </c>
      <c r="B65" s="2" t="str">
        <f>"349007254"</f>
        <v>349007254</v>
      </c>
      <c r="C65" s="2" t="str">
        <f>"349007254"</f>
        <v>349007254</v>
      </c>
      <c r="D65" s="2">
        <v>1</v>
      </c>
      <c r="E65" s="4">
        <v>5500</v>
      </c>
    </row>
    <row r="66" spans="1:5" ht="26.25" x14ac:dyDescent="0.25">
      <c r="A66" s="2" t="s">
        <v>17</v>
      </c>
      <c r="B66" s="2" t="str">
        <f>"349014126"</f>
        <v>349014126</v>
      </c>
      <c r="C66" s="2" t="str">
        <f>"349014126"</f>
        <v>349014126</v>
      </c>
      <c r="D66" s="2">
        <v>1</v>
      </c>
      <c r="E66" s="4">
        <v>5500</v>
      </c>
    </row>
    <row r="67" spans="1:5" ht="26.25" x14ac:dyDescent="0.25">
      <c r="A67" s="2" t="s">
        <v>17</v>
      </c>
      <c r="B67" s="2" t="str">
        <f>"349014127"</f>
        <v>349014127</v>
      </c>
      <c r="C67" s="2" t="str">
        <f>"349014127"</f>
        <v>349014127</v>
      </c>
      <c r="D67" s="2">
        <v>1</v>
      </c>
      <c r="E67" s="4">
        <v>5500</v>
      </c>
    </row>
    <row r="68" spans="1:5" ht="26.25" x14ac:dyDescent="0.25">
      <c r="A68" s="2" t="s">
        <v>17</v>
      </c>
      <c r="B68" s="2" t="str">
        <f>"349014266"</f>
        <v>349014266</v>
      </c>
      <c r="C68" s="2" t="str">
        <f>"349014266"</f>
        <v>349014266</v>
      </c>
      <c r="D68" s="2">
        <v>1</v>
      </c>
      <c r="E68" s="4">
        <v>5500</v>
      </c>
    </row>
    <row r="69" spans="1:5" ht="26.25" x14ac:dyDescent="0.25">
      <c r="A69" s="2" t="s">
        <v>17</v>
      </c>
      <c r="B69" s="2" t="str">
        <f>"349014270"</f>
        <v>349014270</v>
      </c>
      <c r="C69" s="2" t="str">
        <f>"349014270"</f>
        <v>349014270</v>
      </c>
      <c r="D69" s="2">
        <v>1</v>
      </c>
      <c r="E69" s="4">
        <v>5500</v>
      </c>
    </row>
    <row r="70" spans="1:5" ht="26.25" x14ac:dyDescent="0.25">
      <c r="A70" s="2" t="s">
        <v>17</v>
      </c>
      <c r="B70" s="2" t="str">
        <f>"688409221"</f>
        <v>688409221</v>
      </c>
      <c r="C70" s="2" t="str">
        <f>"688409221"</f>
        <v>688409221</v>
      </c>
      <c r="D70" s="2">
        <v>1</v>
      </c>
      <c r="E70" s="4">
        <v>6500</v>
      </c>
    </row>
    <row r="71" spans="1:5" ht="26.25" x14ac:dyDescent="0.25">
      <c r="A71" s="2" t="s">
        <v>17</v>
      </c>
      <c r="B71" s="2" t="str">
        <f>"688414125"</f>
        <v>688414125</v>
      </c>
      <c r="C71" s="2" t="str">
        <f>"688414125"</f>
        <v>688414125</v>
      </c>
      <c r="D71" s="2">
        <v>1</v>
      </c>
      <c r="E71" s="4">
        <v>6500</v>
      </c>
    </row>
    <row r="72" spans="1:5" ht="26.25" x14ac:dyDescent="0.25">
      <c r="A72" s="2" t="s">
        <v>17</v>
      </c>
      <c r="B72" s="2" t="str">
        <f>"1495577635984"</f>
        <v>1495577635984</v>
      </c>
      <c r="C72" s="2" t="str">
        <f>"17900716"</f>
        <v>17900716</v>
      </c>
      <c r="D72" s="2">
        <v>1</v>
      </c>
      <c r="E72" s="4">
        <v>4500</v>
      </c>
    </row>
    <row r="73" spans="1:5" ht="26.25" x14ac:dyDescent="0.25">
      <c r="A73" s="2" t="s">
        <v>17</v>
      </c>
      <c r="B73" s="2" t="str">
        <f>"1495577833880"</f>
        <v>1495577833880</v>
      </c>
      <c r="C73" s="2" t="str">
        <f>"17900548"</f>
        <v>17900548</v>
      </c>
      <c r="D73" s="2">
        <v>1</v>
      </c>
      <c r="E73" s="4">
        <v>5500</v>
      </c>
    </row>
    <row r="74" spans="1:5" ht="26.25" x14ac:dyDescent="0.25">
      <c r="A74" s="2" t="s">
        <v>17</v>
      </c>
      <c r="B74" s="2" t="str">
        <f>"1495578083650"</f>
        <v>1495578083650</v>
      </c>
      <c r="C74" s="2" t="str">
        <f>"179010268"</f>
        <v>179010268</v>
      </c>
      <c r="D74" s="2">
        <v>1</v>
      </c>
      <c r="E74" s="4">
        <v>5500</v>
      </c>
    </row>
    <row r="75" spans="1:5" ht="26.25" x14ac:dyDescent="0.25">
      <c r="A75" s="2" t="s">
        <v>17</v>
      </c>
      <c r="B75" s="2" t="str">
        <f>"1495578176260"</f>
        <v>1495578176260</v>
      </c>
      <c r="C75" s="2" t="str">
        <f>"179010296"</f>
        <v>179010296</v>
      </c>
      <c r="D75" s="2">
        <v>1</v>
      </c>
      <c r="E75" s="4">
        <v>5500</v>
      </c>
    </row>
    <row r="76" spans="1:5" ht="26.25" x14ac:dyDescent="0.25">
      <c r="A76" s="2" t="s">
        <v>17</v>
      </c>
      <c r="B76" s="2" t="str">
        <f>"17901430"</f>
        <v>17901430</v>
      </c>
      <c r="C76" s="2" t="str">
        <f>"17901430"</f>
        <v>17901430</v>
      </c>
      <c r="D76" s="2">
        <v>1</v>
      </c>
      <c r="E76" s="4">
        <v>5500</v>
      </c>
    </row>
    <row r="77" spans="1:5" ht="26.25" x14ac:dyDescent="0.25">
      <c r="A77" s="2" t="s">
        <v>17</v>
      </c>
      <c r="B77" s="2" t="str">
        <f>"179014126"</f>
        <v>179014126</v>
      </c>
      <c r="C77" s="2" t="str">
        <f>"179014126"</f>
        <v>179014126</v>
      </c>
      <c r="D77" s="2">
        <v>1</v>
      </c>
      <c r="E77" s="4">
        <v>4500</v>
      </c>
    </row>
    <row r="78" spans="1:5" ht="26.25" x14ac:dyDescent="0.25">
      <c r="A78" s="2" t="s">
        <v>17</v>
      </c>
      <c r="B78" s="2" t="str">
        <f>"1495578514884"</f>
        <v>1495578514884</v>
      </c>
      <c r="C78" s="2" t="str">
        <f>"179009221"</f>
        <v>179009221</v>
      </c>
      <c r="D78" s="2">
        <v>1</v>
      </c>
      <c r="E78" s="4">
        <v>5500</v>
      </c>
    </row>
    <row r="79" spans="1:5" ht="26.25" x14ac:dyDescent="0.25">
      <c r="A79" s="2" t="s">
        <v>17</v>
      </c>
      <c r="B79" s="2" t="str">
        <f>"1495578610813"</f>
        <v>1495578610813</v>
      </c>
      <c r="C79" s="2" t="str">
        <f>"179005280"</f>
        <v>179005280</v>
      </c>
      <c r="D79" s="2">
        <v>1</v>
      </c>
      <c r="E79" s="4">
        <v>4500</v>
      </c>
    </row>
    <row r="80" spans="1:5" ht="26.25" x14ac:dyDescent="0.25">
      <c r="A80" s="2" t="s">
        <v>17</v>
      </c>
      <c r="B80" s="2" t="str">
        <f>"179014178"</f>
        <v>179014178</v>
      </c>
      <c r="C80" s="2" t="str">
        <f>"179014178"</f>
        <v>179014178</v>
      </c>
      <c r="D80" s="2">
        <v>1</v>
      </c>
      <c r="E80" s="4">
        <v>4500</v>
      </c>
    </row>
    <row r="81" spans="1:5" ht="26.25" x14ac:dyDescent="0.25">
      <c r="A81" s="2" t="s">
        <v>17</v>
      </c>
      <c r="B81" s="2" t="str">
        <f>"179014125"</f>
        <v>179014125</v>
      </c>
      <c r="C81" s="2" t="str">
        <f>"179014125"</f>
        <v>179014125</v>
      </c>
      <c r="D81" s="2">
        <v>1</v>
      </c>
      <c r="E81" s="4">
        <v>4500</v>
      </c>
    </row>
    <row r="82" spans="1:5" ht="26.25" x14ac:dyDescent="0.25">
      <c r="A82" s="2" t="s">
        <v>17</v>
      </c>
      <c r="B82" s="2" t="str">
        <f>"179014270"</f>
        <v>179014270</v>
      </c>
      <c r="C82" s="2" t="str">
        <f>"179014270"</f>
        <v>179014270</v>
      </c>
      <c r="D82" s="2">
        <v>1</v>
      </c>
      <c r="E82" s="4">
        <v>4500</v>
      </c>
    </row>
    <row r="83" spans="1:5" ht="26.25" x14ac:dyDescent="0.25">
      <c r="A83" s="2" t="s">
        <v>17</v>
      </c>
      <c r="B83" s="2" t="str">
        <f>"179014127"</f>
        <v>179014127</v>
      </c>
      <c r="C83" s="2" t="str">
        <f>"179014127"</f>
        <v>179014127</v>
      </c>
      <c r="D83" s="2">
        <v>1</v>
      </c>
      <c r="E83" s="4">
        <v>4500</v>
      </c>
    </row>
    <row r="84" spans="1:5" ht="26.25" x14ac:dyDescent="0.25">
      <c r="A84" s="2" t="s">
        <v>17</v>
      </c>
      <c r="B84" s="2" t="str">
        <f>"179014266"</f>
        <v>179014266</v>
      </c>
      <c r="C84" s="2" t="str">
        <f>"179014266"</f>
        <v>179014266</v>
      </c>
      <c r="D84" s="2">
        <v>1</v>
      </c>
      <c r="E84" s="4">
        <v>4500</v>
      </c>
    </row>
    <row r="85" spans="1:5" ht="26.25" x14ac:dyDescent="0.25">
      <c r="A85" s="2" t="s">
        <v>17</v>
      </c>
      <c r="B85" s="2" t="str">
        <f>"179014283"</f>
        <v>179014283</v>
      </c>
      <c r="C85" s="2" t="str">
        <f>"179014283"</f>
        <v>179014283</v>
      </c>
      <c r="D85" s="2">
        <v>1</v>
      </c>
      <c r="E85" s="4">
        <v>4500</v>
      </c>
    </row>
    <row r="86" spans="1:5" ht="26.25" x14ac:dyDescent="0.25">
      <c r="A86" s="2" t="s">
        <v>17</v>
      </c>
      <c r="B86" s="2" t="str">
        <f>"17901480"</f>
        <v>17901480</v>
      </c>
      <c r="C86" s="2" t="str">
        <f>"17901480"</f>
        <v>17901480</v>
      </c>
      <c r="D86" s="2">
        <v>1</v>
      </c>
      <c r="E86" s="4">
        <v>4500</v>
      </c>
    </row>
    <row r="87" spans="1:5" ht="26.25" x14ac:dyDescent="0.25">
      <c r="A87" s="2" t="s">
        <v>17</v>
      </c>
      <c r="B87" s="2" t="str">
        <f>"179014200"</f>
        <v>179014200</v>
      </c>
      <c r="C87" s="2" t="str">
        <f>"179014200"</f>
        <v>179014200</v>
      </c>
      <c r="D87" s="2">
        <v>1</v>
      </c>
      <c r="E87" s="4">
        <v>4500</v>
      </c>
    </row>
    <row r="88" spans="1:5" ht="26.25" x14ac:dyDescent="0.25">
      <c r="A88" s="2" t="s">
        <v>17</v>
      </c>
      <c r="B88" s="2" t="str">
        <f>"17901064"</f>
        <v>17901064</v>
      </c>
      <c r="C88" s="2" t="str">
        <f>"17901064"</f>
        <v>17901064</v>
      </c>
      <c r="D88" s="2">
        <v>1</v>
      </c>
      <c r="E88" s="4">
        <v>4500</v>
      </c>
    </row>
    <row r="89" spans="1:5" ht="26.25" x14ac:dyDescent="0.25">
      <c r="A89" s="2" t="s">
        <v>17</v>
      </c>
      <c r="B89" s="2" t="str">
        <f>"17901527"</f>
        <v>17901527</v>
      </c>
      <c r="C89" s="2" t="str">
        <f>"17901527"</f>
        <v>17901527</v>
      </c>
      <c r="D89" s="2">
        <v>1</v>
      </c>
      <c r="E89" s="4">
        <v>4500</v>
      </c>
    </row>
    <row r="90" spans="1:5" ht="26.25" x14ac:dyDescent="0.25">
      <c r="A90" s="2" t="s">
        <v>17</v>
      </c>
      <c r="B90" s="2" t="str">
        <f>"767707254"</f>
        <v>767707254</v>
      </c>
      <c r="C90" s="2" t="str">
        <f>"767707254"</f>
        <v>767707254</v>
      </c>
      <c r="D90" s="2">
        <v>1</v>
      </c>
      <c r="E90" s="4">
        <v>4000</v>
      </c>
    </row>
    <row r="91" spans="1:5" ht="26.25" x14ac:dyDescent="0.25">
      <c r="A91" s="2" t="s">
        <v>17</v>
      </c>
      <c r="B91" s="2" t="str">
        <f>"767710231"</f>
        <v>767710231</v>
      </c>
      <c r="C91" s="2" t="str">
        <f>"767710231"</f>
        <v>767710231</v>
      </c>
      <c r="D91" s="2">
        <v>1</v>
      </c>
      <c r="E91" s="4">
        <v>4500</v>
      </c>
    </row>
    <row r="92" spans="1:5" ht="26.25" x14ac:dyDescent="0.25">
      <c r="A92" s="2" t="s">
        <v>17</v>
      </c>
      <c r="B92" s="2" t="str">
        <f>"179001240"</f>
        <v>179001240</v>
      </c>
      <c r="C92" s="2" t="str">
        <f>"179001240"</f>
        <v>179001240</v>
      </c>
      <c r="D92" s="2">
        <v>1</v>
      </c>
      <c r="E92" s="4">
        <v>4500</v>
      </c>
    </row>
    <row r="93" spans="1:5" ht="26.25" x14ac:dyDescent="0.25">
      <c r="A93" s="2" t="s">
        <v>17</v>
      </c>
      <c r="B93" s="2" t="str">
        <f>"179005294"</f>
        <v>179005294</v>
      </c>
      <c r="C93" s="2" t="str">
        <f>"179005294"</f>
        <v>179005294</v>
      </c>
      <c r="D93" s="2">
        <v>1</v>
      </c>
      <c r="E93" s="4">
        <v>4500</v>
      </c>
    </row>
    <row r="94" spans="1:5" ht="26.25" x14ac:dyDescent="0.25">
      <c r="A94" s="2" t="s">
        <v>17</v>
      </c>
      <c r="B94" s="2" t="str">
        <f>"769009292"</f>
        <v>769009292</v>
      </c>
      <c r="C94" s="2" t="str">
        <f>"769009292"</f>
        <v>769009292</v>
      </c>
      <c r="D94" s="2">
        <v>1</v>
      </c>
      <c r="E94" s="4">
        <v>4500</v>
      </c>
    </row>
    <row r="95" spans="1:5" ht="26.25" x14ac:dyDescent="0.25">
      <c r="A95" s="2" t="s">
        <v>17</v>
      </c>
      <c r="B95" s="2" t="str">
        <f>"76900716"</f>
        <v>76900716</v>
      </c>
      <c r="C95" s="2" t="str">
        <f>"76900716"</f>
        <v>76900716</v>
      </c>
      <c r="D95" s="2">
        <v>1</v>
      </c>
      <c r="E95" s="4">
        <v>4500</v>
      </c>
    </row>
    <row r="96" spans="1:5" ht="26.25" x14ac:dyDescent="0.25">
      <c r="A96" s="2" t="s">
        <v>17</v>
      </c>
      <c r="B96" s="2" t="str">
        <f>"767709291"</f>
        <v>767709291</v>
      </c>
      <c r="C96" s="2" t="str">
        <f>"767709291"</f>
        <v>767709291</v>
      </c>
      <c r="D96" s="2">
        <v>1</v>
      </c>
      <c r="E96" s="4">
        <v>4500</v>
      </c>
    </row>
    <row r="97" spans="1:5" ht="26.25" x14ac:dyDescent="0.25">
      <c r="A97" s="2" t="s">
        <v>17</v>
      </c>
      <c r="B97" s="2" t="str">
        <f>"767709293"</f>
        <v>767709293</v>
      </c>
      <c r="C97" s="2" t="str">
        <f>"767709293"</f>
        <v>767709293</v>
      </c>
      <c r="D97" s="2">
        <v>1</v>
      </c>
      <c r="E97" s="4">
        <v>4500</v>
      </c>
    </row>
    <row r="98" spans="1:5" ht="26.25" x14ac:dyDescent="0.25">
      <c r="A98" s="2" t="s">
        <v>17</v>
      </c>
      <c r="B98" s="2" t="str">
        <f>"767710306"</f>
        <v>767710306</v>
      </c>
      <c r="C98" s="2" t="str">
        <f>"767710306"</f>
        <v>767710306</v>
      </c>
      <c r="D98" s="2">
        <v>1</v>
      </c>
      <c r="E98" s="4">
        <v>4500</v>
      </c>
    </row>
    <row r="99" spans="1:5" ht="26.25" x14ac:dyDescent="0.25">
      <c r="A99" s="2" t="s">
        <v>17</v>
      </c>
      <c r="B99" s="2" t="str">
        <f>"767709292"</f>
        <v>767709292</v>
      </c>
      <c r="C99" s="2" t="str">
        <f>"767709292"</f>
        <v>767709292</v>
      </c>
      <c r="D99" s="2">
        <v>1</v>
      </c>
      <c r="E99" s="4">
        <v>4500</v>
      </c>
    </row>
    <row r="100" spans="1:5" ht="26.25" x14ac:dyDescent="0.25">
      <c r="A100" s="2" t="s">
        <v>17</v>
      </c>
      <c r="B100" s="2" t="str">
        <f>"767714191"</f>
        <v>767714191</v>
      </c>
      <c r="C100" s="2" t="str">
        <f>"767714191"</f>
        <v>767714191</v>
      </c>
      <c r="D100" s="2">
        <v>1</v>
      </c>
      <c r="E100" s="4">
        <v>4500</v>
      </c>
    </row>
    <row r="101" spans="1:5" ht="26.25" x14ac:dyDescent="0.25">
      <c r="A101" s="2" t="s">
        <v>17</v>
      </c>
      <c r="B101" s="2" t="str">
        <f>"769014266"</f>
        <v>769014266</v>
      </c>
      <c r="C101" s="2" t="str">
        <f>"769014266"</f>
        <v>769014266</v>
      </c>
      <c r="D101" s="2">
        <v>1</v>
      </c>
      <c r="E101" s="4">
        <v>4500</v>
      </c>
    </row>
    <row r="102" spans="1:5" ht="26.25" x14ac:dyDescent="0.25">
      <c r="A102" s="2" t="s">
        <v>17</v>
      </c>
      <c r="B102" s="2" t="str">
        <f>"767714129"</f>
        <v>767714129</v>
      </c>
      <c r="C102" s="2" t="str">
        <f>"767714129"</f>
        <v>767714129</v>
      </c>
      <c r="D102" s="2">
        <v>1</v>
      </c>
      <c r="E102" s="4">
        <v>4500</v>
      </c>
    </row>
    <row r="103" spans="1:5" ht="26.25" x14ac:dyDescent="0.25">
      <c r="A103" s="2" t="s">
        <v>17</v>
      </c>
      <c r="B103" s="2" t="str">
        <f>"347714125"</f>
        <v>347714125</v>
      </c>
      <c r="C103" s="2" t="str">
        <f>"347714125"</f>
        <v>347714125</v>
      </c>
      <c r="D103" s="2">
        <v>1</v>
      </c>
      <c r="E103" s="4">
        <v>4500</v>
      </c>
    </row>
    <row r="104" spans="1:5" ht="26.25" x14ac:dyDescent="0.25">
      <c r="A104" s="2" t="s">
        <v>17</v>
      </c>
      <c r="B104" s="2" t="str">
        <f>"767710299"</f>
        <v>767710299</v>
      </c>
      <c r="C104" s="2" t="str">
        <f>"767710299"</f>
        <v>767710299</v>
      </c>
      <c r="D104" s="2">
        <v>1</v>
      </c>
      <c r="E104" s="4">
        <v>4500</v>
      </c>
    </row>
    <row r="105" spans="1:5" ht="26.25" x14ac:dyDescent="0.25">
      <c r="A105" s="2" t="s">
        <v>17</v>
      </c>
      <c r="B105" s="2" t="str">
        <f>"76771025"</f>
        <v>76771025</v>
      </c>
      <c r="C105" s="2" t="str">
        <f>"76771025"</f>
        <v>76771025</v>
      </c>
      <c r="D105" s="2">
        <v>1</v>
      </c>
      <c r="E105" s="4">
        <v>4500</v>
      </c>
    </row>
    <row r="106" spans="1:5" ht="26.25" x14ac:dyDescent="0.25">
      <c r="A106" s="2" t="s">
        <v>17</v>
      </c>
      <c r="B106" s="2" t="str">
        <f>"767709286"</f>
        <v>767709286</v>
      </c>
      <c r="C106" s="2" t="str">
        <f>"767709286"</f>
        <v>767709286</v>
      </c>
      <c r="D106" s="2">
        <v>1</v>
      </c>
      <c r="E106" s="4">
        <v>4500</v>
      </c>
    </row>
    <row r="107" spans="1:5" ht="26.25" x14ac:dyDescent="0.25">
      <c r="A107" s="2" t="s">
        <v>18</v>
      </c>
      <c r="B107" s="2" t="str">
        <f>"76810715"</f>
        <v>76810715</v>
      </c>
      <c r="C107" s="2" t="str">
        <f>"76810715"</f>
        <v>76810715</v>
      </c>
      <c r="D107" s="2">
        <v>1</v>
      </c>
      <c r="E107" s="4">
        <v>10500</v>
      </c>
    </row>
    <row r="108" spans="1:5" ht="26.25" x14ac:dyDescent="0.25">
      <c r="A108" s="2" t="s">
        <v>18</v>
      </c>
      <c r="B108" s="2" t="str">
        <f>"76810716"</f>
        <v>76810716</v>
      </c>
      <c r="C108" s="2" t="str">
        <f>"76810716"</f>
        <v>76810716</v>
      </c>
      <c r="D108" s="2">
        <v>1</v>
      </c>
      <c r="E108" s="4">
        <v>28500</v>
      </c>
    </row>
    <row r="109" spans="1:5" ht="26.25" x14ac:dyDescent="0.25">
      <c r="A109" s="2" t="s">
        <v>18</v>
      </c>
      <c r="B109" s="2" t="str">
        <f>"76810717"</f>
        <v>76810717</v>
      </c>
      <c r="C109" s="2" t="str">
        <f>"76810717"</f>
        <v>76810717</v>
      </c>
      <c r="D109" s="2">
        <v>1</v>
      </c>
      <c r="E109" s="4">
        <v>28500</v>
      </c>
    </row>
    <row r="110" spans="1:5" ht="26.25" x14ac:dyDescent="0.25">
      <c r="A110" s="2" t="s">
        <v>19</v>
      </c>
      <c r="B110" s="2" t="str">
        <f>"1578154088539"</f>
        <v>1578154088539</v>
      </c>
      <c r="C110" s="2" t="str">
        <f>"61410715"</f>
        <v>61410715</v>
      </c>
      <c r="D110" s="2">
        <v>1</v>
      </c>
      <c r="E110" s="4">
        <v>3500</v>
      </c>
    </row>
    <row r="111" spans="1:5" ht="26.25" x14ac:dyDescent="0.25">
      <c r="A111" s="2" t="s">
        <v>20</v>
      </c>
      <c r="B111" s="2" t="str">
        <f>"4250001981303"</f>
        <v>4250001981303</v>
      </c>
      <c r="C111" s="2" t="str">
        <f>"28082339"</f>
        <v>28082339</v>
      </c>
      <c r="D111" s="2">
        <v>1</v>
      </c>
      <c r="E111" s="4">
        <v>1500</v>
      </c>
    </row>
    <row r="112" spans="1:5" ht="26.25" x14ac:dyDescent="0.25">
      <c r="A112" s="2" t="s">
        <v>20</v>
      </c>
      <c r="B112" s="2" t="str">
        <f>"6686996211015"</f>
        <v>6686996211015</v>
      </c>
      <c r="C112" s="2" t="str">
        <f>"540821101"</f>
        <v>540821101</v>
      </c>
      <c r="D112" s="2">
        <v>1</v>
      </c>
      <c r="E112" s="4">
        <v>3000</v>
      </c>
    </row>
    <row r="113" spans="1:5" ht="26.25" x14ac:dyDescent="0.25">
      <c r="A113" s="2" t="s">
        <v>10</v>
      </c>
      <c r="B113" s="2" t="str">
        <f>"174710231"</f>
        <v>174710231</v>
      </c>
      <c r="C113" s="2" t="str">
        <f>"174710231"</f>
        <v>174710231</v>
      </c>
      <c r="D113" s="2">
        <v>2</v>
      </c>
      <c r="E113" s="4">
        <v>3500</v>
      </c>
    </row>
    <row r="114" spans="1:5" ht="26.25" x14ac:dyDescent="0.25">
      <c r="A114" s="2" t="s">
        <v>10</v>
      </c>
      <c r="B114" s="2" t="str">
        <f>"275110231"</f>
        <v>275110231</v>
      </c>
      <c r="C114" s="2" t="str">
        <f>"275110231"</f>
        <v>275110231</v>
      </c>
      <c r="D114" s="2">
        <v>2</v>
      </c>
      <c r="E114" s="4">
        <v>3500</v>
      </c>
    </row>
    <row r="115" spans="1:5" ht="26.25" x14ac:dyDescent="0.25">
      <c r="A115" s="2" t="s">
        <v>10</v>
      </c>
      <c r="B115" s="2" t="str">
        <f>"766410231"</f>
        <v>766410231</v>
      </c>
      <c r="C115" s="2" t="str">
        <f>"766410231"</f>
        <v>766410231</v>
      </c>
      <c r="D115" s="2">
        <v>2</v>
      </c>
      <c r="E115" s="4">
        <v>4500</v>
      </c>
    </row>
    <row r="116" spans="1:5" ht="26.25" x14ac:dyDescent="0.25">
      <c r="A116" s="2" t="s">
        <v>10</v>
      </c>
      <c r="B116" s="2" t="str">
        <f>"334810295"</f>
        <v>334810295</v>
      </c>
      <c r="C116" s="2" t="str">
        <f>"334810295"</f>
        <v>334810295</v>
      </c>
      <c r="D116" s="2">
        <v>2</v>
      </c>
      <c r="E116" s="4">
        <v>3500</v>
      </c>
    </row>
    <row r="117" spans="1:5" ht="26.25" x14ac:dyDescent="0.25">
      <c r="A117" s="2" t="s">
        <v>10</v>
      </c>
      <c r="B117" s="2" t="str">
        <f>"275110295"</f>
        <v>275110295</v>
      </c>
      <c r="C117" s="2" t="str">
        <f>"275110295"</f>
        <v>275110295</v>
      </c>
      <c r="D117" s="2">
        <v>2</v>
      </c>
      <c r="E117" s="4">
        <v>3500</v>
      </c>
    </row>
    <row r="118" spans="1:5" ht="26.25" x14ac:dyDescent="0.25">
      <c r="A118" s="2" t="s">
        <v>10</v>
      </c>
      <c r="B118" s="2" t="str">
        <f>"764810295"</f>
        <v>764810295</v>
      </c>
      <c r="C118" s="2" t="str">
        <f>"764810295"</f>
        <v>764810295</v>
      </c>
      <c r="D118" s="2">
        <v>2</v>
      </c>
      <c r="E118" s="4">
        <v>3500</v>
      </c>
    </row>
    <row r="119" spans="1:5" ht="26.25" x14ac:dyDescent="0.25">
      <c r="A119" s="2" t="s">
        <v>10</v>
      </c>
      <c r="B119" s="2" t="str">
        <f>"175110295"</f>
        <v>175110295</v>
      </c>
      <c r="C119" s="2" t="str">
        <f>"175110295"</f>
        <v>175110295</v>
      </c>
      <c r="D119" s="2">
        <v>2</v>
      </c>
      <c r="E119" s="4">
        <v>3500</v>
      </c>
    </row>
    <row r="120" spans="1:5" ht="26.25" x14ac:dyDescent="0.25">
      <c r="A120" s="2" t="s">
        <v>10</v>
      </c>
      <c r="B120" s="2" t="str">
        <f>"935110295"</f>
        <v>935110295</v>
      </c>
      <c r="C120" s="2" t="str">
        <f>"935110295"</f>
        <v>935110295</v>
      </c>
      <c r="D120" s="2">
        <v>2</v>
      </c>
      <c r="E120" s="4">
        <v>3500</v>
      </c>
    </row>
    <row r="121" spans="1:5" ht="26.25" x14ac:dyDescent="0.25">
      <c r="A121" s="2" t="s">
        <v>21</v>
      </c>
      <c r="B121" s="2" t="str">
        <f>"52520001"</f>
        <v>52520001</v>
      </c>
      <c r="C121" s="2" t="str">
        <f>"52520001"</f>
        <v>52520001</v>
      </c>
      <c r="D121" s="2" t="s">
        <v>22</v>
      </c>
      <c r="E121" s="4">
        <v>2000</v>
      </c>
    </row>
    <row r="122" spans="1:5" ht="26.25" x14ac:dyDescent="0.25">
      <c r="A122" s="2" t="s">
        <v>21</v>
      </c>
      <c r="B122" s="2" t="str">
        <f>"10001000"</f>
        <v>10001000</v>
      </c>
      <c r="C122" s="2" t="str">
        <f>"10000001"</f>
        <v>10000001</v>
      </c>
      <c r="D122" s="2" t="s">
        <v>23</v>
      </c>
      <c r="E122" s="4">
        <v>1000</v>
      </c>
    </row>
    <row r="123" spans="1:5" ht="26.25" x14ac:dyDescent="0.25">
      <c r="A123" s="2" t="s">
        <v>21</v>
      </c>
      <c r="B123" s="2" t="str">
        <f>"10001500"</f>
        <v>10001500</v>
      </c>
      <c r="C123" s="2" t="str">
        <f>"10000002"</f>
        <v>10000002</v>
      </c>
      <c r="D123" s="2" t="s">
        <v>24</v>
      </c>
      <c r="E123" s="4">
        <v>1500</v>
      </c>
    </row>
    <row r="124" spans="1:5" ht="26.25" x14ac:dyDescent="0.25">
      <c r="A124" s="2" t="s">
        <v>21</v>
      </c>
      <c r="B124" s="2" t="str">
        <f>"10002000"</f>
        <v>10002000</v>
      </c>
      <c r="C124" s="2" t="str">
        <f>"10000003"</f>
        <v>10000003</v>
      </c>
      <c r="D124" s="2" t="s">
        <v>25</v>
      </c>
      <c r="E124" s="4">
        <v>2000</v>
      </c>
    </row>
    <row r="125" spans="1:5" ht="26.25" x14ac:dyDescent="0.25">
      <c r="A125" s="2" t="s">
        <v>21</v>
      </c>
      <c r="B125" s="2" t="str">
        <f>"10002500"</f>
        <v>10002500</v>
      </c>
      <c r="C125" s="2" t="str">
        <f>"10002500"</f>
        <v>10002500</v>
      </c>
      <c r="D125" s="2" t="s">
        <v>26</v>
      </c>
      <c r="E125" s="4">
        <v>2500</v>
      </c>
    </row>
    <row r="126" spans="1:5" ht="26.25" x14ac:dyDescent="0.25">
      <c r="A126" s="2" t="s">
        <v>21</v>
      </c>
      <c r="B126" s="2" t="str">
        <f>"10003500"</f>
        <v>10003500</v>
      </c>
      <c r="C126" s="2" t="str">
        <f>"10003500"</f>
        <v>10003500</v>
      </c>
      <c r="D126" s="2" t="s">
        <v>27</v>
      </c>
      <c r="E126" s="4">
        <v>3500</v>
      </c>
    </row>
    <row r="127" spans="1:5" ht="26.25" x14ac:dyDescent="0.25">
      <c r="A127" s="2" t="s">
        <v>21</v>
      </c>
      <c r="B127" s="2" t="str">
        <f>"10004000"</f>
        <v>10004000</v>
      </c>
      <c r="C127" s="2" t="str">
        <f>"10004000"</f>
        <v>10004000</v>
      </c>
      <c r="D127" s="2" t="s">
        <v>28</v>
      </c>
      <c r="E127" s="4">
        <v>4000</v>
      </c>
    </row>
    <row r="128" spans="1:5" ht="26.25" x14ac:dyDescent="0.25">
      <c r="A128" s="2" t="s">
        <v>21</v>
      </c>
      <c r="B128" s="2" t="str">
        <f>"10005000"</f>
        <v>10005000</v>
      </c>
      <c r="C128" s="2" t="str">
        <f>"10005000"</f>
        <v>10005000</v>
      </c>
      <c r="D128" s="2" t="s">
        <v>29</v>
      </c>
      <c r="E128" s="4">
        <v>5000</v>
      </c>
    </row>
    <row r="129" spans="1:5" ht="26.25" x14ac:dyDescent="0.25">
      <c r="A129" s="2" t="s">
        <v>30</v>
      </c>
      <c r="B129" s="2" t="str">
        <f>"40021111"</f>
        <v>40021111</v>
      </c>
      <c r="C129" s="2" t="str">
        <f>"40021111"</f>
        <v>40021111</v>
      </c>
      <c r="D129" s="2" t="s">
        <v>31</v>
      </c>
      <c r="E129" s="4">
        <v>2500</v>
      </c>
    </row>
    <row r="130" spans="1:5" ht="26.25" x14ac:dyDescent="0.25">
      <c r="A130" s="2" t="s">
        <v>30</v>
      </c>
      <c r="B130" s="2" t="str">
        <f>"76021002"</f>
        <v>76021002</v>
      </c>
      <c r="C130" s="2" t="str">
        <f>"76021002"</f>
        <v>76021002</v>
      </c>
      <c r="D130" s="2" t="s">
        <v>32</v>
      </c>
      <c r="E130" s="4">
        <v>5000</v>
      </c>
    </row>
    <row r="131" spans="1:5" ht="26.25" x14ac:dyDescent="0.25">
      <c r="A131" s="2" t="s">
        <v>30</v>
      </c>
      <c r="B131" s="2" t="str">
        <f>"76021001"</f>
        <v>76021001</v>
      </c>
      <c r="C131" s="2" t="str">
        <f>"76021001"</f>
        <v>76021001</v>
      </c>
      <c r="D131" s="2" t="s">
        <v>33</v>
      </c>
      <c r="E131" s="4">
        <v>3000</v>
      </c>
    </row>
    <row r="132" spans="1:5" ht="26.25" x14ac:dyDescent="0.25">
      <c r="A132" s="2" t="s">
        <v>30</v>
      </c>
      <c r="B132" s="2" t="str">
        <f>"76027701"</f>
        <v>76027701</v>
      </c>
      <c r="C132" s="2" t="str">
        <f>"76027701"</f>
        <v>76027701</v>
      </c>
      <c r="D132" s="2" t="s">
        <v>34</v>
      </c>
      <c r="E132" s="4">
        <v>3500</v>
      </c>
    </row>
    <row r="133" spans="1:5" ht="26.25" x14ac:dyDescent="0.25">
      <c r="A133" s="2" t="s">
        <v>30</v>
      </c>
      <c r="B133" s="2" t="str">
        <f>"030CMP1082"</f>
        <v>030CMP1082</v>
      </c>
      <c r="C133" s="2" t="str">
        <f>"98020781"</f>
        <v>98020781</v>
      </c>
      <c r="D133" s="2" t="s">
        <v>35</v>
      </c>
      <c r="E133" s="4">
        <v>1500</v>
      </c>
    </row>
    <row r="134" spans="1:5" ht="26.25" x14ac:dyDescent="0.25">
      <c r="A134" s="2" t="s">
        <v>21</v>
      </c>
      <c r="B134" s="2" t="str">
        <f>"7858816075605"</f>
        <v>7858816075605</v>
      </c>
      <c r="C134" s="2" t="str">
        <f>"87527560"</f>
        <v>87527560</v>
      </c>
      <c r="D134" s="2" t="s">
        <v>36</v>
      </c>
      <c r="E134" s="4">
        <v>3000</v>
      </c>
    </row>
    <row r="135" spans="1:5" ht="26.25" x14ac:dyDescent="0.25">
      <c r="A135" s="2" t="s">
        <v>21</v>
      </c>
      <c r="B135" s="2" t="str">
        <f>"7858816075599"</f>
        <v>7858816075599</v>
      </c>
      <c r="C135" s="2" t="str">
        <f>"87527559"</f>
        <v>87527559</v>
      </c>
      <c r="D135" s="2" t="s">
        <v>37</v>
      </c>
      <c r="E135" s="4">
        <v>4500</v>
      </c>
    </row>
    <row r="136" spans="1:5" ht="26.25" x14ac:dyDescent="0.25">
      <c r="A136" s="2" t="s">
        <v>30</v>
      </c>
      <c r="B136" s="2" t="str">
        <f>"10100374"</f>
        <v>10100374</v>
      </c>
      <c r="C136" s="2" t="str">
        <f>"10100374"</f>
        <v>10100374</v>
      </c>
      <c r="D136" s="2" t="s">
        <v>38</v>
      </c>
      <c r="E136" s="4">
        <v>3500</v>
      </c>
    </row>
    <row r="137" spans="1:5" ht="26.25" x14ac:dyDescent="0.25">
      <c r="A137" s="2" t="s">
        <v>30</v>
      </c>
      <c r="B137" s="2" t="str">
        <f>"10001310"</f>
        <v>10001310</v>
      </c>
      <c r="C137" s="2" t="str">
        <f>"10001310"</f>
        <v>10001310</v>
      </c>
      <c r="D137" s="2" t="s">
        <v>39</v>
      </c>
      <c r="E137" s="2">
        <v>900</v>
      </c>
    </row>
    <row r="138" spans="1:5" ht="26.25" x14ac:dyDescent="0.25">
      <c r="A138" s="2" t="s">
        <v>40</v>
      </c>
      <c r="B138" s="2" t="str">
        <f>"7895623004510"</f>
        <v>7895623004510</v>
      </c>
      <c r="C138" s="2" t="str">
        <f>"87020451"</f>
        <v>87020451</v>
      </c>
      <c r="D138" s="2" t="s">
        <v>41</v>
      </c>
      <c r="E138" s="2">
        <v>900</v>
      </c>
    </row>
    <row r="139" spans="1:5" ht="26.25" x14ac:dyDescent="0.25">
      <c r="A139" s="2" t="s">
        <v>30</v>
      </c>
      <c r="B139" s="2" t="str">
        <f>"7858816078552"</f>
        <v>7858816078552</v>
      </c>
      <c r="C139" s="2" t="str">
        <f>"87027855"</f>
        <v>87027855</v>
      </c>
      <c r="D139" s="2" t="s">
        <v>42</v>
      </c>
      <c r="E139" s="4">
        <v>2000</v>
      </c>
    </row>
    <row r="140" spans="1:5" ht="26.25" x14ac:dyDescent="0.25">
      <c r="A140" s="2" t="s">
        <v>30</v>
      </c>
      <c r="B140" s="2" t="str">
        <f>"10000012"</f>
        <v>10000012</v>
      </c>
      <c r="C140" s="2" t="str">
        <f>"10000012"</f>
        <v>10000012</v>
      </c>
      <c r="D140" s="2" t="s">
        <v>43</v>
      </c>
      <c r="E140" s="4">
        <v>1000</v>
      </c>
    </row>
    <row r="141" spans="1:5" ht="26.25" x14ac:dyDescent="0.25">
      <c r="A141" s="2" t="s">
        <v>40</v>
      </c>
      <c r="B141" s="2" t="str">
        <f>"190198001795"</f>
        <v>190198001795</v>
      </c>
      <c r="C141" s="2" t="str">
        <f>"34021749"</f>
        <v>34021749</v>
      </c>
      <c r="D141" s="2" t="s">
        <v>44</v>
      </c>
      <c r="E141" s="4">
        <v>16000</v>
      </c>
    </row>
    <row r="142" spans="1:5" ht="26.25" x14ac:dyDescent="0.25">
      <c r="A142" s="2" t="s">
        <v>20</v>
      </c>
      <c r="B142" s="2" t="str">
        <f>"5626890052407"</f>
        <v>5626890052407</v>
      </c>
      <c r="C142" s="2" t="str">
        <f>"28085240"</f>
        <v>28085240</v>
      </c>
      <c r="D142" s="2" t="s">
        <v>45</v>
      </c>
      <c r="E142" s="4">
        <v>2500</v>
      </c>
    </row>
    <row r="143" spans="1:5" ht="26.25" x14ac:dyDescent="0.25">
      <c r="A143" s="2" t="s">
        <v>40</v>
      </c>
      <c r="B143" s="2" t="str">
        <f>"10001180"</f>
        <v>10001180</v>
      </c>
      <c r="C143" s="2" t="str">
        <f>"10001180"</f>
        <v>10001180</v>
      </c>
      <c r="D143" s="2" t="s">
        <v>46</v>
      </c>
      <c r="E143" s="4">
        <v>4990</v>
      </c>
    </row>
    <row r="144" spans="1:5" ht="26.25" x14ac:dyDescent="0.25">
      <c r="A144" s="2" t="s">
        <v>40</v>
      </c>
      <c r="B144" s="2" t="str">
        <f>"10002924"</f>
        <v>10002924</v>
      </c>
      <c r="C144" s="2" t="str">
        <f>"10002924"</f>
        <v>10002924</v>
      </c>
      <c r="D144" s="2" t="s">
        <v>47</v>
      </c>
      <c r="E144" s="4">
        <v>6500</v>
      </c>
    </row>
    <row r="145" spans="1:5" ht="26.25" x14ac:dyDescent="0.25">
      <c r="A145" s="2" t="s">
        <v>21</v>
      </c>
      <c r="B145" s="2" t="str">
        <f>"7858816060281"</f>
        <v>7858816060281</v>
      </c>
      <c r="C145" s="2" t="str">
        <f>"87526028"</f>
        <v>87526028</v>
      </c>
      <c r="D145" s="2" t="s">
        <v>48</v>
      </c>
      <c r="E145" s="4">
        <v>13990</v>
      </c>
    </row>
    <row r="146" spans="1:5" ht="26.25" x14ac:dyDescent="0.25">
      <c r="A146" s="2" t="s">
        <v>49</v>
      </c>
      <c r="B146" s="2" t="str">
        <f>"6986698108799"</f>
        <v>6986698108799</v>
      </c>
      <c r="C146" s="2" t="str">
        <f>"40928799"</f>
        <v>40928799</v>
      </c>
      <c r="D146" s="2" t="s">
        <v>50</v>
      </c>
      <c r="E146" s="4">
        <v>5990</v>
      </c>
    </row>
    <row r="147" spans="1:5" ht="26.25" x14ac:dyDescent="0.25">
      <c r="A147" s="2" t="s">
        <v>40</v>
      </c>
      <c r="B147" s="2" t="str">
        <f>"6901443200405"</f>
        <v>6901443200405</v>
      </c>
      <c r="C147" s="2" t="str">
        <f>"79HUE0CM20"</f>
        <v>79HUE0CM20</v>
      </c>
      <c r="D147" s="2" t="s">
        <v>51</v>
      </c>
      <c r="E147" s="4">
        <v>10990</v>
      </c>
    </row>
    <row r="148" spans="1:5" ht="26.25" x14ac:dyDescent="0.25">
      <c r="A148" s="2" t="s">
        <v>30</v>
      </c>
      <c r="B148" s="2" t="str">
        <f>"6905631100201"</f>
        <v>6905631100201</v>
      </c>
      <c r="C148" s="2" t="str">
        <f>"40020920"</f>
        <v>40020920</v>
      </c>
      <c r="D148" s="2" t="s">
        <v>52</v>
      </c>
      <c r="E148" s="4">
        <v>14990</v>
      </c>
    </row>
    <row r="149" spans="1:5" ht="26.25" x14ac:dyDescent="0.25">
      <c r="A149" s="2" t="s">
        <v>30</v>
      </c>
      <c r="B149" s="2" t="str">
        <f>"7168229435003"</f>
        <v>7168229435003</v>
      </c>
      <c r="C149" s="2" t="str">
        <f>"98020500"</f>
        <v>98020500</v>
      </c>
      <c r="D149" s="2" t="s">
        <v>53</v>
      </c>
      <c r="E149" s="4">
        <v>16990</v>
      </c>
    </row>
    <row r="150" spans="1:5" ht="26.25" x14ac:dyDescent="0.25">
      <c r="A150" s="2" t="s">
        <v>40</v>
      </c>
      <c r="B150" s="2" t="str">
        <f>"2019053557452"</f>
        <v>2019053557452</v>
      </c>
      <c r="C150" s="2" t="str">
        <f>"18525745"</f>
        <v>18525745</v>
      </c>
      <c r="D150" s="2" t="s">
        <v>54</v>
      </c>
      <c r="E150" s="4">
        <v>23990</v>
      </c>
    </row>
    <row r="151" spans="1:5" ht="26.25" x14ac:dyDescent="0.25">
      <c r="A151" s="2" t="s">
        <v>40</v>
      </c>
      <c r="B151" s="2" t="str">
        <f>"61020500"</f>
        <v>61020500</v>
      </c>
      <c r="C151" s="2" t="str">
        <f>"61020500"</f>
        <v>61020500</v>
      </c>
      <c r="D151" s="2" t="s">
        <v>55</v>
      </c>
      <c r="E151" s="4">
        <v>2500</v>
      </c>
    </row>
    <row r="152" spans="1:5" ht="26.25" x14ac:dyDescent="0.25">
      <c r="A152" s="2" t="s">
        <v>40</v>
      </c>
      <c r="B152" s="2" t="str">
        <f>"10113816"</f>
        <v>10113816</v>
      </c>
      <c r="C152" s="2" t="str">
        <f>"10113816"</f>
        <v>10113816</v>
      </c>
      <c r="D152" s="2" t="s">
        <v>56</v>
      </c>
      <c r="E152" s="4">
        <v>3000</v>
      </c>
    </row>
    <row r="153" spans="1:5" ht="26.25" x14ac:dyDescent="0.25">
      <c r="A153" s="2" t="s">
        <v>40</v>
      </c>
      <c r="B153" s="2" t="str">
        <f>"61020714"</f>
        <v>61020714</v>
      </c>
      <c r="C153" s="2" t="str">
        <f>"61020714"</f>
        <v>61020714</v>
      </c>
      <c r="D153" s="2" t="s">
        <v>57</v>
      </c>
      <c r="E153" s="4">
        <v>3000</v>
      </c>
    </row>
    <row r="154" spans="1:5" ht="26.25" x14ac:dyDescent="0.25">
      <c r="A154" s="2" t="s">
        <v>40</v>
      </c>
      <c r="B154" s="2" t="str">
        <f>"6851233255682"</f>
        <v>6851233255682</v>
      </c>
      <c r="C154" s="2" t="str">
        <f>"10119613"</f>
        <v>10119613</v>
      </c>
      <c r="D154" s="2" t="s">
        <v>58</v>
      </c>
      <c r="E154" s="4">
        <v>3000</v>
      </c>
    </row>
    <row r="155" spans="1:5" ht="26.25" x14ac:dyDescent="0.25">
      <c r="A155" s="2" t="s">
        <v>40</v>
      </c>
      <c r="B155" s="2" t="str">
        <f>"7858816082542"</f>
        <v>7858816082542</v>
      </c>
      <c r="C155" s="2" t="str">
        <f>"87028254"</f>
        <v>87028254</v>
      </c>
      <c r="D155" s="2" t="s">
        <v>59</v>
      </c>
      <c r="E155" s="4">
        <v>2500</v>
      </c>
    </row>
    <row r="156" spans="1:5" ht="26.25" x14ac:dyDescent="0.25">
      <c r="A156" s="2" t="s">
        <v>30</v>
      </c>
      <c r="B156" s="2" t="str">
        <f>"76020021"</f>
        <v>76020021</v>
      </c>
      <c r="C156" s="2" t="str">
        <f>"76020021"</f>
        <v>76020021</v>
      </c>
      <c r="D156" s="2" t="s">
        <v>60</v>
      </c>
      <c r="E156" s="4">
        <v>3500</v>
      </c>
    </row>
    <row r="157" spans="1:5" ht="26.25" x14ac:dyDescent="0.25">
      <c r="A157" s="2" t="s">
        <v>30</v>
      </c>
      <c r="B157" s="2" t="str">
        <f>"41120700"</f>
        <v>41120700</v>
      </c>
      <c r="C157" s="2" t="str">
        <f>"41120700"</f>
        <v>41120700</v>
      </c>
      <c r="D157" s="2" t="s">
        <v>61</v>
      </c>
      <c r="E157" s="4">
        <v>5000</v>
      </c>
    </row>
    <row r="158" spans="1:5" ht="26.25" x14ac:dyDescent="0.25">
      <c r="A158" s="2" t="s">
        <v>30</v>
      </c>
      <c r="B158" s="2" t="str">
        <f>"6986692983873"</f>
        <v>6986692983873</v>
      </c>
      <c r="C158" s="2" t="str">
        <f>"40021310"</f>
        <v>40021310</v>
      </c>
      <c r="D158" s="2" t="s">
        <v>62</v>
      </c>
      <c r="E158" s="4">
        <v>1000</v>
      </c>
    </row>
    <row r="159" spans="1:5" ht="26.25" x14ac:dyDescent="0.25">
      <c r="A159" s="2" t="s">
        <v>30</v>
      </c>
      <c r="B159" s="2" t="str">
        <f>"66021310"</f>
        <v>66021310</v>
      </c>
      <c r="C159" s="2" t="str">
        <f>"66021310"</f>
        <v>66021310</v>
      </c>
      <c r="D159" s="2" t="s">
        <v>63</v>
      </c>
      <c r="E159" s="4">
        <v>1000</v>
      </c>
    </row>
    <row r="160" spans="1:5" ht="26.25" x14ac:dyDescent="0.25">
      <c r="A160" s="2" t="s">
        <v>30</v>
      </c>
      <c r="B160" s="2" t="str">
        <f>"7858816050275"</f>
        <v>7858816050275</v>
      </c>
      <c r="C160" s="2" t="str">
        <f>"87025027"</f>
        <v>87025027</v>
      </c>
      <c r="D160" s="2" t="s">
        <v>64</v>
      </c>
      <c r="E160" s="4">
        <v>1500</v>
      </c>
    </row>
    <row r="161" spans="1:5" ht="26.25" x14ac:dyDescent="0.25">
      <c r="A161" s="2" t="s">
        <v>30</v>
      </c>
      <c r="B161" s="2" t="str">
        <f>"87000815"</f>
        <v>87000815</v>
      </c>
      <c r="C161" s="2" t="str">
        <f>"87000815"</f>
        <v>87000815</v>
      </c>
      <c r="D161" s="2" t="s">
        <v>65</v>
      </c>
      <c r="E161" s="2">
        <v>900</v>
      </c>
    </row>
    <row r="162" spans="1:5" ht="26.25" x14ac:dyDescent="0.25">
      <c r="A162" s="2" t="s">
        <v>30</v>
      </c>
      <c r="B162" s="2" t="str">
        <f>"7858816008153"</f>
        <v>7858816008153</v>
      </c>
      <c r="C162" s="2" t="str">
        <f>"87020815"</f>
        <v>87020815</v>
      </c>
      <c r="D162" s="2" t="s">
        <v>65</v>
      </c>
      <c r="E162" s="4">
        <v>1000</v>
      </c>
    </row>
    <row r="163" spans="1:5" ht="26.25" x14ac:dyDescent="0.25">
      <c r="A163" s="2" t="s">
        <v>30</v>
      </c>
      <c r="B163" s="2" t="str">
        <f>"98020220"</f>
        <v>98020220</v>
      </c>
      <c r="C163" s="2" t="str">
        <f>"98020220"</f>
        <v>98020220</v>
      </c>
      <c r="D163" s="2" t="s">
        <v>66</v>
      </c>
      <c r="E163" s="4">
        <v>3000</v>
      </c>
    </row>
    <row r="164" spans="1:5" ht="26.25" x14ac:dyDescent="0.25">
      <c r="A164" s="2" t="s">
        <v>30</v>
      </c>
      <c r="B164" s="2" t="str">
        <f>"798302161955"</f>
        <v>798302161955</v>
      </c>
      <c r="C164" s="2" t="str">
        <f>"98020358"</f>
        <v>98020358</v>
      </c>
      <c r="D164" s="2" t="s">
        <v>67</v>
      </c>
      <c r="E164" s="4">
        <v>19990</v>
      </c>
    </row>
    <row r="165" spans="1:5" ht="26.25" x14ac:dyDescent="0.25">
      <c r="A165" s="2" t="s">
        <v>30</v>
      </c>
      <c r="B165" s="2" t="str">
        <f>"5620000910090"</f>
        <v>5620000910090</v>
      </c>
      <c r="C165" s="2" t="str">
        <f>"280291009"</f>
        <v>280291009</v>
      </c>
      <c r="D165" s="2" t="s">
        <v>68</v>
      </c>
      <c r="E165" s="4">
        <v>2500</v>
      </c>
    </row>
    <row r="166" spans="1:5" ht="26.25" x14ac:dyDescent="0.25">
      <c r="A166" s="2" t="s">
        <v>30</v>
      </c>
      <c r="B166" s="2" t="str">
        <f>"28924010"</f>
        <v>28924010</v>
      </c>
      <c r="C166" s="2" t="str">
        <f>"28924010"</f>
        <v>28924010</v>
      </c>
      <c r="D166" s="2" t="s">
        <v>69</v>
      </c>
      <c r="E166" s="2">
        <v>900</v>
      </c>
    </row>
    <row r="167" spans="1:5" ht="26.25" x14ac:dyDescent="0.25">
      <c r="A167" s="2" t="s">
        <v>30</v>
      </c>
      <c r="B167" s="2" t="str">
        <f>"10000321"</f>
        <v>10000321</v>
      </c>
      <c r="C167" s="2" t="str">
        <f>"10000321"</f>
        <v>10000321</v>
      </c>
      <c r="D167" s="2" t="s">
        <v>70</v>
      </c>
      <c r="E167" s="4">
        <v>4500</v>
      </c>
    </row>
    <row r="168" spans="1:5" ht="26.25" x14ac:dyDescent="0.25">
      <c r="A168" s="2" t="s">
        <v>30</v>
      </c>
      <c r="B168" s="2" t="str">
        <f>"6970463506040"</f>
        <v>6970463506040</v>
      </c>
      <c r="C168" s="2" t="str">
        <f>"10003169"</f>
        <v>10003169</v>
      </c>
      <c r="D168" s="2" t="s">
        <v>71</v>
      </c>
      <c r="E168" s="4">
        <v>5000</v>
      </c>
    </row>
    <row r="169" spans="1:5" ht="26.25" x14ac:dyDescent="0.25">
      <c r="A169" s="2" t="s">
        <v>30</v>
      </c>
      <c r="B169" s="2" t="str">
        <f>"10007852"</f>
        <v>10007852</v>
      </c>
      <c r="C169" s="2" t="str">
        <f>"10007852"</f>
        <v>10007852</v>
      </c>
      <c r="D169" s="2" t="s">
        <v>72</v>
      </c>
      <c r="E169" s="4">
        <v>3500</v>
      </c>
    </row>
    <row r="170" spans="1:5" ht="26.25" x14ac:dyDescent="0.25">
      <c r="A170" s="2" t="s">
        <v>21</v>
      </c>
      <c r="B170" s="2" t="str">
        <f>"70GPRACC01"</f>
        <v>70GPRACC01</v>
      </c>
      <c r="C170" s="2" t="str">
        <f>"70GPRACC01"</f>
        <v>70GPRACC01</v>
      </c>
      <c r="D170" s="2" t="s">
        <v>73</v>
      </c>
      <c r="E170" s="4">
        <v>2990</v>
      </c>
    </row>
    <row r="171" spans="1:5" ht="26.25" x14ac:dyDescent="0.25">
      <c r="A171" s="2" t="s">
        <v>21</v>
      </c>
      <c r="B171" s="2" t="str">
        <f>"7858816060274"</f>
        <v>7858816060274</v>
      </c>
      <c r="C171" s="2" t="str">
        <f>"87526027"</f>
        <v>87526027</v>
      </c>
      <c r="D171" s="2" t="s">
        <v>74</v>
      </c>
      <c r="E171" s="4">
        <v>9990</v>
      </c>
    </row>
    <row r="172" spans="1:5" ht="26.25" x14ac:dyDescent="0.25">
      <c r="A172" s="2" t="s">
        <v>30</v>
      </c>
      <c r="B172" s="2" t="str">
        <f>"6686996119229"</f>
        <v>6686996119229</v>
      </c>
      <c r="C172" s="2" t="str">
        <f>"40026019"</f>
        <v>40026019</v>
      </c>
      <c r="D172" s="2" t="s">
        <v>75</v>
      </c>
      <c r="E172" s="4">
        <v>13990</v>
      </c>
    </row>
    <row r="173" spans="1:5" ht="26.25" x14ac:dyDescent="0.25">
      <c r="A173" s="2" t="s">
        <v>30</v>
      </c>
      <c r="B173" s="2" t="str">
        <f>"7891766088882"</f>
        <v>7891766088882</v>
      </c>
      <c r="C173" s="2" t="str">
        <f>"40028882"</f>
        <v>40028882</v>
      </c>
      <c r="D173" s="2" t="s">
        <v>76</v>
      </c>
      <c r="E173" s="4">
        <v>9990</v>
      </c>
    </row>
    <row r="174" spans="1:5" ht="26.25" x14ac:dyDescent="0.25">
      <c r="A174" s="2" t="s">
        <v>30</v>
      </c>
      <c r="B174" s="2" t="str">
        <f>"7858816001970"</f>
        <v>7858816001970</v>
      </c>
      <c r="C174" s="2" t="str">
        <f>"87020197"</f>
        <v>87020197</v>
      </c>
      <c r="D174" s="2" t="s">
        <v>77</v>
      </c>
      <c r="E174" s="4">
        <v>9990</v>
      </c>
    </row>
    <row r="175" spans="1:5" ht="26.25" x14ac:dyDescent="0.25">
      <c r="A175" s="2" t="s">
        <v>30</v>
      </c>
      <c r="B175" s="2" t="str">
        <f>"8765789012324"</f>
        <v>8765789012324</v>
      </c>
      <c r="C175" s="2" t="str">
        <f>"98020525"</f>
        <v>98020525</v>
      </c>
      <c r="D175" s="2" t="s">
        <v>78</v>
      </c>
      <c r="E175" s="4">
        <v>11990</v>
      </c>
    </row>
    <row r="176" spans="1:5" ht="26.25" x14ac:dyDescent="0.25">
      <c r="A176" s="2" t="s">
        <v>30</v>
      </c>
      <c r="B176" s="2" t="str">
        <f>"10003300"</f>
        <v>10003300</v>
      </c>
      <c r="C176" s="2" t="str">
        <f>"10003300"</f>
        <v>10003300</v>
      </c>
      <c r="D176" s="2" t="s">
        <v>79</v>
      </c>
      <c r="E176" s="4">
        <v>2000</v>
      </c>
    </row>
    <row r="177" spans="1:5" ht="26.25" x14ac:dyDescent="0.25">
      <c r="A177" s="2" t="s">
        <v>30</v>
      </c>
      <c r="B177" s="2" t="str">
        <f>"10026721"</f>
        <v>10026721</v>
      </c>
      <c r="C177" s="2" t="str">
        <f>"10026721"</f>
        <v>10026721</v>
      </c>
      <c r="D177" s="2" t="s">
        <v>80</v>
      </c>
      <c r="E177" s="4">
        <v>1500</v>
      </c>
    </row>
    <row r="178" spans="1:5" ht="26.25" x14ac:dyDescent="0.25">
      <c r="A178" s="2" t="s">
        <v>30</v>
      </c>
      <c r="B178" s="2" t="str">
        <f>"10106721"</f>
        <v>10106721</v>
      </c>
      <c r="C178" s="2" t="str">
        <f>"10106721"</f>
        <v>10106721</v>
      </c>
      <c r="D178" s="2" t="s">
        <v>81</v>
      </c>
      <c r="E178" s="4">
        <v>1500</v>
      </c>
    </row>
    <row r="179" spans="1:5" ht="26.25" x14ac:dyDescent="0.25">
      <c r="A179" s="2" t="s">
        <v>40</v>
      </c>
      <c r="B179" s="2" t="str">
        <f>"6813653282686"</f>
        <v>6813653282686</v>
      </c>
      <c r="C179" s="2" t="str">
        <f>"34020700"</f>
        <v>34020700</v>
      </c>
      <c r="D179" s="2" t="s">
        <v>82</v>
      </c>
      <c r="E179" s="4">
        <v>18990</v>
      </c>
    </row>
    <row r="180" spans="1:5" ht="26.25" x14ac:dyDescent="0.25">
      <c r="A180" s="2" t="s">
        <v>30</v>
      </c>
      <c r="B180" s="2" t="str">
        <f>"10108910"</f>
        <v>10108910</v>
      </c>
      <c r="C180" s="2" t="str">
        <f>"10108910"</f>
        <v>10108910</v>
      </c>
      <c r="D180" s="2" t="s">
        <v>83</v>
      </c>
      <c r="E180" s="4">
        <v>2000</v>
      </c>
    </row>
    <row r="181" spans="1:5" ht="26.25" x14ac:dyDescent="0.25">
      <c r="A181" s="2" t="s">
        <v>30</v>
      </c>
      <c r="B181" s="2" t="str">
        <f>"861205003"</f>
        <v>861205003</v>
      </c>
      <c r="C181" s="2" t="str">
        <f>"861205003"</f>
        <v>861205003</v>
      </c>
      <c r="D181" s="2" t="s">
        <v>84</v>
      </c>
      <c r="E181" s="4">
        <v>2500</v>
      </c>
    </row>
    <row r="182" spans="1:5" ht="26.25" x14ac:dyDescent="0.25">
      <c r="A182" s="2" t="s">
        <v>40</v>
      </c>
      <c r="B182" s="2" t="str">
        <f>"4712366969100"</f>
        <v>4712366969100</v>
      </c>
      <c r="C182" s="2" t="str">
        <f>"98020001"</f>
        <v>98020001</v>
      </c>
      <c r="D182" s="2" t="s">
        <v>85</v>
      </c>
      <c r="E182" s="4">
        <v>30000</v>
      </c>
    </row>
    <row r="183" spans="1:5" ht="26.25" x14ac:dyDescent="0.25">
      <c r="A183" s="2" t="s">
        <v>30</v>
      </c>
      <c r="B183" s="2" t="str">
        <f>"10020321"</f>
        <v>10020321</v>
      </c>
      <c r="C183" s="2" t="str">
        <f>"10020321"</f>
        <v>10020321</v>
      </c>
      <c r="D183" s="2" t="s">
        <v>86</v>
      </c>
      <c r="E183" s="4">
        <v>5000</v>
      </c>
    </row>
    <row r="184" spans="1:5" ht="26.25" x14ac:dyDescent="0.25">
      <c r="A184" s="2" t="s">
        <v>30</v>
      </c>
      <c r="B184" s="2" t="str">
        <f>"6986698983280"</f>
        <v>6986698983280</v>
      </c>
      <c r="C184" s="2" t="str">
        <f>"400298328"</f>
        <v>400298328</v>
      </c>
      <c r="D184" s="2" t="s">
        <v>87</v>
      </c>
      <c r="E184" s="4">
        <v>3500</v>
      </c>
    </row>
    <row r="185" spans="1:5" ht="26.25" x14ac:dyDescent="0.25">
      <c r="A185" s="2" t="s">
        <v>30</v>
      </c>
      <c r="B185" s="2" t="str">
        <f>"7858816032172"</f>
        <v>7858816032172</v>
      </c>
      <c r="C185" s="2" t="str">
        <f>"87023217"</f>
        <v>87023217</v>
      </c>
      <c r="D185" s="2" t="s">
        <v>88</v>
      </c>
      <c r="E185" s="4">
        <v>5000</v>
      </c>
    </row>
    <row r="186" spans="1:5" ht="26.25" x14ac:dyDescent="0.25">
      <c r="A186" s="2" t="s">
        <v>30</v>
      </c>
      <c r="B186" s="2" t="str">
        <f>"76020004"</f>
        <v>76020004</v>
      </c>
      <c r="C186" s="2" t="str">
        <f>"76020004"</f>
        <v>76020004</v>
      </c>
      <c r="D186" s="2" t="s">
        <v>89</v>
      </c>
      <c r="E186" s="4">
        <v>3000</v>
      </c>
    </row>
    <row r="187" spans="1:5" ht="26.25" x14ac:dyDescent="0.25">
      <c r="A187" s="2" t="s">
        <v>30</v>
      </c>
      <c r="B187" s="2" t="str">
        <f>"340207107"</f>
        <v>340207107</v>
      </c>
      <c r="C187" s="2" t="str">
        <f>"340207107"</f>
        <v>340207107</v>
      </c>
      <c r="D187" s="2" t="s">
        <v>90</v>
      </c>
      <c r="E187" s="4">
        <v>3000</v>
      </c>
    </row>
    <row r="188" spans="1:5" ht="26.25" x14ac:dyDescent="0.25">
      <c r="A188" s="2" t="s">
        <v>30</v>
      </c>
      <c r="B188" s="2" t="str">
        <f>"17120700"</f>
        <v>17120700</v>
      </c>
      <c r="C188" s="2" t="str">
        <f>"17120700"</f>
        <v>17120700</v>
      </c>
      <c r="D188" s="2" t="s">
        <v>91</v>
      </c>
      <c r="E188" s="4">
        <v>2500</v>
      </c>
    </row>
    <row r="189" spans="1:5" ht="26.25" x14ac:dyDescent="0.25">
      <c r="A189" s="2" t="s">
        <v>40</v>
      </c>
      <c r="B189" s="2" t="str">
        <f>"61020700"</f>
        <v>61020700</v>
      </c>
      <c r="C189" s="2" t="str">
        <f>"61020700"</f>
        <v>61020700</v>
      </c>
      <c r="D189" s="2" t="s">
        <v>92</v>
      </c>
      <c r="E189" s="4">
        <v>6990</v>
      </c>
    </row>
    <row r="190" spans="1:5" ht="26.25" x14ac:dyDescent="0.25">
      <c r="A190" s="2" t="s">
        <v>40</v>
      </c>
      <c r="B190" s="2" t="str">
        <f>"6956116718978"</f>
        <v>6956116718978</v>
      </c>
      <c r="C190" s="2" t="str">
        <f>"40020403"</f>
        <v>40020403</v>
      </c>
      <c r="D190" s="2" t="s">
        <v>93</v>
      </c>
      <c r="E190" s="4">
        <v>12990</v>
      </c>
    </row>
    <row r="191" spans="1:5" ht="26.25" x14ac:dyDescent="0.25">
      <c r="A191" s="2" t="s">
        <v>40</v>
      </c>
      <c r="B191" s="2" t="str">
        <f>"7858816070891"</f>
        <v>7858816070891</v>
      </c>
      <c r="C191" s="2" t="str">
        <f>"87027089"</f>
        <v>87027089</v>
      </c>
      <c r="D191" s="2" t="s">
        <v>94</v>
      </c>
      <c r="E191" s="4">
        <v>5990</v>
      </c>
    </row>
    <row r="192" spans="1:5" ht="26.25" x14ac:dyDescent="0.25">
      <c r="A192" s="2" t="s">
        <v>40</v>
      </c>
      <c r="B192" s="2" t="str">
        <f>"61020701"</f>
        <v>61020701</v>
      </c>
      <c r="C192" s="2" t="str">
        <f>"61020701"</f>
        <v>61020701</v>
      </c>
      <c r="D192" s="2" t="s">
        <v>94</v>
      </c>
      <c r="E192" s="4">
        <v>3990</v>
      </c>
    </row>
    <row r="193" spans="1:5" ht="26.25" x14ac:dyDescent="0.25">
      <c r="A193" s="2" t="s">
        <v>40</v>
      </c>
      <c r="B193" s="2" t="str">
        <f>"6956116718985"</f>
        <v>6956116718985</v>
      </c>
      <c r="C193" s="2" t="str">
        <f>"40020104"</f>
        <v>40020104</v>
      </c>
      <c r="D193" s="2" t="s">
        <v>95</v>
      </c>
      <c r="E193" s="4">
        <v>8990</v>
      </c>
    </row>
    <row r="194" spans="1:5" ht="26.25" x14ac:dyDescent="0.25">
      <c r="A194" s="2" t="s">
        <v>40</v>
      </c>
      <c r="B194" s="2" t="str">
        <f>"6971696236551"</f>
        <v>6971696236551</v>
      </c>
      <c r="C194" s="2" t="str">
        <f>"76020032"</f>
        <v>76020032</v>
      </c>
      <c r="D194" s="2" t="s">
        <v>96</v>
      </c>
      <c r="E194" s="4">
        <v>5500</v>
      </c>
    </row>
    <row r="195" spans="1:5" ht="26.25" x14ac:dyDescent="0.25">
      <c r="A195" s="2" t="s">
        <v>40</v>
      </c>
      <c r="B195" s="2" t="str">
        <f>"7858816057564"</f>
        <v>7858816057564</v>
      </c>
      <c r="C195" s="2" t="str">
        <f>"87025756"</f>
        <v>87025756</v>
      </c>
      <c r="D195" s="2" t="s">
        <v>97</v>
      </c>
      <c r="E195" s="4">
        <v>6990</v>
      </c>
    </row>
    <row r="196" spans="1:5" ht="26.25" x14ac:dyDescent="0.25">
      <c r="A196" s="2" t="s">
        <v>40</v>
      </c>
      <c r="B196" s="2" t="str">
        <f>"5626890051110"</f>
        <v>5626890051110</v>
      </c>
      <c r="C196" s="2" t="str">
        <f>"28025111"</f>
        <v>28025111</v>
      </c>
      <c r="D196" s="2" t="s">
        <v>98</v>
      </c>
      <c r="E196" s="4">
        <v>2990</v>
      </c>
    </row>
    <row r="197" spans="1:5" ht="26.25" x14ac:dyDescent="0.25">
      <c r="A197" s="2" t="s">
        <v>40</v>
      </c>
      <c r="B197" s="2" t="str">
        <f>"6970514902555"</f>
        <v>6970514902555</v>
      </c>
      <c r="C197" s="2" t="str">
        <f>"40020603"</f>
        <v>40020603</v>
      </c>
      <c r="D197" s="2" t="s">
        <v>99</v>
      </c>
      <c r="E197" s="4">
        <v>24990</v>
      </c>
    </row>
    <row r="198" spans="1:5" ht="26.25" x14ac:dyDescent="0.25">
      <c r="A198" s="2" t="s">
        <v>40</v>
      </c>
      <c r="B198" s="2" t="str">
        <f>"6973646419144"</f>
        <v>6973646419144</v>
      </c>
      <c r="C198" s="2" t="str">
        <f>"18020001"</f>
        <v>18020001</v>
      </c>
      <c r="D198" s="2" t="s">
        <v>100</v>
      </c>
      <c r="E198" s="4">
        <v>1500</v>
      </c>
    </row>
    <row r="199" spans="1:5" ht="26.25" x14ac:dyDescent="0.25">
      <c r="A199" s="2" t="s">
        <v>30</v>
      </c>
      <c r="B199" s="2" t="str">
        <f>"10014474"</f>
        <v>10014474</v>
      </c>
      <c r="C199" s="2" t="str">
        <f>"10014474"</f>
        <v>10014474</v>
      </c>
      <c r="D199" s="2" t="s">
        <v>101</v>
      </c>
      <c r="E199" s="4">
        <v>3000</v>
      </c>
    </row>
    <row r="200" spans="1:5" ht="26.25" x14ac:dyDescent="0.25">
      <c r="A200" s="2" t="s">
        <v>30</v>
      </c>
      <c r="B200" s="2" t="str">
        <f>"29USBHD350"</f>
        <v>29USBHD350</v>
      </c>
      <c r="C200" s="2" t="str">
        <f>"10119624"</f>
        <v>10119624</v>
      </c>
      <c r="D200" s="2" t="s">
        <v>102</v>
      </c>
      <c r="E200" s="4">
        <v>6000</v>
      </c>
    </row>
    <row r="201" spans="1:5" ht="26.25" x14ac:dyDescent="0.25">
      <c r="A201" s="2" t="s">
        <v>30</v>
      </c>
      <c r="B201" s="2" t="str">
        <f>"039COM9144"</f>
        <v>039COM9144</v>
      </c>
      <c r="C201" s="2" t="str">
        <f>"98029144"</f>
        <v>98029144</v>
      </c>
      <c r="D201" s="2" t="s">
        <v>103</v>
      </c>
      <c r="E201" s="4">
        <v>12990</v>
      </c>
    </row>
    <row r="202" spans="1:5" ht="26.25" x14ac:dyDescent="0.25">
      <c r="A202" s="2" t="s">
        <v>30</v>
      </c>
      <c r="B202" s="2" t="str">
        <f>"9288"</f>
        <v>9288</v>
      </c>
      <c r="C202" s="2" t="str">
        <f>"98027812"</f>
        <v>98027812</v>
      </c>
      <c r="D202" s="2" t="s">
        <v>104</v>
      </c>
      <c r="E202" s="4">
        <v>7990</v>
      </c>
    </row>
    <row r="203" spans="1:5" ht="26.25" x14ac:dyDescent="0.25">
      <c r="A203" s="2" t="s">
        <v>40</v>
      </c>
      <c r="B203" s="2" t="str">
        <f>"34020514"</f>
        <v>34020514</v>
      </c>
      <c r="C203" s="2" t="str">
        <f>"34020514"</f>
        <v>34020514</v>
      </c>
      <c r="D203" s="2" t="s">
        <v>105</v>
      </c>
      <c r="E203" s="4">
        <v>3500</v>
      </c>
    </row>
    <row r="204" spans="1:5" ht="26.25" x14ac:dyDescent="0.25">
      <c r="A204" s="2" t="s">
        <v>40</v>
      </c>
      <c r="B204" s="2" t="str">
        <f>"61020514"</f>
        <v>61020514</v>
      </c>
      <c r="C204" s="2" t="str">
        <f>"61020514"</f>
        <v>61020514</v>
      </c>
      <c r="D204" s="2" t="s">
        <v>105</v>
      </c>
      <c r="E204" s="4">
        <v>3000</v>
      </c>
    </row>
    <row r="205" spans="1:5" ht="26.25" x14ac:dyDescent="0.25">
      <c r="A205" s="2" t="s">
        <v>40</v>
      </c>
      <c r="B205" s="2" t="str">
        <f>"39020001"</f>
        <v>39020001</v>
      </c>
      <c r="C205" s="2" t="str">
        <f>"39020001"</f>
        <v>39020001</v>
      </c>
      <c r="D205" s="2" t="s">
        <v>105</v>
      </c>
      <c r="E205" s="4">
        <v>2500</v>
      </c>
    </row>
    <row r="206" spans="1:5" ht="26.25" x14ac:dyDescent="0.25">
      <c r="A206" s="2" t="s">
        <v>40</v>
      </c>
      <c r="B206" s="2" t="str">
        <f>"6983646411932"</f>
        <v>6983646411932</v>
      </c>
      <c r="C206" s="2" t="str">
        <f>"10021483"</f>
        <v>10021483</v>
      </c>
      <c r="D206" s="2" t="s">
        <v>106</v>
      </c>
      <c r="E206" s="4">
        <v>1500</v>
      </c>
    </row>
    <row r="207" spans="1:5" ht="26.25" x14ac:dyDescent="0.25">
      <c r="A207" s="2" t="s">
        <v>40</v>
      </c>
      <c r="B207" s="2" t="str">
        <f>"7858816043949"</f>
        <v>7858816043949</v>
      </c>
      <c r="C207" s="2" t="str">
        <f>"87024394"</f>
        <v>87024394</v>
      </c>
      <c r="D207" s="2" t="s">
        <v>107</v>
      </c>
      <c r="E207" s="4">
        <v>2000</v>
      </c>
    </row>
    <row r="208" spans="1:5" ht="26.25" x14ac:dyDescent="0.25">
      <c r="A208" s="2" t="s">
        <v>40</v>
      </c>
      <c r="B208" s="2" t="str">
        <f>"6905631106197"</f>
        <v>6905631106197</v>
      </c>
      <c r="C208" s="2" t="str">
        <f>"40020167"</f>
        <v>40020167</v>
      </c>
      <c r="D208" s="2" t="s">
        <v>108</v>
      </c>
      <c r="E208" s="4">
        <v>3000</v>
      </c>
    </row>
    <row r="209" spans="1:5" ht="26.25" x14ac:dyDescent="0.25">
      <c r="A209" s="2" t="s">
        <v>40</v>
      </c>
      <c r="B209" s="2" t="str">
        <f>"6983646411963"</f>
        <v>6983646411963</v>
      </c>
      <c r="C209" s="2" t="str">
        <f>"10020180"</f>
        <v>10020180</v>
      </c>
      <c r="D209" s="2" t="s">
        <v>109</v>
      </c>
      <c r="E209" s="4">
        <v>1600</v>
      </c>
    </row>
    <row r="210" spans="1:5" ht="26.25" x14ac:dyDescent="0.25">
      <c r="A210" s="2" t="s">
        <v>40</v>
      </c>
      <c r="B210" s="2" t="str">
        <f>"7858816043970"</f>
        <v>7858816043970</v>
      </c>
      <c r="C210" s="2" t="str">
        <f>"87084397"</f>
        <v>87084397</v>
      </c>
      <c r="D210" s="2" t="s">
        <v>110</v>
      </c>
      <c r="E210" s="4">
        <v>1500</v>
      </c>
    </row>
    <row r="211" spans="1:5" ht="26.25" x14ac:dyDescent="0.25">
      <c r="A211" s="2" t="s">
        <v>40</v>
      </c>
      <c r="B211" s="2" t="str">
        <f>"7858816057878"</f>
        <v>7858816057878</v>
      </c>
      <c r="C211" s="2" t="str">
        <f>"87025787"</f>
        <v>87025787</v>
      </c>
      <c r="D211" s="2" t="s">
        <v>111</v>
      </c>
      <c r="E211" s="4">
        <v>2500</v>
      </c>
    </row>
    <row r="212" spans="1:5" ht="26.25" x14ac:dyDescent="0.25">
      <c r="A212" s="2" t="s">
        <v>40</v>
      </c>
      <c r="B212" s="2" t="str">
        <f>"7858816060496"</f>
        <v>7858816060496</v>
      </c>
      <c r="C212" s="2" t="str">
        <f>"87026049"</f>
        <v>87026049</v>
      </c>
      <c r="D212" s="2" t="s">
        <v>112</v>
      </c>
      <c r="E212" s="4">
        <v>1500</v>
      </c>
    </row>
    <row r="213" spans="1:5" ht="26.25" x14ac:dyDescent="0.25">
      <c r="A213" s="2" t="s">
        <v>40</v>
      </c>
      <c r="B213" s="2" t="str">
        <f>"6905631106180"</f>
        <v>6905631106180</v>
      </c>
      <c r="C213" s="2" t="str">
        <f>"40020168"</f>
        <v>40020168</v>
      </c>
      <c r="D213" s="2" t="s">
        <v>113</v>
      </c>
      <c r="E213" s="4">
        <v>2500</v>
      </c>
    </row>
    <row r="214" spans="1:5" ht="26.25" x14ac:dyDescent="0.25">
      <c r="A214" s="2" t="s">
        <v>40</v>
      </c>
      <c r="B214" s="2" t="str">
        <f>"7858816053917"</f>
        <v>7858816053917</v>
      </c>
      <c r="C214" s="2" t="str">
        <f>"87025391"</f>
        <v>87025391</v>
      </c>
      <c r="D214" s="2" t="s">
        <v>114</v>
      </c>
      <c r="E214" s="4">
        <v>5500</v>
      </c>
    </row>
    <row r="215" spans="1:5" ht="26.25" x14ac:dyDescent="0.25">
      <c r="A215" s="2" t="s">
        <v>30</v>
      </c>
      <c r="B215" s="2" t="str">
        <f>"6954851217411"</f>
        <v>6954851217411</v>
      </c>
      <c r="C215" s="2" t="str">
        <f>"100207253"</f>
        <v>100207253</v>
      </c>
      <c r="D215" s="2" t="s">
        <v>115</v>
      </c>
      <c r="E215" s="4">
        <v>4000</v>
      </c>
    </row>
    <row r="216" spans="1:5" ht="26.25" x14ac:dyDescent="0.25">
      <c r="A216" s="2" t="s">
        <v>30</v>
      </c>
      <c r="B216" s="2" t="str">
        <f>"10118847"</f>
        <v>10118847</v>
      </c>
      <c r="C216" s="2" t="str">
        <f>"10118847"</f>
        <v>10118847</v>
      </c>
      <c r="D216" s="2" t="s">
        <v>116</v>
      </c>
      <c r="E216" s="4">
        <v>3000</v>
      </c>
    </row>
    <row r="217" spans="1:5" ht="26.25" x14ac:dyDescent="0.25">
      <c r="A217" s="2" t="s">
        <v>30</v>
      </c>
      <c r="B217" s="2" t="str">
        <f>"7858816056482"</f>
        <v>7858816056482</v>
      </c>
      <c r="C217" s="2" t="str">
        <f>"87025648"</f>
        <v>87025648</v>
      </c>
      <c r="D217" s="2" t="s">
        <v>117</v>
      </c>
      <c r="E217" s="4">
        <v>1500</v>
      </c>
    </row>
    <row r="218" spans="1:5" ht="26.25" x14ac:dyDescent="0.25">
      <c r="A218" s="2" t="s">
        <v>30</v>
      </c>
      <c r="B218" s="2" t="str">
        <f>"7858816048166"</f>
        <v>7858816048166</v>
      </c>
      <c r="C218" s="2" t="str">
        <f>"87024816"</f>
        <v>87024816</v>
      </c>
      <c r="D218" s="2" t="s">
        <v>118</v>
      </c>
      <c r="E218" s="4">
        <v>3000</v>
      </c>
    </row>
    <row r="219" spans="1:5" ht="26.25" x14ac:dyDescent="0.25">
      <c r="A219" s="2" t="s">
        <v>40</v>
      </c>
      <c r="B219" s="2" t="str">
        <f>"7858816057861"</f>
        <v>7858816057861</v>
      </c>
      <c r="C219" s="2" t="str">
        <f>"87025786"</f>
        <v>87025786</v>
      </c>
      <c r="D219" s="2" t="s">
        <v>119</v>
      </c>
      <c r="E219" s="4">
        <v>5000</v>
      </c>
    </row>
    <row r="220" spans="1:5" ht="26.25" x14ac:dyDescent="0.25">
      <c r="A220" s="2" t="s">
        <v>30</v>
      </c>
      <c r="B220" s="2" t="str">
        <f>"87020097"</f>
        <v>87020097</v>
      </c>
      <c r="C220" s="2" t="str">
        <f>"87020097"</f>
        <v>87020097</v>
      </c>
      <c r="D220" s="2" t="s">
        <v>120</v>
      </c>
      <c r="E220" s="4">
        <v>2990</v>
      </c>
    </row>
    <row r="221" spans="1:5" ht="26.25" x14ac:dyDescent="0.25">
      <c r="A221" s="2" t="s">
        <v>30</v>
      </c>
      <c r="B221" s="2" t="str">
        <f>"7809601100026"</f>
        <v>7809601100026</v>
      </c>
      <c r="C221" s="2" t="str">
        <f>"98021111"</f>
        <v>98021111</v>
      </c>
      <c r="D221" s="2" t="s">
        <v>120</v>
      </c>
      <c r="E221" s="4">
        <v>1500</v>
      </c>
    </row>
    <row r="222" spans="1:5" ht="26.25" x14ac:dyDescent="0.25">
      <c r="A222" s="2" t="s">
        <v>30</v>
      </c>
      <c r="B222" s="2" t="str">
        <f>"10000006"</f>
        <v>10000006</v>
      </c>
      <c r="C222" s="2" t="str">
        <f>"10000006"</f>
        <v>10000006</v>
      </c>
      <c r="D222" s="2" t="s">
        <v>121</v>
      </c>
      <c r="E222" s="4">
        <v>1000</v>
      </c>
    </row>
    <row r="223" spans="1:5" ht="26.25" x14ac:dyDescent="0.25">
      <c r="A223" s="2" t="s">
        <v>30</v>
      </c>
      <c r="B223" s="2" t="str">
        <f>"7858816052644"</f>
        <v>7858816052644</v>
      </c>
      <c r="C223" s="2" t="str">
        <f>"87025264"</f>
        <v>87025264</v>
      </c>
      <c r="D223" s="2" t="s">
        <v>122</v>
      </c>
      <c r="E223" s="4">
        <v>2990</v>
      </c>
    </row>
    <row r="224" spans="1:5" ht="26.25" x14ac:dyDescent="0.25">
      <c r="A224" s="2" t="s">
        <v>40</v>
      </c>
      <c r="B224" s="2" t="str">
        <f>"34020701"</f>
        <v>34020701</v>
      </c>
      <c r="C224" s="2" t="str">
        <f>"34020701"</f>
        <v>34020701</v>
      </c>
      <c r="D224" s="2" t="s">
        <v>123</v>
      </c>
      <c r="E224" s="4">
        <v>6500</v>
      </c>
    </row>
    <row r="225" spans="1:5" ht="26.25" x14ac:dyDescent="0.25">
      <c r="A225" s="2" t="s">
        <v>30</v>
      </c>
      <c r="B225" s="2" t="str">
        <f>"32P0000205"</f>
        <v>32P0000205</v>
      </c>
      <c r="C225" s="2" t="str">
        <f>"32P0000205"</f>
        <v>32P0000205</v>
      </c>
      <c r="D225" s="2" t="s">
        <v>124</v>
      </c>
      <c r="E225" s="4">
        <v>1000</v>
      </c>
    </row>
    <row r="226" spans="1:5" ht="26.25" x14ac:dyDescent="0.25">
      <c r="A226" s="2" t="s">
        <v>30</v>
      </c>
      <c r="B226" s="2" t="str">
        <f>"10000004"</f>
        <v>10000004</v>
      </c>
      <c r="C226" s="2" t="str">
        <f>"10000004"</f>
        <v>10000004</v>
      </c>
      <c r="D226" s="2" t="s">
        <v>125</v>
      </c>
      <c r="E226" s="4">
        <v>1000</v>
      </c>
    </row>
    <row r="227" spans="1:5" ht="26.25" x14ac:dyDescent="0.25">
      <c r="A227" s="2" t="s">
        <v>40</v>
      </c>
      <c r="B227" s="2" t="str">
        <f>"4521831234663"</f>
        <v>4521831234663</v>
      </c>
      <c r="C227" s="2" t="str">
        <f>"10003261"</f>
        <v>10003261</v>
      </c>
      <c r="D227" s="2" t="s">
        <v>126</v>
      </c>
      <c r="E227" s="4">
        <v>4000</v>
      </c>
    </row>
    <row r="228" spans="1:5" ht="26.25" x14ac:dyDescent="0.25">
      <c r="A228" s="2" t="s">
        <v>40</v>
      </c>
      <c r="B228" s="2" t="str">
        <f>"4567201505278"</f>
        <v>4567201505278</v>
      </c>
      <c r="C228" s="2" t="str">
        <f>"10003436"</f>
        <v>10003436</v>
      </c>
      <c r="D228" s="2" t="s">
        <v>127</v>
      </c>
      <c r="E228" s="4">
        <v>3790</v>
      </c>
    </row>
    <row r="229" spans="1:5" ht="26.25" x14ac:dyDescent="0.25">
      <c r="A229" s="2" t="s">
        <v>30</v>
      </c>
      <c r="B229" s="2" t="str">
        <f>"6686996111803"</f>
        <v>6686996111803</v>
      </c>
      <c r="C229" s="2" t="str">
        <f>"40026018"</f>
        <v>40026018</v>
      </c>
      <c r="D229" s="2" t="s">
        <v>128</v>
      </c>
      <c r="E229" s="4">
        <v>15990</v>
      </c>
    </row>
    <row r="230" spans="1:5" ht="26.25" x14ac:dyDescent="0.25">
      <c r="A230" s="2" t="s">
        <v>21</v>
      </c>
      <c r="B230" s="2" t="str">
        <f>"34125200"</f>
        <v>34125200</v>
      </c>
      <c r="C230" s="2" t="str">
        <f>"34125200"</f>
        <v>34125200</v>
      </c>
      <c r="D230" s="2" t="s">
        <v>129</v>
      </c>
      <c r="E230" s="4">
        <v>5000</v>
      </c>
    </row>
    <row r="231" spans="1:5" ht="26.25" x14ac:dyDescent="0.25">
      <c r="A231" s="2" t="s">
        <v>30</v>
      </c>
      <c r="B231" s="2" t="str">
        <f>"6545446546452"</f>
        <v>6545446546452</v>
      </c>
      <c r="C231" s="2" t="str">
        <f>"34020009"</f>
        <v>34020009</v>
      </c>
      <c r="D231" s="2" t="s">
        <v>130</v>
      </c>
      <c r="E231" s="4">
        <v>6500</v>
      </c>
    </row>
    <row r="232" spans="1:5" ht="26.25" x14ac:dyDescent="0.25">
      <c r="A232" s="2" t="s">
        <v>40</v>
      </c>
      <c r="B232" s="2" t="str">
        <f>"7858816058622"</f>
        <v>7858816058622</v>
      </c>
      <c r="C232" s="2" t="str">
        <f>"87025862"</f>
        <v>87025862</v>
      </c>
      <c r="D232" s="2" t="s">
        <v>131</v>
      </c>
      <c r="E232" s="4">
        <v>3000</v>
      </c>
    </row>
    <row r="233" spans="1:5" ht="26.25" x14ac:dyDescent="0.25">
      <c r="A233" s="2" t="s">
        <v>40</v>
      </c>
      <c r="B233" s="2" t="str">
        <f>"7858816085154"</f>
        <v>7858816085154</v>
      </c>
      <c r="C233" s="2" t="str">
        <f>"87028515"</f>
        <v>87028515</v>
      </c>
      <c r="D233" s="2" t="s">
        <v>132</v>
      </c>
      <c r="E233" s="4">
        <v>3000</v>
      </c>
    </row>
    <row r="234" spans="1:5" ht="26.25" x14ac:dyDescent="0.25">
      <c r="A234" s="2" t="s">
        <v>40</v>
      </c>
      <c r="B234" s="2" t="str">
        <f>"6971696236568"</f>
        <v>6971696236568</v>
      </c>
      <c r="C234" s="2" t="str">
        <f>"76020020"</f>
        <v>76020020</v>
      </c>
      <c r="D234" s="2" t="s">
        <v>133</v>
      </c>
      <c r="E234" s="4">
        <v>6500</v>
      </c>
    </row>
    <row r="235" spans="1:5" ht="26.25" x14ac:dyDescent="0.25">
      <c r="A235" s="2" t="s">
        <v>40</v>
      </c>
      <c r="B235" s="2" t="str">
        <f>"7858816082450"</f>
        <v>7858816082450</v>
      </c>
      <c r="C235" s="2" t="str">
        <f>"87028245"</f>
        <v>87028245</v>
      </c>
      <c r="D235" s="2" t="s">
        <v>134</v>
      </c>
      <c r="E235" s="4">
        <v>4500</v>
      </c>
    </row>
    <row r="236" spans="1:5" ht="26.25" x14ac:dyDescent="0.25">
      <c r="A236" s="2" t="s">
        <v>40</v>
      </c>
      <c r="B236" s="2" t="str">
        <f>"6993124566863"</f>
        <v>6993124566863</v>
      </c>
      <c r="C236" s="2" t="str">
        <f>"61020210"</f>
        <v>61020210</v>
      </c>
      <c r="D236" s="2" t="s">
        <v>135</v>
      </c>
      <c r="E236" s="4">
        <v>5500</v>
      </c>
    </row>
    <row r="237" spans="1:5" ht="26.25" x14ac:dyDescent="0.25">
      <c r="A237" s="2" t="s">
        <v>30</v>
      </c>
      <c r="B237" s="2" t="str">
        <f>"100200321"</f>
        <v>100200321</v>
      </c>
      <c r="C237" s="2" t="str">
        <f>"100200321"</f>
        <v>100200321</v>
      </c>
      <c r="D237" s="2" t="s">
        <v>136</v>
      </c>
      <c r="E237" s="4">
        <v>5000</v>
      </c>
    </row>
    <row r="238" spans="1:5" ht="26.25" x14ac:dyDescent="0.25">
      <c r="A238" s="2" t="s">
        <v>30</v>
      </c>
      <c r="B238" s="2" t="str">
        <f>"5620000933549"</f>
        <v>5620000933549</v>
      </c>
      <c r="C238" s="2" t="str">
        <f>"280293354"</f>
        <v>280293354</v>
      </c>
      <c r="D238" s="2" t="s">
        <v>137</v>
      </c>
      <c r="E238" s="4">
        <v>17850</v>
      </c>
    </row>
    <row r="239" spans="1:5" ht="26.25" x14ac:dyDescent="0.25">
      <c r="A239" s="2" t="s">
        <v>49</v>
      </c>
      <c r="B239" s="2" t="str">
        <f>"6935364050412"</f>
        <v>6935364050412</v>
      </c>
      <c r="C239" s="2" t="str">
        <f>"92930727"</f>
        <v>92930727</v>
      </c>
      <c r="D239" s="2" t="s">
        <v>138</v>
      </c>
      <c r="E239" s="4">
        <v>14990</v>
      </c>
    </row>
    <row r="240" spans="1:5" ht="26.25" x14ac:dyDescent="0.25">
      <c r="A240" s="2" t="s">
        <v>49</v>
      </c>
      <c r="B240" s="2" t="str">
        <f>"6935364050368"</f>
        <v>6935364050368</v>
      </c>
      <c r="C240" s="2" t="str">
        <f>"92930821"</f>
        <v>92930821</v>
      </c>
      <c r="D240" s="2" t="s">
        <v>139</v>
      </c>
      <c r="E240" s="4">
        <v>15990</v>
      </c>
    </row>
    <row r="241" spans="1:5" ht="26.25" x14ac:dyDescent="0.25">
      <c r="A241" s="2" t="s">
        <v>9</v>
      </c>
      <c r="B241" s="2" t="str">
        <f>"2020050060760"</f>
        <v>2020050060760</v>
      </c>
      <c r="C241" s="2" t="str">
        <f>"18526076"</f>
        <v>18526076</v>
      </c>
      <c r="D241" s="2" t="s">
        <v>140</v>
      </c>
      <c r="E241" s="4">
        <v>28990</v>
      </c>
    </row>
    <row r="242" spans="1:5" ht="26.25" x14ac:dyDescent="0.25">
      <c r="A242" s="2" t="s">
        <v>30</v>
      </c>
      <c r="B242" s="2" t="str">
        <f>"6686996119250"</f>
        <v>6686996119250</v>
      </c>
      <c r="C242" s="2" t="str">
        <f>"40029250"</f>
        <v>40029250</v>
      </c>
      <c r="D242" s="2" t="s">
        <v>141</v>
      </c>
      <c r="E242" s="4">
        <v>12990</v>
      </c>
    </row>
    <row r="243" spans="1:5" ht="26.25" x14ac:dyDescent="0.25">
      <c r="A243" s="2" t="s">
        <v>30</v>
      </c>
      <c r="B243" s="2" t="str">
        <f>"9295002254"</f>
        <v>9295002254</v>
      </c>
      <c r="C243" s="2" t="str">
        <f>"98029295"</f>
        <v>98029295</v>
      </c>
      <c r="D243" s="2" t="s">
        <v>142</v>
      </c>
      <c r="E243" s="4">
        <v>17990</v>
      </c>
    </row>
    <row r="244" spans="1:5" ht="26.25" x14ac:dyDescent="0.25">
      <c r="A244" s="2" t="s">
        <v>30</v>
      </c>
      <c r="B244" s="2" t="str">
        <f>"7298229081181"</f>
        <v>7298229081181</v>
      </c>
      <c r="C244" s="2" t="str">
        <f>"29VGA08118"</f>
        <v>29VGA08118</v>
      </c>
      <c r="D244" s="2" t="s">
        <v>143</v>
      </c>
      <c r="E244" s="4">
        <v>15990</v>
      </c>
    </row>
    <row r="245" spans="1:5" ht="26.25" x14ac:dyDescent="0.25">
      <c r="A245" s="2" t="s">
        <v>30</v>
      </c>
      <c r="B245" s="2" t="str">
        <f>"5626890040893"</f>
        <v>5626890040893</v>
      </c>
      <c r="C245" s="2" t="str">
        <f>"280291013"</f>
        <v>280291013</v>
      </c>
      <c r="D245" s="2" t="s">
        <v>144</v>
      </c>
      <c r="E245" s="4">
        <v>2500</v>
      </c>
    </row>
    <row r="246" spans="1:5" ht="26.25" x14ac:dyDescent="0.25">
      <c r="A246" s="2" t="s">
        <v>30</v>
      </c>
      <c r="B246" s="2" t="str">
        <f>"798324162749"</f>
        <v>798324162749</v>
      </c>
      <c r="C246" s="2" t="str">
        <f>"92020362"</f>
        <v>92020362</v>
      </c>
      <c r="D246" s="2" t="s">
        <v>145</v>
      </c>
      <c r="E246" s="4">
        <v>3500</v>
      </c>
    </row>
    <row r="247" spans="1:5" ht="26.25" x14ac:dyDescent="0.25">
      <c r="A247" s="2" t="s">
        <v>30</v>
      </c>
      <c r="B247" s="2" t="str">
        <f>"798323162733"</f>
        <v>798323162733</v>
      </c>
      <c r="C247" s="2" t="str">
        <f>"92520361"</f>
        <v>92520361</v>
      </c>
      <c r="D247" s="2" t="s">
        <v>146</v>
      </c>
      <c r="E247" s="4">
        <v>14990</v>
      </c>
    </row>
    <row r="248" spans="1:5" ht="26.25" x14ac:dyDescent="0.25">
      <c r="A248" s="2" t="s">
        <v>147</v>
      </c>
      <c r="B248" s="2" t="str">
        <f>"7804947005202"</f>
        <v>7804947005202</v>
      </c>
      <c r="C248" s="2" t="str">
        <f>"47883543"</f>
        <v>47883543</v>
      </c>
      <c r="D248" s="2" t="s">
        <v>148</v>
      </c>
      <c r="E248" s="4">
        <v>2990</v>
      </c>
    </row>
    <row r="249" spans="1:5" ht="26.25" x14ac:dyDescent="0.25">
      <c r="A249" s="2" t="s">
        <v>20</v>
      </c>
      <c r="B249" s="2" t="str">
        <f>"9836172345011"</f>
        <v>9836172345011</v>
      </c>
      <c r="C249" s="2" t="str">
        <f>"19PLC0415B"</f>
        <v>19PLC0415B</v>
      </c>
      <c r="D249" s="2" t="s">
        <v>149</v>
      </c>
      <c r="E249" s="4">
        <v>4990</v>
      </c>
    </row>
    <row r="250" spans="1:5" ht="26.25" x14ac:dyDescent="0.25">
      <c r="A250" s="2" t="s">
        <v>21</v>
      </c>
      <c r="B250" s="2" t="str">
        <f>"10000861"</f>
        <v>10000861</v>
      </c>
      <c r="C250" s="2" t="str">
        <f>"10000861"</f>
        <v>10000861</v>
      </c>
      <c r="D250" s="2" t="s">
        <v>150</v>
      </c>
      <c r="E250" s="4">
        <v>6000</v>
      </c>
    </row>
    <row r="251" spans="1:5" ht="26.25" x14ac:dyDescent="0.25">
      <c r="A251" s="2" t="s">
        <v>20</v>
      </c>
      <c r="B251" s="2" t="str">
        <f>"716829982884"</f>
        <v>716829982884</v>
      </c>
      <c r="C251" s="2" t="str">
        <f>"10001998"</f>
        <v>10001998</v>
      </c>
      <c r="D251" s="2" t="s">
        <v>151</v>
      </c>
      <c r="E251" s="4">
        <v>10990</v>
      </c>
    </row>
    <row r="252" spans="1:5" ht="26.25" x14ac:dyDescent="0.25">
      <c r="A252" s="2" t="s">
        <v>20</v>
      </c>
      <c r="B252" s="2" t="str">
        <f>"9887312134095"</f>
        <v>9887312134095</v>
      </c>
      <c r="C252" s="2" t="str">
        <f>"98080450"</f>
        <v>98080450</v>
      </c>
      <c r="D252" s="2" t="s">
        <v>152</v>
      </c>
      <c r="E252" s="4">
        <v>7990</v>
      </c>
    </row>
    <row r="253" spans="1:5" ht="26.25" x14ac:dyDescent="0.25">
      <c r="A253" s="2" t="s">
        <v>21</v>
      </c>
      <c r="B253" s="2" t="str">
        <f>"6925871667135"</f>
        <v>6925871667135</v>
      </c>
      <c r="C253" s="2" t="str">
        <f>"22526713"</f>
        <v>22526713</v>
      </c>
      <c r="D253" s="2" t="s">
        <v>153</v>
      </c>
      <c r="E253" s="4">
        <v>8990</v>
      </c>
    </row>
    <row r="254" spans="1:5" ht="26.25" x14ac:dyDescent="0.25">
      <c r="A254" s="2" t="s">
        <v>154</v>
      </c>
      <c r="B254" s="2" t="str">
        <f>"25000900"</f>
        <v>25000900</v>
      </c>
      <c r="C254" s="2" t="str">
        <f>"25000900"</f>
        <v>25000900</v>
      </c>
      <c r="D254" s="2" t="s">
        <v>155</v>
      </c>
      <c r="E254" s="4">
        <v>15490</v>
      </c>
    </row>
    <row r="255" spans="1:5" ht="26.25" x14ac:dyDescent="0.25">
      <c r="A255" s="2" t="s">
        <v>147</v>
      </c>
      <c r="B255" s="2" t="str">
        <f>"760412331993"</f>
        <v>760412331993</v>
      </c>
      <c r="C255" s="2" t="str">
        <f>"47522516"</f>
        <v>47522516</v>
      </c>
      <c r="D255" s="2" t="s">
        <v>156</v>
      </c>
      <c r="E255" s="4">
        <v>2990</v>
      </c>
    </row>
    <row r="256" spans="1:5" ht="26.25" x14ac:dyDescent="0.25">
      <c r="A256" s="2" t="s">
        <v>147</v>
      </c>
      <c r="B256" s="2" t="str">
        <f>"47881000"</f>
        <v>47881000</v>
      </c>
      <c r="C256" s="2" t="str">
        <f>"47881000"</f>
        <v>47881000</v>
      </c>
      <c r="D256" s="2" t="s">
        <v>157</v>
      </c>
      <c r="E256" s="4">
        <v>4500</v>
      </c>
    </row>
    <row r="257" spans="1:5" ht="26.25" x14ac:dyDescent="0.25">
      <c r="A257" s="2" t="s">
        <v>147</v>
      </c>
      <c r="B257" s="2" t="str">
        <f>"47881234"</f>
        <v>47881234</v>
      </c>
      <c r="C257" s="2" t="str">
        <f>"47881234"</f>
        <v>47881234</v>
      </c>
      <c r="D257" s="2" t="s">
        <v>158</v>
      </c>
      <c r="E257" s="4">
        <v>12500</v>
      </c>
    </row>
    <row r="258" spans="1:5" ht="26.25" x14ac:dyDescent="0.25">
      <c r="A258" s="2" t="s">
        <v>147</v>
      </c>
      <c r="B258" s="2" t="str">
        <f>"7805040004840"</f>
        <v>7805040004840</v>
      </c>
      <c r="C258" s="2" t="str">
        <f>"47884000"</f>
        <v>47884000</v>
      </c>
      <c r="D258" s="2" t="s">
        <v>159</v>
      </c>
      <c r="E258" s="4">
        <v>3500</v>
      </c>
    </row>
    <row r="259" spans="1:5" ht="26.25" x14ac:dyDescent="0.25">
      <c r="A259" s="2" t="s">
        <v>21</v>
      </c>
      <c r="B259" s="2" t="str">
        <f>"7858816079702"</f>
        <v>7858816079702</v>
      </c>
      <c r="C259" s="2" t="str">
        <f>"87527970"</f>
        <v>87527970</v>
      </c>
      <c r="D259" s="2" t="s">
        <v>160</v>
      </c>
      <c r="E259" s="4">
        <v>17990</v>
      </c>
    </row>
    <row r="260" spans="1:5" ht="26.25" x14ac:dyDescent="0.25">
      <c r="A260" s="2" t="s">
        <v>21</v>
      </c>
      <c r="B260" s="2" t="str">
        <f>"7858816079009"</f>
        <v>7858816079009</v>
      </c>
      <c r="C260" s="2" t="str">
        <f>"87527900"</f>
        <v>87527900</v>
      </c>
      <c r="D260" s="2" t="s">
        <v>161</v>
      </c>
      <c r="E260" s="4">
        <v>5990</v>
      </c>
    </row>
    <row r="261" spans="1:5" ht="26.25" x14ac:dyDescent="0.25">
      <c r="A261" s="2" t="s">
        <v>21</v>
      </c>
      <c r="B261" s="2" t="str">
        <f>"6925871602259"</f>
        <v>6925871602259</v>
      </c>
      <c r="C261" s="2" t="str">
        <f>"22520225"</f>
        <v>22520225</v>
      </c>
      <c r="D261" s="2" t="s">
        <v>162</v>
      </c>
      <c r="E261" s="4">
        <v>4990</v>
      </c>
    </row>
    <row r="262" spans="1:5" ht="26.25" x14ac:dyDescent="0.25">
      <c r="A262" s="2" t="s">
        <v>21</v>
      </c>
      <c r="B262" s="2" t="str">
        <f>"22520112"</f>
        <v>22520112</v>
      </c>
      <c r="C262" s="2" t="str">
        <f>"22520112"</f>
        <v>22520112</v>
      </c>
      <c r="D262" s="2" t="s">
        <v>163</v>
      </c>
      <c r="E262" s="4">
        <v>4000</v>
      </c>
    </row>
    <row r="263" spans="1:5" ht="26.25" x14ac:dyDescent="0.25">
      <c r="A263" s="2" t="s">
        <v>21</v>
      </c>
      <c r="B263" s="2" t="str">
        <f>"22520113"</f>
        <v>22520113</v>
      </c>
      <c r="C263" s="2" t="str">
        <f>"22520113"</f>
        <v>22520113</v>
      </c>
      <c r="D263" s="2" t="s">
        <v>164</v>
      </c>
      <c r="E263" s="4">
        <v>5000</v>
      </c>
    </row>
    <row r="264" spans="1:5" ht="26.25" x14ac:dyDescent="0.25">
      <c r="A264" s="2" t="s">
        <v>21</v>
      </c>
      <c r="B264" s="2" t="str">
        <f>"22520114"</f>
        <v>22520114</v>
      </c>
      <c r="C264" s="2" t="str">
        <f>"22520114"</f>
        <v>22520114</v>
      </c>
      <c r="D264" s="2" t="s">
        <v>165</v>
      </c>
      <c r="E264" s="4">
        <v>7500</v>
      </c>
    </row>
    <row r="265" spans="1:5" ht="26.25" x14ac:dyDescent="0.25">
      <c r="A265" s="2" t="s">
        <v>21</v>
      </c>
      <c r="B265" s="2" t="str">
        <f>"2018073551006"</f>
        <v>2018073551006</v>
      </c>
      <c r="C265" s="2" t="str">
        <f>"18520001"</f>
        <v>18520001</v>
      </c>
      <c r="D265" s="2" t="s">
        <v>166</v>
      </c>
      <c r="E265" s="4">
        <v>39990</v>
      </c>
    </row>
    <row r="266" spans="1:5" ht="26.25" x14ac:dyDescent="0.25">
      <c r="A266" s="2" t="s">
        <v>21</v>
      </c>
      <c r="B266" s="2" t="str">
        <f>"10520370"</f>
        <v>10520370</v>
      </c>
      <c r="C266" s="2" t="str">
        <f>"10520370"</f>
        <v>10520370</v>
      </c>
      <c r="D266" s="2" t="s">
        <v>167</v>
      </c>
      <c r="E266" s="4">
        <v>3990</v>
      </c>
    </row>
    <row r="267" spans="1:5" ht="26.25" x14ac:dyDescent="0.25">
      <c r="A267" s="2" t="s">
        <v>21</v>
      </c>
      <c r="B267" s="2" t="str">
        <f>"10006829"</f>
        <v>10006829</v>
      </c>
      <c r="C267" s="2" t="str">
        <f>"10006829"</f>
        <v>10006829</v>
      </c>
      <c r="D267" s="2" t="s">
        <v>168</v>
      </c>
      <c r="E267" s="4">
        <v>4990</v>
      </c>
    </row>
    <row r="268" spans="1:5" ht="26.25" x14ac:dyDescent="0.25">
      <c r="A268" s="2" t="s">
        <v>21</v>
      </c>
      <c r="B268" s="2" t="str">
        <f>"7892017122508"</f>
        <v>7892017122508</v>
      </c>
      <c r="C268" s="2" t="str">
        <f>"40523011"</f>
        <v>40523011</v>
      </c>
      <c r="D268" s="2" t="s">
        <v>169</v>
      </c>
      <c r="E268" s="4">
        <v>11990</v>
      </c>
    </row>
    <row r="269" spans="1:5" ht="26.25" x14ac:dyDescent="0.25">
      <c r="A269" s="2" t="s">
        <v>21</v>
      </c>
      <c r="B269" s="2" t="str">
        <f>"6955454441555"</f>
        <v>6955454441555</v>
      </c>
      <c r="C269" s="2" t="str">
        <f>"40524155"</f>
        <v>40524155</v>
      </c>
      <c r="D269" s="2" t="s">
        <v>170</v>
      </c>
      <c r="E269" s="4">
        <v>6990</v>
      </c>
    </row>
    <row r="270" spans="1:5" ht="26.25" x14ac:dyDescent="0.25">
      <c r="A270" s="2" t="s">
        <v>21</v>
      </c>
      <c r="B270" s="2" t="str">
        <f>"030878248075"</f>
        <v>030878248075</v>
      </c>
      <c r="C270" s="2" t="str">
        <f>"985224807"</f>
        <v>985224807</v>
      </c>
      <c r="D270" s="2" t="s">
        <v>171</v>
      </c>
      <c r="E270" s="4">
        <v>7900</v>
      </c>
    </row>
    <row r="271" spans="1:5" ht="26.25" x14ac:dyDescent="0.25">
      <c r="A271" s="2" t="s">
        <v>21</v>
      </c>
      <c r="B271" s="2" t="str">
        <f>"7858816075377"</f>
        <v>7858816075377</v>
      </c>
      <c r="C271" s="2" t="str">
        <f>"87527537"</f>
        <v>87527537</v>
      </c>
      <c r="D271" s="2" t="s">
        <v>172</v>
      </c>
      <c r="E271" s="4">
        <v>7500</v>
      </c>
    </row>
    <row r="272" spans="1:5" ht="26.25" x14ac:dyDescent="0.25">
      <c r="A272" s="2" t="s">
        <v>21</v>
      </c>
      <c r="B272" s="2" t="str">
        <f>"49051487"</f>
        <v>49051487</v>
      </c>
      <c r="C272" s="2" t="str">
        <f>"49051487"</f>
        <v>49051487</v>
      </c>
      <c r="D272" s="2" t="s">
        <v>173</v>
      </c>
      <c r="E272" s="4">
        <v>12000</v>
      </c>
    </row>
    <row r="273" spans="1:5" ht="26.25" x14ac:dyDescent="0.25">
      <c r="A273" s="2" t="s">
        <v>21</v>
      </c>
      <c r="B273" s="2" t="str">
        <f>"18525793"</f>
        <v>18525793</v>
      </c>
      <c r="C273" s="2" t="str">
        <f>"18525793"</f>
        <v>18525793</v>
      </c>
      <c r="D273" s="2" t="s">
        <v>174</v>
      </c>
      <c r="E273" s="4">
        <v>2500</v>
      </c>
    </row>
    <row r="274" spans="1:5" ht="26.25" x14ac:dyDescent="0.25">
      <c r="A274" s="2" t="s">
        <v>21</v>
      </c>
      <c r="B274" s="2" t="str">
        <f>"8518783723006"</f>
        <v>8518783723006</v>
      </c>
      <c r="C274" s="2" t="str">
        <f>"10003775"</f>
        <v>10003775</v>
      </c>
      <c r="D274" s="2" t="s">
        <v>175</v>
      </c>
      <c r="E274" s="4">
        <v>2000</v>
      </c>
    </row>
    <row r="275" spans="1:5" ht="26.25" x14ac:dyDescent="0.25">
      <c r="A275" s="2" t="s">
        <v>21</v>
      </c>
      <c r="B275" s="2" t="str">
        <f>"10000096"</f>
        <v>10000096</v>
      </c>
      <c r="C275" s="2" t="str">
        <f>"10000096"</f>
        <v>10000096</v>
      </c>
      <c r="D275" s="2" t="s">
        <v>176</v>
      </c>
      <c r="E275" s="4">
        <v>1200</v>
      </c>
    </row>
    <row r="276" spans="1:5" ht="26.25" x14ac:dyDescent="0.25">
      <c r="A276" s="2" t="s">
        <v>21</v>
      </c>
      <c r="B276" s="2" t="str">
        <f>"7858816002793"</f>
        <v>7858816002793</v>
      </c>
      <c r="C276" s="2" t="str">
        <f>"87520279"</f>
        <v>87520279</v>
      </c>
      <c r="D276" s="2" t="s">
        <v>177</v>
      </c>
      <c r="E276" s="4">
        <v>1500</v>
      </c>
    </row>
    <row r="277" spans="1:5" ht="26.25" x14ac:dyDescent="0.25">
      <c r="A277" s="2" t="s">
        <v>21</v>
      </c>
      <c r="B277" s="2" t="str">
        <f>"2018011011760"</f>
        <v>2018011011760</v>
      </c>
      <c r="C277" s="2" t="str">
        <f>"18522776"</f>
        <v>18522776</v>
      </c>
      <c r="D277" s="2" t="s">
        <v>178</v>
      </c>
      <c r="E277" s="4">
        <v>2000</v>
      </c>
    </row>
    <row r="278" spans="1:5" ht="26.25" x14ac:dyDescent="0.25">
      <c r="A278" s="2" t="s">
        <v>21</v>
      </c>
      <c r="B278" s="2" t="str">
        <f>"752356806774"</f>
        <v>752356806774</v>
      </c>
      <c r="C278" s="2" t="str">
        <f>"10004140"</f>
        <v>10004140</v>
      </c>
      <c r="D278" s="2" t="s">
        <v>179</v>
      </c>
      <c r="E278" s="4">
        <v>13990</v>
      </c>
    </row>
    <row r="279" spans="1:5" ht="26.25" x14ac:dyDescent="0.25">
      <c r="A279" s="2" t="s">
        <v>21</v>
      </c>
      <c r="B279" s="2" t="str">
        <f>"10000959"</f>
        <v>10000959</v>
      </c>
      <c r="C279" s="2" t="str">
        <f>"10000959"</f>
        <v>10000959</v>
      </c>
      <c r="D279" s="2" t="s">
        <v>180</v>
      </c>
      <c r="E279" s="4">
        <v>7990</v>
      </c>
    </row>
    <row r="280" spans="1:5" ht="26.25" x14ac:dyDescent="0.25">
      <c r="A280" s="2" t="s">
        <v>21</v>
      </c>
      <c r="B280" s="2" t="str">
        <f>"5901234123457"</f>
        <v>5901234123457</v>
      </c>
      <c r="C280" s="2" t="str">
        <f>"10520970"</f>
        <v>10520970</v>
      </c>
      <c r="D280" s="2" t="s">
        <v>181</v>
      </c>
      <c r="E280" s="4">
        <v>3500</v>
      </c>
    </row>
    <row r="281" spans="1:5" ht="26.25" x14ac:dyDescent="0.25">
      <c r="A281" s="2" t="s">
        <v>21</v>
      </c>
      <c r="B281" s="2" t="s">
        <v>182</v>
      </c>
      <c r="C281" s="2" t="str">
        <f>"40527925"</f>
        <v>40527925</v>
      </c>
      <c r="D281" s="2" t="s">
        <v>183</v>
      </c>
      <c r="E281" s="4">
        <v>8990</v>
      </c>
    </row>
    <row r="282" spans="1:5" ht="26.25" x14ac:dyDescent="0.25">
      <c r="A282" s="2" t="s">
        <v>21</v>
      </c>
      <c r="B282" s="2" t="str">
        <f>"8051134858649"</f>
        <v>8051134858649</v>
      </c>
      <c r="C282" s="2" t="str">
        <f>"40528649"</f>
        <v>40528649</v>
      </c>
      <c r="D282" s="2" t="s">
        <v>184</v>
      </c>
      <c r="E282" s="4">
        <v>14990</v>
      </c>
    </row>
    <row r="283" spans="1:5" ht="26.25" x14ac:dyDescent="0.25">
      <c r="A283" s="2" t="s">
        <v>21</v>
      </c>
      <c r="B283" s="2" t="str">
        <f>"2019053557285"</f>
        <v>2019053557285</v>
      </c>
      <c r="C283" s="2" t="str">
        <f>"18525728"</f>
        <v>18525728</v>
      </c>
      <c r="D283" s="2" t="s">
        <v>185</v>
      </c>
      <c r="E283" s="4">
        <v>7990</v>
      </c>
    </row>
    <row r="284" spans="1:5" ht="26.25" x14ac:dyDescent="0.25">
      <c r="A284" s="2" t="s">
        <v>21</v>
      </c>
      <c r="B284" s="2" t="str">
        <f>"7858816002809"</f>
        <v>7858816002809</v>
      </c>
      <c r="C284" s="2" t="str">
        <f>"87520028"</f>
        <v>87520028</v>
      </c>
      <c r="D284" s="2" t="s">
        <v>186</v>
      </c>
      <c r="E284" s="4">
        <v>2500</v>
      </c>
    </row>
    <row r="285" spans="1:5" ht="26.25" x14ac:dyDescent="0.25">
      <c r="A285" s="2" t="s">
        <v>21</v>
      </c>
      <c r="B285" s="2" t="str">
        <f>"31F0000315"</f>
        <v>31F0000315</v>
      </c>
      <c r="C285" s="2" t="str">
        <f>"31F0000315"</f>
        <v>31F0000315</v>
      </c>
      <c r="D285" s="2" t="s">
        <v>187</v>
      </c>
      <c r="E285" s="4">
        <v>1500</v>
      </c>
    </row>
    <row r="286" spans="1:5" ht="26.25" x14ac:dyDescent="0.25">
      <c r="A286" s="2" t="s">
        <v>21</v>
      </c>
      <c r="B286" s="2" t="str">
        <f>"8699258561108"</f>
        <v>8699258561108</v>
      </c>
      <c r="C286" s="2" t="str">
        <f>"10001781"</f>
        <v>10001781</v>
      </c>
      <c r="D286" s="2" t="s">
        <v>188</v>
      </c>
      <c r="E286" s="4">
        <v>6500</v>
      </c>
    </row>
    <row r="287" spans="1:5" ht="26.25" x14ac:dyDescent="0.25">
      <c r="A287" s="2" t="s">
        <v>49</v>
      </c>
      <c r="B287" s="2" t="str">
        <f>"8985941205498"</f>
        <v>8985941205498</v>
      </c>
      <c r="C287" s="2" t="str">
        <f>"40925498"</f>
        <v>40925498</v>
      </c>
      <c r="D287" s="2" t="s">
        <v>189</v>
      </c>
      <c r="E287" s="4">
        <v>18990</v>
      </c>
    </row>
    <row r="288" spans="1:5" ht="26.25" x14ac:dyDescent="0.25">
      <c r="A288" s="2" t="s">
        <v>21</v>
      </c>
      <c r="B288" s="2" t="str">
        <f>"10011781"</f>
        <v>10011781</v>
      </c>
      <c r="C288" s="2" t="str">
        <f>"10011781"</f>
        <v>10011781</v>
      </c>
      <c r="D288" s="2" t="s">
        <v>190</v>
      </c>
      <c r="E288" s="4">
        <v>4990</v>
      </c>
    </row>
    <row r="289" spans="1:5" ht="26.25" x14ac:dyDescent="0.25">
      <c r="A289" s="2" t="s">
        <v>49</v>
      </c>
      <c r="B289" s="2" t="str">
        <f>"898594120548"</f>
        <v>898594120548</v>
      </c>
      <c r="C289" s="2" t="str">
        <f>"40920548"</f>
        <v>40920548</v>
      </c>
      <c r="D289" s="2" t="s">
        <v>191</v>
      </c>
      <c r="E289" s="4">
        <v>18990</v>
      </c>
    </row>
    <row r="290" spans="1:5" ht="26.25" x14ac:dyDescent="0.25">
      <c r="A290" s="2" t="s">
        <v>49</v>
      </c>
      <c r="B290" s="2" t="str">
        <f>"8985941205481"</f>
        <v>8985941205481</v>
      </c>
      <c r="C290" s="2" t="str">
        <f>"40925481"</f>
        <v>40925481</v>
      </c>
      <c r="D290" s="2" t="s">
        <v>191</v>
      </c>
      <c r="E290" s="4">
        <v>17990</v>
      </c>
    </row>
    <row r="291" spans="1:5" ht="26.25" x14ac:dyDescent="0.25">
      <c r="A291" s="2" t="s">
        <v>49</v>
      </c>
      <c r="B291" s="2" t="str">
        <f>"4710007738016"</f>
        <v>4710007738016</v>
      </c>
      <c r="C291" s="2" t="str">
        <f>"98930026"</f>
        <v>98930026</v>
      </c>
      <c r="D291" s="2" t="s">
        <v>192</v>
      </c>
      <c r="E291" s="4">
        <v>6490</v>
      </c>
    </row>
    <row r="292" spans="1:5" ht="26.25" x14ac:dyDescent="0.25">
      <c r="A292" s="2" t="s">
        <v>49</v>
      </c>
      <c r="B292" s="2" t="str">
        <f>"8279283380082"</f>
        <v>8279283380082</v>
      </c>
      <c r="C292" s="2" t="str">
        <f>"40930082"</f>
        <v>40930082</v>
      </c>
      <c r="D292" s="2" t="s">
        <v>193</v>
      </c>
      <c r="E292" s="4">
        <v>7990</v>
      </c>
    </row>
    <row r="293" spans="1:5" ht="26.25" x14ac:dyDescent="0.25">
      <c r="A293" s="2" t="s">
        <v>49</v>
      </c>
      <c r="B293" s="2" t="str">
        <f>"4710268256694"</f>
        <v>4710268256694</v>
      </c>
      <c r="C293" s="2" t="str">
        <f>"98205006"</f>
        <v>98205006</v>
      </c>
      <c r="D293" s="2" t="s">
        <v>194</v>
      </c>
      <c r="E293" s="4">
        <v>7990</v>
      </c>
    </row>
    <row r="294" spans="1:5" ht="26.25" x14ac:dyDescent="0.25">
      <c r="A294" s="2" t="s">
        <v>40</v>
      </c>
      <c r="B294" s="2" t="str">
        <f>"190198001757"</f>
        <v>190198001757</v>
      </c>
      <c r="C294" s="2" t="str">
        <f>"30020062"</f>
        <v>30020062</v>
      </c>
      <c r="D294" s="2" t="s">
        <v>195</v>
      </c>
      <c r="E294" s="4">
        <v>19500</v>
      </c>
    </row>
    <row r="295" spans="1:5" ht="26.25" x14ac:dyDescent="0.25">
      <c r="A295" s="2" t="s">
        <v>21</v>
      </c>
      <c r="B295" s="2" t="str">
        <f>"76520026"</f>
        <v>76520026</v>
      </c>
      <c r="C295" s="2" t="str">
        <f>"76520026"</f>
        <v>76520026</v>
      </c>
      <c r="D295" s="2" t="s">
        <v>196</v>
      </c>
      <c r="E295" s="4">
        <v>34500</v>
      </c>
    </row>
    <row r="296" spans="1:5" ht="26.25" x14ac:dyDescent="0.25">
      <c r="A296" s="2" t="s">
        <v>21</v>
      </c>
      <c r="B296" s="2" t="str">
        <f>"6942665222608"</f>
        <v>6942665222608</v>
      </c>
      <c r="C296" s="2" t="str">
        <f>"22520260"</f>
        <v>22520260</v>
      </c>
      <c r="D296" s="2" t="s">
        <v>197</v>
      </c>
      <c r="E296" s="4">
        <v>19990</v>
      </c>
    </row>
    <row r="297" spans="1:5" ht="26.25" x14ac:dyDescent="0.25">
      <c r="A297" s="2" t="s">
        <v>21</v>
      </c>
      <c r="B297" s="2" t="str">
        <f>"7858816061332"</f>
        <v>7858816061332</v>
      </c>
      <c r="C297" s="2" t="str">
        <f>"87526133"</f>
        <v>87526133</v>
      </c>
      <c r="D297" s="2" t="s">
        <v>198</v>
      </c>
      <c r="E297" s="4">
        <v>24990</v>
      </c>
    </row>
    <row r="298" spans="1:5" ht="26.25" x14ac:dyDescent="0.25">
      <c r="A298" s="2" t="s">
        <v>21</v>
      </c>
      <c r="B298" s="2" t="str">
        <f>"76520033"</f>
        <v>76520033</v>
      </c>
      <c r="C298" s="2" t="str">
        <f>"76520033"</f>
        <v>76520033</v>
      </c>
      <c r="D298" s="2" t="s">
        <v>199</v>
      </c>
      <c r="E298" s="4">
        <v>35990</v>
      </c>
    </row>
    <row r="299" spans="1:5" ht="26.25" x14ac:dyDescent="0.25">
      <c r="A299" s="2" t="s">
        <v>21</v>
      </c>
      <c r="B299" s="2" t="str">
        <f>"7858816071218"</f>
        <v>7858816071218</v>
      </c>
      <c r="C299" s="2" t="str">
        <f>"87523827"</f>
        <v>87523827</v>
      </c>
      <c r="D299" s="2" t="s">
        <v>200</v>
      </c>
      <c r="E299" s="4">
        <v>19990</v>
      </c>
    </row>
    <row r="300" spans="1:5" ht="26.25" x14ac:dyDescent="0.25">
      <c r="A300" s="2" t="s">
        <v>201</v>
      </c>
      <c r="B300" s="2" t="str">
        <f>"10111726"</f>
        <v>10111726</v>
      </c>
      <c r="C300" s="2" t="str">
        <f>"10111726"</f>
        <v>10111726</v>
      </c>
      <c r="D300" s="2" t="s">
        <v>202</v>
      </c>
      <c r="E300" s="4">
        <v>4990</v>
      </c>
    </row>
    <row r="301" spans="1:5" ht="26.25" x14ac:dyDescent="0.25">
      <c r="A301" s="2" t="s">
        <v>203</v>
      </c>
      <c r="B301" s="2" t="str">
        <f>"10000035"</f>
        <v>10000035</v>
      </c>
      <c r="C301" s="2" t="str">
        <f>"10000035"</f>
        <v>10000035</v>
      </c>
      <c r="D301" s="2" t="s">
        <v>204</v>
      </c>
      <c r="E301" s="4">
        <v>4000</v>
      </c>
    </row>
    <row r="302" spans="1:5" ht="26.25" x14ac:dyDescent="0.25">
      <c r="A302" s="2" t="s">
        <v>205</v>
      </c>
      <c r="B302" s="2" t="str">
        <f>"742832862684"</f>
        <v>742832862684</v>
      </c>
      <c r="C302" s="2" t="str">
        <f>"27CBY62684"</f>
        <v>27CBY62684</v>
      </c>
      <c r="D302" s="2" t="s">
        <v>206</v>
      </c>
      <c r="E302" s="4">
        <v>2000</v>
      </c>
    </row>
    <row r="303" spans="1:5" ht="26.25" x14ac:dyDescent="0.25">
      <c r="A303" s="2" t="s">
        <v>11</v>
      </c>
      <c r="B303" s="2" t="str">
        <f>"10118513"</f>
        <v>10118513</v>
      </c>
      <c r="C303" s="2" t="str">
        <f>"10118513"</f>
        <v>10118513</v>
      </c>
      <c r="D303" s="2" t="s">
        <v>207</v>
      </c>
      <c r="E303" s="4">
        <v>4990</v>
      </c>
    </row>
    <row r="304" spans="1:5" ht="26.25" x14ac:dyDescent="0.25">
      <c r="A304" s="2" t="s">
        <v>11</v>
      </c>
      <c r="B304" s="2" t="str">
        <f>"10001307"</f>
        <v>10001307</v>
      </c>
      <c r="C304" s="2" t="str">
        <f>"10001307"</f>
        <v>10001307</v>
      </c>
      <c r="D304" s="2" t="s">
        <v>208</v>
      </c>
      <c r="E304" s="4">
        <v>5990</v>
      </c>
    </row>
    <row r="305" spans="1:5" ht="26.25" x14ac:dyDescent="0.25">
      <c r="A305" s="2" t="s">
        <v>209</v>
      </c>
      <c r="B305" s="2" t="str">
        <f>"4728022312586"</f>
        <v>4728022312586</v>
      </c>
      <c r="C305" s="2" t="str">
        <f>"40030008"</f>
        <v>40030008</v>
      </c>
      <c r="D305" s="2" t="s">
        <v>210</v>
      </c>
      <c r="E305" s="4">
        <v>2990</v>
      </c>
    </row>
    <row r="306" spans="1:5" ht="26.25" x14ac:dyDescent="0.25">
      <c r="A306" s="2" t="s">
        <v>205</v>
      </c>
      <c r="B306" s="2" t="str">
        <f>"7858816014239"</f>
        <v>7858816014239</v>
      </c>
      <c r="C306" s="2" t="str">
        <f>"87351423"</f>
        <v>87351423</v>
      </c>
      <c r="D306" s="2" t="s">
        <v>211</v>
      </c>
      <c r="E306" s="4">
        <v>11990</v>
      </c>
    </row>
    <row r="307" spans="1:5" ht="26.25" x14ac:dyDescent="0.25">
      <c r="A307" s="2" t="s">
        <v>11</v>
      </c>
      <c r="B307" s="2" t="str">
        <f>"7858816058301"</f>
        <v>7858816058301</v>
      </c>
      <c r="C307" s="2" t="str">
        <f>"87745830"</f>
        <v>87745830</v>
      </c>
      <c r="D307" s="2" t="s">
        <v>212</v>
      </c>
      <c r="E307" s="4">
        <v>4990</v>
      </c>
    </row>
    <row r="308" spans="1:5" ht="26.25" x14ac:dyDescent="0.25">
      <c r="A308" s="2" t="s">
        <v>11</v>
      </c>
      <c r="B308" s="2" t="str">
        <f>"7858816088384"</f>
        <v>7858816088384</v>
      </c>
      <c r="C308" s="2" t="str">
        <f>"87748838"</f>
        <v>87748838</v>
      </c>
      <c r="D308" s="2" t="s">
        <v>213</v>
      </c>
      <c r="E308" s="4">
        <v>9990</v>
      </c>
    </row>
    <row r="309" spans="1:5" ht="26.25" x14ac:dyDescent="0.25">
      <c r="A309" s="2" t="s">
        <v>11</v>
      </c>
      <c r="B309" s="2" t="str">
        <f>"6927900010462"</f>
        <v>6927900010462</v>
      </c>
      <c r="C309" s="2" t="str">
        <f>"25740200"</f>
        <v>25740200</v>
      </c>
      <c r="D309" s="2" t="s">
        <v>214</v>
      </c>
      <c r="E309" s="4">
        <v>9990</v>
      </c>
    </row>
    <row r="310" spans="1:5" ht="26.25" x14ac:dyDescent="0.25">
      <c r="A310" s="2" t="s">
        <v>209</v>
      </c>
      <c r="B310" s="2" t="str">
        <f>"6932448282882"</f>
        <v>6932448282882</v>
      </c>
      <c r="C310" s="2" t="str">
        <f>"98350288"</f>
        <v>98350288</v>
      </c>
      <c r="D310" s="2" t="s">
        <v>215</v>
      </c>
      <c r="E310" s="4">
        <v>8990</v>
      </c>
    </row>
    <row r="311" spans="1:5" ht="26.25" x14ac:dyDescent="0.25">
      <c r="A311" s="2" t="s">
        <v>209</v>
      </c>
      <c r="B311" s="2" t="str">
        <f>"7804625560603"</f>
        <v>7804625560603</v>
      </c>
      <c r="C311" s="2" t="str">
        <f>"42400011"</f>
        <v>42400011</v>
      </c>
      <c r="D311" s="2" t="s">
        <v>216</v>
      </c>
      <c r="E311" s="4">
        <v>2500</v>
      </c>
    </row>
    <row r="312" spans="1:5" ht="26.25" x14ac:dyDescent="0.25">
      <c r="A312" s="2" t="s">
        <v>209</v>
      </c>
      <c r="B312" s="2" t="str">
        <f>"7804612212867"</f>
        <v>7804612212867</v>
      </c>
      <c r="C312" s="2" t="str">
        <f>"98030060"</f>
        <v>98030060</v>
      </c>
      <c r="D312" s="2" t="s">
        <v>217</v>
      </c>
      <c r="E312" s="4">
        <v>5000</v>
      </c>
    </row>
    <row r="313" spans="1:5" ht="26.25" x14ac:dyDescent="0.25">
      <c r="A313" s="2" t="s">
        <v>209</v>
      </c>
      <c r="B313" s="2" t="str">
        <f>"7804612212874"</f>
        <v>7804612212874</v>
      </c>
      <c r="C313" s="2" t="str">
        <f>"98036000"</f>
        <v>98036000</v>
      </c>
      <c r="D313" s="2" t="s">
        <v>217</v>
      </c>
      <c r="E313" s="4">
        <v>5000</v>
      </c>
    </row>
    <row r="314" spans="1:5" ht="26.25" x14ac:dyDescent="0.25">
      <c r="A314" s="2" t="s">
        <v>209</v>
      </c>
      <c r="B314" s="2" t="str">
        <f>"7804612213758"</f>
        <v>7804612213758</v>
      </c>
      <c r="C314" s="2" t="str">
        <f>"98031000"</f>
        <v>98031000</v>
      </c>
      <c r="D314" s="2" t="s">
        <v>218</v>
      </c>
      <c r="E314" s="4">
        <v>6000</v>
      </c>
    </row>
    <row r="315" spans="1:5" ht="26.25" x14ac:dyDescent="0.25">
      <c r="A315" s="2" t="s">
        <v>11</v>
      </c>
      <c r="B315" s="2" t="str">
        <f>"6924374860104"</f>
        <v>6924374860104</v>
      </c>
      <c r="C315" s="2" t="str">
        <f>"96740013"</f>
        <v>96740013</v>
      </c>
      <c r="D315" s="2" t="s">
        <v>219</v>
      </c>
      <c r="E315" s="4">
        <v>16900</v>
      </c>
    </row>
    <row r="316" spans="1:5" ht="26.25" x14ac:dyDescent="0.25">
      <c r="A316" s="2" t="s">
        <v>209</v>
      </c>
      <c r="B316" s="2" t="str">
        <f>"110348834"</f>
        <v>110348834</v>
      </c>
      <c r="C316" s="2" t="str">
        <f>"110348834"</f>
        <v>110348834</v>
      </c>
      <c r="D316" s="2" t="s">
        <v>220</v>
      </c>
      <c r="E316" s="4">
        <v>14000</v>
      </c>
    </row>
    <row r="317" spans="1:5" ht="26.25" x14ac:dyDescent="0.25">
      <c r="A317" s="2" t="s">
        <v>209</v>
      </c>
      <c r="B317" s="2" t="str">
        <f>"87001131"</f>
        <v>87001131</v>
      </c>
      <c r="C317" s="2" t="str">
        <f>"87001131"</f>
        <v>87001131</v>
      </c>
      <c r="D317" s="2" t="s">
        <v>221</v>
      </c>
      <c r="E317" s="4">
        <v>24500</v>
      </c>
    </row>
    <row r="318" spans="1:5" ht="26.25" x14ac:dyDescent="0.25">
      <c r="A318" s="2" t="s">
        <v>11</v>
      </c>
      <c r="B318" s="2" t="str">
        <f>"4720007700951"</f>
        <v>4720007700951</v>
      </c>
      <c r="C318" s="2" t="str">
        <f>"65742019"</f>
        <v>65742019</v>
      </c>
      <c r="D318" s="2" t="s">
        <v>222</v>
      </c>
      <c r="E318" s="4">
        <v>7490</v>
      </c>
    </row>
    <row r="319" spans="1:5" ht="26.25" x14ac:dyDescent="0.25">
      <c r="A319" s="2" t="s">
        <v>11</v>
      </c>
      <c r="B319" s="2" t="str">
        <f>"6933863822622"</f>
        <v>6933863822622</v>
      </c>
      <c r="C319" s="2" t="str">
        <f>"10002042"</f>
        <v>10002042</v>
      </c>
      <c r="D319" s="2" t="s">
        <v>223</v>
      </c>
      <c r="E319" s="4">
        <v>22100</v>
      </c>
    </row>
    <row r="320" spans="1:5" ht="26.25" x14ac:dyDescent="0.25">
      <c r="A320" s="2" t="s">
        <v>11</v>
      </c>
      <c r="B320" s="2" t="str">
        <f>"6925871643283"</f>
        <v>6925871643283</v>
      </c>
      <c r="C320" s="2" t="str">
        <f>"22744328"</f>
        <v>22744328</v>
      </c>
      <c r="D320" s="2" t="s">
        <v>224</v>
      </c>
      <c r="E320" s="4">
        <v>14990</v>
      </c>
    </row>
    <row r="321" spans="1:5" ht="26.25" x14ac:dyDescent="0.25">
      <c r="A321" s="2" t="s">
        <v>11</v>
      </c>
      <c r="B321" s="2" t="str">
        <f>"6925871646550"</f>
        <v>6925871646550</v>
      </c>
      <c r="C321" s="2" t="str">
        <f>"22744655"</f>
        <v>22744655</v>
      </c>
      <c r="D321" s="2" t="s">
        <v>225</v>
      </c>
      <c r="E321" s="4">
        <v>10990</v>
      </c>
    </row>
    <row r="322" spans="1:5" ht="26.25" x14ac:dyDescent="0.25">
      <c r="A322" s="2" t="s">
        <v>11</v>
      </c>
      <c r="B322" s="2" t="str">
        <f>"8669885004972"</f>
        <v>8669885004972</v>
      </c>
      <c r="C322" s="2" t="str">
        <f>"66000497"</f>
        <v>66000497</v>
      </c>
      <c r="D322" s="2" t="s">
        <v>226</v>
      </c>
      <c r="E322" s="4">
        <v>16900</v>
      </c>
    </row>
    <row r="323" spans="1:5" ht="26.25" x14ac:dyDescent="0.25">
      <c r="A323" s="2" t="s">
        <v>11</v>
      </c>
      <c r="B323" s="2" t="str">
        <f>"66000513"</f>
        <v>66000513</v>
      </c>
      <c r="C323" s="2" t="str">
        <f>"66000513"</f>
        <v>66000513</v>
      </c>
      <c r="D323" s="2" t="s">
        <v>226</v>
      </c>
      <c r="E323" s="4">
        <v>10500</v>
      </c>
    </row>
    <row r="324" spans="1:5" ht="26.25" x14ac:dyDescent="0.25">
      <c r="A324" s="2" t="s">
        <v>11</v>
      </c>
      <c r="B324" s="2" t="str">
        <f>"87001446"</f>
        <v>87001446</v>
      </c>
      <c r="C324" s="2" t="str">
        <f>"87001446"</f>
        <v>87001446</v>
      </c>
      <c r="D324" s="2" t="s">
        <v>227</v>
      </c>
      <c r="E324" s="4">
        <v>29900</v>
      </c>
    </row>
    <row r="325" spans="1:5" ht="26.25" x14ac:dyDescent="0.25">
      <c r="A325" s="2" t="s">
        <v>11</v>
      </c>
      <c r="B325" s="2" t="str">
        <f>"6954774711133"</f>
        <v>6954774711133</v>
      </c>
      <c r="C325" s="2" t="str">
        <f>"87740995"</f>
        <v>87740995</v>
      </c>
      <c r="D325" s="2" t="s">
        <v>228</v>
      </c>
      <c r="E325" s="4">
        <v>16800</v>
      </c>
    </row>
    <row r="326" spans="1:5" ht="26.25" x14ac:dyDescent="0.25">
      <c r="A326" s="2" t="s">
        <v>11</v>
      </c>
      <c r="B326" s="2" t="str">
        <f>"6975618108902"</f>
        <v>6975618108902</v>
      </c>
      <c r="C326" s="2" t="str">
        <f>"10001439"</f>
        <v>10001439</v>
      </c>
      <c r="D326" s="2" t="s">
        <v>229</v>
      </c>
      <c r="E326" s="4">
        <v>14990</v>
      </c>
    </row>
    <row r="327" spans="1:5" ht="26.25" x14ac:dyDescent="0.25">
      <c r="A327" s="2" t="s">
        <v>11</v>
      </c>
      <c r="B327" s="2" t="str">
        <f>"6926898192266"</f>
        <v>6926898192266</v>
      </c>
      <c r="C327" s="2" t="str">
        <f>"10003315"</f>
        <v>10003315</v>
      </c>
      <c r="D327" s="2" t="s">
        <v>230</v>
      </c>
      <c r="E327" s="4">
        <v>11900</v>
      </c>
    </row>
    <row r="328" spans="1:5" ht="26.25" x14ac:dyDescent="0.25">
      <c r="A328" s="2" t="s">
        <v>11</v>
      </c>
      <c r="B328" s="2" t="str">
        <f>"22740700"</f>
        <v>22740700</v>
      </c>
      <c r="C328" s="2" t="str">
        <f>"22740700"</f>
        <v>22740700</v>
      </c>
      <c r="D328" s="2" t="s">
        <v>231</v>
      </c>
      <c r="E328" s="4">
        <v>16990</v>
      </c>
    </row>
    <row r="329" spans="1:5" ht="26.25" x14ac:dyDescent="0.25">
      <c r="A329" s="2" t="s">
        <v>11</v>
      </c>
      <c r="B329" s="2" t="str">
        <f>"7804612213888"</f>
        <v>7804612213888</v>
      </c>
      <c r="C329" s="2" t="str">
        <f>"98740007"</f>
        <v>98740007</v>
      </c>
      <c r="D329" s="2" t="s">
        <v>232</v>
      </c>
      <c r="E329" s="4">
        <v>47990</v>
      </c>
    </row>
    <row r="330" spans="1:5" ht="26.25" x14ac:dyDescent="0.25">
      <c r="A330" s="2" t="s">
        <v>11</v>
      </c>
      <c r="B330" s="2" t="str">
        <f>"6650590704068"</f>
        <v>6650590704068</v>
      </c>
      <c r="C330" s="2" t="str">
        <f>"98740770"</f>
        <v>98740770</v>
      </c>
      <c r="D330" s="2" t="s">
        <v>233</v>
      </c>
      <c r="E330" s="4">
        <v>21990</v>
      </c>
    </row>
    <row r="331" spans="1:5" ht="26.25" x14ac:dyDescent="0.25">
      <c r="A331" s="2" t="s">
        <v>11</v>
      </c>
      <c r="B331" s="2" t="str">
        <f>"6650590698688"</f>
        <v>6650590698688</v>
      </c>
      <c r="C331" s="2" t="str">
        <f>"98740980"</f>
        <v>98740980</v>
      </c>
      <c r="D331" s="2" t="s">
        <v>234</v>
      </c>
      <c r="E331" s="4">
        <v>20990</v>
      </c>
    </row>
    <row r="332" spans="1:5" ht="26.25" x14ac:dyDescent="0.25">
      <c r="A332" s="2" t="s">
        <v>11</v>
      </c>
      <c r="B332" s="2" t="str">
        <f>"7804612213628"</f>
        <v>7804612213628</v>
      </c>
      <c r="C332" s="2" t="str">
        <f>"91740207"</f>
        <v>91740207</v>
      </c>
      <c r="D332" s="2" t="s">
        <v>235</v>
      </c>
      <c r="E332" s="4">
        <v>26990</v>
      </c>
    </row>
    <row r="333" spans="1:5" ht="26.25" x14ac:dyDescent="0.25">
      <c r="A333" s="2" t="s">
        <v>11</v>
      </c>
      <c r="B333" s="2" t="str">
        <f>"7804612214007"</f>
        <v>7804612214007</v>
      </c>
      <c r="C333" s="2" t="str">
        <f>"98740004"</f>
        <v>98740004</v>
      </c>
      <c r="D333" s="2" t="s">
        <v>236</v>
      </c>
      <c r="E333" s="4">
        <v>41990</v>
      </c>
    </row>
    <row r="334" spans="1:5" ht="26.25" x14ac:dyDescent="0.25">
      <c r="A334" s="2" t="s">
        <v>11</v>
      </c>
      <c r="B334" s="2" t="str">
        <f>"7503022688537"</f>
        <v>7503022688537</v>
      </c>
      <c r="C334" s="2" t="str">
        <f>"98740003"</f>
        <v>98740003</v>
      </c>
      <c r="D334" s="2" t="s">
        <v>237</v>
      </c>
      <c r="E334" s="4">
        <v>19990</v>
      </c>
    </row>
    <row r="335" spans="1:5" ht="26.25" x14ac:dyDescent="0.25">
      <c r="A335" s="2" t="s">
        <v>11</v>
      </c>
      <c r="B335" s="2" t="str">
        <f>"7804612214076"</f>
        <v>7804612214076</v>
      </c>
      <c r="C335" s="2" t="str">
        <f>"98740680"</f>
        <v>98740680</v>
      </c>
      <c r="D335" s="2" t="s">
        <v>238</v>
      </c>
      <c r="E335" s="4">
        <v>23990</v>
      </c>
    </row>
    <row r="336" spans="1:5" ht="26.25" x14ac:dyDescent="0.25">
      <c r="A336" s="2" t="s">
        <v>11</v>
      </c>
      <c r="B336" s="2" t="str">
        <f>"7804612213321"</f>
        <v>7804612213321</v>
      </c>
      <c r="C336" s="2" t="str">
        <f>"98740008"</f>
        <v>98740008</v>
      </c>
      <c r="D336" s="2" t="s">
        <v>239</v>
      </c>
      <c r="E336" s="4">
        <v>49990</v>
      </c>
    </row>
    <row r="337" spans="1:5" ht="26.25" x14ac:dyDescent="0.25">
      <c r="A337" s="2" t="s">
        <v>11</v>
      </c>
      <c r="B337" s="2" t="str">
        <f>"7804612213741"</f>
        <v>7804612213741</v>
      </c>
      <c r="C337" s="2" t="str">
        <f>"98740088"</f>
        <v>98740088</v>
      </c>
      <c r="D337" s="2" t="s">
        <v>239</v>
      </c>
      <c r="E337" s="4">
        <v>59990</v>
      </c>
    </row>
    <row r="338" spans="1:5" ht="26.25" x14ac:dyDescent="0.25">
      <c r="A338" s="2" t="s">
        <v>11</v>
      </c>
      <c r="B338" s="2" t="str">
        <f>"7804612212546"</f>
        <v>7804612212546</v>
      </c>
      <c r="C338" s="2" t="str">
        <f>"98742546"</f>
        <v>98742546</v>
      </c>
      <c r="D338" s="2" t="s">
        <v>240</v>
      </c>
      <c r="E338" s="4">
        <v>26990</v>
      </c>
    </row>
    <row r="339" spans="1:5" ht="26.25" x14ac:dyDescent="0.25">
      <c r="A339" s="2" t="s">
        <v>11</v>
      </c>
      <c r="B339" s="2" t="str">
        <f>"877401409"</f>
        <v>877401409</v>
      </c>
      <c r="C339" s="2" t="str">
        <f>"877401409"</f>
        <v>877401409</v>
      </c>
      <c r="D339" s="2" t="s">
        <v>241</v>
      </c>
      <c r="E339" s="4">
        <v>15900</v>
      </c>
    </row>
    <row r="340" spans="1:5" ht="26.25" x14ac:dyDescent="0.25">
      <c r="A340" s="2" t="s">
        <v>11</v>
      </c>
      <c r="B340" s="2" t="str">
        <f>"76740003"</f>
        <v>76740003</v>
      </c>
      <c r="C340" s="2" t="str">
        <f>"76740003"</f>
        <v>76740003</v>
      </c>
      <c r="D340" s="2" t="s">
        <v>242</v>
      </c>
      <c r="E340" s="4">
        <v>16900</v>
      </c>
    </row>
    <row r="341" spans="1:5" ht="26.25" x14ac:dyDescent="0.25">
      <c r="A341" s="2" t="s">
        <v>11</v>
      </c>
      <c r="B341" s="2" t="str">
        <f>"76740019"</f>
        <v>76740019</v>
      </c>
      <c r="C341" s="2" t="str">
        <f>"76740019"</f>
        <v>76740019</v>
      </c>
      <c r="D341" s="2" t="s">
        <v>243</v>
      </c>
      <c r="E341" s="4">
        <v>18900</v>
      </c>
    </row>
    <row r="342" spans="1:5" ht="26.25" x14ac:dyDescent="0.25">
      <c r="A342" s="2" t="s">
        <v>11</v>
      </c>
      <c r="B342" s="2" t="str">
        <f>"7804612212560"</f>
        <v>7804612212560</v>
      </c>
      <c r="C342" s="2" t="str">
        <f>"98740660"</f>
        <v>98740660</v>
      </c>
      <c r="D342" s="2" t="s">
        <v>244</v>
      </c>
      <c r="E342" s="4">
        <v>16990</v>
      </c>
    </row>
    <row r="343" spans="1:5" ht="26.25" x14ac:dyDescent="0.25">
      <c r="A343" s="2" t="s">
        <v>11</v>
      </c>
      <c r="B343" s="2" t="str">
        <f>"877401446"</f>
        <v>877401446</v>
      </c>
      <c r="C343" s="2" t="str">
        <f>"877401446"</f>
        <v>877401446</v>
      </c>
      <c r="D343" s="2" t="s">
        <v>245</v>
      </c>
      <c r="E343" s="4">
        <v>29900</v>
      </c>
    </row>
    <row r="344" spans="1:5" ht="26.25" x14ac:dyDescent="0.25">
      <c r="A344" s="2" t="s">
        <v>209</v>
      </c>
      <c r="B344" s="2" t="str">
        <f>"879401446"</f>
        <v>879401446</v>
      </c>
      <c r="C344" s="2" t="str">
        <f>"879401446"</f>
        <v>879401446</v>
      </c>
      <c r="D344" s="2" t="s">
        <v>246</v>
      </c>
      <c r="E344" s="4">
        <v>33900</v>
      </c>
    </row>
    <row r="345" spans="1:5" ht="26.25" x14ac:dyDescent="0.25">
      <c r="A345" s="2" t="s">
        <v>11</v>
      </c>
      <c r="B345" s="2" t="str">
        <f>"10001081"</f>
        <v>10001081</v>
      </c>
      <c r="C345" s="2" t="str">
        <f>"10001081"</f>
        <v>10001081</v>
      </c>
      <c r="D345" s="2" t="s">
        <v>247</v>
      </c>
      <c r="E345" s="4">
        <v>13990</v>
      </c>
    </row>
    <row r="346" spans="1:5" ht="26.25" x14ac:dyDescent="0.25">
      <c r="A346" s="2" t="s">
        <v>11</v>
      </c>
      <c r="B346" s="2" t="str">
        <f>"10000110"</f>
        <v>10000110</v>
      </c>
      <c r="C346" s="2" t="str">
        <f>"10000110"</f>
        <v>10000110</v>
      </c>
      <c r="D346" s="2" t="s">
        <v>248</v>
      </c>
      <c r="E346" s="4">
        <v>15990</v>
      </c>
    </row>
    <row r="347" spans="1:5" ht="26.25" x14ac:dyDescent="0.25">
      <c r="A347" s="2" t="s">
        <v>11</v>
      </c>
      <c r="B347" s="2" t="str">
        <f>"2016543123807"</f>
        <v>2016543123807</v>
      </c>
      <c r="C347" s="2" t="str">
        <f>"10112463"</f>
        <v>10112463</v>
      </c>
      <c r="D347" s="2" t="s">
        <v>249</v>
      </c>
      <c r="E347" s="4">
        <v>15990</v>
      </c>
    </row>
    <row r="348" spans="1:5" ht="26.25" x14ac:dyDescent="0.25">
      <c r="A348" s="2" t="s">
        <v>11</v>
      </c>
      <c r="B348" s="2" t="str">
        <f>"10112694"</f>
        <v>10112694</v>
      </c>
      <c r="C348" s="2" t="str">
        <f>"10112694"</f>
        <v>10112694</v>
      </c>
      <c r="D348" s="2" t="s">
        <v>250</v>
      </c>
      <c r="E348" s="4">
        <v>16990</v>
      </c>
    </row>
    <row r="349" spans="1:5" ht="26.25" x14ac:dyDescent="0.25">
      <c r="A349" s="2" t="s">
        <v>11</v>
      </c>
      <c r="B349" s="2" t="str">
        <f>"10000118"</f>
        <v>10000118</v>
      </c>
      <c r="C349" s="2" t="str">
        <f>"10000118"</f>
        <v>10000118</v>
      </c>
      <c r="D349" s="2" t="s">
        <v>251</v>
      </c>
      <c r="E349" s="4">
        <v>6500</v>
      </c>
    </row>
    <row r="350" spans="1:5" ht="26.25" x14ac:dyDescent="0.25">
      <c r="A350" s="2" t="s">
        <v>11</v>
      </c>
      <c r="B350" s="2" t="str">
        <f>"6960120731519"</f>
        <v>6960120731519</v>
      </c>
      <c r="C350" s="2" t="str">
        <f>"10001181"</f>
        <v>10001181</v>
      </c>
      <c r="D350" s="2" t="s">
        <v>252</v>
      </c>
      <c r="E350" s="4">
        <v>14990</v>
      </c>
    </row>
    <row r="351" spans="1:5" ht="26.25" x14ac:dyDescent="0.25">
      <c r="A351" s="2" t="s">
        <v>11</v>
      </c>
      <c r="B351" s="2" t="str">
        <f>"5902020120056"</f>
        <v>5902020120056</v>
      </c>
      <c r="C351" s="2" t="str">
        <f>"10120460"</f>
        <v>10120460</v>
      </c>
      <c r="D351" s="2" t="s">
        <v>253</v>
      </c>
      <c r="E351" s="4">
        <v>9990</v>
      </c>
    </row>
    <row r="352" spans="1:5" ht="26.25" x14ac:dyDescent="0.25">
      <c r="A352" s="2" t="s">
        <v>11</v>
      </c>
      <c r="B352" s="2" t="str">
        <f>"6973017980013"</f>
        <v>6973017980013</v>
      </c>
      <c r="C352" s="2" t="str">
        <f>"10122627"</f>
        <v>10122627</v>
      </c>
      <c r="D352" s="2" t="s">
        <v>254</v>
      </c>
      <c r="E352" s="4">
        <v>14990</v>
      </c>
    </row>
    <row r="353" spans="1:5" ht="26.25" x14ac:dyDescent="0.25">
      <c r="A353" s="2" t="s">
        <v>11</v>
      </c>
      <c r="B353" s="2" t="str">
        <f>"6989532512332"</f>
        <v>6989532512332</v>
      </c>
      <c r="C353" s="2" t="str">
        <f>"10013638"</f>
        <v>10013638</v>
      </c>
      <c r="D353" s="2" t="s">
        <v>255</v>
      </c>
      <c r="E353" s="4">
        <v>11990</v>
      </c>
    </row>
    <row r="354" spans="1:5" ht="26.25" x14ac:dyDescent="0.25">
      <c r="A354" s="2" t="s">
        <v>11</v>
      </c>
      <c r="B354" s="2" t="str">
        <f>"6932888255002"</f>
        <v>6932888255002</v>
      </c>
      <c r="C354" s="2" t="str">
        <f>"10014100"</f>
        <v>10014100</v>
      </c>
      <c r="D354" s="2" t="s">
        <v>256</v>
      </c>
      <c r="E354" s="4">
        <v>19050</v>
      </c>
    </row>
    <row r="355" spans="1:5" ht="26.25" x14ac:dyDescent="0.25">
      <c r="A355" s="2" t="s">
        <v>11</v>
      </c>
      <c r="B355" s="2" t="str">
        <f>"10015750"</f>
        <v>10015750</v>
      </c>
      <c r="C355" s="2" t="str">
        <f>"10015750"</f>
        <v>10015750</v>
      </c>
      <c r="D355" s="2" t="s">
        <v>257</v>
      </c>
      <c r="E355" s="4">
        <v>12800</v>
      </c>
    </row>
    <row r="356" spans="1:5" ht="26.25" x14ac:dyDescent="0.25">
      <c r="A356" s="2" t="s">
        <v>11</v>
      </c>
      <c r="B356" s="2" t="str">
        <f>"305541851228"</f>
        <v>305541851228</v>
      </c>
      <c r="C356" s="2" t="str">
        <f>"10015772"</f>
        <v>10015772</v>
      </c>
      <c r="D356" s="2" t="s">
        <v>258</v>
      </c>
      <c r="E356" s="4">
        <v>16500</v>
      </c>
    </row>
    <row r="357" spans="1:5" ht="26.25" x14ac:dyDescent="0.25">
      <c r="A357" s="2" t="s">
        <v>11</v>
      </c>
      <c r="B357" s="2" t="str">
        <f>"10002214"</f>
        <v>10002214</v>
      </c>
      <c r="C357" s="2" t="str">
        <f>"10002214"</f>
        <v>10002214</v>
      </c>
      <c r="D357" s="2" t="s">
        <v>259</v>
      </c>
      <c r="E357" s="4">
        <v>12990</v>
      </c>
    </row>
    <row r="358" spans="1:5" ht="26.25" x14ac:dyDescent="0.25">
      <c r="A358" s="2" t="s">
        <v>11</v>
      </c>
      <c r="B358" s="2" t="str">
        <f>"3136553706148"</f>
        <v>3136553706148</v>
      </c>
      <c r="C358" s="2" t="str">
        <f>"10002825"</f>
        <v>10002825</v>
      </c>
      <c r="D358" s="2" t="s">
        <v>260</v>
      </c>
      <c r="E358" s="4">
        <v>17990</v>
      </c>
    </row>
    <row r="359" spans="1:5" ht="26.25" x14ac:dyDescent="0.25">
      <c r="A359" s="2" t="s">
        <v>11</v>
      </c>
      <c r="B359" s="2" t="str">
        <f>"10002843"</f>
        <v>10002843</v>
      </c>
      <c r="C359" s="2" t="str">
        <f>"10002843"</f>
        <v>10002843</v>
      </c>
      <c r="D359" s="2" t="s">
        <v>261</v>
      </c>
      <c r="E359" s="4">
        <v>6500</v>
      </c>
    </row>
    <row r="360" spans="1:5" ht="26.25" x14ac:dyDescent="0.25">
      <c r="A360" s="2" t="s">
        <v>11</v>
      </c>
      <c r="B360" s="2" t="str">
        <f>"10003080"</f>
        <v>10003080</v>
      </c>
      <c r="C360" s="2" t="str">
        <f>"10003080"</f>
        <v>10003080</v>
      </c>
      <c r="D360" s="2" t="s">
        <v>262</v>
      </c>
      <c r="E360" s="4">
        <v>6500</v>
      </c>
    </row>
    <row r="361" spans="1:5" ht="26.25" x14ac:dyDescent="0.25">
      <c r="A361" s="2" t="s">
        <v>11</v>
      </c>
      <c r="B361" s="2" t="str">
        <f>"6950854681990"</f>
        <v>6950854681990</v>
      </c>
      <c r="C361" s="2" t="str">
        <f>"10003679"</f>
        <v>10003679</v>
      </c>
      <c r="D361" s="2" t="s">
        <v>263</v>
      </c>
      <c r="E361" s="4">
        <v>21990</v>
      </c>
    </row>
    <row r="362" spans="1:5" ht="26.25" x14ac:dyDescent="0.25">
      <c r="A362" s="2" t="s">
        <v>11</v>
      </c>
      <c r="B362" s="2" t="str">
        <f>"10000483"</f>
        <v>10000483</v>
      </c>
      <c r="C362" s="2" t="str">
        <f>"10000483"</f>
        <v>10000483</v>
      </c>
      <c r="D362" s="2" t="s">
        <v>264</v>
      </c>
      <c r="E362" s="4">
        <v>7000</v>
      </c>
    </row>
    <row r="363" spans="1:5" ht="26.25" x14ac:dyDescent="0.25">
      <c r="A363" s="2" t="s">
        <v>11</v>
      </c>
      <c r="B363" s="2" t="str">
        <f>"6966884625422"</f>
        <v>6966884625422</v>
      </c>
      <c r="C363" s="2" t="str">
        <f>"10006433"</f>
        <v>10006433</v>
      </c>
      <c r="D363" s="2" t="s">
        <v>265</v>
      </c>
      <c r="E363" s="4">
        <v>5990</v>
      </c>
    </row>
    <row r="364" spans="1:5" ht="26.25" x14ac:dyDescent="0.25">
      <c r="A364" s="2" t="s">
        <v>11</v>
      </c>
      <c r="B364" s="2" t="str">
        <f>"1000001092596"</f>
        <v>1000001092596</v>
      </c>
      <c r="C364" s="2" t="str">
        <f>"76742596"</f>
        <v>76742596</v>
      </c>
      <c r="D364" s="2" t="s">
        <v>266</v>
      </c>
      <c r="E364" s="4">
        <v>16990</v>
      </c>
    </row>
    <row r="365" spans="1:5" ht="26.25" x14ac:dyDescent="0.25">
      <c r="A365" s="2" t="s">
        <v>11</v>
      </c>
      <c r="B365" s="2" t="str">
        <f>"816479014345"</f>
        <v>816479014345</v>
      </c>
      <c r="C365" s="2" t="str">
        <f>"79MOTECBLK"</f>
        <v>79MOTECBLK</v>
      </c>
      <c r="D365" s="2" t="s">
        <v>267</v>
      </c>
      <c r="E365" s="4">
        <v>31990</v>
      </c>
    </row>
    <row r="366" spans="1:5" ht="26.25" x14ac:dyDescent="0.25">
      <c r="A366" s="2" t="s">
        <v>11</v>
      </c>
      <c r="B366" s="2" t="str">
        <f>"6925871647076"</f>
        <v>6925871647076</v>
      </c>
      <c r="C366" s="2" t="str">
        <f>"22744707"</f>
        <v>22744707</v>
      </c>
      <c r="D366" s="2" t="s">
        <v>268</v>
      </c>
      <c r="E366" s="4">
        <v>24990</v>
      </c>
    </row>
    <row r="367" spans="1:5" ht="26.25" x14ac:dyDescent="0.25">
      <c r="A367" s="2" t="s">
        <v>11</v>
      </c>
      <c r="B367" s="2" t="str">
        <f>"6925871640756"</f>
        <v>6925871640756</v>
      </c>
      <c r="C367" s="2" t="str">
        <f>"22744075"</f>
        <v>22744075</v>
      </c>
      <c r="D367" s="2" t="s">
        <v>269</v>
      </c>
      <c r="E367" s="4">
        <v>14990</v>
      </c>
    </row>
    <row r="368" spans="1:5" ht="26.25" x14ac:dyDescent="0.25">
      <c r="A368" s="2" t="s">
        <v>11</v>
      </c>
      <c r="B368" s="2" t="str">
        <f>"6925871641258"</f>
        <v>6925871641258</v>
      </c>
      <c r="C368" s="2" t="str">
        <f>"22746125"</f>
        <v>22746125</v>
      </c>
      <c r="D368" s="2" t="s">
        <v>270</v>
      </c>
      <c r="E368" s="4">
        <v>17990</v>
      </c>
    </row>
    <row r="369" spans="1:5" ht="26.25" x14ac:dyDescent="0.25">
      <c r="A369" s="2" t="s">
        <v>11</v>
      </c>
      <c r="B369" s="2" t="str">
        <f>"6925871641418"</f>
        <v>6925871641418</v>
      </c>
      <c r="C369" s="2" t="str">
        <f>"22744141"</f>
        <v>22744141</v>
      </c>
      <c r="D369" s="2" t="s">
        <v>271</v>
      </c>
      <c r="E369" s="4">
        <v>8990</v>
      </c>
    </row>
    <row r="370" spans="1:5" ht="26.25" x14ac:dyDescent="0.25">
      <c r="A370" s="2" t="s">
        <v>11</v>
      </c>
      <c r="B370" s="2" t="str">
        <f>"6925871641449"</f>
        <v>6925871641449</v>
      </c>
      <c r="C370" s="2" t="str">
        <f>"22744144"</f>
        <v>22744144</v>
      </c>
      <c r="D370" s="2" t="s">
        <v>272</v>
      </c>
      <c r="E370" s="4">
        <v>13000</v>
      </c>
    </row>
    <row r="371" spans="1:5" ht="26.25" x14ac:dyDescent="0.25">
      <c r="A371" s="2" t="s">
        <v>11</v>
      </c>
      <c r="B371" s="2" t="str">
        <f>"6925871641692"</f>
        <v>6925871641692</v>
      </c>
      <c r="C371" s="2" t="str">
        <f>"22064169"</f>
        <v>22064169</v>
      </c>
      <c r="D371" s="2" t="s">
        <v>273</v>
      </c>
      <c r="E371" s="4">
        <v>8990</v>
      </c>
    </row>
    <row r="372" spans="1:5" ht="26.25" x14ac:dyDescent="0.25">
      <c r="A372" s="2" t="s">
        <v>11</v>
      </c>
      <c r="B372" s="2" t="str">
        <f>"6925871642071"</f>
        <v>6925871642071</v>
      </c>
      <c r="C372" s="2" t="str">
        <f>"22744207"</f>
        <v>22744207</v>
      </c>
      <c r="D372" s="2" t="s">
        <v>274</v>
      </c>
      <c r="E372" s="4">
        <v>18900</v>
      </c>
    </row>
    <row r="373" spans="1:5" ht="26.25" x14ac:dyDescent="0.25">
      <c r="A373" s="2" t="s">
        <v>11</v>
      </c>
      <c r="B373" s="2" t="str">
        <f>"6925871642163"</f>
        <v>6925871642163</v>
      </c>
      <c r="C373" s="2" t="str">
        <f>"22744216"</f>
        <v>22744216</v>
      </c>
      <c r="D373" s="2" t="s">
        <v>275</v>
      </c>
      <c r="E373" s="4">
        <v>16990</v>
      </c>
    </row>
    <row r="374" spans="1:5" ht="26.25" x14ac:dyDescent="0.25">
      <c r="A374" s="2" t="s">
        <v>11</v>
      </c>
      <c r="B374" s="2" t="str">
        <f>"6925871642613"</f>
        <v>6925871642613</v>
      </c>
      <c r="C374" s="2" t="str">
        <f>"22744261"</f>
        <v>22744261</v>
      </c>
      <c r="D374" s="2" t="s">
        <v>276</v>
      </c>
      <c r="E374" s="4">
        <v>11990</v>
      </c>
    </row>
    <row r="375" spans="1:5" ht="26.25" x14ac:dyDescent="0.25">
      <c r="A375" s="2" t="s">
        <v>11</v>
      </c>
      <c r="B375" s="2" t="str">
        <f>"6925871642934"</f>
        <v>6925871642934</v>
      </c>
      <c r="C375" s="2" t="str">
        <f>"22744293"</f>
        <v>22744293</v>
      </c>
      <c r="D375" s="2" t="s">
        <v>277</v>
      </c>
      <c r="E375" s="4">
        <v>11990</v>
      </c>
    </row>
    <row r="376" spans="1:5" ht="26.25" x14ac:dyDescent="0.25">
      <c r="A376" s="2" t="s">
        <v>11</v>
      </c>
      <c r="B376" s="2" t="str">
        <f>"6925871643269"</f>
        <v>6925871643269</v>
      </c>
      <c r="C376" s="2" t="str">
        <f>"22744326"</f>
        <v>22744326</v>
      </c>
      <c r="D376" s="2" t="s">
        <v>278</v>
      </c>
      <c r="E376" s="4">
        <v>24990</v>
      </c>
    </row>
    <row r="377" spans="1:5" ht="26.25" x14ac:dyDescent="0.25">
      <c r="A377" s="2" t="s">
        <v>11</v>
      </c>
      <c r="B377" s="2" t="str">
        <f>"6925871643498"</f>
        <v>6925871643498</v>
      </c>
      <c r="C377" s="2" t="str">
        <f>"98744349"</f>
        <v>98744349</v>
      </c>
      <c r="D377" s="2" t="s">
        <v>279</v>
      </c>
      <c r="E377" s="4">
        <v>16990</v>
      </c>
    </row>
    <row r="378" spans="1:5" ht="26.25" x14ac:dyDescent="0.25">
      <c r="A378" s="2" t="s">
        <v>11</v>
      </c>
      <c r="B378" s="2" t="str">
        <f>"6925871643535"</f>
        <v>6925871643535</v>
      </c>
      <c r="C378" s="2" t="str">
        <f>"22744353"</f>
        <v>22744353</v>
      </c>
      <c r="D378" s="2" t="s">
        <v>280</v>
      </c>
      <c r="E378" s="4">
        <v>12990</v>
      </c>
    </row>
    <row r="379" spans="1:5" ht="26.25" x14ac:dyDescent="0.25">
      <c r="A379" s="2" t="s">
        <v>11</v>
      </c>
      <c r="B379" s="2" t="str">
        <f>"6925871643580"</f>
        <v>6925871643580</v>
      </c>
      <c r="C379" s="2" t="str">
        <f>"98744358"</f>
        <v>98744358</v>
      </c>
      <c r="D379" s="2" t="s">
        <v>281</v>
      </c>
      <c r="E379" s="4">
        <v>21990</v>
      </c>
    </row>
    <row r="380" spans="1:5" ht="26.25" x14ac:dyDescent="0.25">
      <c r="A380" s="2" t="s">
        <v>11</v>
      </c>
      <c r="B380" s="2" t="str">
        <f>"6925871643719"</f>
        <v>6925871643719</v>
      </c>
      <c r="C380" s="2" t="str">
        <f>"22744371"</f>
        <v>22744371</v>
      </c>
      <c r="D380" s="2" t="s">
        <v>282</v>
      </c>
      <c r="E380" s="4">
        <v>16990</v>
      </c>
    </row>
    <row r="381" spans="1:5" ht="26.25" x14ac:dyDescent="0.25">
      <c r="A381" s="2" t="s">
        <v>11</v>
      </c>
      <c r="B381" s="2" t="str">
        <f>"6925871646574"</f>
        <v>6925871646574</v>
      </c>
      <c r="C381" s="2" t="str">
        <f>"22744657"</f>
        <v>22744657</v>
      </c>
      <c r="D381" s="2" t="s">
        <v>283</v>
      </c>
      <c r="E381" s="4">
        <v>13500</v>
      </c>
    </row>
    <row r="382" spans="1:5" ht="26.25" x14ac:dyDescent="0.25">
      <c r="A382" s="2" t="s">
        <v>11</v>
      </c>
      <c r="B382" s="2" t="str">
        <f>"6925871646581"</f>
        <v>6925871646581</v>
      </c>
      <c r="C382" s="2" t="str">
        <f>"22744658"</f>
        <v>22744658</v>
      </c>
      <c r="D382" s="2" t="s">
        <v>284</v>
      </c>
      <c r="E382" s="4">
        <v>11900</v>
      </c>
    </row>
    <row r="383" spans="1:5" ht="26.25" x14ac:dyDescent="0.25">
      <c r="A383" s="2" t="s">
        <v>11</v>
      </c>
      <c r="B383" s="2" t="str">
        <f>"6925871646888"</f>
        <v>6925871646888</v>
      </c>
      <c r="C383" s="2" t="str">
        <f>"22744688"</f>
        <v>22744688</v>
      </c>
      <c r="D383" s="2" t="s">
        <v>285</v>
      </c>
      <c r="E383" s="4">
        <v>17000</v>
      </c>
    </row>
    <row r="384" spans="1:5" ht="26.25" x14ac:dyDescent="0.25">
      <c r="A384" s="2" t="s">
        <v>11</v>
      </c>
      <c r="B384" s="2" t="str">
        <f>"6925871646956"</f>
        <v>6925871646956</v>
      </c>
      <c r="C384" s="2" t="str">
        <f>"22744695"</f>
        <v>22744695</v>
      </c>
      <c r="D384" s="2" t="s">
        <v>286</v>
      </c>
      <c r="E384" s="4">
        <v>15990</v>
      </c>
    </row>
    <row r="385" spans="1:5" ht="26.25" x14ac:dyDescent="0.25">
      <c r="A385" s="2" t="s">
        <v>11</v>
      </c>
      <c r="B385" s="2" t="str">
        <f>"6925871646987"</f>
        <v>6925871646987</v>
      </c>
      <c r="C385" s="2" t="str">
        <f>"22744698"</f>
        <v>22744698</v>
      </c>
      <c r="D385" s="2" t="s">
        <v>287</v>
      </c>
      <c r="E385" s="4">
        <v>17990</v>
      </c>
    </row>
    <row r="386" spans="1:5" ht="26.25" x14ac:dyDescent="0.25">
      <c r="A386" s="2" t="s">
        <v>11</v>
      </c>
      <c r="B386" s="2" t="str">
        <f>"6925871647083"</f>
        <v>6925871647083</v>
      </c>
      <c r="C386" s="2" t="str">
        <f>"22744708"</f>
        <v>22744708</v>
      </c>
      <c r="D386" s="2" t="s">
        <v>288</v>
      </c>
      <c r="E386" s="4">
        <v>14990</v>
      </c>
    </row>
    <row r="387" spans="1:5" ht="26.25" x14ac:dyDescent="0.25">
      <c r="A387" s="2" t="s">
        <v>11</v>
      </c>
      <c r="B387" s="2" t="str">
        <f>"6925871647113"</f>
        <v>6925871647113</v>
      </c>
      <c r="C387" s="2" t="str">
        <f>"22744711"</f>
        <v>22744711</v>
      </c>
      <c r="D387" s="2" t="s">
        <v>289</v>
      </c>
      <c r="E387" s="4">
        <v>15990</v>
      </c>
    </row>
    <row r="388" spans="1:5" ht="26.25" x14ac:dyDescent="0.25">
      <c r="A388" s="2" t="s">
        <v>11</v>
      </c>
      <c r="B388" s="2" t="str">
        <f>"6925871647120"</f>
        <v>6925871647120</v>
      </c>
      <c r="C388" s="2" t="str">
        <f>"22744712"</f>
        <v>22744712</v>
      </c>
      <c r="D388" s="2" t="s">
        <v>290</v>
      </c>
      <c r="E388" s="4">
        <v>14990</v>
      </c>
    </row>
    <row r="389" spans="1:5" ht="26.25" x14ac:dyDescent="0.25">
      <c r="A389" s="2" t="s">
        <v>11</v>
      </c>
      <c r="B389" s="2" t="str">
        <f>"6925871647137"</f>
        <v>6925871647137</v>
      </c>
      <c r="C389" s="2" t="str">
        <f>"22744713"</f>
        <v>22744713</v>
      </c>
      <c r="D389" s="2" t="s">
        <v>291</v>
      </c>
      <c r="E389" s="4">
        <v>15990</v>
      </c>
    </row>
    <row r="390" spans="1:5" ht="26.25" x14ac:dyDescent="0.25">
      <c r="A390" s="2" t="s">
        <v>11</v>
      </c>
      <c r="B390" s="2" t="str">
        <f>"6925871647144"</f>
        <v>6925871647144</v>
      </c>
      <c r="C390" s="2" t="str">
        <f>"22744714"</f>
        <v>22744714</v>
      </c>
      <c r="D390" s="2" t="s">
        <v>292</v>
      </c>
      <c r="E390" s="4">
        <v>16990</v>
      </c>
    </row>
    <row r="391" spans="1:5" ht="26.25" x14ac:dyDescent="0.25">
      <c r="A391" s="2" t="s">
        <v>11</v>
      </c>
      <c r="B391" s="2" t="str">
        <f>"6925871647151"</f>
        <v>6925871647151</v>
      </c>
      <c r="C391" s="2" t="str">
        <f>"22744715"</f>
        <v>22744715</v>
      </c>
      <c r="D391" s="2" t="s">
        <v>293</v>
      </c>
      <c r="E391" s="4">
        <v>21990</v>
      </c>
    </row>
    <row r="392" spans="1:5" ht="26.25" x14ac:dyDescent="0.25">
      <c r="A392" s="2" t="s">
        <v>11</v>
      </c>
      <c r="B392" s="2" t="str">
        <f>"6925871646062"</f>
        <v>6925871646062</v>
      </c>
      <c r="C392" s="2" t="str">
        <f>"22064806"</f>
        <v>22064806</v>
      </c>
      <c r="D392" s="2" t="s">
        <v>294</v>
      </c>
      <c r="E392" s="4">
        <v>14990</v>
      </c>
    </row>
    <row r="393" spans="1:5" ht="26.25" x14ac:dyDescent="0.25">
      <c r="A393" s="2" t="s">
        <v>11</v>
      </c>
      <c r="B393" s="2" t="str">
        <f>"6925871648264"</f>
        <v>6925871648264</v>
      </c>
      <c r="C393" s="2" t="str">
        <f>"22744826"</f>
        <v>22744826</v>
      </c>
      <c r="D393" s="2" t="s">
        <v>295</v>
      </c>
      <c r="E393" s="4">
        <v>13990</v>
      </c>
    </row>
    <row r="394" spans="1:5" ht="26.25" x14ac:dyDescent="0.25">
      <c r="A394" s="2" t="s">
        <v>11</v>
      </c>
      <c r="B394" s="2" t="str">
        <f>"6925871648332"</f>
        <v>6925871648332</v>
      </c>
      <c r="C394" s="2" t="str">
        <f>"22744833"</f>
        <v>22744833</v>
      </c>
      <c r="D394" s="2" t="s">
        <v>296</v>
      </c>
      <c r="E394" s="4">
        <v>17990</v>
      </c>
    </row>
    <row r="395" spans="1:5" ht="26.25" x14ac:dyDescent="0.25">
      <c r="A395" s="2" t="s">
        <v>11</v>
      </c>
      <c r="B395" s="2" t="str">
        <f>"6918888888778"</f>
        <v>6918888888778</v>
      </c>
      <c r="C395" s="2" t="str">
        <f>"40740400"</f>
        <v>40740400</v>
      </c>
      <c r="D395" s="2" t="s">
        <v>297</v>
      </c>
      <c r="E395" s="4">
        <v>21990</v>
      </c>
    </row>
    <row r="396" spans="1:5" ht="26.25" x14ac:dyDescent="0.25">
      <c r="A396" s="2" t="s">
        <v>11</v>
      </c>
      <c r="B396" s="2" t="str">
        <f>"7809601112357"</f>
        <v>7809601112357</v>
      </c>
      <c r="C396" s="2" t="str">
        <f>"92740068"</f>
        <v>92740068</v>
      </c>
      <c r="D396" s="2" t="s">
        <v>298</v>
      </c>
      <c r="E396" s="4">
        <v>15990</v>
      </c>
    </row>
    <row r="397" spans="1:5" ht="26.25" x14ac:dyDescent="0.25">
      <c r="A397" s="2" t="s">
        <v>11</v>
      </c>
      <c r="B397" s="2" t="str">
        <f>"6927900077533"</f>
        <v>6927900077533</v>
      </c>
      <c r="C397" s="2" t="str">
        <f>"987407753"</f>
        <v>987407753</v>
      </c>
      <c r="D397" s="2" t="s">
        <v>299</v>
      </c>
      <c r="E397" s="4">
        <v>21990</v>
      </c>
    </row>
    <row r="398" spans="1:5" ht="26.25" x14ac:dyDescent="0.25">
      <c r="A398" s="2" t="s">
        <v>11</v>
      </c>
      <c r="B398" s="2" t="str">
        <f>"22740300"</f>
        <v>22740300</v>
      </c>
      <c r="C398" s="2" t="str">
        <f>"22740300"</f>
        <v>22740300</v>
      </c>
      <c r="D398" s="2" t="s">
        <v>300</v>
      </c>
      <c r="E398" s="4">
        <v>19990</v>
      </c>
    </row>
    <row r="399" spans="1:5" ht="26.25" x14ac:dyDescent="0.25">
      <c r="A399" s="2" t="s">
        <v>11</v>
      </c>
      <c r="B399" s="2" t="str">
        <f>"7858816009952"</f>
        <v>7858816009952</v>
      </c>
      <c r="C399" s="2" t="str">
        <f>"87744126"</f>
        <v>87744126</v>
      </c>
      <c r="D399" s="2" t="s">
        <v>301</v>
      </c>
      <c r="E399" s="4">
        <v>12990</v>
      </c>
    </row>
    <row r="400" spans="1:5" ht="26.25" x14ac:dyDescent="0.25">
      <c r="A400" s="2" t="s">
        <v>11</v>
      </c>
      <c r="B400" s="2" t="str">
        <f>"7858816045288"</f>
        <v>7858816045288</v>
      </c>
      <c r="C400" s="2" t="str">
        <f>"87744528"</f>
        <v>87744528</v>
      </c>
      <c r="D400" s="2" t="s">
        <v>302</v>
      </c>
      <c r="E400" s="4">
        <v>8990</v>
      </c>
    </row>
    <row r="401" spans="1:5" ht="26.25" x14ac:dyDescent="0.25">
      <c r="A401" s="2" t="s">
        <v>11</v>
      </c>
      <c r="B401" s="2" t="str">
        <f>"6959110816800"</f>
        <v>6959110816800</v>
      </c>
      <c r="C401" s="2" t="str">
        <f>"87001414"</f>
        <v>87001414</v>
      </c>
      <c r="D401" s="2" t="s">
        <v>303</v>
      </c>
      <c r="E401" s="4">
        <v>19500</v>
      </c>
    </row>
    <row r="402" spans="1:5" ht="26.25" x14ac:dyDescent="0.25">
      <c r="A402" s="2" t="s">
        <v>11</v>
      </c>
      <c r="B402" s="2" t="str">
        <f>"7858816053313"</f>
        <v>7858816053313</v>
      </c>
      <c r="C402" s="2" t="str">
        <f>"87745331"</f>
        <v>87745331</v>
      </c>
      <c r="D402" s="2" t="s">
        <v>303</v>
      </c>
      <c r="E402" s="4">
        <v>9990</v>
      </c>
    </row>
    <row r="403" spans="1:5" ht="26.25" x14ac:dyDescent="0.25">
      <c r="A403" s="2" t="s">
        <v>11</v>
      </c>
      <c r="B403" s="2" t="str">
        <f>"7858816066856"</f>
        <v>7858816066856</v>
      </c>
      <c r="C403" s="2" t="str">
        <f>"87746685"</f>
        <v>87746685</v>
      </c>
      <c r="D403" s="2" t="s">
        <v>304</v>
      </c>
      <c r="E403" s="4">
        <v>13990</v>
      </c>
    </row>
    <row r="404" spans="1:5" ht="26.25" x14ac:dyDescent="0.25">
      <c r="A404" s="2" t="s">
        <v>11</v>
      </c>
      <c r="B404" s="2" t="str">
        <f>"7858816072192"</f>
        <v>7858816072192</v>
      </c>
      <c r="C404" s="2" t="str">
        <f>"87747219"</f>
        <v>87747219</v>
      </c>
      <c r="D404" s="2" t="s">
        <v>305</v>
      </c>
      <c r="E404" s="4">
        <v>12990</v>
      </c>
    </row>
    <row r="405" spans="1:5" ht="26.25" x14ac:dyDescent="0.25">
      <c r="A405" s="2" t="s">
        <v>11</v>
      </c>
      <c r="B405" s="2" t="str">
        <f>"7858816077418"</f>
        <v>7858816077418</v>
      </c>
      <c r="C405" s="2" t="str">
        <f>"87747741"</f>
        <v>87747741</v>
      </c>
      <c r="D405" s="2" t="s">
        <v>306</v>
      </c>
      <c r="E405" s="4">
        <v>17990</v>
      </c>
    </row>
    <row r="406" spans="1:5" ht="26.25" x14ac:dyDescent="0.25">
      <c r="A406" s="2" t="s">
        <v>11</v>
      </c>
      <c r="B406" s="2" t="str">
        <f>"7858816078514"</f>
        <v>7858816078514</v>
      </c>
      <c r="C406" s="2" t="str">
        <f>"87747551"</f>
        <v>87747551</v>
      </c>
      <c r="D406" s="2" t="s">
        <v>307</v>
      </c>
      <c r="E406" s="4">
        <v>25990</v>
      </c>
    </row>
    <row r="407" spans="1:5" ht="26.25" x14ac:dyDescent="0.25">
      <c r="A407" s="2" t="s">
        <v>11</v>
      </c>
      <c r="B407" s="2" t="str">
        <f>"7858816078507"</f>
        <v>7858816078507</v>
      </c>
      <c r="C407" s="2" t="str">
        <f>"87747850"</f>
        <v>87747850</v>
      </c>
      <c r="D407" s="2" t="s">
        <v>308</v>
      </c>
      <c r="E407" s="4">
        <v>17990</v>
      </c>
    </row>
    <row r="408" spans="1:5" ht="26.25" x14ac:dyDescent="0.25">
      <c r="A408" s="2" t="s">
        <v>11</v>
      </c>
      <c r="B408" s="2" t="str">
        <f>"7858816082603"</f>
        <v>7858816082603</v>
      </c>
      <c r="C408" s="2" t="str">
        <f>"87748260"</f>
        <v>87748260</v>
      </c>
      <c r="D408" s="2" t="s">
        <v>309</v>
      </c>
      <c r="E408" s="4">
        <v>14990</v>
      </c>
    </row>
    <row r="409" spans="1:5" ht="26.25" x14ac:dyDescent="0.25">
      <c r="A409" s="2" t="s">
        <v>11</v>
      </c>
      <c r="B409" s="2" t="str">
        <f>"7858816083020"</f>
        <v>7858816083020</v>
      </c>
      <c r="C409" s="2" t="str">
        <f>"87748302"</f>
        <v>87748302</v>
      </c>
      <c r="D409" s="2" t="s">
        <v>310</v>
      </c>
      <c r="E409" s="4">
        <v>17990</v>
      </c>
    </row>
    <row r="410" spans="1:5" ht="26.25" x14ac:dyDescent="0.25">
      <c r="A410" s="2" t="s">
        <v>11</v>
      </c>
      <c r="B410" s="2" t="str">
        <f>"7858816083815"</f>
        <v>7858816083815</v>
      </c>
      <c r="C410" s="2" t="str">
        <f>"87748381"</f>
        <v>87748381</v>
      </c>
      <c r="D410" s="2" t="s">
        <v>311</v>
      </c>
      <c r="E410" s="4">
        <v>22990</v>
      </c>
    </row>
    <row r="411" spans="1:5" ht="26.25" x14ac:dyDescent="0.25">
      <c r="A411" s="2" t="s">
        <v>11</v>
      </c>
      <c r="B411" s="2" t="str">
        <f>"7858816083822"</f>
        <v>7858816083822</v>
      </c>
      <c r="C411" s="2" t="str">
        <f>"87748382"</f>
        <v>87748382</v>
      </c>
      <c r="D411" s="2" t="s">
        <v>312</v>
      </c>
      <c r="E411" s="4">
        <v>18990</v>
      </c>
    </row>
    <row r="412" spans="1:5" ht="26.25" x14ac:dyDescent="0.25">
      <c r="A412" s="2" t="s">
        <v>11</v>
      </c>
      <c r="B412" s="2" t="str">
        <f>"7858816083839"</f>
        <v>7858816083839</v>
      </c>
      <c r="C412" s="2" t="str">
        <f>"87748383"</f>
        <v>87748383</v>
      </c>
      <c r="D412" s="2" t="s">
        <v>313</v>
      </c>
      <c r="E412" s="4">
        <v>19990</v>
      </c>
    </row>
    <row r="413" spans="1:5" ht="26.25" x14ac:dyDescent="0.25">
      <c r="A413" s="2" t="s">
        <v>11</v>
      </c>
      <c r="B413" s="2" t="str">
        <f>"7858816085239"</f>
        <v>7858816085239</v>
      </c>
      <c r="C413" s="2" t="str">
        <f>"87748523"</f>
        <v>87748523</v>
      </c>
      <c r="D413" s="2" t="s">
        <v>314</v>
      </c>
      <c r="E413" s="4">
        <v>21990</v>
      </c>
    </row>
    <row r="414" spans="1:5" ht="26.25" x14ac:dyDescent="0.25">
      <c r="A414" s="2" t="s">
        <v>11</v>
      </c>
      <c r="B414" s="2" t="str">
        <f>"7858816088933"</f>
        <v>7858816088933</v>
      </c>
      <c r="C414" s="2" t="str">
        <f>"87748893"</f>
        <v>87748893</v>
      </c>
      <c r="D414" s="2" t="s">
        <v>315</v>
      </c>
      <c r="E414" s="4">
        <v>11990</v>
      </c>
    </row>
    <row r="415" spans="1:5" ht="26.25" x14ac:dyDescent="0.25">
      <c r="A415" s="2" t="s">
        <v>11</v>
      </c>
      <c r="B415" s="2" t="str">
        <f>"7858816053320"</f>
        <v>7858816053320</v>
      </c>
      <c r="C415" s="2" t="str">
        <f>"87745332"</f>
        <v>87745332</v>
      </c>
      <c r="D415" s="2" t="s">
        <v>316</v>
      </c>
      <c r="E415" s="4">
        <v>11990</v>
      </c>
    </row>
    <row r="416" spans="1:5" ht="26.25" x14ac:dyDescent="0.25">
      <c r="A416" s="2" t="s">
        <v>11</v>
      </c>
      <c r="B416" s="2" t="str">
        <f>"7858816083808"</f>
        <v>7858816083808</v>
      </c>
      <c r="C416" s="2" t="str">
        <f>"87748380"</f>
        <v>87748380</v>
      </c>
      <c r="D416" s="2" t="s">
        <v>317</v>
      </c>
      <c r="E416" s="4">
        <v>18990</v>
      </c>
    </row>
    <row r="417" spans="1:5" ht="26.25" x14ac:dyDescent="0.25">
      <c r="A417" s="2" t="s">
        <v>11</v>
      </c>
      <c r="B417" s="2" t="str">
        <f>"6925281963056"</f>
        <v>6925281963056</v>
      </c>
      <c r="C417" s="2" t="str">
        <f>"92740115"</f>
        <v>92740115</v>
      </c>
      <c r="D417" s="2" t="s">
        <v>318</v>
      </c>
      <c r="E417" s="4">
        <v>39990</v>
      </c>
    </row>
    <row r="418" spans="1:5" ht="26.25" x14ac:dyDescent="0.25">
      <c r="A418" s="2" t="s">
        <v>11</v>
      </c>
      <c r="B418" s="2" t="str">
        <f>"6925281982804"</f>
        <v>6925281982804</v>
      </c>
      <c r="C418" s="2" t="str">
        <f>"92740510"</f>
        <v>92740510</v>
      </c>
      <c r="D418" s="2" t="s">
        <v>319</v>
      </c>
      <c r="E418" s="4">
        <v>44990</v>
      </c>
    </row>
    <row r="419" spans="1:5" ht="26.25" x14ac:dyDescent="0.25">
      <c r="A419" s="2" t="s">
        <v>11</v>
      </c>
      <c r="B419" s="2" t="str">
        <f>"6925281939952"</f>
        <v>6925281939952</v>
      </c>
      <c r="C419" s="2" t="str">
        <f>"63740500"</f>
        <v>63740500</v>
      </c>
      <c r="D419" s="2" t="s">
        <v>320</v>
      </c>
      <c r="E419" s="4">
        <v>49990</v>
      </c>
    </row>
    <row r="420" spans="1:5" ht="26.25" x14ac:dyDescent="0.25">
      <c r="A420" s="2" t="s">
        <v>11</v>
      </c>
      <c r="B420" s="2" t="str">
        <f>"6925281950025"</f>
        <v>6925281950025</v>
      </c>
      <c r="C420" s="2" t="str">
        <f>"92745348"</f>
        <v>92745348</v>
      </c>
      <c r="D420" s="2" t="s">
        <v>320</v>
      </c>
      <c r="E420" s="4">
        <v>44990</v>
      </c>
    </row>
    <row r="421" spans="1:5" ht="26.25" x14ac:dyDescent="0.25">
      <c r="A421" s="2" t="s">
        <v>11</v>
      </c>
      <c r="B421" s="2" t="str">
        <f>"021299194362"</f>
        <v>021299194362</v>
      </c>
      <c r="C421" s="2" t="str">
        <f>"98740115"</f>
        <v>98740115</v>
      </c>
      <c r="D421" s="2" t="s">
        <v>321</v>
      </c>
      <c r="E421" s="4">
        <v>17990</v>
      </c>
    </row>
    <row r="422" spans="1:5" ht="26.25" x14ac:dyDescent="0.25">
      <c r="A422" s="2" t="s">
        <v>11</v>
      </c>
      <c r="B422" s="2" t="str">
        <f>"177400160"</f>
        <v>177400160</v>
      </c>
      <c r="C422" s="2" t="str">
        <f>"177400160"</f>
        <v>177400160</v>
      </c>
      <c r="D422" s="2" t="s">
        <v>322</v>
      </c>
      <c r="E422" s="4">
        <v>12500</v>
      </c>
    </row>
    <row r="423" spans="1:5" ht="26.25" x14ac:dyDescent="0.25">
      <c r="A423" s="2" t="s">
        <v>11</v>
      </c>
      <c r="B423" s="2" t="str">
        <f>"17740180"</f>
        <v>17740180</v>
      </c>
      <c r="C423" s="2" t="str">
        <f>"17740180"</f>
        <v>17740180</v>
      </c>
      <c r="D423" s="2" t="s">
        <v>323</v>
      </c>
      <c r="E423" s="4">
        <v>11900</v>
      </c>
    </row>
    <row r="424" spans="1:5" ht="26.25" x14ac:dyDescent="0.25">
      <c r="A424" s="2" t="s">
        <v>11</v>
      </c>
      <c r="B424" s="2" t="str">
        <f>"87001150"</f>
        <v>87001150</v>
      </c>
      <c r="C424" s="2" t="str">
        <f>"87001150"</f>
        <v>87001150</v>
      </c>
      <c r="D424" s="2" t="s">
        <v>324</v>
      </c>
      <c r="E424" s="4">
        <v>19900</v>
      </c>
    </row>
    <row r="425" spans="1:5" ht="26.25" x14ac:dyDescent="0.25">
      <c r="A425" s="2" t="s">
        <v>11</v>
      </c>
      <c r="B425" s="2" t="str">
        <f>"6985176160151"</f>
        <v>6985176160151</v>
      </c>
      <c r="C425" s="2" t="str">
        <f>"81740015"</f>
        <v>81740015</v>
      </c>
      <c r="D425" s="2" t="s">
        <v>325</v>
      </c>
      <c r="E425" s="4">
        <v>23500</v>
      </c>
    </row>
    <row r="426" spans="1:5" ht="26.25" x14ac:dyDescent="0.25">
      <c r="A426" s="2" t="s">
        <v>11</v>
      </c>
      <c r="B426" s="2" t="str">
        <f>"731398522026"</f>
        <v>731398522026</v>
      </c>
      <c r="C426" s="2" t="str">
        <f>"98740522"</f>
        <v>98740522</v>
      </c>
      <c r="D426" s="2" t="s">
        <v>326</v>
      </c>
      <c r="E426" s="4">
        <v>15000</v>
      </c>
    </row>
    <row r="427" spans="1:5" ht="26.25" x14ac:dyDescent="0.25">
      <c r="A427" s="2" t="s">
        <v>327</v>
      </c>
      <c r="B427" s="2" t="str">
        <f>"6925871643160"</f>
        <v>6925871643160</v>
      </c>
      <c r="C427" s="2" t="str">
        <f>"22064316"</f>
        <v>22064316</v>
      </c>
      <c r="D427" s="2" t="s">
        <v>328</v>
      </c>
      <c r="E427" s="4">
        <v>18900</v>
      </c>
    </row>
    <row r="428" spans="1:5" ht="26.25" x14ac:dyDescent="0.25">
      <c r="A428" s="2" t="s">
        <v>11</v>
      </c>
      <c r="B428" s="2" t="str">
        <f>"025215502576"</f>
        <v>025215502576</v>
      </c>
      <c r="C428" s="2" t="str">
        <f>"60748338"</f>
        <v>60748338</v>
      </c>
      <c r="D428" s="2" t="s">
        <v>329</v>
      </c>
      <c r="E428" s="4">
        <v>16990</v>
      </c>
    </row>
    <row r="429" spans="1:5" ht="26.25" x14ac:dyDescent="0.25">
      <c r="A429" s="2" t="s">
        <v>11</v>
      </c>
      <c r="B429" s="2" t="str">
        <f>"025215502590"</f>
        <v>025215502590</v>
      </c>
      <c r="C429" s="2" t="str">
        <f>"60748340"</f>
        <v>60748340</v>
      </c>
      <c r="D429" s="2" t="s">
        <v>330</v>
      </c>
      <c r="E429" s="4">
        <v>16990</v>
      </c>
    </row>
    <row r="430" spans="1:5" ht="26.25" x14ac:dyDescent="0.25">
      <c r="A430" s="2" t="s">
        <v>11</v>
      </c>
      <c r="B430" s="2" t="str">
        <f>"025215502613"</f>
        <v>025215502613</v>
      </c>
      <c r="C430" s="2" t="str">
        <f>"60748342"</f>
        <v>60748342</v>
      </c>
      <c r="D430" s="2" t="s">
        <v>331</v>
      </c>
      <c r="E430" s="4">
        <v>16990</v>
      </c>
    </row>
    <row r="431" spans="1:5" ht="26.25" x14ac:dyDescent="0.25">
      <c r="A431" s="2" t="s">
        <v>11</v>
      </c>
      <c r="B431" s="2" t="str">
        <f>"025215502606"</f>
        <v>025215502606</v>
      </c>
      <c r="C431" s="2" t="str">
        <f>"30748341"</f>
        <v>30748341</v>
      </c>
      <c r="D431" s="2" t="s">
        <v>332</v>
      </c>
      <c r="E431" s="4">
        <v>16990</v>
      </c>
    </row>
    <row r="432" spans="1:5" ht="26.25" x14ac:dyDescent="0.25">
      <c r="A432" s="2" t="s">
        <v>11</v>
      </c>
      <c r="B432" s="2" t="str">
        <f>"025215503382"</f>
        <v>025215503382</v>
      </c>
      <c r="C432" s="2" t="str">
        <f>"60748420"</f>
        <v>60748420</v>
      </c>
      <c r="D432" s="2" t="s">
        <v>333</v>
      </c>
      <c r="E432" s="4">
        <v>29990</v>
      </c>
    </row>
    <row r="433" spans="1:5" ht="26.25" x14ac:dyDescent="0.25">
      <c r="A433" s="2" t="s">
        <v>11</v>
      </c>
      <c r="B433" s="2" t="str">
        <f>"025215503658"</f>
        <v>025215503658</v>
      </c>
      <c r="C433" s="2" t="str">
        <f>"60748447"</f>
        <v>60748447</v>
      </c>
      <c r="D433" s="2" t="s">
        <v>334</v>
      </c>
      <c r="E433" s="4">
        <v>31990</v>
      </c>
    </row>
    <row r="434" spans="1:5" ht="26.25" x14ac:dyDescent="0.25">
      <c r="A434" s="2" t="s">
        <v>11</v>
      </c>
      <c r="B434" s="2" t="str">
        <f>"025215503399"</f>
        <v>025215503399</v>
      </c>
      <c r="C434" s="2" t="str">
        <f>"60748421"</f>
        <v>60748421</v>
      </c>
      <c r="D434" s="2" t="s">
        <v>335</v>
      </c>
      <c r="E434" s="4">
        <v>31990</v>
      </c>
    </row>
    <row r="435" spans="1:5" ht="26.25" x14ac:dyDescent="0.25">
      <c r="A435" s="2" t="s">
        <v>11</v>
      </c>
      <c r="B435" s="2" t="str">
        <f>"025215500947"</f>
        <v>025215500947</v>
      </c>
      <c r="C435" s="2" t="str">
        <f>"60748175"</f>
        <v>60748175</v>
      </c>
      <c r="D435" s="2" t="s">
        <v>336</v>
      </c>
      <c r="E435" s="4">
        <v>19990</v>
      </c>
    </row>
    <row r="436" spans="1:5" ht="26.25" x14ac:dyDescent="0.25">
      <c r="A436" s="2" t="s">
        <v>11</v>
      </c>
      <c r="B436" s="2" t="str">
        <f>"025215442612"</f>
        <v>025215442612</v>
      </c>
      <c r="C436" s="2" t="str">
        <f>"60747305"</f>
        <v>60747305</v>
      </c>
      <c r="D436" s="2" t="s">
        <v>337</v>
      </c>
      <c r="E436" s="4">
        <v>20990</v>
      </c>
    </row>
    <row r="437" spans="1:5" ht="26.25" x14ac:dyDescent="0.25">
      <c r="A437" s="2" t="s">
        <v>11</v>
      </c>
      <c r="B437" s="2" t="str">
        <f>"025215443688"</f>
        <v>025215443688</v>
      </c>
      <c r="C437" s="2" t="str">
        <f>"60747304"</f>
        <v>60747304</v>
      </c>
      <c r="D437" s="2" t="s">
        <v>338</v>
      </c>
      <c r="E437" s="4">
        <v>20990</v>
      </c>
    </row>
    <row r="438" spans="1:5" ht="26.25" x14ac:dyDescent="0.25">
      <c r="A438" s="2" t="s">
        <v>11</v>
      </c>
      <c r="B438" s="2" t="str">
        <f>"10003258"</f>
        <v>10003258</v>
      </c>
      <c r="C438" s="2" t="str">
        <f>"10003258"</f>
        <v>10003258</v>
      </c>
      <c r="D438" s="2" t="s">
        <v>339</v>
      </c>
      <c r="E438" s="4">
        <v>11900</v>
      </c>
    </row>
    <row r="439" spans="1:5" ht="26.25" x14ac:dyDescent="0.25">
      <c r="A439" s="2" t="s">
        <v>11</v>
      </c>
      <c r="B439" s="2" t="str">
        <f>"6924494000213"</f>
        <v>6924494000213</v>
      </c>
      <c r="C439" s="2" t="str">
        <f>"27MXXMX800"</f>
        <v>27MXXMX800</v>
      </c>
      <c r="D439" s="2" t="s">
        <v>340</v>
      </c>
      <c r="E439" s="4">
        <v>29990</v>
      </c>
    </row>
    <row r="440" spans="1:5" ht="26.25" x14ac:dyDescent="0.25">
      <c r="A440" s="2" t="s">
        <v>11</v>
      </c>
      <c r="B440" s="2" t="str">
        <f>"7168227899258"</f>
        <v>7168227899258</v>
      </c>
      <c r="C440" s="2" t="str">
        <f>"27MXXTW9BK"</f>
        <v>27MXXTW9BK</v>
      </c>
      <c r="D440" s="2" t="s">
        <v>341</v>
      </c>
      <c r="E440" s="4">
        <v>24990</v>
      </c>
    </row>
    <row r="441" spans="1:5" ht="26.25" x14ac:dyDescent="0.25">
      <c r="A441" s="2" t="s">
        <v>11</v>
      </c>
      <c r="B441" s="2" t="str">
        <f>"6970476549309"</f>
        <v>6970476549309</v>
      </c>
      <c r="C441" s="2" t="str">
        <f>"76740013"</f>
        <v>76740013</v>
      </c>
      <c r="D441" s="2" t="s">
        <v>342</v>
      </c>
      <c r="E441" s="4">
        <v>15500</v>
      </c>
    </row>
    <row r="442" spans="1:5" ht="26.25" x14ac:dyDescent="0.25">
      <c r="A442" s="2" t="s">
        <v>11</v>
      </c>
      <c r="B442" s="2" t="str">
        <f>"5573400308373"</f>
        <v>5573400308373</v>
      </c>
      <c r="C442" s="2" t="str">
        <f>"76740460"</f>
        <v>76740460</v>
      </c>
      <c r="D442" s="2" t="s">
        <v>343</v>
      </c>
      <c r="E442" s="4">
        <v>11500</v>
      </c>
    </row>
    <row r="443" spans="1:5" ht="26.25" x14ac:dyDescent="0.25">
      <c r="A443" s="2" t="s">
        <v>11</v>
      </c>
      <c r="B443" s="2" t="str">
        <f>"76740006"</f>
        <v>76740006</v>
      </c>
      <c r="C443" s="2" t="str">
        <f>"76740006"</f>
        <v>76740006</v>
      </c>
      <c r="D443" s="2" t="s">
        <v>344</v>
      </c>
      <c r="E443" s="4">
        <v>13900</v>
      </c>
    </row>
    <row r="444" spans="1:5" ht="26.25" x14ac:dyDescent="0.25">
      <c r="A444" s="2" t="s">
        <v>11</v>
      </c>
      <c r="B444" s="2" t="str">
        <f>"6995411110124"</f>
        <v>6995411110124</v>
      </c>
      <c r="C444" s="2" t="str">
        <f>"76740015"</f>
        <v>76740015</v>
      </c>
      <c r="D444" s="2" t="s">
        <v>345</v>
      </c>
      <c r="E444" s="4">
        <v>13990</v>
      </c>
    </row>
    <row r="445" spans="1:5" ht="26.25" x14ac:dyDescent="0.25">
      <c r="A445" s="2" t="s">
        <v>11</v>
      </c>
      <c r="B445" s="2" t="str">
        <f>"6995411110131"</f>
        <v>6995411110131</v>
      </c>
      <c r="C445" s="2" t="str">
        <f>"76740002"</f>
        <v>76740002</v>
      </c>
      <c r="D445" s="2" t="s">
        <v>346</v>
      </c>
      <c r="E445" s="4">
        <v>13990</v>
      </c>
    </row>
    <row r="446" spans="1:5" ht="26.25" x14ac:dyDescent="0.25">
      <c r="A446" s="2" t="s">
        <v>11</v>
      </c>
      <c r="B446" s="2" t="str">
        <f>"7858816041303"</f>
        <v>7858816041303</v>
      </c>
      <c r="C446" s="2" t="str">
        <f>"87040035"</f>
        <v>87040035</v>
      </c>
      <c r="D446" s="2" t="s">
        <v>347</v>
      </c>
      <c r="E446" s="4">
        <v>8500</v>
      </c>
    </row>
    <row r="447" spans="1:5" ht="26.25" x14ac:dyDescent="0.25">
      <c r="A447" s="2" t="s">
        <v>11</v>
      </c>
      <c r="B447" s="2" t="str">
        <f>"6905631104094"</f>
        <v>6905631104094</v>
      </c>
      <c r="C447" s="2" t="str">
        <f>"40740047"</f>
        <v>40740047</v>
      </c>
      <c r="D447" s="2" t="s">
        <v>348</v>
      </c>
      <c r="E447" s="4">
        <v>12990</v>
      </c>
    </row>
    <row r="448" spans="1:5" ht="26.25" x14ac:dyDescent="0.25">
      <c r="A448" s="2" t="s">
        <v>11</v>
      </c>
      <c r="B448" s="2" t="str">
        <f>"10003812"</f>
        <v>10003812</v>
      </c>
      <c r="C448" s="2" t="str">
        <f>"10003812"</f>
        <v>10003812</v>
      </c>
      <c r="D448" s="2" t="s">
        <v>349</v>
      </c>
      <c r="E448" s="4">
        <v>12990</v>
      </c>
    </row>
    <row r="449" spans="1:5" ht="26.25" x14ac:dyDescent="0.25">
      <c r="A449" s="2" t="s">
        <v>11</v>
      </c>
      <c r="B449" s="2" t="str">
        <f>"10003371"</f>
        <v>10003371</v>
      </c>
      <c r="C449" s="2" t="str">
        <f>"10003371"</f>
        <v>10003371</v>
      </c>
      <c r="D449" s="2" t="s">
        <v>350</v>
      </c>
      <c r="E449" s="4">
        <v>94500</v>
      </c>
    </row>
    <row r="450" spans="1:5" ht="26.25" x14ac:dyDescent="0.25">
      <c r="A450" s="2" t="s">
        <v>11</v>
      </c>
      <c r="B450" s="2" t="str">
        <f>"6948006251146"</f>
        <v>6948006251146</v>
      </c>
      <c r="C450" s="2" t="str">
        <f>"34740003"</f>
        <v>34740003</v>
      </c>
      <c r="D450" s="2" t="s">
        <v>351</v>
      </c>
      <c r="E450" s="4">
        <v>36990</v>
      </c>
    </row>
    <row r="451" spans="1:5" ht="26.25" x14ac:dyDescent="0.25">
      <c r="A451" s="2" t="s">
        <v>11</v>
      </c>
      <c r="B451" s="2" t="str">
        <f>"695613991831"</f>
        <v>695613991831</v>
      </c>
      <c r="C451" s="2" t="str">
        <f>"25745250"</f>
        <v>25745250</v>
      </c>
      <c r="D451" s="2" t="s">
        <v>352</v>
      </c>
      <c r="E451" s="4">
        <v>29990</v>
      </c>
    </row>
    <row r="452" spans="1:5" ht="26.25" x14ac:dyDescent="0.25">
      <c r="A452" s="2" t="s">
        <v>11</v>
      </c>
      <c r="B452" s="2" t="str">
        <f>"6925970709279"</f>
        <v>6925970709279</v>
      </c>
      <c r="C452" s="2" t="str">
        <f>"98740250"</f>
        <v>98740250</v>
      </c>
      <c r="D452" s="2" t="s">
        <v>352</v>
      </c>
      <c r="E452" s="4">
        <v>21000</v>
      </c>
    </row>
    <row r="453" spans="1:5" ht="26.25" x14ac:dyDescent="0.25">
      <c r="A453" s="2" t="s">
        <v>11</v>
      </c>
      <c r="B453" s="2" t="str">
        <f>"889446005738"</f>
        <v>889446005738</v>
      </c>
      <c r="C453" s="2" t="str">
        <f>"98745738"</f>
        <v>98745738</v>
      </c>
      <c r="D453" s="2" t="s">
        <v>352</v>
      </c>
      <c r="E453" s="4">
        <v>20000</v>
      </c>
    </row>
    <row r="454" spans="1:5" ht="26.25" x14ac:dyDescent="0.25">
      <c r="A454" s="2" t="s">
        <v>11</v>
      </c>
      <c r="B454" s="2" t="str">
        <f>"6959033842771"</f>
        <v>6959033842771</v>
      </c>
      <c r="C454" s="2" t="str">
        <f>"98741613"</f>
        <v>98741613</v>
      </c>
      <c r="D454" s="2" t="s">
        <v>353</v>
      </c>
      <c r="E454" s="4">
        <v>17990</v>
      </c>
    </row>
    <row r="455" spans="1:5" ht="26.25" x14ac:dyDescent="0.25">
      <c r="A455" s="2" t="s">
        <v>11</v>
      </c>
      <c r="B455" s="2" t="str">
        <f>"889446007381"</f>
        <v>889446007381</v>
      </c>
      <c r="C455" s="2" t="str">
        <f>"25743075"</f>
        <v>25743075</v>
      </c>
      <c r="D455" s="2" t="s">
        <v>354</v>
      </c>
      <c r="E455" s="4">
        <v>39990</v>
      </c>
    </row>
    <row r="456" spans="1:5" ht="26.25" x14ac:dyDescent="0.25">
      <c r="A456" s="2" t="s">
        <v>11</v>
      </c>
      <c r="B456" s="2" t="str">
        <f>"889446008418"</f>
        <v>889446008418</v>
      </c>
      <c r="C456" s="2" t="str">
        <f>"25743175"</f>
        <v>25743175</v>
      </c>
      <c r="D456" s="2" t="s">
        <v>355</v>
      </c>
      <c r="E456" s="4">
        <v>44990</v>
      </c>
    </row>
    <row r="457" spans="1:5" ht="26.25" x14ac:dyDescent="0.25">
      <c r="A457" s="2" t="s">
        <v>11</v>
      </c>
      <c r="B457" s="2" t="str">
        <f>"6951796856125"</f>
        <v>6951796856125</v>
      </c>
      <c r="C457" s="2" t="str">
        <f>"10002992"</f>
        <v>10002992</v>
      </c>
      <c r="D457" s="2" t="s">
        <v>356</v>
      </c>
      <c r="E457" s="4">
        <v>18990</v>
      </c>
    </row>
    <row r="458" spans="1:5" ht="26.25" x14ac:dyDescent="0.25">
      <c r="A458" s="2" t="s">
        <v>11</v>
      </c>
      <c r="B458" s="2" t="str">
        <f>"6957258105459"</f>
        <v>6957258105459</v>
      </c>
      <c r="C458" s="2" t="str">
        <f>"76740404"</f>
        <v>76740404</v>
      </c>
      <c r="D458" s="2" t="s">
        <v>357</v>
      </c>
      <c r="E458" s="4">
        <v>12500</v>
      </c>
    </row>
    <row r="459" spans="1:5" ht="26.25" x14ac:dyDescent="0.25">
      <c r="A459" s="2" t="s">
        <v>11</v>
      </c>
      <c r="B459" s="2" t="str">
        <f>"6987457845160"</f>
        <v>6987457845160</v>
      </c>
      <c r="C459" s="2" t="str">
        <f>"34740016"</f>
        <v>34740016</v>
      </c>
      <c r="D459" s="2" t="s">
        <v>358</v>
      </c>
      <c r="E459" s="4">
        <v>19900</v>
      </c>
    </row>
    <row r="460" spans="1:5" ht="26.25" x14ac:dyDescent="0.25">
      <c r="A460" s="2" t="s">
        <v>11</v>
      </c>
      <c r="B460" s="2" t="str">
        <f>"87000799"</f>
        <v>87000799</v>
      </c>
      <c r="C460" s="2" t="str">
        <f>"87000799"</f>
        <v>87000799</v>
      </c>
      <c r="D460" s="2" t="s">
        <v>359</v>
      </c>
      <c r="E460" s="4">
        <v>19900</v>
      </c>
    </row>
    <row r="461" spans="1:5" ht="26.25" x14ac:dyDescent="0.25">
      <c r="A461" s="2" t="s">
        <v>11</v>
      </c>
      <c r="B461" s="2" t="str">
        <f>"5000000506197"</f>
        <v>5000000506197</v>
      </c>
      <c r="C461" s="2" t="str">
        <f>"76746197"</f>
        <v>76746197</v>
      </c>
      <c r="D461" s="2" t="s">
        <v>360</v>
      </c>
      <c r="E461" s="4">
        <v>13500</v>
      </c>
    </row>
    <row r="462" spans="1:5" ht="26.25" x14ac:dyDescent="0.25">
      <c r="A462" s="2" t="s">
        <v>11</v>
      </c>
      <c r="B462" s="2" t="str">
        <f>"5000000506196"</f>
        <v>5000000506196</v>
      </c>
      <c r="C462" s="2" t="str">
        <f>"76746196"</f>
        <v>76746196</v>
      </c>
      <c r="D462" s="2" t="s">
        <v>361</v>
      </c>
      <c r="E462" s="4">
        <v>15900</v>
      </c>
    </row>
    <row r="463" spans="1:5" ht="26.25" x14ac:dyDescent="0.25">
      <c r="A463" s="2" t="s">
        <v>11</v>
      </c>
      <c r="B463" s="2" t="str">
        <f>"5000000506195"</f>
        <v>5000000506195</v>
      </c>
      <c r="C463" s="2" t="str">
        <f>"76746195"</f>
        <v>76746195</v>
      </c>
      <c r="D463" s="2" t="s">
        <v>362</v>
      </c>
      <c r="E463" s="4">
        <v>15500</v>
      </c>
    </row>
    <row r="464" spans="1:5" ht="26.25" x14ac:dyDescent="0.25">
      <c r="A464" s="2" t="s">
        <v>11</v>
      </c>
      <c r="B464" s="2" t="str">
        <f>"10352233"</f>
        <v>10352233</v>
      </c>
      <c r="C464" s="2" t="str">
        <f>"10352233"</f>
        <v>10352233</v>
      </c>
      <c r="D464" s="2" t="s">
        <v>363</v>
      </c>
      <c r="E464" s="4">
        <v>10000</v>
      </c>
    </row>
    <row r="465" spans="1:5" ht="26.25" x14ac:dyDescent="0.25">
      <c r="A465" s="2" t="s">
        <v>11</v>
      </c>
      <c r="B465" s="2" t="str">
        <f>"870301150"</f>
        <v>870301150</v>
      </c>
      <c r="C465" s="2" t="str">
        <f>"870301150"</f>
        <v>870301150</v>
      </c>
      <c r="D465" s="2" t="s">
        <v>364</v>
      </c>
      <c r="E465" s="4">
        <v>19900</v>
      </c>
    </row>
    <row r="466" spans="1:5" ht="26.25" x14ac:dyDescent="0.25">
      <c r="A466" s="2" t="s">
        <v>209</v>
      </c>
      <c r="B466" s="2" t="str">
        <f>"10102673"</f>
        <v>10102673</v>
      </c>
      <c r="C466" s="2" t="str">
        <f>"10102673"</f>
        <v>10102673</v>
      </c>
      <c r="D466" s="2" t="s">
        <v>365</v>
      </c>
      <c r="E466" s="4">
        <v>12900</v>
      </c>
    </row>
    <row r="467" spans="1:5" ht="26.25" x14ac:dyDescent="0.25">
      <c r="A467" s="2" t="s">
        <v>11</v>
      </c>
      <c r="B467" s="2" t="str">
        <f>"87001151"</f>
        <v>87001151</v>
      </c>
      <c r="C467" s="2" t="str">
        <f>"87001151"</f>
        <v>87001151</v>
      </c>
      <c r="D467" s="2" t="s">
        <v>366</v>
      </c>
      <c r="E467" s="4">
        <v>14900</v>
      </c>
    </row>
    <row r="468" spans="1:5" ht="26.25" x14ac:dyDescent="0.25">
      <c r="A468" s="2" t="s">
        <v>11</v>
      </c>
      <c r="B468" s="2" t="str">
        <f>"80003477"</f>
        <v>80003477</v>
      </c>
      <c r="C468" s="2" t="str">
        <f>"80003477"</f>
        <v>80003477</v>
      </c>
      <c r="D468" s="2" t="s">
        <v>367</v>
      </c>
      <c r="E468" s="4">
        <v>22900</v>
      </c>
    </row>
    <row r="469" spans="1:5" ht="26.25" x14ac:dyDescent="0.25">
      <c r="A469" s="2" t="s">
        <v>11</v>
      </c>
      <c r="B469" s="2" t="str">
        <f>"8669885001629"</f>
        <v>8669885001629</v>
      </c>
      <c r="C469" s="2" t="str">
        <f>"66001629"</f>
        <v>66001629</v>
      </c>
      <c r="D469" s="2" t="s">
        <v>368</v>
      </c>
      <c r="E469" s="4">
        <v>18900</v>
      </c>
    </row>
    <row r="470" spans="1:5" ht="26.25" x14ac:dyDescent="0.25">
      <c r="A470" s="2" t="s">
        <v>11</v>
      </c>
      <c r="B470" s="2" t="str">
        <f>"698180000000"</f>
        <v>698180000000</v>
      </c>
      <c r="C470" s="2" t="str">
        <f>"39740028"</f>
        <v>39740028</v>
      </c>
      <c r="D470" s="2" t="s">
        <v>369</v>
      </c>
      <c r="E470" s="4">
        <v>26990</v>
      </c>
    </row>
    <row r="471" spans="1:5" ht="26.25" x14ac:dyDescent="0.25">
      <c r="A471" s="2" t="s">
        <v>327</v>
      </c>
      <c r="B471" s="2" t="str">
        <f>"6933863822639"</f>
        <v>6933863822639</v>
      </c>
      <c r="C471" s="2" t="str">
        <f>"10351821"</f>
        <v>10351821</v>
      </c>
      <c r="D471" s="2" t="s">
        <v>370</v>
      </c>
      <c r="E471" s="4">
        <v>18500</v>
      </c>
    </row>
    <row r="472" spans="1:5" ht="26.25" x14ac:dyDescent="0.25">
      <c r="A472" s="2" t="s">
        <v>209</v>
      </c>
      <c r="B472" s="2" t="str">
        <f>"25700077"</f>
        <v>25700077</v>
      </c>
      <c r="C472" s="2" t="str">
        <f>"25700077"</f>
        <v>25700077</v>
      </c>
      <c r="D472" s="2" t="s">
        <v>371</v>
      </c>
      <c r="E472" s="4">
        <v>14900</v>
      </c>
    </row>
    <row r="473" spans="1:5" ht="26.25" x14ac:dyDescent="0.25">
      <c r="A473" s="2" t="s">
        <v>11</v>
      </c>
      <c r="B473" s="2" t="str">
        <f>"6927900010523"</f>
        <v>6927900010523</v>
      </c>
      <c r="C473" s="2" t="str">
        <f>"25747050"</f>
        <v>25747050</v>
      </c>
      <c r="D473" s="2" t="s">
        <v>372</v>
      </c>
      <c r="E473" s="4">
        <v>18990</v>
      </c>
    </row>
    <row r="474" spans="1:5" ht="26.25" x14ac:dyDescent="0.25">
      <c r="A474" s="2" t="s">
        <v>11</v>
      </c>
      <c r="B474" s="2" t="str">
        <f>"6927900010288"</f>
        <v>6927900010288</v>
      </c>
      <c r="C474" s="2" t="str">
        <f>"25744175"</f>
        <v>25744175</v>
      </c>
      <c r="D474" s="2" t="s">
        <v>373</v>
      </c>
      <c r="E474" s="4">
        <v>21990</v>
      </c>
    </row>
    <row r="475" spans="1:5" ht="26.25" x14ac:dyDescent="0.25">
      <c r="A475" s="2" t="s">
        <v>11</v>
      </c>
      <c r="B475" s="2" t="str">
        <f>"6927900010516"</f>
        <v>6927900010516</v>
      </c>
      <c r="C475" s="2" t="str">
        <f>"25740516"</f>
        <v>25740516</v>
      </c>
      <c r="D475" s="2" t="s">
        <v>373</v>
      </c>
      <c r="E475" s="4">
        <v>19990</v>
      </c>
    </row>
    <row r="476" spans="1:5" ht="26.25" x14ac:dyDescent="0.25">
      <c r="A476" s="2" t="s">
        <v>11</v>
      </c>
      <c r="B476" s="2" t="str">
        <f>"22740901"</f>
        <v>22740901</v>
      </c>
      <c r="C476" s="2" t="str">
        <f>"22740901"</f>
        <v>22740901</v>
      </c>
      <c r="D476" s="2" t="s">
        <v>374</v>
      </c>
      <c r="E476" s="4">
        <v>15990</v>
      </c>
    </row>
    <row r="477" spans="1:5" ht="26.25" x14ac:dyDescent="0.25">
      <c r="A477" s="2" t="s">
        <v>11</v>
      </c>
      <c r="B477" s="2" t="str">
        <f>"22740903"</f>
        <v>22740903</v>
      </c>
      <c r="C477" s="2" t="str">
        <f>"22740903"</f>
        <v>22740903</v>
      </c>
      <c r="D477" s="2" t="s">
        <v>375</v>
      </c>
      <c r="E477" s="4">
        <v>14990</v>
      </c>
    </row>
    <row r="478" spans="1:5" ht="26.25" x14ac:dyDescent="0.25">
      <c r="A478" s="2" t="s">
        <v>11</v>
      </c>
      <c r="B478" s="2" t="str">
        <f>"6925146993013"</f>
        <v>6925146993013</v>
      </c>
      <c r="C478" s="2" t="str">
        <f>"34743013"</f>
        <v>34743013</v>
      </c>
      <c r="D478" s="2" t="s">
        <v>376</v>
      </c>
      <c r="E478" s="4">
        <v>19990</v>
      </c>
    </row>
    <row r="479" spans="1:5" ht="26.25" x14ac:dyDescent="0.25">
      <c r="A479" s="2" t="s">
        <v>11</v>
      </c>
      <c r="B479" s="2" t="str">
        <f>"6925146993037"</f>
        <v>6925146993037</v>
      </c>
      <c r="C479" s="2" t="str">
        <f>"34743037"</f>
        <v>34743037</v>
      </c>
      <c r="D479" s="2" t="s">
        <v>377</v>
      </c>
      <c r="E479" s="4">
        <v>19990</v>
      </c>
    </row>
    <row r="480" spans="1:5" ht="26.25" x14ac:dyDescent="0.25">
      <c r="A480" s="2" t="s">
        <v>11</v>
      </c>
      <c r="B480" s="2" t="str">
        <f>"6925146993020"</f>
        <v>6925146993020</v>
      </c>
      <c r="C480" s="2" t="str">
        <f>"34743020"</f>
        <v>34743020</v>
      </c>
      <c r="D480" s="2" t="s">
        <v>378</v>
      </c>
      <c r="E480" s="4">
        <v>19990</v>
      </c>
    </row>
    <row r="481" spans="1:5" ht="26.25" x14ac:dyDescent="0.25">
      <c r="A481" s="2" t="s">
        <v>11</v>
      </c>
      <c r="B481" s="2" t="str">
        <f>"34740700"</f>
        <v>34740700</v>
      </c>
      <c r="C481" s="2" t="str">
        <f>"34740700"</f>
        <v>34740700</v>
      </c>
      <c r="D481" s="2" t="s">
        <v>379</v>
      </c>
      <c r="E481" s="4">
        <v>15990</v>
      </c>
    </row>
    <row r="482" spans="1:5" ht="26.25" x14ac:dyDescent="0.25">
      <c r="A482" s="2" t="s">
        <v>11</v>
      </c>
      <c r="B482" s="2" t="str">
        <f>"34740712"</f>
        <v>34740712</v>
      </c>
      <c r="C482" s="2" t="str">
        <f>"34740712"</f>
        <v>34740712</v>
      </c>
      <c r="D482" s="2" t="s">
        <v>380</v>
      </c>
      <c r="E482" s="4">
        <v>24990</v>
      </c>
    </row>
    <row r="483" spans="1:5" ht="26.25" x14ac:dyDescent="0.25">
      <c r="A483" s="2" t="s">
        <v>11</v>
      </c>
      <c r="B483" s="2" t="str">
        <f>"87740012"</f>
        <v>87740012</v>
      </c>
      <c r="C483" s="2" t="str">
        <f>"87740012"</f>
        <v>87740012</v>
      </c>
      <c r="D483" s="2" t="s">
        <v>380</v>
      </c>
      <c r="E483" s="4">
        <v>14990</v>
      </c>
    </row>
    <row r="484" spans="1:5" ht="26.25" x14ac:dyDescent="0.25">
      <c r="A484" s="2" t="s">
        <v>11</v>
      </c>
      <c r="B484" s="2" t="str">
        <f>"61740700"</f>
        <v>61740700</v>
      </c>
      <c r="C484" s="2" t="str">
        <f>"61740700"</f>
        <v>61740700</v>
      </c>
      <c r="D484" s="2" t="s">
        <v>381</v>
      </c>
      <c r="E484" s="4">
        <v>14990</v>
      </c>
    </row>
    <row r="485" spans="1:5" ht="26.25" x14ac:dyDescent="0.25">
      <c r="A485" s="2" t="s">
        <v>11</v>
      </c>
      <c r="B485" s="2" t="str">
        <f>"34740711"</f>
        <v>34740711</v>
      </c>
      <c r="C485" s="2" t="str">
        <f>"34740711"</f>
        <v>34740711</v>
      </c>
      <c r="D485" s="2" t="s">
        <v>382</v>
      </c>
      <c r="E485" s="4">
        <v>14990</v>
      </c>
    </row>
    <row r="486" spans="1:5" ht="26.25" x14ac:dyDescent="0.25">
      <c r="A486" s="2" t="s">
        <v>11</v>
      </c>
      <c r="B486" s="2" t="str">
        <f>"76740012"</f>
        <v>76740012</v>
      </c>
      <c r="C486" s="2" t="str">
        <f>"76740012"</f>
        <v>76740012</v>
      </c>
      <c r="D486" s="2" t="s">
        <v>382</v>
      </c>
      <c r="E486" s="4">
        <v>14990</v>
      </c>
    </row>
    <row r="487" spans="1:5" ht="26.25" x14ac:dyDescent="0.25">
      <c r="A487" s="2" t="s">
        <v>11</v>
      </c>
      <c r="B487" s="2" t="str">
        <f>"61740712"</f>
        <v>61740712</v>
      </c>
      <c r="C487" s="2" t="str">
        <f>"61740712"</f>
        <v>61740712</v>
      </c>
      <c r="D487" s="2" t="s">
        <v>382</v>
      </c>
      <c r="E487" s="4">
        <v>14990</v>
      </c>
    </row>
    <row r="488" spans="1:5" ht="26.25" x14ac:dyDescent="0.25">
      <c r="A488" s="2" t="s">
        <v>11</v>
      </c>
      <c r="B488" s="2" t="str">
        <f>"61740713"</f>
        <v>61740713</v>
      </c>
      <c r="C488" s="2" t="str">
        <f>"61740713"</f>
        <v>61740713</v>
      </c>
      <c r="D488" s="2" t="s">
        <v>383</v>
      </c>
      <c r="E488" s="4">
        <v>19990</v>
      </c>
    </row>
    <row r="489" spans="1:5" ht="26.25" x14ac:dyDescent="0.25">
      <c r="A489" s="2" t="s">
        <v>11</v>
      </c>
      <c r="B489" s="2" t="str">
        <f>"76740700"</f>
        <v>76740700</v>
      </c>
      <c r="C489" s="2" t="str">
        <f>"76740700"</f>
        <v>76740700</v>
      </c>
      <c r="D489" s="2" t="s">
        <v>384</v>
      </c>
      <c r="E489" s="4">
        <v>14990</v>
      </c>
    </row>
    <row r="490" spans="1:5" ht="26.25" x14ac:dyDescent="0.25">
      <c r="A490" s="2" t="s">
        <v>11</v>
      </c>
      <c r="B490" s="2" t="str">
        <f>"6970927521008"</f>
        <v>6970927521008</v>
      </c>
      <c r="C490" s="2" t="str">
        <f>"34740720"</f>
        <v>34740720</v>
      </c>
      <c r="D490" s="2" t="s">
        <v>385</v>
      </c>
      <c r="E490" s="4">
        <v>14990</v>
      </c>
    </row>
    <row r="491" spans="1:5" ht="26.25" x14ac:dyDescent="0.25">
      <c r="A491" s="2" t="s">
        <v>11</v>
      </c>
      <c r="B491" s="2" t="str">
        <f>"61740709"</f>
        <v>61740709</v>
      </c>
      <c r="C491" s="2" t="str">
        <f>"61740709"</f>
        <v>61740709</v>
      </c>
      <c r="D491" s="2" t="s">
        <v>386</v>
      </c>
      <c r="E491" s="4">
        <v>13990</v>
      </c>
    </row>
    <row r="492" spans="1:5" ht="26.25" x14ac:dyDescent="0.25">
      <c r="A492" s="2" t="s">
        <v>11</v>
      </c>
      <c r="B492" s="2" t="str">
        <f>"76740720"</f>
        <v>76740720</v>
      </c>
      <c r="C492" s="2" t="str">
        <f>"76740720"</f>
        <v>76740720</v>
      </c>
      <c r="D492" s="2" t="s">
        <v>387</v>
      </c>
      <c r="E492" s="4">
        <v>19990</v>
      </c>
    </row>
    <row r="493" spans="1:5" ht="26.25" x14ac:dyDescent="0.25">
      <c r="A493" s="2" t="s">
        <v>11</v>
      </c>
      <c r="B493" s="2" t="str">
        <f>"34740300"</f>
        <v>34740300</v>
      </c>
      <c r="C493" s="2" t="str">
        <f>"34740300"</f>
        <v>34740300</v>
      </c>
      <c r="D493" s="2" t="s">
        <v>388</v>
      </c>
      <c r="E493" s="4">
        <v>22990</v>
      </c>
    </row>
    <row r="494" spans="1:5" ht="26.25" x14ac:dyDescent="0.25">
      <c r="A494" s="2" t="s">
        <v>11</v>
      </c>
      <c r="B494" s="2" t="str">
        <f>"6017051512097"</f>
        <v>6017051512097</v>
      </c>
      <c r="C494" s="2" t="str">
        <f>"10001510"</f>
        <v>10001510</v>
      </c>
      <c r="D494" s="2" t="s">
        <v>389</v>
      </c>
      <c r="E494" s="4">
        <v>5500</v>
      </c>
    </row>
    <row r="495" spans="1:5" ht="26.25" x14ac:dyDescent="0.25">
      <c r="A495" s="2" t="s">
        <v>11</v>
      </c>
      <c r="B495" s="2" t="str">
        <f>"10001649"</f>
        <v>10001649</v>
      </c>
      <c r="C495" s="2" t="str">
        <f>"10001649"</f>
        <v>10001649</v>
      </c>
      <c r="D495" s="2" t="s">
        <v>390</v>
      </c>
      <c r="E495" s="4">
        <v>12990</v>
      </c>
    </row>
    <row r="496" spans="1:5" ht="26.25" x14ac:dyDescent="0.25">
      <c r="A496" s="2" t="s">
        <v>11</v>
      </c>
      <c r="B496" s="2" t="str">
        <f>"10000261"</f>
        <v>10000261</v>
      </c>
      <c r="C496" s="2" t="str">
        <f>"10000261"</f>
        <v>10000261</v>
      </c>
      <c r="D496" s="2" t="s">
        <v>391</v>
      </c>
      <c r="E496" s="4">
        <v>11990</v>
      </c>
    </row>
    <row r="497" spans="1:5" ht="26.25" x14ac:dyDescent="0.25">
      <c r="A497" s="2" t="s">
        <v>11</v>
      </c>
      <c r="B497" s="2" t="str">
        <f>"6925871642095"</f>
        <v>6925871642095</v>
      </c>
      <c r="C497" s="2" t="str">
        <f>"22744209"</f>
        <v>22744209</v>
      </c>
      <c r="D497" s="2" t="s">
        <v>392</v>
      </c>
      <c r="E497" s="4">
        <v>8990</v>
      </c>
    </row>
    <row r="498" spans="1:5" ht="26.25" x14ac:dyDescent="0.25">
      <c r="A498" s="2" t="s">
        <v>11</v>
      </c>
      <c r="B498" s="2" t="str">
        <f>"2018103554007"</f>
        <v>2018103554007</v>
      </c>
      <c r="C498" s="2" t="str">
        <f>"18745400"</f>
        <v>18745400</v>
      </c>
      <c r="D498" s="2" t="s">
        <v>393</v>
      </c>
      <c r="E498" s="4">
        <v>11990</v>
      </c>
    </row>
    <row r="499" spans="1:5" ht="26.25" x14ac:dyDescent="0.25">
      <c r="A499" s="2" t="s">
        <v>11</v>
      </c>
      <c r="B499" s="2" t="str">
        <f>"4710007713686"</f>
        <v>4710007713686</v>
      </c>
      <c r="C499" s="2" t="str">
        <f>"65033686"</f>
        <v>65033686</v>
      </c>
      <c r="D499" s="2" t="s">
        <v>394</v>
      </c>
      <c r="E499" s="4">
        <v>13400</v>
      </c>
    </row>
    <row r="500" spans="1:5" ht="26.25" x14ac:dyDescent="0.25">
      <c r="A500" s="2" t="s">
        <v>11</v>
      </c>
      <c r="B500" s="2" t="str">
        <f>"6842863133082"</f>
        <v>6842863133082</v>
      </c>
      <c r="C500" s="2" t="str">
        <f>"40740004"</f>
        <v>40740004</v>
      </c>
      <c r="D500" s="2" t="s">
        <v>395</v>
      </c>
      <c r="E500" s="4">
        <v>18990</v>
      </c>
    </row>
    <row r="501" spans="1:5" ht="26.25" x14ac:dyDescent="0.25">
      <c r="A501" s="2" t="s">
        <v>11</v>
      </c>
      <c r="B501" s="2" t="str">
        <f>"66001636"</f>
        <v>66001636</v>
      </c>
      <c r="C501" s="2" t="str">
        <f>"66001636"</f>
        <v>66001636</v>
      </c>
      <c r="D501" s="2" t="s">
        <v>396</v>
      </c>
      <c r="E501" s="4">
        <v>12990</v>
      </c>
    </row>
    <row r="502" spans="1:5" ht="26.25" x14ac:dyDescent="0.25">
      <c r="A502" s="2" t="s">
        <v>11</v>
      </c>
      <c r="B502" s="2" t="s">
        <v>397</v>
      </c>
      <c r="C502" s="2" t="str">
        <f>"22740006"</f>
        <v>22740006</v>
      </c>
      <c r="D502" s="2" t="s">
        <v>398</v>
      </c>
      <c r="E502" s="4">
        <v>9990</v>
      </c>
    </row>
    <row r="503" spans="1:5" ht="26.25" x14ac:dyDescent="0.25">
      <c r="A503" s="2" t="s">
        <v>209</v>
      </c>
      <c r="B503" s="2" t="str">
        <f>"10000402"</f>
        <v>10000402</v>
      </c>
      <c r="C503" s="2" t="str">
        <f>"10000402"</f>
        <v>10000402</v>
      </c>
      <c r="D503" s="2" t="s">
        <v>399</v>
      </c>
      <c r="E503" s="4">
        <v>19900</v>
      </c>
    </row>
    <row r="504" spans="1:5" ht="26.25" x14ac:dyDescent="0.25">
      <c r="A504" s="2" t="s">
        <v>209</v>
      </c>
      <c r="B504" s="2" t="str">
        <f>"180022077034"</f>
        <v>180022077034</v>
      </c>
      <c r="C504" s="2" t="str">
        <f>"10109625"</f>
        <v>10109625</v>
      </c>
      <c r="D504" s="2" t="s">
        <v>400</v>
      </c>
      <c r="E504" s="4">
        <v>2700</v>
      </c>
    </row>
    <row r="505" spans="1:5" ht="26.25" x14ac:dyDescent="0.25">
      <c r="A505" s="2" t="s">
        <v>209</v>
      </c>
      <c r="B505" s="2" t="str">
        <f>"66027135"</f>
        <v>66027135</v>
      </c>
      <c r="C505" s="2" t="str">
        <f>"66027135"</f>
        <v>66027135</v>
      </c>
      <c r="D505" s="2" t="s">
        <v>401</v>
      </c>
      <c r="E505" s="4">
        <v>6500</v>
      </c>
    </row>
    <row r="506" spans="1:5" ht="26.25" x14ac:dyDescent="0.25">
      <c r="A506" s="2" t="s">
        <v>209</v>
      </c>
      <c r="B506" s="2" t="str">
        <f>"66002735"</f>
        <v>66002735</v>
      </c>
      <c r="C506" s="2" t="str">
        <f>"66002735"</f>
        <v>66002735</v>
      </c>
      <c r="D506" s="2" t="s">
        <v>402</v>
      </c>
      <c r="E506" s="4">
        <v>6200</v>
      </c>
    </row>
    <row r="507" spans="1:5" ht="26.25" x14ac:dyDescent="0.25">
      <c r="A507" s="2" t="s">
        <v>209</v>
      </c>
      <c r="B507" s="2" t="str">
        <f>"66002731"</f>
        <v>66002731</v>
      </c>
      <c r="C507" s="2" t="str">
        <f>"66002731"</f>
        <v>66002731</v>
      </c>
      <c r="D507" s="2" t="s">
        <v>403</v>
      </c>
      <c r="E507" s="4">
        <v>3900</v>
      </c>
    </row>
    <row r="508" spans="1:5" ht="26.25" x14ac:dyDescent="0.25">
      <c r="A508" s="2" t="s">
        <v>209</v>
      </c>
      <c r="B508" s="2" t="str">
        <f>"3325201512815"</f>
        <v>3325201512815</v>
      </c>
      <c r="C508" s="2" t="str">
        <f>"41030000"</f>
        <v>41030000</v>
      </c>
      <c r="D508" s="2" t="s">
        <v>404</v>
      </c>
      <c r="E508" s="4">
        <v>6000</v>
      </c>
    </row>
    <row r="509" spans="1:5" ht="26.25" x14ac:dyDescent="0.25">
      <c r="A509" s="2" t="s">
        <v>209</v>
      </c>
      <c r="B509" s="2" t="str">
        <f>"10003839"</f>
        <v>10003839</v>
      </c>
      <c r="C509" s="2" t="str">
        <f>"10003839"</f>
        <v>10003839</v>
      </c>
      <c r="D509" s="2" t="s">
        <v>405</v>
      </c>
      <c r="E509" s="4">
        <v>6900</v>
      </c>
    </row>
    <row r="510" spans="1:5" ht="26.25" x14ac:dyDescent="0.25">
      <c r="A510" s="2" t="s">
        <v>209</v>
      </c>
      <c r="B510" s="2" t="str">
        <f>"10003283"</f>
        <v>10003283</v>
      </c>
      <c r="C510" s="2" t="str">
        <f>"10003283"</f>
        <v>10003283</v>
      </c>
      <c r="D510" s="2" t="s">
        <v>406</v>
      </c>
      <c r="E510" s="4">
        <v>2500</v>
      </c>
    </row>
    <row r="511" spans="1:5" ht="26.25" x14ac:dyDescent="0.25">
      <c r="A511" s="2" t="s">
        <v>209</v>
      </c>
      <c r="B511" s="2" t="str">
        <f>"4710007726143"</f>
        <v>4710007726143</v>
      </c>
      <c r="C511" s="2" t="str">
        <f>"65036143"</f>
        <v>65036143</v>
      </c>
      <c r="D511" s="2" t="s">
        <v>407</v>
      </c>
      <c r="E511" s="4">
        <v>2500</v>
      </c>
    </row>
    <row r="512" spans="1:5" ht="26.25" x14ac:dyDescent="0.25">
      <c r="A512" s="2" t="s">
        <v>209</v>
      </c>
      <c r="B512" s="2" t="str">
        <f>"4710007726167"</f>
        <v>4710007726167</v>
      </c>
      <c r="C512" s="2" t="str">
        <f>"65036167"</f>
        <v>65036167</v>
      </c>
      <c r="D512" s="2" t="s">
        <v>408</v>
      </c>
      <c r="E512" s="4">
        <v>2500</v>
      </c>
    </row>
    <row r="513" spans="1:5" ht="26.25" x14ac:dyDescent="0.25">
      <c r="A513" s="2" t="s">
        <v>209</v>
      </c>
      <c r="B513" s="2" t="str">
        <f>"4710007726150"</f>
        <v>4710007726150</v>
      </c>
      <c r="C513" s="2" t="str">
        <f>"65036150"</f>
        <v>65036150</v>
      </c>
      <c r="D513" s="2" t="s">
        <v>409</v>
      </c>
      <c r="E513" s="4">
        <v>2500</v>
      </c>
    </row>
    <row r="514" spans="1:5" ht="26.25" x14ac:dyDescent="0.25">
      <c r="A514" s="2" t="s">
        <v>209</v>
      </c>
      <c r="B514" s="2" t="str">
        <f>"609585233744"</f>
        <v>609585233744</v>
      </c>
      <c r="C514" s="2" t="str">
        <f>"27PHL1200P"</f>
        <v>27PHL1200P</v>
      </c>
      <c r="D514" s="2" t="s">
        <v>410</v>
      </c>
      <c r="E514" s="4">
        <v>5990</v>
      </c>
    </row>
    <row r="515" spans="1:5" ht="26.25" x14ac:dyDescent="0.25">
      <c r="A515" s="2" t="s">
        <v>209</v>
      </c>
      <c r="B515" s="2" t="str">
        <f>"91101937"</f>
        <v>91101937</v>
      </c>
      <c r="C515" s="2" t="str">
        <f>"91101937"</f>
        <v>91101937</v>
      </c>
      <c r="D515" s="2" t="s">
        <v>411</v>
      </c>
      <c r="E515" s="4">
        <v>11500</v>
      </c>
    </row>
    <row r="516" spans="1:5" ht="26.25" x14ac:dyDescent="0.25">
      <c r="A516" s="2" t="s">
        <v>209</v>
      </c>
      <c r="B516" s="2" t="str">
        <f>"91101929"</f>
        <v>91101929</v>
      </c>
      <c r="C516" s="2" t="str">
        <f>"91101929"</f>
        <v>91101929</v>
      </c>
      <c r="D516" s="2" t="s">
        <v>412</v>
      </c>
      <c r="E516" s="4">
        <v>1300</v>
      </c>
    </row>
    <row r="517" spans="1:5" ht="26.25" x14ac:dyDescent="0.25">
      <c r="A517" s="2" t="s">
        <v>209</v>
      </c>
      <c r="B517" s="2" t="str">
        <f>"91101930"</f>
        <v>91101930</v>
      </c>
      <c r="C517" s="2" t="str">
        <f>"91101930"</f>
        <v>91101930</v>
      </c>
      <c r="D517" s="2" t="s">
        <v>413</v>
      </c>
      <c r="E517" s="4">
        <v>1300</v>
      </c>
    </row>
    <row r="518" spans="1:5" ht="26.25" x14ac:dyDescent="0.25">
      <c r="A518" s="2" t="s">
        <v>209</v>
      </c>
      <c r="B518" s="2" t="str">
        <f>"91101931"</f>
        <v>91101931</v>
      </c>
      <c r="C518" s="2" t="str">
        <f>"91101931"</f>
        <v>91101931</v>
      </c>
      <c r="D518" s="2" t="s">
        <v>414</v>
      </c>
      <c r="E518" s="4">
        <v>1300</v>
      </c>
    </row>
    <row r="519" spans="1:5" ht="26.25" x14ac:dyDescent="0.25">
      <c r="A519" s="2" t="s">
        <v>209</v>
      </c>
      <c r="B519" s="2" t="str">
        <f>"91101932"</f>
        <v>91101932</v>
      </c>
      <c r="C519" s="2" t="str">
        <f>"91101932"</f>
        <v>91101932</v>
      </c>
      <c r="D519" s="2" t="s">
        <v>415</v>
      </c>
      <c r="E519" s="4">
        <v>1300</v>
      </c>
    </row>
    <row r="520" spans="1:5" ht="26.25" x14ac:dyDescent="0.25">
      <c r="A520" s="2" t="s">
        <v>209</v>
      </c>
      <c r="B520" s="2" t="str">
        <f>"91101933"</f>
        <v>91101933</v>
      </c>
      <c r="C520" s="2" t="str">
        <f>"91101933"</f>
        <v>91101933</v>
      </c>
      <c r="D520" s="2" t="s">
        <v>416</v>
      </c>
      <c r="E520" s="4">
        <v>1300</v>
      </c>
    </row>
    <row r="521" spans="1:5" ht="26.25" x14ac:dyDescent="0.25">
      <c r="A521" s="2" t="s">
        <v>209</v>
      </c>
      <c r="B521" s="2" t="str">
        <f>"91101934"</f>
        <v>91101934</v>
      </c>
      <c r="C521" s="2" t="str">
        <f>"91101934"</f>
        <v>91101934</v>
      </c>
      <c r="D521" s="2" t="s">
        <v>417</v>
      </c>
      <c r="E521" s="4">
        <v>1300</v>
      </c>
    </row>
    <row r="522" spans="1:5" ht="26.25" x14ac:dyDescent="0.25">
      <c r="A522" s="2" t="s">
        <v>209</v>
      </c>
      <c r="B522" s="2" t="str">
        <f>"1000001090347"</f>
        <v>1000001090347</v>
      </c>
      <c r="C522" s="2" t="str">
        <f>"76030347"</f>
        <v>76030347</v>
      </c>
      <c r="D522" s="2" t="s">
        <v>418</v>
      </c>
      <c r="E522" s="4">
        <v>4500</v>
      </c>
    </row>
    <row r="523" spans="1:5" ht="26.25" x14ac:dyDescent="0.25">
      <c r="A523" s="2" t="s">
        <v>209</v>
      </c>
      <c r="B523" s="2" t="str">
        <f>"76030000"</f>
        <v>76030000</v>
      </c>
      <c r="C523" s="2" t="str">
        <f>"76030000"</f>
        <v>76030000</v>
      </c>
      <c r="D523" s="2" t="s">
        <v>419</v>
      </c>
      <c r="E523" s="4">
        <v>1900</v>
      </c>
    </row>
    <row r="524" spans="1:5" ht="26.25" x14ac:dyDescent="0.25">
      <c r="A524" s="2" t="s">
        <v>11</v>
      </c>
      <c r="B524" s="2" t="str">
        <f>"76740701"</f>
        <v>76740701</v>
      </c>
      <c r="C524" s="2" t="str">
        <f>"76740701"</f>
        <v>76740701</v>
      </c>
      <c r="D524" s="2" t="s">
        <v>420</v>
      </c>
      <c r="E524" s="4">
        <v>44990</v>
      </c>
    </row>
    <row r="525" spans="1:5" ht="26.25" x14ac:dyDescent="0.25">
      <c r="A525" s="2" t="s">
        <v>209</v>
      </c>
      <c r="B525" s="2" t="str">
        <f>"4710007729557"</f>
        <v>4710007729557</v>
      </c>
      <c r="C525" s="2" t="str">
        <f>"65030030"</f>
        <v>65030030</v>
      </c>
      <c r="D525" s="2" t="s">
        <v>421</v>
      </c>
      <c r="E525" s="4">
        <v>1450</v>
      </c>
    </row>
    <row r="526" spans="1:5" ht="26.25" x14ac:dyDescent="0.25">
      <c r="A526" s="2" t="s">
        <v>209</v>
      </c>
      <c r="B526" s="2" t="str">
        <f>"110346012"</f>
        <v>110346012</v>
      </c>
      <c r="C526" s="2" t="str">
        <f>"110346012"</f>
        <v>110346012</v>
      </c>
      <c r="D526" s="2" t="s">
        <v>422</v>
      </c>
      <c r="E526" s="4">
        <v>6000</v>
      </c>
    </row>
    <row r="527" spans="1:5" ht="26.25" x14ac:dyDescent="0.25">
      <c r="A527" s="2" t="s">
        <v>209</v>
      </c>
      <c r="B527" s="2" t="str">
        <f>"6925871613378"</f>
        <v>6925871613378</v>
      </c>
      <c r="C527" s="2" t="str">
        <f>"22031337"</f>
        <v>22031337</v>
      </c>
      <c r="D527" s="2" t="s">
        <v>423</v>
      </c>
      <c r="E527" s="4">
        <v>1500</v>
      </c>
    </row>
    <row r="528" spans="1:5" ht="26.25" x14ac:dyDescent="0.25">
      <c r="A528" s="2" t="s">
        <v>209</v>
      </c>
      <c r="B528" s="2" t="str">
        <f>"6925871611077"</f>
        <v>6925871611077</v>
      </c>
      <c r="C528" s="2" t="str">
        <f>"22031107"</f>
        <v>22031107</v>
      </c>
      <c r="D528" s="2" t="s">
        <v>424</v>
      </c>
      <c r="E528" s="4">
        <v>1500</v>
      </c>
    </row>
    <row r="529" spans="1:5" ht="26.25" x14ac:dyDescent="0.25">
      <c r="A529" s="2" t="s">
        <v>209</v>
      </c>
      <c r="B529" s="2" t="str">
        <f>"6925871611091"</f>
        <v>6925871611091</v>
      </c>
      <c r="C529" s="2" t="str">
        <f>"22031109"</f>
        <v>22031109</v>
      </c>
      <c r="D529" s="2" t="s">
        <v>425</v>
      </c>
      <c r="E529" s="4">
        <v>1500</v>
      </c>
    </row>
    <row r="530" spans="1:5" ht="26.25" x14ac:dyDescent="0.25">
      <c r="A530" s="2" t="s">
        <v>209</v>
      </c>
      <c r="B530" s="2" t="str">
        <f>"6925871621236"</f>
        <v>6925871621236</v>
      </c>
      <c r="C530" s="2" t="str">
        <f>"22742123"</f>
        <v>22742123</v>
      </c>
      <c r="D530" s="2" t="s">
        <v>426</v>
      </c>
      <c r="E530" s="4">
        <v>4500</v>
      </c>
    </row>
    <row r="531" spans="1:5" ht="26.25" x14ac:dyDescent="0.25">
      <c r="A531" s="2" t="s">
        <v>205</v>
      </c>
      <c r="B531" s="2" t="str">
        <f>"6925871626590"</f>
        <v>6925871626590</v>
      </c>
      <c r="C531" s="2" t="str">
        <f>"22352659"</f>
        <v>22352659</v>
      </c>
      <c r="D531" s="2" t="s">
        <v>427</v>
      </c>
      <c r="E531" s="4">
        <v>5000</v>
      </c>
    </row>
    <row r="532" spans="1:5" ht="26.25" x14ac:dyDescent="0.25">
      <c r="A532" s="2" t="s">
        <v>209</v>
      </c>
      <c r="B532" s="2" t="str">
        <f>"6925871629225"</f>
        <v>6925871629225</v>
      </c>
      <c r="C532" s="2" t="str">
        <f>"22032922"</f>
        <v>22032922</v>
      </c>
      <c r="D532" s="2" t="s">
        <v>428</v>
      </c>
      <c r="E532" s="4">
        <v>4500</v>
      </c>
    </row>
    <row r="533" spans="1:5" ht="26.25" x14ac:dyDescent="0.25">
      <c r="A533" s="2" t="s">
        <v>209</v>
      </c>
      <c r="B533" s="2" t="str">
        <f>"6925871631259"</f>
        <v>6925871631259</v>
      </c>
      <c r="C533" s="2" t="str">
        <f>"22743125"</f>
        <v>22743125</v>
      </c>
      <c r="D533" s="2" t="s">
        <v>429</v>
      </c>
      <c r="E533" s="4">
        <v>10990</v>
      </c>
    </row>
    <row r="534" spans="1:5" ht="26.25" x14ac:dyDescent="0.25">
      <c r="A534" s="2" t="s">
        <v>205</v>
      </c>
      <c r="B534" s="2" t="str">
        <f>"6953753028125"</f>
        <v>6953753028125</v>
      </c>
      <c r="C534" s="2" t="str">
        <f>"100311781"</f>
        <v>100311781</v>
      </c>
      <c r="D534" s="2" t="s">
        <v>430</v>
      </c>
      <c r="E534" s="4">
        <v>3500</v>
      </c>
    </row>
    <row r="535" spans="1:5" ht="26.25" x14ac:dyDescent="0.25">
      <c r="A535" s="2" t="s">
        <v>209</v>
      </c>
      <c r="B535" s="2" t="str">
        <f>"6971614314057"</f>
        <v>6971614314057</v>
      </c>
      <c r="C535" s="2" t="str">
        <f>"40030020"</f>
        <v>40030020</v>
      </c>
      <c r="D535" s="2" t="s">
        <v>431</v>
      </c>
      <c r="E535" s="4">
        <v>3000</v>
      </c>
    </row>
    <row r="536" spans="1:5" ht="26.25" x14ac:dyDescent="0.25">
      <c r="A536" s="2" t="s">
        <v>209</v>
      </c>
      <c r="B536" s="2" t="str">
        <f>"46035588"</f>
        <v>46035588</v>
      </c>
      <c r="C536" s="2" t="str">
        <f>"46035588"</f>
        <v>46035588</v>
      </c>
      <c r="D536" s="2" t="s">
        <v>432</v>
      </c>
      <c r="E536" s="4">
        <v>140000</v>
      </c>
    </row>
    <row r="537" spans="1:5" ht="26.25" x14ac:dyDescent="0.25">
      <c r="A537" s="2" t="s">
        <v>209</v>
      </c>
      <c r="B537" s="2" t="str">
        <f>"10103201"</f>
        <v>10103201</v>
      </c>
      <c r="C537" s="2" t="str">
        <f>"10103201"</f>
        <v>10103201</v>
      </c>
      <c r="D537" s="2" t="s">
        <v>433</v>
      </c>
      <c r="E537" s="4">
        <v>8500</v>
      </c>
    </row>
    <row r="538" spans="1:5" ht="26.25" x14ac:dyDescent="0.25">
      <c r="A538" s="2" t="s">
        <v>209</v>
      </c>
      <c r="B538" s="2" t="str">
        <f>"66000496"</f>
        <v>66000496</v>
      </c>
      <c r="C538" s="2" t="str">
        <f>"66000496"</f>
        <v>66000496</v>
      </c>
      <c r="D538" s="2" t="s">
        <v>434</v>
      </c>
      <c r="E538" s="4">
        <v>8500</v>
      </c>
    </row>
    <row r="539" spans="1:5" ht="26.25" x14ac:dyDescent="0.25">
      <c r="A539" s="2" t="s">
        <v>205</v>
      </c>
      <c r="B539" s="2" t="str">
        <f>"29UTXUP550"</f>
        <v>29UTXUP550</v>
      </c>
      <c r="C539" s="2" t="str">
        <f>"29UTXUP550"</f>
        <v>29UTXUP550</v>
      </c>
      <c r="D539" s="2" t="s">
        <v>435</v>
      </c>
      <c r="E539" s="4">
        <v>9990</v>
      </c>
    </row>
    <row r="540" spans="1:5" ht="26.25" x14ac:dyDescent="0.25">
      <c r="A540" s="2" t="s">
        <v>205</v>
      </c>
      <c r="B540" s="2" t="str">
        <f>"69353265"</f>
        <v>69353265</v>
      </c>
      <c r="C540" s="2" t="str">
        <f>"69353265"</f>
        <v>69353265</v>
      </c>
      <c r="D540" s="2" t="s">
        <v>436</v>
      </c>
      <c r="E540" s="4">
        <v>24990</v>
      </c>
    </row>
    <row r="541" spans="1:5" ht="26.25" x14ac:dyDescent="0.25">
      <c r="A541" s="2" t="s">
        <v>209</v>
      </c>
      <c r="B541" s="2" t="str">
        <f>"8603365023633"</f>
        <v>8603365023633</v>
      </c>
      <c r="C541" s="2" t="str">
        <f>"10112881"</f>
        <v>10112881</v>
      </c>
      <c r="D541" s="2" t="s">
        <v>437</v>
      </c>
      <c r="E541" s="4">
        <v>10990</v>
      </c>
    </row>
    <row r="542" spans="1:5" ht="26.25" x14ac:dyDescent="0.25">
      <c r="A542" s="2" t="s">
        <v>205</v>
      </c>
      <c r="B542" s="2" t="str">
        <f>"6925871668019"</f>
        <v>6925871668019</v>
      </c>
      <c r="C542" s="2" t="str">
        <f>"22356801"</f>
        <v>22356801</v>
      </c>
      <c r="D542" s="2" t="s">
        <v>438</v>
      </c>
      <c r="E542" s="4">
        <v>22990</v>
      </c>
    </row>
    <row r="543" spans="1:5" ht="26.25" x14ac:dyDescent="0.25">
      <c r="A543" s="2" t="s">
        <v>205</v>
      </c>
      <c r="B543" s="2" t="str">
        <f>"6925871668064"</f>
        <v>6925871668064</v>
      </c>
      <c r="C543" s="2" t="str">
        <f>"22356806"</f>
        <v>22356806</v>
      </c>
      <c r="D543" s="2" t="s">
        <v>439</v>
      </c>
      <c r="E543" s="4">
        <v>21990</v>
      </c>
    </row>
    <row r="544" spans="1:5" ht="26.25" x14ac:dyDescent="0.25">
      <c r="A544" s="2" t="s">
        <v>209</v>
      </c>
      <c r="B544" s="2" t="str">
        <f>"6925871668095"</f>
        <v>6925871668095</v>
      </c>
      <c r="C544" s="2" t="str">
        <f>"22356809"</f>
        <v>22356809</v>
      </c>
      <c r="D544" s="2" t="s">
        <v>440</v>
      </c>
      <c r="E544" s="4">
        <v>14990</v>
      </c>
    </row>
    <row r="545" spans="1:5" ht="26.25" x14ac:dyDescent="0.25">
      <c r="A545" s="2" t="s">
        <v>49</v>
      </c>
      <c r="B545" s="2" t="str">
        <f>"6925871668224"</f>
        <v>6925871668224</v>
      </c>
      <c r="C545" s="2" t="str">
        <f>"22936822"</f>
        <v>22936822</v>
      </c>
      <c r="D545" s="2" t="s">
        <v>441</v>
      </c>
      <c r="E545" s="4">
        <v>22990</v>
      </c>
    </row>
    <row r="546" spans="1:5" ht="26.25" x14ac:dyDescent="0.25">
      <c r="A546" s="2" t="s">
        <v>49</v>
      </c>
      <c r="B546" s="2" t="str">
        <f>"6925871668248"</f>
        <v>6925871668248</v>
      </c>
      <c r="C546" s="2" t="str">
        <f>"22936824"</f>
        <v>22936824</v>
      </c>
      <c r="D546" s="2" t="s">
        <v>442</v>
      </c>
      <c r="E546" s="4">
        <v>22990</v>
      </c>
    </row>
    <row r="547" spans="1:5" ht="26.25" x14ac:dyDescent="0.25">
      <c r="A547" s="2" t="s">
        <v>49</v>
      </c>
      <c r="B547" s="2" t="str">
        <f>"6925871668262"</f>
        <v>6925871668262</v>
      </c>
      <c r="C547" s="2" t="str">
        <f>"22936826"</f>
        <v>22936826</v>
      </c>
      <c r="D547" s="2" t="s">
        <v>443</v>
      </c>
      <c r="E547" s="4">
        <v>18990</v>
      </c>
    </row>
    <row r="548" spans="1:5" ht="26.25" x14ac:dyDescent="0.25">
      <c r="A548" s="2" t="s">
        <v>49</v>
      </c>
      <c r="B548" s="2" t="str">
        <f>"6831263681651"</f>
        <v>6831263681651</v>
      </c>
      <c r="C548" s="2" t="str">
        <f>"40930010"</f>
        <v>40930010</v>
      </c>
      <c r="D548" s="2" t="s">
        <v>444</v>
      </c>
      <c r="E548" s="4">
        <v>21990</v>
      </c>
    </row>
    <row r="549" spans="1:5" ht="26.25" x14ac:dyDescent="0.25">
      <c r="A549" s="2" t="s">
        <v>205</v>
      </c>
      <c r="B549" s="2" t="str">
        <f>"69350927"</f>
        <v>69350927</v>
      </c>
      <c r="C549" s="2" t="str">
        <f>"69350927"</f>
        <v>69350927</v>
      </c>
      <c r="D549" s="2" t="s">
        <v>445</v>
      </c>
      <c r="E549" s="4">
        <v>23990</v>
      </c>
    </row>
    <row r="550" spans="1:5" ht="26.25" x14ac:dyDescent="0.25">
      <c r="A550" s="2" t="s">
        <v>49</v>
      </c>
      <c r="B550" s="2" t="str">
        <f>"6826849841222"</f>
        <v>6826849841222</v>
      </c>
      <c r="C550" s="2" t="str">
        <f>"40930008"</f>
        <v>40930008</v>
      </c>
      <c r="D550" s="2" t="s">
        <v>446</v>
      </c>
      <c r="E550" s="4">
        <v>25990</v>
      </c>
    </row>
    <row r="551" spans="1:5" ht="26.25" x14ac:dyDescent="0.25">
      <c r="A551" s="2" t="s">
        <v>209</v>
      </c>
      <c r="B551" s="2" t="str">
        <f>"4710268233466"</f>
        <v>4710268233466</v>
      </c>
      <c r="C551" s="2" t="str">
        <f>"98030500"</f>
        <v>98030500</v>
      </c>
      <c r="D551" s="2" t="s">
        <v>447</v>
      </c>
      <c r="E551" s="4">
        <v>29990</v>
      </c>
    </row>
    <row r="552" spans="1:5" ht="26.25" x14ac:dyDescent="0.25">
      <c r="A552" s="2" t="s">
        <v>205</v>
      </c>
      <c r="B552" s="2" t="str">
        <f>"7867866017886"</f>
        <v>7867866017886</v>
      </c>
      <c r="C552" s="2" t="str">
        <f>"22351788"</f>
        <v>22351788</v>
      </c>
      <c r="D552" s="2" t="s">
        <v>448</v>
      </c>
      <c r="E552" s="4">
        <v>13990</v>
      </c>
    </row>
    <row r="553" spans="1:5" ht="26.25" x14ac:dyDescent="0.25">
      <c r="A553" s="2" t="s">
        <v>49</v>
      </c>
      <c r="B553" s="2" t="str">
        <f>"6948391227269"</f>
        <v>6948391227269</v>
      </c>
      <c r="C553" s="2" t="str">
        <f>"98350200"</f>
        <v>98350200</v>
      </c>
      <c r="D553" s="2" t="s">
        <v>449</v>
      </c>
      <c r="E553" s="4">
        <v>34990</v>
      </c>
    </row>
    <row r="554" spans="1:5" ht="26.25" x14ac:dyDescent="0.25">
      <c r="A554" s="2" t="s">
        <v>205</v>
      </c>
      <c r="B554" s="2" t="str">
        <f>"7858816053122"</f>
        <v>7858816053122</v>
      </c>
      <c r="C554" s="2" t="str">
        <f>"87355312"</f>
        <v>87355312</v>
      </c>
      <c r="D554" s="2" t="s">
        <v>450</v>
      </c>
      <c r="E554" s="4">
        <v>14990</v>
      </c>
    </row>
    <row r="555" spans="1:5" ht="26.25" x14ac:dyDescent="0.25">
      <c r="A555" s="2" t="s">
        <v>205</v>
      </c>
      <c r="B555" s="2" t="str">
        <f>"7858816056307"</f>
        <v>7858816056307</v>
      </c>
      <c r="C555" s="2" t="str">
        <f>"87355630"</f>
        <v>87355630</v>
      </c>
      <c r="D555" s="2" t="s">
        <v>451</v>
      </c>
      <c r="E555" s="4">
        <v>15990</v>
      </c>
    </row>
    <row r="556" spans="1:5" ht="26.25" x14ac:dyDescent="0.25">
      <c r="A556" s="2" t="s">
        <v>205</v>
      </c>
      <c r="B556" s="2" t="str">
        <f>"7858816058417"</f>
        <v>7858816058417</v>
      </c>
      <c r="C556" s="2" t="str">
        <f>"87355841"</f>
        <v>87355841</v>
      </c>
      <c r="D556" s="2" t="s">
        <v>452</v>
      </c>
      <c r="E556" s="4">
        <v>25990</v>
      </c>
    </row>
    <row r="557" spans="1:5" ht="26.25" x14ac:dyDescent="0.25">
      <c r="A557" s="2" t="s">
        <v>49</v>
      </c>
      <c r="B557" s="2" t="str">
        <f>"6823167498268"</f>
        <v>6823167498268</v>
      </c>
      <c r="C557" s="2" t="str">
        <f>"4093075"</f>
        <v>4093075</v>
      </c>
      <c r="D557" s="2" t="s">
        <v>453</v>
      </c>
      <c r="E557" s="4">
        <v>21990</v>
      </c>
    </row>
    <row r="558" spans="1:5" ht="26.25" x14ac:dyDescent="0.25">
      <c r="A558" s="2" t="s">
        <v>49</v>
      </c>
      <c r="B558" s="2" t="str">
        <f>"6956398302827"</f>
        <v>6956398302827</v>
      </c>
      <c r="C558" s="2" t="str">
        <f>"40930313"</f>
        <v>40930313</v>
      </c>
      <c r="D558" s="2" t="s">
        <v>454</v>
      </c>
      <c r="E558" s="4">
        <v>22990</v>
      </c>
    </row>
    <row r="559" spans="1:5" ht="26.25" x14ac:dyDescent="0.25">
      <c r="A559" s="2" t="s">
        <v>209</v>
      </c>
      <c r="B559" s="2" t="str">
        <f>"6956398302452"</f>
        <v>6956398302452</v>
      </c>
      <c r="C559" s="2" t="str">
        <f>"40930618"</f>
        <v>40930618</v>
      </c>
      <c r="D559" s="2" t="s">
        <v>455</v>
      </c>
      <c r="E559" s="4">
        <v>13990</v>
      </c>
    </row>
    <row r="560" spans="1:5" ht="26.25" x14ac:dyDescent="0.25">
      <c r="A560" s="2" t="s">
        <v>49</v>
      </c>
      <c r="B560" s="2" t="str">
        <f>"6956398302858"</f>
        <v>6956398302858</v>
      </c>
      <c r="C560" s="2" t="str">
        <f>"1020064"</f>
        <v>1020064</v>
      </c>
      <c r="D560" s="2" t="s">
        <v>456</v>
      </c>
      <c r="E560" s="4">
        <v>17990</v>
      </c>
    </row>
    <row r="561" spans="1:5" ht="26.25" x14ac:dyDescent="0.25">
      <c r="A561" s="2" t="s">
        <v>209</v>
      </c>
      <c r="B561" s="2" t="str">
        <f>"6956398302292"</f>
        <v>6956398302292</v>
      </c>
      <c r="C561" s="2" t="str">
        <f>"10002209"</f>
        <v>10002209</v>
      </c>
      <c r="D561" s="2" t="s">
        <v>457</v>
      </c>
      <c r="E561" s="4">
        <v>14990</v>
      </c>
    </row>
    <row r="562" spans="1:5" ht="26.25" x14ac:dyDescent="0.25">
      <c r="A562" s="2" t="s">
        <v>49</v>
      </c>
      <c r="B562" s="2" t="str">
        <f>"6972470560466"</f>
        <v>6972470560466</v>
      </c>
      <c r="C562" s="2" t="str">
        <f>"76350466"</f>
        <v>76350466</v>
      </c>
      <c r="D562" s="2" t="s">
        <v>458</v>
      </c>
      <c r="E562" s="4">
        <v>34990</v>
      </c>
    </row>
    <row r="563" spans="1:5" ht="26.25" x14ac:dyDescent="0.25">
      <c r="A563" s="2" t="s">
        <v>49</v>
      </c>
      <c r="B563" s="2" t="str">
        <f>"6972470560558"</f>
        <v>6972470560558</v>
      </c>
      <c r="C563" s="2" t="str">
        <f>"76350558"</f>
        <v>76350558</v>
      </c>
      <c r="D563" s="2" t="s">
        <v>458</v>
      </c>
      <c r="E563" s="4">
        <v>34990</v>
      </c>
    </row>
    <row r="564" spans="1:5" ht="26.25" x14ac:dyDescent="0.25">
      <c r="A564" s="2" t="s">
        <v>49</v>
      </c>
      <c r="B564" s="2" t="str">
        <f>"6972470560565"</f>
        <v>6972470560565</v>
      </c>
      <c r="C564" s="2" t="str">
        <f>"76350565"</f>
        <v>76350565</v>
      </c>
      <c r="D564" s="2" t="s">
        <v>458</v>
      </c>
      <c r="E564" s="4">
        <v>34990</v>
      </c>
    </row>
    <row r="565" spans="1:5" ht="26.25" x14ac:dyDescent="0.25">
      <c r="A565" s="2" t="s">
        <v>49</v>
      </c>
      <c r="B565" s="2" t="str">
        <f>"6972470560176"</f>
        <v>6972470560176</v>
      </c>
      <c r="C565" s="2" t="str">
        <f>"76720001"</f>
        <v>76720001</v>
      </c>
      <c r="D565" s="2" t="s">
        <v>459</v>
      </c>
      <c r="E565" s="4">
        <v>34990</v>
      </c>
    </row>
    <row r="566" spans="1:5" ht="26.25" x14ac:dyDescent="0.25">
      <c r="A566" s="2" t="s">
        <v>49</v>
      </c>
      <c r="B566" s="2" t="str">
        <f>"6972470560480"</f>
        <v>6972470560480</v>
      </c>
      <c r="C566" s="2" t="str">
        <f>"76720020"</f>
        <v>76720020</v>
      </c>
      <c r="D566" s="2" t="s">
        <v>460</v>
      </c>
      <c r="E566" s="4">
        <v>34990</v>
      </c>
    </row>
    <row r="567" spans="1:5" ht="26.25" x14ac:dyDescent="0.25">
      <c r="A567" s="2" t="s">
        <v>49</v>
      </c>
      <c r="B567" s="2" t="str">
        <f>"6972470560473"</f>
        <v>6972470560473</v>
      </c>
      <c r="C567" s="2" t="str">
        <f>"66355020"</f>
        <v>66355020</v>
      </c>
      <c r="D567" s="2" t="s">
        <v>460</v>
      </c>
      <c r="E567" s="4">
        <v>34990</v>
      </c>
    </row>
    <row r="568" spans="1:5" ht="26.25" x14ac:dyDescent="0.25">
      <c r="A568" s="2" t="s">
        <v>205</v>
      </c>
      <c r="B568" s="2" t="str">
        <f>"6972470560404"</f>
        <v>6972470560404</v>
      </c>
      <c r="C568" s="2" t="str">
        <f>"76350404"</f>
        <v>76350404</v>
      </c>
      <c r="D568" s="2" t="s">
        <v>461</v>
      </c>
      <c r="E568" s="4">
        <v>39900</v>
      </c>
    </row>
    <row r="569" spans="1:5" ht="26.25" x14ac:dyDescent="0.25">
      <c r="A569" s="2" t="s">
        <v>209</v>
      </c>
      <c r="B569" s="2" t="str">
        <f>"4710007730805"</f>
        <v>4710007730805</v>
      </c>
      <c r="C569" s="2" t="str">
        <f>"65030041"</f>
        <v>65030041</v>
      </c>
      <c r="D569" s="2" t="s">
        <v>462</v>
      </c>
      <c r="E569" s="4">
        <v>13490</v>
      </c>
    </row>
    <row r="570" spans="1:5" ht="26.25" x14ac:dyDescent="0.25">
      <c r="A570" s="2" t="s">
        <v>49</v>
      </c>
      <c r="B570" s="2" t="str">
        <f>"8713439224504"</f>
        <v>8713439224504</v>
      </c>
      <c r="C570" s="2" t="str">
        <f>"92930307"</f>
        <v>92930307</v>
      </c>
      <c r="D570" s="2" t="s">
        <v>463</v>
      </c>
      <c r="E570" s="4">
        <v>21990</v>
      </c>
    </row>
    <row r="571" spans="1:5" ht="26.25" x14ac:dyDescent="0.25">
      <c r="A571" s="2" t="s">
        <v>49</v>
      </c>
      <c r="B571" s="2" t="str">
        <f>"8713439232509"</f>
        <v>8713439232509</v>
      </c>
      <c r="C571" s="2" t="str">
        <f>"92933070"</f>
        <v>92933070</v>
      </c>
      <c r="D571" s="2" t="s">
        <v>464</v>
      </c>
      <c r="E571" s="4">
        <v>21990</v>
      </c>
    </row>
    <row r="572" spans="1:5" ht="26.25" x14ac:dyDescent="0.25">
      <c r="A572" s="2" t="s">
        <v>209</v>
      </c>
      <c r="B572" s="2" t="str">
        <f>"8713439228090"</f>
        <v>8713439228090</v>
      </c>
      <c r="C572" s="2" t="str">
        <f>"92034376"</f>
        <v>92034376</v>
      </c>
      <c r="D572" s="2" t="s">
        <v>465</v>
      </c>
      <c r="E572" s="4">
        <v>44990</v>
      </c>
    </row>
    <row r="573" spans="1:5" ht="26.25" x14ac:dyDescent="0.25">
      <c r="A573" s="2" t="s">
        <v>209</v>
      </c>
      <c r="B573" s="2" t="str">
        <f>"8713439219531"</f>
        <v>8713439219531</v>
      </c>
      <c r="C573" s="2" t="str">
        <f>"92371953"</f>
        <v>92371953</v>
      </c>
      <c r="D573" s="2" t="s">
        <v>466</v>
      </c>
      <c r="E573" s="4">
        <v>14990</v>
      </c>
    </row>
    <row r="574" spans="1:5" ht="26.25" x14ac:dyDescent="0.25">
      <c r="A574" s="2" t="s">
        <v>209</v>
      </c>
      <c r="B574" s="2" t="str">
        <f>"7298229005118"</f>
        <v>7298229005118</v>
      </c>
      <c r="C574" s="2" t="str">
        <f>"98030002"</f>
        <v>98030002</v>
      </c>
      <c r="D574" s="2" t="s">
        <v>467</v>
      </c>
      <c r="E574" s="4">
        <v>10990</v>
      </c>
    </row>
    <row r="575" spans="1:5" ht="26.25" x14ac:dyDescent="0.25">
      <c r="A575" s="2" t="s">
        <v>205</v>
      </c>
      <c r="B575" s="2" t="str">
        <f>"29GENH200C"</f>
        <v>29GENH200C</v>
      </c>
      <c r="C575" s="2" t="str">
        <f>"29GENH200C"</f>
        <v>29GENH200C</v>
      </c>
      <c r="D575" s="2" t="s">
        <v>468</v>
      </c>
      <c r="E575" s="4">
        <v>6500</v>
      </c>
    </row>
    <row r="576" spans="1:5" ht="26.25" x14ac:dyDescent="0.25">
      <c r="A576" s="2" t="s">
        <v>205</v>
      </c>
      <c r="B576" s="2" t="str">
        <f>"4710268235439"</f>
        <v>4710268235439</v>
      </c>
      <c r="C576" s="2" t="str">
        <f>"98930200"</f>
        <v>98930200</v>
      </c>
      <c r="D576" s="2" t="s">
        <v>468</v>
      </c>
      <c r="E576" s="4">
        <v>7990</v>
      </c>
    </row>
    <row r="577" spans="1:5" ht="26.25" x14ac:dyDescent="0.25">
      <c r="A577" s="2" t="s">
        <v>209</v>
      </c>
      <c r="B577" s="2" t="str">
        <f>"6932448204600"</f>
        <v>6932448204600</v>
      </c>
      <c r="C577" s="2" t="str">
        <f>"10005531"</f>
        <v>10005531</v>
      </c>
      <c r="D577" s="2" t="s">
        <v>469</v>
      </c>
      <c r="E577" s="4">
        <v>10500</v>
      </c>
    </row>
    <row r="578" spans="1:5" ht="26.25" x14ac:dyDescent="0.25">
      <c r="A578" s="2" t="s">
        <v>209</v>
      </c>
      <c r="B578" s="2" t="str">
        <f>"6925871662024"</f>
        <v>6925871662024</v>
      </c>
      <c r="C578" s="2" t="str">
        <f>"22746202"</f>
        <v>22746202</v>
      </c>
      <c r="D578" s="2" t="s">
        <v>470</v>
      </c>
      <c r="E578" s="4">
        <v>4230</v>
      </c>
    </row>
    <row r="579" spans="1:5" ht="26.25" x14ac:dyDescent="0.25">
      <c r="A579" s="2" t="s">
        <v>209</v>
      </c>
      <c r="B579" s="2" t="str">
        <f>"25007000"</f>
        <v>25007000</v>
      </c>
      <c r="C579" s="2" t="str">
        <f>"25007000"</f>
        <v>25007000</v>
      </c>
      <c r="D579" s="2" t="s">
        <v>471</v>
      </c>
      <c r="E579" s="4">
        <v>8500</v>
      </c>
    </row>
    <row r="580" spans="1:5" ht="26.25" x14ac:dyDescent="0.25">
      <c r="A580" s="2" t="s">
        <v>209</v>
      </c>
      <c r="B580" s="2" t="str">
        <f>"6972431710022"</f>
        <v>6972431710022</v>
      </c>
      <c r="C580" s="2" t="str">
        <f>"98031111"</f>
        <v>98031111</v>
      </c>
      <c r="D580" s="2" t="s">
        <v>472</v>
      </c>
      <c r="E580" s="4">
        <v>9990</v>
      </c>
    </row>
    <row r="581" spans="1:5" ht="26.25" x14ac:dyDescent="0.25">
      <c r="A581" s="2" t="s">
        <v>11</v>
      </c>
      <c r="B581" s="2" t="str">
        <f>"6936308200450"</f>
        <v>6936308200450</v>
      </c>
      <c r="C581" s="2" t="str">
        <f>"10062941"</f>
        <v>10062941</v>
      </c>
      <c r="D581" s="2" t="s">
        <v>473</v>
      </c>
      <c r="E581" s="4">
        <v>14900</v>
      </c>
    </row>
    <row r="582" spans="1:5" ht="26.25" x14ac:dyDescent="0.25">
      <c r="A582" s="2" t="s">
        <v>209</v>
      </c>
      <c r="B582" s="2" t="str">
        <f>"66275000"</f>
        <v>66275000</v>
      </c>
      <c r="C582" s="2" t="str">
        <f>"66275000"</f>
        <v>66275000</v>
      </c>
      <c r="D582" s="2" t="s">
        <v>474</v>
      </c>
      <c r="E582" s="4">
        <v>11000</v>
      </c>
    </row>
    <row r="583" spans="1:5" ht="26.25" x14ac:dyDescent="0.25">
      <c r="A583" s="2" t="s">
        <v>209</v>
      </c>
      <c r="B583" s="2" t="str">
        <f>"025215497223"</f>
        <v>025215497223</v>
      </c>
      <c r="C583" s="2" t="str">
        <f>"98030013"</f>
        <v>98030013</v>
      </c>
      <c r="D583" s="2" t="s">
        <v>475</v>
      </c>
      <c r="E583" s="4">
        <v>12990</v>
      </c>
    </row>
    <row r="584" spans="1:5" ht="26.25" x14ac:dyDescent="0.25">
      <c r="A584" s="2" t="s">
        <v>209</v>
      </c>
      <c r="B584" s="2" t="str">
        <f>"025215497216"</f>
        <v>025215497216</v>
      </c>
      <c r="C584" s="2" t="str">
        <f>"98031300"</f>
        <v>98031300</v>
      </c>
      <c r="D584" s="2" t="s">
        <v>476</v>
      </c>
      <c r="E584" s="4">
        <v>12990</v>
      </c>
    </row>
    <row r="585" spans="1:5" ht="26.25" x14ac:dyDescent="0.25">
      <c r="A585" s="2" t="s">
        <v>209</v>
      </c>
      <c r="B585" s="2" t="str">
        <f>"7858816048807"</f>
        <v>7858816048807</v>
      </c>
      <c r="C585" s="2" t="str">
        <f>"87034880"</f>
        <v>87034880</v>
      </c>
      <c r="D585" s="2" t="s">
        <v>477</v>
      </c>
      <c r="E585" s="4">
        <v>1500</v>
      </c>
    </row>
    <row r="586" spans="1:5" ht="26.25" x14ac:dyDescent="0.25">
      <c r="A586" s="2" t="s">
        <v>209</v>
      </c>
      <c r="B586" s="2" t="str">
        <f>"7252816073898"</f>
        <v>7252816073898</v>
      </c>
      <c r="C586" s="2" t="str">
        <f>"87037389"</f>
        <v>87037389</v>
      </c>
      <c r="D586" s="2" t="s">
        <v>478</v>
      </c>
      <c r="E586" s="4">
        <v>1500</v>
      </c>
    </row>
    <row r="587" spans="1:5" ht="26.25" x14ac:dyDescent="0.25">
      <c r="A587" s="2" t="s">
        <v>209</v>
      </c>
      <c r="B587" s="2" t="str">
        <f>"7858816075827"</f>
        <v>7858816075827</v>
      </c>
      <c r="C587" s="2" t="str">
        <f>"87037582"</f>
        <v>87037582</v>
      </c>
      <c r="D587" s="2" t="s">
        <v>479</v>
      </c>
      <c r="E587" s="4">
        <v>5500</v>
      </c>
    </row>
    <row r="588" spans="1:5" ht="26.25" x14ac:dyDescent="0.25">
      <c r="A588" s="2" t="s">
        <v>209</v>
      </c>
      <c r="B588" s="2" t="str">
        <f>"7858816079474"</f>
        <v>7858816079474</v>
      </c>
      <c r="C588" s="2" t="str">
        <f>"87037947"</f>
        <v>87037947</v>
      </c>
      <c r="D588" s="2" t="s">
        <v>480</v>
      </c>
      <c r="E588" s="4">
        <v>2500</v>
      </c>
    </row>
    <row r="589" spans="1:5" ht="26.25" x14ac:dyDescent="0.25">
      <c r="A589" s="2" t="s">
        <v>209</v>
      </c>
      <c r="B589" s="2" t="str">
        <f>"6925281915376"</f>
        <v>6925281915376</v>
      </c>
      <c r="C589" s="2" t="str">
        <f>"92030300"</f>
        <v>92030300</v>
      </c>
      <c r="D589" s="2" t="s">
        <v>481</v>
      </c>
      <c r="E589" s="4">
        <v>18990</v>
      </c>
    </row>
    <row r="590" spans="1:5" ht="26.25" x14ac:dyDescent="0.25">
      <c r="A590" s="2" t="s">
        <v>209</v>
      </c>
      <c r="B590" s="2" t="str">
        <f>"021299175484"</f>
        <v>021299175484</v>
      </c>
      <c r="C590" s="2" t="str">
        <f>"98030005"</f>
        <v>98030005</v>
      </c>
      <c r="D590" s="2" t="s">
        <v>482</v>
      </c>
      <c r="E590" s="4">
        <v>3000</v>
      </c>
    </row>
    <row r="591" spans="1:5" ht="26.25" x14ac:dyDescent="0.25">
      <c r="A591" s="2" t="s">
        <v>209</v>
      </c>
      <c r="B591" s="2" t="str">
        <f>"021299152447"</f>
        <v>021299152447</v>
      </c>
      <c r="C591" s="2" t="str">
        <f>"98030025"</f>
        <v>98030025</v>
      </c>
      <c r="D591" s="2" t="s">
        <v>483</v>
      </c>
      <c r="E591" s="4">
        <v>9990</v>
      </c>
    </row>
    <row r="592" spans="1:5" ht="26.25" x14ac:dyDescent="0.25">
      <c r="A592" s="2" t="s">
        <v>209</v>
      </c>
      <c r="B592" s="2" t="str">
        <f>"021299184998"</f>
        <v>021299184998</v>
      </c>
      <c r="C592" s="2" t="str">
        <f>"98034998"</f>
        <v>98034998</v>
      </c>
      <c r="D592" s="2" t="s">
        <v>484</v>
      </c>
      <c r="E592" s="4">
        <v>4990</v>
      </c>
    </row>
    <row r="593" spans="1:5" ht="26.25" x14ac:dyDescent="0.25">
      <c r="A593" s="2" t="s">
        <v>209</v>
      </c>
      <c r="B593" s="2" t="str">
        <f>"021299184936"</f>
        <v>021299184936</v>
      </c>
      <c r="C593" s="2" t="str">
        <f>"98084936"</f>
        <v>98084936</v>
      </c>
      <c r="D593" s="2" t="s">
        <v>485</v>
      </c>
      <c r="E593" s="4">
        <v>4990</v>
      </c>
    </row>
    <row r="594" spans="1:5" ht="26.25" x14ac:dyDescent="0.25">
      <c r="A594" s="2" t="s">
        <v>209</v>
      </c>
      <c r="B594" s="2" t="str">
        <f>"021299181003"</f>
        <v>021299181003</v>
      </c>
      <c r="C594" s="2" t="str">
        <f>"98031003"</f>
        <v>98031003</v>
      </c>
      <c r="D594" s="2" t="s">
        <v>486</v>
      </c>
      <c r="E594" s="4">
        <v>4990</v>
      </c>
    </row>
    <row r="595" spans="1:5" ht="26.25" x14ac:dyDescent="0.25">
      <c r="A595" s="2" t="s">
        <v>209</v>
      </c>
      <c r="B595" s="2" t="str">
        <f>"021299184981"</f>
        <v>021299184981</v>
      </c>
      <c r="C595" s="2" t="str">
        <f>"98034981"</f>
        <v>98034981</v>
      </c>
      <c r="D595" s="2" t="s">
        <v>487</v>
      </c>
      <c r="E595" s="4">
        <v>4990</v>
      </c>
    </row>
    <row r="596" spans="1:5" ht="26.25" x14ac:dyDescent="0.25">
      <c r="A596" s="2" t="s">
        <v>209</v>
      </c>
      <c r="B596" s="2" t="str">
        <f>"021299187746"</f>
        <v>021299187746</v>
      </c>
      <c r="C596" s="2" t="str">
        <f>"98037746"</f>
        <v>98037746</v>
      </c>
      <c r="D596" s="2" t="s">
        <v>488</v>
      </c>
      <c r="E596" s="4">
        <v>4990</v>
      </c>
    </row>
    <row r="597" spans="1:5" ht="26.25" x14ac:dyDescent="0.25">
      <c r="A597" s="2" t="s">
        <v>209</v>
      </c>
      <c r="B597" s="2" t="str">
        <f>"021299189108"</f>
        <v>021299189108</v>
      </c>
      <c r="C597" s="2" t="str">
        <f>"98030008"</f>
        <v>98030008</v>
      </c>
      <c r="D597" s="2" t="s">
        <v>489</v>
      </c>
      <c r="E597" s="4">
        <v>7990</v>
      </c>
    </row>
    <row r="598" spans="1:5" ht="26.25" x14ac:dyDescent="0.25">
      <c r="A598" s="2" t="s">
        <v>209</v>
      </c>
      <c r="B598" s="2" t="str">
        <f>"021299191705"</f>
        <v>021299191705</v>
      </c>
      <c r="C598" s="2" t="str">
        <f>"98080008"</f>
        <v>98080008</v>
      </c>
      <c r="D598" s="2" t="s">
        <v>490</v>
      </c>
      <c r="E598" s="4">
        <v>5990</v>
      </c>
    </row>
    <row r="599" spans="1:5" ht="26.25" x14ac:dyDescent="0.25">
      <c r="A599" s="2" t="s">
        <v>209</v>
      </c>
      <c r="B599" s="2" t="str">
        <f>"021299179727"</f>
        <v>021299179727</v>
      </c>
      <c r="C599" s="2" t="str">
        <f>"98039727"</f>
        <v>98039727</v>
      </c>
      <c r="D599" s="2" t="s">
        <v>491</v>
      </c>
      <c r="E599" s="4">
        <v>39990</v>
      </c>
    </row>
    <row r="600" spans="1:5" ht="26.25" x14ac:dyDescent="0.25">
      <c r="A600" s="2" t="s">
        <v>209</v>
      </c>
      <c r="B600" s="2" t="str">
        <f>"021299147610"</f>
        <v>021299147610</v>
      </c>
      <c r="C600" s="2" t="str">
        <f>"98030010"</f>
        <v>98030010</v>
      </c>
      <c r="D600" s="2" t="s">
        <v>492</v>
      </c>
      <c r="E600" s="4">
        <v>7990</v>
      </c>
    </row>
    <row r="601" spans="1:5" ht="26.25" x14ac:dyDescent="0.25">
      <c r="A601" s="2" t="s">
        <v>209</v>
      </c>
      <c r="B601" s="2" t="str">
        <f>"021299147801"</f>
        <v>021299147801</v>
      </c>
      <c r="C601" s="2" t="str">
        <f>"98030040"</f>
        <v>98030040</v>
      </c>
      <c r="D601" s="2" t="s">
        <v>493</v>
      </c>
      <c r="E601" s="4">
        <v>26990</v>
      </c>
    </row>
    <row r="602" spans="1:5" ht="26.25" x14ac:dyDescent="0.25">
      <c r="A602" s="2" t="s">
        <v>209</v>
      </c>
      <c r="B602" s="2" t="str">
        <f>"10032615"</f>
        <v>10032615</v>
      </c>
      <c r="C602" s="2" t="str">
        <f>"10032615"</f>
        <v>10032615</v>
      </c>
      <c r="D602" s="2" t="s">
        <v>494</v>
      </c>
      <c r="E602" s="4">
        <v>14900</v>
      </c>
    </row>
    <row r="603" spans="1:5" ht="26.25" x14ac:dyDescent="0.25">
      <c r="A603" s="2" t="s">
        <v>209</v>
      </c>
      <c r="B603" s="2" t="str">
        <f>"50030900"</f>
        <v>50030900</v>
      </c>
      <c r="C603" s="2" t="str">
        <f>"50030900"</f>
        <v>50030900</v>
      </c>
      <c r="D603" s="2" t="s">
        <v>495</v>
      </c>
      <c r="E603" s="4">
        <v>9000</v>
      </c>
    </row>
    <row r="604" spans="1:5" ht="26.25" x14ac:dyDescent="0.25">
      <c r="A604" s="2" t="s">
        <v>209</v>
      </c>
      <c r="B604" s="2" t="str">
        <f>"3010068"</f>
        <v>3010068</v>
      </c>
      <c r="C604" s="2" t="str">
        <f>"3010068"</f>
        <v>3010068</v>
      </c>
      <c r="D604" s="2" t="s">
        <v>496</v>
      </c>
      <c r="E604" s="4">
        <v>8900</v>
      </c>
    </row>
    <row r="605" spans="1:5" ht="26.25" x14ac:dyDescent="0.25">
      <c r="A605" s="2" t="s">
        <v>205</v>
      </c>
      <c r="B605" s="2" t="str">
        <f>"10031303"</f>
        <v>10031303</v>
      </c>
      <c r="C605" s="2" t="str">
        <f>"10031303"</f>
        <v>10031303</v>
      </c>
      <c r="D605" s="2" t="s">
        <v>497</v>
      </c>
      <c r="E605" s="4">
        <v>2990</v>
      </c>
    </row>
    <row r="606" spans="1:5" ht="26.25" x14ac:dyDescent="0.25">
      <c r="A606" s="2" t="s">
        <v>205</v>
      </c>
      <c r="B606" s="2" t="str">
        <f>"6925871614689"</f>
        <v>6925871614689</v>
      </c>
      <c r="C606" s="2" t="str">
        <f>"22741468"</f>
        <v>22741468</v>
      </c>
      <c r="D606" s="2" t="s">
        <v>498</v>
      </c>
      <c r="E606" s="4">
        <v>4100</v>
      </c>
    </row>
    <row r="607" spans="1:5" ht="26.25" x14ac:dyDescent="0.25">
      <c r="A607" s="2" t="s">
        <v>209</v>
      </c>
      <c r="B607" s="2" t="str">
        <f>"100304032"</f>
        <v>100304032</v>
      </c>
      <c r="C607" s="2" t="str">
        <f>"100304032"</f>
        <v>100304032</v>
      </c>
      <c r="D607" s="2" t="s">
        <v>499</v>
      </c>
      <c r="E607" s="4">
        <v>2500</v>
      </c>
    </row>
    <row r="608" spans="1:5" ht="26.25" x14ac:dyDescent="0.25">
      <c r="A608" s="2" t="s">
        <v>205</v>
      </c>
      <c r="B608" s="2" t="str">
        <f>"6980603800686"</f>
        <v>6980603800686</v>
      </c>
      <c r="C608" s="2" t="str">
        <f>"10351209"</f>
        <v>10351209</v>
      </c>
      <c r="D608" s="2" t="s">
        <v>500</v>
      </c>
      <c r="E608" s="4">
        <v>3000</v>
      </c>
    </row>
    <row r="609" spans="1:5" ht="26.25" x14ac:dyDescent="0.25">
      <c r="A609" s="2" t="s">
        <v>209</v>
      </c>
      <c r="B609" s="2" t="str">
        <f>"87008100"</f>
        <v>87008100</v>
      </c>
      <c r="C609" s="2" t="str">
        <f>"87008100"</f>
        <v>87008100</v>
      </c>
      <c r="D609" s="2" t="s">
        <v>501</v>
      </c>
      <c r="E609" s="4">
        <v>11900</v>
      </c>
    </row>
    <row r="610" spans="1:5" ht="26.25" x14ac:dyDescent="0.25">
      <c r="A610" s="2" t="s">
        <v>209</v>
      </c>
      <c r="B610" s="2" t="str">
        <f>"87001523"</f>
        <v>87001523</v>
      </c>
      <c r="C610" s="2" t="str">
        <f>"87001523"</f>
        <v>87001523</v>
      </c>
      <c r="D610" s="2" t="s">
        <v>502</v>
      </c>
      <c r="E610" s="4">
        <v>8300</v>
      </c>
    </row>
    <row r="611" spans="1:5" ht="26.25" x14ac:dyDescent="0.25">
      <c r="A611" s="2" t="s">
        <v>205</v>
      </c>
      <c r="B611" s="2" t="str">
        <f>"7804612213130"</f>
        <v>7804612213130</v>
      </c>
      <c r="C611" s="2" t="str">
        <f>"98350007"</f>
        <v>98350007</v>
      </c>
      <c r="D611" s="2" t="s">
        <v>503</v>
      </c>
      <c r="E611" s="4">
        <v>14490</v>
      </c>
    </row>
    <row r="612" spans="1:5" ht="26.25" x14ac:dyDescent="0.25">
      <c r="A612" s="2" t="s">
        <v>205</v>
      </c>
      <c r="B612" s="2" t="str">
        <f>"6650590706598"</f>
        <v>6650590706598</v>
      </c>
      <c r="C612" s="2" t="str">
        <f>"98350100"</f>
        <v>98350100</v>
      </c>
      <c r="D612" s="2" t="s">
        <v>504</v>
      </c>
      <c r="E612" s="4">
        <v>7000</v>
      </c>
    </row>
    <row r="613" spans="1:5" ht="26.25" x14ac:dyDescent="0.25">
      <c r="A613" s="2" t="s">
        <v>205</v>
      </c>
      <c r="B613" s="2" t="str">
        <f>"7804612212584"</f>
        <v>7804612212584</v>
      </c>
      <c r="C613" s="2" t="str">
        <f>"98030050"</f>
        <v>98030050</v>
      </c>
      <c r="D613" s="2" t="s">
        <v>505</v>
      </c>
      <c r="E613" s="4">
        <v>6500</v>
      </c>
    </row>
    <row r="614" spans="1:5" ht="26.25" x14ac:dyDescent="0.25">
      <c r="A614" s="2" t="s">
        <v>205</v>
      </c>
      <c r="B614" s="2" t="str">
        <f>"7804612212577"</f>
        <v>7804612212577</v>
      </c>
      <c r="C614" s="2" t="str">
        <f>"98030090"</f>
        <v>98030090</v>
      </c>
      <c r="D614" s="2" t="s">
        <v>506</v>
      </c>
      <c r="E614" s="4">
        <v>9900</v>
      </c>
    </row>
    <row r="615" spans="1:5" ht="26.25" x14ac:dyDescent="0.25">
      <c r="A615" s="2" t="s">
        <v>205</v>
      </c>
      <c r="B615" s="2" t="str">
        <f>"785881608766"</f>
        <v>785881608766</v>
      </c>
      <c r="C615" s="2" t="str">
        <f>"87358766"</f>
        <v>87358766</v>
      </c>
      <c r="D615" s="2" t="s">
        <v>507</v>
      </c>
      <c r="E615" s="4">
        <v>3500</v>
      </c>
    </row>
    <row r="616" spans="1:5" ht="26.25" x14ac:dyDescent="0.25">
      <c r="A616" s="2" t="s">
        <v>205</v>
      </c>
      <c r="B616" s="2" t="str">
        <f>"41351408"</f>
        <v>41351408</v>
      </c>
      <c r="C616" s="2" t="str">
        <f>"41351408"</f>
        <v>41351408</v>
      </c>
      <c r="D616" s="2" t="s">
        <v>508</v>
      </c>
      <c r="E616" s="4">
        <v>4500</v>
      </c>
    </row>
    <row r="617" spans="1:5" ht="26.25" x14ac:dyDescent="0.25">
      <c r="A617" s="2" t="s">
        <v>205</v>
      </c>
      <c r="B617" s="2" t="str">
        <f>"34350717"</f>
        <v>34350717</v>
      </c>
      <c r="C617" s="2" t="str">
        <f>"34350717"</f>
        <v>34350717</v>
      </c>
      <c r="D617" s="2" t="s">
        <v>509</v>
      </c>
      <c r="E617" s="4">
        <v>9990</v>
      </c>
    </row>
    <row r="618" spans="1:5" ht="26.25" x14ac:dyDescent="0.25">
      <c r="A618" s="2" t="s">
        <v>205</v>
      </c>
      <c r="B618" s="2" t="str">
        <f>"885909934102"</f>
        <v>885909934102</v>
      </c>
      <c r="C618" s="2" t="str">
        <f>"63034102"</f>
        <v>63034102</v>
      </c>
      <c r="D618" s="2" t="s">
        <v>510</v>
      </c>
      <c r="E618" s="4">
        <v>14490</v>
      </c>
    </row>
    <row r="619" spans="1:5" ht="26.25" x14ac:dyDescent="0.25">
      <c r="A619" s="2" t="s">
        <v>205</v>
      </c>
      <c r="B619" s="2" t="str">
        <f>"1578153255303"</f>
        <v>1578153255303</v>
      </c>
      <c r="C619" s="2" t="str">
        <f>"61350123"</f>
        <v>61350123</v>
      </c>
      <c r="D619" s="2" t="s">
        <v>511</v>
      </c>
      <c r="E619" s="4">
        <v>4000</v>
      </c>
    </row>
    <row r="620" spans="1:5" ht="26.25" x14ac:dyDescent="0.25">
      <c r="A620" s="2" t="s">
        <v>327</v>
      </c>
      <c r="B620" s="2" t="str">
        <f>"5000000506570"</f>
        <v>5000000506570</v>
      </c>
      <c r="C620" s="2" t="str">
        <f>"76066570"</f>
        <v>76066570</v>
      </c>
      <c r="D620" s="2" t="s">
        <v>512</v>
      </c>
      <c r="E620" s="4">
        <v>5900</v>
      </c>
    </row>
    <row r="621" spans="1:5" ht="26.25" x14ac:dyDescent="0.25">
      <c r="A621" s="2" t="s">
        <v>205</v>
      </c>
      <c r="B621" s="2" t="str">
        <f>"10109647"</f>
        <v>10109647</v>
      </c>
      <c r="C621" s="2" t="str">
        <f>"10109647"</f>
        <v>10109647</v>
      </c>
      <c r="D621" s="2" t="s">
        <v>513</v>
      </c>
      <c r="E621" s="4">
        <v>3000</v>
      </c>
    </row>
    <row r="622" spans="1:5" ht="26.25" x14ac:dyDescent="0.25">
      <c r="A622" s="2" t="s">
        <v>205</v>
      </c>
      <c r="B622" s="2" t="str">
        <f>"6952150160506"</f>
        <v>6952150160506</v>
      </c>
      <c r="C622" s="2" t="str">
        <f>"10111858"</f>
        <v>10111858</v>
      </c>
      <c r="D622" s="2" t="s">
        <v>514</v>
      </c>
      <c r="E622" s="4">
        <v>3990</v>
      </c>
    </row>
    <row r="623" spans="1:5" ht="26.25" x14ac:dyDescent="0.25">
      <c r="A623" s="2" t="s">
        <v>205</v>
      </c>
      <c r="B623" s="2" t="str">
        <f>"10112067"</f>
        <v>10112067</v>
      </c>
      <c r="C623" s="2" t="str">
        <f>"10112067"</f>
        <v>10112067</v>
      </c>
      <c r="D623" s="2" t="s">
        <v>515</v>
      </c>
      <c r="E623" s="4">
        <v>5500</v>
      </c>
    </row>
    <row r="624" spans="1:5" ht="26.25" x14ac:dyDescent="0.25">
      <c r="A624" s="2" t="s">
        <v>205</v>
      </c>
      <c r="B624" s="2" t="str">
        <f>"6942079551127"</f>
        <v>6942079551127</v>
      </c>
      <c r="C624" s="2" t="str">
        <f>"66001127"</f>
        <v>66001127</v>
      </c>
      <c r="D624" s="2" t="s">
        <v>516</v>
      </c>
      <c r="E624" s="4">
        <v>8500</v>
      </c>
    </row>
    <row r="625" spans="1:5" ht="26.25" x14ac:dyDescent="0.25">
      <c r="A625" s="2" t="s">
        <v>205</v>
      </c>
      <c r="B625" s="2" t="str">
        <f>"8351354153096"</f>
        <v>8351354153096</v>
      </c>
      <c r="C625" s="2" t="str">
        <f>"10113585"</f>
        <v>10113585</v>
      </c>
      <c r="D625" s="2" t="s">
        <v>517</v>
      </c>
      <c r="E625" s="4">
        <v>2000</v>
      </c>
    </row>
    <row r="626" spans="1:5" ht="26.25" x14ac:dyDescent="0.25">
      <c r="A626" s="2" t="s">
        <v>205</v>
      </c>
      <c r="B626" s="2" t="str">
        <f>"6972016271252"</f>
        <v>6972016271252</v>
      </c>
      <c r="C626" s="2" t="str">
        <f>"10001237"</f>
        <v>10001237</v>
      </c>
      <c r="D626" s="2" t="s">
        <v>518</v>
      </c>
      <c r="E626" s="4">
        <v>3990</v>
      </c>
    </row>
    <row r="627" spans="1:5" ht="26.25" x14ac:dyDescent="0.25">
      <c r="A627" s="2" t="s">
        <v>205</v>
      </c>
      <c r="B627" s="2" t="str">
        <f>"10002480"</f>
        <v>10002480</v>
      </c>
      <c r="C627" s="2" t="str">
        <f>"10002480"</f>
        <v>10002480</v>
      </c>
      <c r="D627" s="2" t="s">
        <v>519</v>
      </c>
      <c r="E627" s="4">
        <v>3500</v>
      </c>
    </row>
    <row r="628" spans="1:5" ht="26.25" x14ac:dyDescent="0.25">
      <c r="A628" s="2" t="s">
        <v>205</v>
      </c>
      <c r="B628" s="2" t="str">
        <f>"6932145782333"</f>
        <v>6932145782333</v>
      </c>
      <c r="C628" s="2" t="str">
        <f>"10002977"</f>
        <v>10002977</v>
      </c>
      <c r="D628" s="2" t="s">
        <v>520</v>
      </c>
      <c r="E628" s="4">
        <v>3000</v>
      </c>
    </row>
    <row r="629" spans="1:5" ht="26.25" x14ac:dyDescent="0.25">
      <c r="A629" s="2" t="s">
        <v>205</v>
      </c>
      <c r="B629" s="2" t="str">
        <f>"10003383"</f>
        <v>10003383</v>
      </c>
      <c r="C629" s="2" t="str">
        <f>"10003383"</f>
        <v>10003383</v>
      </c>
      <c r="D629" s="2" t="s">
        <v>521</v>
      </c>
      <c r="E629" s="4">
        <v>2000</v>
      </c>
    </row>
    <row r="630" spans="1:5" ht="26.25" x14ac:dyDescent="0.25">
      <c r="A630" s="2" t="s">
        <v>205</v>
      </c>
      <c r="B630" s="2" t="str">
        <f>"8809055013452"</f>
        <v>8809055013452</v>
      </c>
      <c r="C630" s="2" t="str">
        <f>"10004013"</f>
        <v>10004013</v>
      </c>
      <c r="D630" s="2" t="s">
        <v>522</v>
      </c>
      <c r="E630" s="4">
        <v>3500</v>
      </c>
    </row>
    <row r="631" spans="1:5" ht="26.25" x14ac:dyDescent="0.25">
      <c r="A631" s="2" t="s">
        <v>205</v>
      </c>
      <c r="B631" s="2" t="str">
        <f>"10004032"</f>
        <v>10004032</v>
      </c>
      <c r="C631" s="2" t="str">
        <f>"10004032"</f>
        <v>10004032</v>
      </c>
      <c r="D631" s="2" t="s">
        <v>523</v>
      </c>
      <c r="E631" s="4">
        <v>2500</v>
      </c>
    </row>
    <row r="632" spans="1:5" ht="26.25" x14ac:dyDescent="0.25">
      <c r="A632" s="2" t="s">
        <v>205</v>
      </c>
      <c r="B632" s="2" t="str">
        <f>"7796568108342"</f>
        <v>7796568108342</v>
      </c>
      <c r="C632" s="2" t="str">
        <f>"10000608"</f>
        <v>10000608</v>
      </c>
      <c r="D632" s="2" t="s">
        <v>524</v>
      </c>
      <c r="E632" s="4">
        <v>3990</v>
      </c>
    </row>
    <row r="633" spans="1:5" ht="26.25" x14ac:dyDescent="0.25">
      <c r="A633" s="2" t="s">
        <v>205</v>
      </c>
      <c r="B633" s="2" t="str">
        <f>"10009766"</f>
        <v>10009766</v>
      </c>
      <c r="C633" s="2" t="str">
        <f>"10009766"</f>
        <v>10009766</v>
      </c>
      <c r="D633" s="2" t="s">
        <v>525</v>
      </c>
      <c r="E633" s="4">
        <v>4990</v>
      </c>
    </row>
    <row r="634" spans="1:5" ht="26.25" x14ac:dyDescent="0.25">
      <c r="A634" s="2" t="s">
        <v>205</v>
      </c>
      <c r="B634" s="2" t="str">
        <f>"6921515602425"</f>
        <v>6921515602425</v>
      </c>
      <c r="C634" s="2" t="str">
        <f>"10002211"</f>
        <v>10002211</v>
      </c>
      <c r="D634" s="2" t="s">
        <v>526</v>
      </c>
      <c r="E634" s="4">
        <v>4990</v>
      </c>
    </row>
    <row r="635" spans="1:5" ht="26.25" x14ac:dyDescent="0.25">
      <c r="A635" s="2" t="s">
        <v>205</v>
      </c>
      <c r="B635" s="2" t="str">
        <f>"7350080716296"</f>
        <v>7350080716296</v>
      </c>
      <c r="C635" s="2" t="str">
        <f>"63350311"</f>
        <v>63350311</v>
      </c>
      <c r="D635" s="2" t="s">
        <v>527</v>
      </c>
      <c r="E635" s="4">
        <v>7500</v>
      </c>
    </row>
    <row r="636" spans="1:5" ht="26.25" x14ac:dyDescent="0.25">
      <c r="A636" s="2" t="s">
        <v>205</v>
      </c>
      <c r="B636" s="2" t="str">
        <f>"6986565961120"</f>
        <v>6986565961120</v>
      </c>
      <c r="C636" s="2" t="str">
        <f>"10113981"</f>
        <v>10113981</v>
      </c>
      <c r="D636" s="2" t="s">
        <v>528</v>
      </c>
      <c r="E636" s="4">
        <v>11990</v>
      </c>
    </row>
    <row r="637" spans="1:5" ht="26.25" x14ac:dyDescent="0.25">
      <c r="A637" s="2" t="s">
        <v>205</v>
      </c>
      <c r="B637" s="2" t="str">
        <f>"54370005"</f>
        <v>54370005</v>
      </c>
      <c r="C637" s="2" t="str">
        <f>"54370005"</f>
        <v>54370005</v>
      </c>
      <c r="D637" s="2" t="s">
        <v>529</v>
      </c>
      <c r="E637" s="4">
        <v>1000</v>
      </c>
    </row>
    <row r="638" spans="1:5" ht="26.25" x14ac:dyDescent="0.25">
      <c r="A638" s="2" t="s">
        <v>205</v>
      </c>
      <c r="B638" s="2" t="str">
        <f>"6987568414224"</f>
        <v>6987568414224</v>
      </c>
      <c r="C638" s="2" t="str">
        <f>"10010477"</f>
        <v>10010477</v>
      </c>
      <c r="D638" s="2" t="s">
        <v>530</v>
      </c>
      <c r="E638" s="4">
        <v>7990</v>
      </c>
    </row>
    <row r="639" spans="1:5" ht="26.25" x14ac:dyDescent="0.25">
      <c r="A639" s="2" t="s">
        <v>205</v>
      </c>
      <c r="B639" s="2" t="str">
        <f>"50350035"</f>
        <v>50350035</v>
      </c>
      <c r="C639" s="2" t="str">
        <f>"50350035"</f>
        <v>50350035</v>
      </c>
      <c r="D639" s="2" t="s">
        <v>531</v>
      </c>
      <c r="E639" s="4">
        <v>1000</v>
      </c>
    </row>
    <row r="640" spans="1:5" ht="26.25" x14ac:dyDescent="0.25">
      <c r="A640" s="2" t="s">
        <v>205</v>
      </c>
      <c r="B640" s="2" t="str">
        <f>"6925871610223"</f>
        <v>6925871610223</v>
      </c>
      <c r="C640" s="2" t="str">
        <f>"22351022"</f>
        <v>22351022</v>
      </c>
      <c r="D640" s="2" t="s">
        <v>532</v>
      </c>
      <c r="E640" s="4">
        <v>2500</v>
      </c>
    </row>
    <row r="641" spans="1:5" ht="26.25" x14ac:dyDescent="0.25">
      <c r="A641" s="2" t="s">
        <v>205</v>
      </c>
      <c r="B641" s="2" t="str">
        <f>"6925871610308"</f>
        <v>6925871610308</v>
      </c>
      <c r="C641" s="2" t="str">
        <f>"22351030"</f>
        <v>22351030</v>
      </c>
      <c r="D641" s="2" t="s">
        <v>533</v>
      </c>
      <c r="E641" s="4">
        <v>2500</v>
      </c>
    </row>
    <row r="642" spans="1:5" ht="26.25" x14ac:dyDescent="0.25">
      <c r="A642" s="2" t="s">
        <v>205</v>
      </c>
      <c r="B642" s="2" t="str">
        <f>"6925871610315"</f>
        <v>6925871610315</v>
      </c>
      <c r="C642" s="2" t="str">
        <f>"22351031"</f>
        <v>22351031</v>
      </c>
      <c r="D642" s="2" t="s">
        <v>534</v>
      </c>
      <c r="E642" s="4">
        <v>2500</v>
      </c>
    </row>
    <row r="643" spans="1:5" ht="26.25" x14ac:dyDescent="0.25">
      <c r="A643" s="2" t="s">
        <v>205</v>
      </c>
      <c r="B643" s="2" t="str">
        <f>"6925871610384"</f>
        <v>6925871610384</v>
      </c>
      <c r="C643" s="2" t="str">
        <f>"22351038"</f>
        <v>22351038</v>
      </c>
      <c r="D643" s="2" t="s">
        <v>535</v>
      </c>
      <c r="E643" s="4">
        <v>2500</v>
      </c>
    </row>
    <row r="644" spans="1:5" ht="26.25" x14ac:dyDescent="0.25">
      <c r="A644" s="2" t="s">
        <v>205</v>
      </c>
      <c r="B644" s="2" t="str">
        <f>"6925871611053"</f>
        <v>6925871611053</v>
      </c>
      <c r="C644" s="2" t="str">
        <f>"22351105"</f>
        <v>22351105</v>
      </c>
      <c r="D644" s="2" t="s">
        <v>536</v>
      </c>
      <c r="E644" s="4">
        <v>2990</v>
      </c>
    </row>
    <row r="645" spans="1:5" ht="26.25" x14ac:dyDescent="0.25">
      <c r="A645" s="2" t="s">
        <v>205</v>
      </c>
      <c r="B645" s="2" t="str">
        <f>"6925871611183"</f>
        <v>6925871611183</v>
      </c>
      <c r="C645" s="2" t="str">
        <f>"22351118"</f>
        <v>22351118</v>
      </c>
      <c r="D645" s="2" t="s">
        <v>537</v>
      </c>
      <c r="E645" s="4">
        <v>2990</v>
      </c>
    </row>
    <row r="646" spans="1:5" ht="26.25" x14ac:dyDescent="0.25">
      <c r="A646" s="2" t="s">
        <v>205</v>
      </c>
      <c r="B646" s="2" t="str">
        <f>"6925871611374"</f>
        <v>6925871611374</v>
      </c>
      <c r="C646" s="2" t="str">
        <f>"22741137"</f>
        <v>22741137</v>
      </c>
      <c r="D646" s="2" t="s">
        <v>538</v>
      </c>
      <c r="E646" s="4">
        <v>1600</v>
      </c>
    </row>
    <row r="647" spans="1:5" ht="26.25" x14ac:dyDescent="0.25">
      <c r="A647" s="2" t="s">
        <v>205</v>
      </c>
      <c r="B647" s="2" t="str">
        <f>"6925871611664"</f>
        <v>6925871611664</v>
      </c>
      <c r="C647" s="2" t="str">
        <f>"22351166"</f>
        <v>22351166</v>
      </c>
      <c r="D647" s="2" t="s">
        <v>539</v>
      </c>
      <c r="E647" s="4">
        <v>3500</v>
      </c>
    </row>
    <row r="648" spans="1:5" ht="26.25" x14ac:dyDescent="0.25">
      <c r="A648" s="2" t="s">
        <v>205</v>
      </c>
      <c r="B648" s="2" t="str">
        <f>"6925871612470"</f>
        <v>6925871612470</v>
      </c>
      <c r="C648" s="2" t="str">
        <f>"22351247"</f>
        <v>22351247</v>
      </c>
      <c r="D648" s="2" t="s">
        <v>540</v>
      </c>
      <c r="E648" s="4">
        <v>2000</v>
      </c>
    </row>
    <row r="649" spans="1:5" ht="26.25" x14ac:dyDescent="0.25">
      <c r="A649" s="2" t="s">
        <v>205</v>
      </c>
      <c r="B649" s="2" t="str">
        <f>"6925871612814"</f>
        <v>6925871612814</v>
      </c>
      <c r="C649" s="2" t="str">
        <f>"22351281"</f>
        <v>22351281</v>
      </c>
      <c r="D649" s="2" t="s">
        <v>541</v>
      </c>
      <c r="E649" s="4">
        <v>3000</v>
      </c>
    </row>
    <row r="650" spans="1:5" ht="26.25" x14ac:dyDescent="0.25">
      <c r="A650" s="2" t="s">
        <v>205</v>
      </c>
      <c r="B650" s="2" t="str">
        <f>"6925871612883"</f>
        <v>6925871612883</v>
      </c>
      <c r="C650" s="2" t="str">
        <f>"22351288"</f>
        <v>22351288</v>
      </c>
      <c r="D650" s="2" t="s">
        <v>542</v>
      </c>
      <c r="E650" s="4">
        <v>3000</v>
      </c>
    </row>
    <row r="651" spans="1:5" ht="26.25" x14ac:dyDescent="0.25">
      <c r="A651" s="2" t="s">
        <v>205</v>
      </c>
      <c r="B651" s="2" t="str">
        <f>"6925871613293"</f>
        <v>6925871613293</v>
      </c>
      <c r="C651" s="2" t="str">
        <f>"22351329"</f>
        <v>22351329</v>
      </c>
      <c r="D651" s="2" t="s">
        <v>543</v>
      </c>
      <c r="E651" s="4">
        <v>3500</v>
      </c>
    </row>
    <row r="652" spans="1:5" ht="26.25" x14ac:dyDescent="0.25">
      <c r="A652" s="2" t="s">
        <v>205</v>
      </c>
      <c r="B652" s="2" t="str">
        <f>"6925871613354"</f>
        <v>6925871613354</v>
      </c>
      <c r="C652" s="2" t="str">
        <f>"22351335"</f>
        <v>22351335</v>
      </c>
      <c r="D652" s="2" t="s">
        <v>544</v>
      </c>
      <c r="E652" s="4">
        <v>3000</v>
      </c>
    </row>
    <row r="653" spans="1:5" ht="26.25" x14ac:dyDescent="0.25">
      <c r="A653" s="2" t="s">
        <v>205</v>
      </c>
      <c r="B653" s="2" t="str">
        <f>"6925871613460"</f>
        <v>6925871613460</v>
      </c>
      <c r="C653" s="2" t="str">
        <f>"22351346"</f>
        <v>22351346</v>
      </c>
      <c r="D653" s="2" t="s">
        <v>545</v>
      </c>
      <c r="E653" s="4">
        <v>3000</v>
      </c>
    </row>
    <row r="654" spans="1:5" ht="26.25" x14ac:dyDescent="0.25">
      <c r="A654" s="2" t="s">
        <v>205</v>
      </c>
      <c r="B654" s="2" t="str">
        <f>"6925871614092"</f>
        <v>6925871614092</v>
      </c>
      <c r="C654" s="2" t="str">
        <f>"22351409"</f>
        <v>22351409</v>
      </c>
      <c r="D654" s="2" t="s">
        <v>546</v>
      </c>
      <c r="E654" s="4">
        <v>3500</v>
      </c>
    </row>
    <row r="655" spans="1:5" ht="26.25" x14ac:dyDescent="0.25">
      <c r="A655" s="2" t="s">
        <v>205</v>
      </c>
      <c r="B655" s="2" t="str">
        <f>"6925871614320"</f>
        <v>6925871614320</v>
      </c>
      <c r="C655" s="2" t="str">
        <f>"22741432"</f>
        <v>22741432</v>
      </c>
      <c r="D655" s="2" t="s">
        <v>547</v>
      </c>
      <c r="E655" s="4">
        <v>2600</v>
      </c>
    </row>
    <row r="656" spans="1:5" ht="26.25" x14ac:dyDescent="0.25">
      <c r="A656" s="2" t="s">
        <v>205</v>
      </c>
      <c r="B656" s="2" t="str">
        <f>"6925871615952"</f>
        <v>6925871615952</v>
      </c>
      <c r="C656" s="2" t="str">
        <f>"22371595"</f>
        <v>22371595</v>
      </c>
      <c r="D656" s="2" t="s">
        <v>548</v>
      </c>
      <c r="E656" s="4">
        <v>2500</v>
      </c>
    </row>
    <row r="657" spans="1:5" ht="26.25" x14ac:dyDescent="0.25">
      <c r="A657" s="2" t="s">
        <v>205</v>
      </c>
      <c r="B657" s="2" t="str">
        <f>"6925871616164"</f>
        <v>6925871616164</v>
      </c>
      <c r="C657" s="2" t="str">
        <f>"22351616"</f>
        <v>22351616</v>
      </c>
      <c r="D657" s="2" t="s">
        <v>549</v>
      </c>
      <c r="E657" s="4">
        <v>4500</v>
      </c>
    </row>
    <row r="658" spans="1:5" ht="26.25" x14ac:dyDescent="0.25">
      <c r="A658" s="2" t="s">
        <v>205</v>
      </c>
      <c r="B658" s="2" t="str">
        <f>"6925871617338"</f>
        <v>6925871617338</v>
      </c>
      <c r="C658" s="2" t="str">
        <f>"22741733"</f>
        <v>22741733</v>
      </c>
      <c r="D658" s="2" t="s">
        <v>550</v>
      </c>
      <c r="E658" s="4">
        <v>4100</v>
      </c>
    </row>
    <row r="659" spans="1:5" ht="26.25" x14ac:dyDescent="0.25">
      <c r="A659" s="2" t="s">
        <v>205</v>
      </c>
      <c r="B659" s="2" t="str">
        <f>"6925871621007"</f>
        <v>6925871621007</v>
      </c>
      <c r="C659" s="2" t="str">
        <f>"98352100"</f>
        <v>98352100</v>
      </c>
      <c r="D659" s="2" t="s">
        <v>551</v>
      </c>
      <c r="E659" s="4">
        <v>7990</v>
      </c>
    </row>
    <row r="660" spans="1:5" ht="26.25" x14ac:dyDescent="0.25">
      <c r="A660" s="2" t="s">
        <v>205</v>
      </c>
      <c r="B660" s="2" t="str">
        <f>"6925871621403"</f>
        <v>6925871621403</v>
      </c>
      <c r="C660" s="2" t="str">
        <f>"22352140"</f>
        <v>22352140</v>
      </c>
      <c r="D660" s="2" t="s">
        <v>552</v>
      </c>
      <c r="E660" s="4">
        <v>6900</v>
      </c>
    </row>
    <row r="661" spans="1:5" ht="26.25" x14ac:dyDescent="0.25">
      <c r="A661" s="2" t="s">
        <v>205</v>
      </c>
      <c r="B661" s="2" t="str">
        <f>"6925871623100"</f>
        <v>6925871623100</v>
      </c>
      <c r="C661" s="2" t="str">
        <f>"22372310"</f>
        <v>22372310</v>
      </c>
      <c r="D661" s="2" t="s">
        <v>553</v>
      </c>
      <c r="E661" s="4">
        <v>5500</v>
      </c>
    </row>
    <row r="662" spans="1:5" ht="26.25" x14ac:dyDescent="0.25">
      <c r="A662" s="2" t="s">
        <v>205</v>
      </c>
      <c r="B662" s="2" t="str">
        <f>"6925871623193"</f>
        <v>6925871623193</v>
      </c>
      <c r="C662" s="2" t="str">
        <f>"98352319"</f>
        <v>98352319</v>
      </c>
      <c r="D662" s="2" t="s">
        <v>554</v>
      </c>
      <c r="E662" s="4">
        <v>5990</v>
      </c>
    </row>
    <row r="663" spans="1:5" ht="26.25" x14ac:dyDescent="0.25">
      <c r="A663" s="2" t="s">
        <v>205</v>
      </c>
      <c r="B663" s="2" t="str">
        <f>"6925871623506"</f>
        <v>6925871623506</v>
      </c>
      <c r="C663" s="2" t="str">
        <f>"22352350"</f>
        <v>22352350</v>
      </c>
      <c r="D663" s="2" t="s">
        <v>555</v>
      </c>
      <c r="E663" s="4">
        <v>8990</v>
      </c>
    </row>
    <row r="664" spans="1:5" ht="26.25" x14ac:dyDescent="0.25">
      <c r="A664" s="2" t="s">
        <v>205</v>
      </c>
      <c r="B664" s="2" t="str">
        <f>"98032450"</f>
        <v>98032450</v>
      </c>
      <c r="C664" s="2" t="str">
        <f>"98032450"</f>
        <v>98032450</v>
      </c>
      <c r="D664" s="2" t="s">
        <v>556</v>
      </c>
      <c r="E664" s="4">
        <v>7900</v>
      </c>
    </row>
    <row r="665" spans="1:5" ht="26.25" x14ac:dyDescent="0.25">
      <c r="A665" s="2" t="s">
        <v>205</v>
      </c>
      <c r="B665" s="2" t="str">
        <f>"6925871624503"</f>
        <v>6925871624503</v>
      </c>
      <c r="C665" s="2" t="str">
        <f>"22032450"</f>
        <v>22032450</v>
      </c>
      <c r="D665" s="2" t="s">
        <v>557</v>
      </c>
      <c r="E665" s="4">
        <v>8500</v>
      </c>
    </row>
    <row r="666" spans="1:5" ht="26.25" x14ac:dyDescent="0.25">
      <c r="A666" s="2" t="s">
        <v>205</v>
      </c>
      <c r="B666" s="2" t="str">
        <f>"6925871624923"</f>
        <v>6925871624923</v>
      </c>
      <c r="C666" s="2" t="str">
        <f>"22352492"</f>
        <v>22352492</v>
      </c>
      <c r="D666" s="2" t="s">
        <v>558</v>
      </c>
      <c r="E666" s="4">
        <v>9990</v>
      </c>
    </row>
    <row r="667" spans="1:5" ht="26.25" x14ac:dyDescent="0.25">
      <c r="A667" s="2" t="s">
        <v>205</v>
      </c>
      <c r="B667" s="2" t="str">
        <f>"6925871626507"</f>
        <v>6925871626507</v>
      </c>
      <c r="C667" s="2" t="str">
        <f>"22352650"</f>
        <v>22352650</v>
      </c>
      <c r="D667" s="2" t="s">
        <v>559</v>
      </c>
      <c r="E667" s="4">
        <v>9990</v>
      </c>
    </row>
    <row r="668" spans="1:5" ht="26.25" x14ac:dyDescent="0.25">
      <c r="A668" s="2" t="s">
        <v>205</v>
      </c>
      <c r="B668" s="2" t="str">
        <f>"6925871627009"</f>
        <v>6925871627009</v>
      </c>
      <c r="C668" s="2" t="str">
        <f>"22372700"</f>
        <v>22372700</v>
      </c>
      <c r="D668" s="2" t="s">
        <v>560</v>
      </c>
      <c r="E668" s="4">
        <v>5000</v>
      </c>
    </row>
    <row r="669" spans="1:5" ht="26.25" x14ac:dyDescent="0.25">
      <c r="A669" s="2" t="s">
        <v>205</v>
      </c>
      <c r="B669" s="2" t="str">
        <f>"6925871629119"</f>
        <v>6925871629119</v>
      </c>
      <c r="C669" s="2" t="str">
        <f>"22742911"</f>
        <v>22742911</v>
      </c>
      <c r="D669" s="2" t="s">
        <v>561</v>
      </c>
      <c r="E669" s="4">
        <v>5900</v>
      </c>
    </row>
    <row r="670" spans="1:5" ht="26.25" x14ac:dyDescent="0.25">
      <c r="A670" s="2" t="s">
        <v>205</v>
      </c>
      <c r="B670" s="2" t="str">
        <f>"6925871629218"</f>
        <v>6925871629218</v>
      </c>
      <c r="C670" s="2" t="str">
        <f>"22372921"</f>
        <v>22372921</v>
      </c>
      <c r="D670" s="2" t="s">
        <v>562</v>
      </c>
      <c r="E670" s="4">
        <v>5000</v>
      </c>
    </row>
    <row r="671" spans="1:5" ht="26.25" x14ac:dyDescent="0.25">
      <c r="A671" s="2" t="s">
        <v>205</v>
      </c>
      <c r="B671" s="2" t="str">
        <f>"6956322151194"</f>
        <v>6956322151194</v>
      </c>
      <c r="C671" s="2" t="str">
        <f>"10002001"</f>
        <v>10002001</v>
      </c>
      <c r="D671" s="2" t="s">
        <v>563</v>
      </c>
      <c r="E671" s="4">
        <v>4000</v>
      </c>
    </row>
    <row r="672" spans="1:5" ht="26.25" x14ac:dyDescent="0.25">
      <c r="A672" s="2" t="s">
        <v>205</v>
      </c>
      <c r="B672" s="2" t="str">
        <f>"6958221582376"</f>
        <v>6958221582376</v>
      </c>
      <c r="C672" s="2" t="str">
        <f>"10001745"</f>
        <v>10001745</v>
      </c>
      <c r="D672" s="2" t="s">
        <v>564</v>
      </c>
      <c r="E672" s="4">
        <v>3500</v>
      </c>
    </row>
    <row r="673" spans="1:5" ht="26.25" x14ac:dyDescent="0.25">
      <c r="A673" s="2" t="s">
        <v>205</v>
      </c>
      <c r="B673" s="2" t="str">
        <f>"6986698983235"</f>
        <v>6986698983235</v>
      </c>
      <c r="C673" s="2" t="str">
        <f>"40350038"</f>
        <v>40350038</v>
      </c>
      <c r="D673" s="2" t="s">
        <v>565</v>
      </c>
      <c r="E673" s="4">
        <v>3990</v>
      </c>
    </row>
    <row r="674" spans="1:5" ht="26.25" x14ac:dyDescent="0.25">
      <c r="A674" s="2" t="s">
        <v>205</v>
      </c>
      <c r="B674" s="2" t="str">
        <f>"7895623060530"</f>
        <v>7895623060530</v>
      </c>
      <c r="C674" s="2" t="str">
        <f>"66356053"</f>
        <v>66356053</v>
      </c>
      <c r="D674" s="2" t="s">
        <v>566</v>
      </c>
      <c r="E674" s="4">
        <v>4000</v>
      </c>
    </row>
    <row r="675" spans="1:5" ht="26.25" x14ac:dyDescent="0.25">
      <c r="A675" s="2" t="s">
        <v>205</v>
      </c>
      <c r="B675" s="2" t="str">
        <f>"6901443152759"</f>
        <v>6901443152759</v>
      </c>
      <c r="C675" s="2" t="str">
        <f>"92350116"</f>
        <v>92350116</v>
      </c>
      <c r="D675" s="2" t="s">
        <v>567</v>
      </c>
      <c r="E675" s="4">
        <v>14990</v>
      </c>
    </row>
    <row r="676" spans="1:5" ht="26.25" x14ac:dyDescent="0.25">
      <c r="A676" s="2" t="s">
        <v>205</v>
      </c>
      <c r="B676" s="2" t="str">
        <f>"32350715"</f>
        <v>32350715</v>
      </c>
      <c r="C676" s="2" t="str">
        <f>"32350715"</f>
        <v>32350715</v>
      </c>
      <c r="D676" s="2" t="s">
        <v>568</v>
      </c>
      <c r="E676" s="4">
        <v>6000</v>
      </c>
    </row>
    <row r="677" spans="1:5" ht="26.25" x14ac:dyDescent="0.25">
      <c r="A677" s="2" t="s">
        <v>205</v>
      </c>
      <c r="B677" s="2" t="str">
        <f>"86350701"</f>
        <v>86350701</v>
      </c>
      <c r="C677" s="2" t="str">
        <f>"86350701"</f>
        <v>86350701</v>
      </c>
      <c r="D677" s="2" t="s">
        <v>568</v>
      </c>
      <c r="E677" s="4">
        <v>9500</v>
      </c>
    </row>
    <row r="678" spans="1:5" ht="26.25" x14ac:dyDescent="0.25">
      <c r="A678" s="2" t="s">
        <v>205</v>
      </c>
      <c r="B678" s="2" t="str">
        <f>"4547597823903"</f>
        <v>4547597823903</v>
      </c>
      <c r="C678" s="2" t="str">
        <f>"41350717"</f>
        <v>41350717</v>
      </c>
      <c r="D678" s="2" t="s">
        <v>568</v>
      </c>
      <c r="E678" s="4">
        <v>9900</v>
      </c>
    </row>
    <row r="679" spans="1:5" ht="26.25" x14ac:dyDescent="0.25">
      <c r="A679" s="2" t="s">
        <v>209</v>
      </c>
      <c r="B679" s="2" t="str">
        <f>"10002639"</f>
        <v>10002639</v>
      </c>
      <c r="C679" s="2" t="str">
        <f>"10002639"</f>
        <v>10002639</v>
      </c>
      <c r="D679" s="2" t="s">
        <v>569</v>
      </c>
      <c r="E679" s="4">
        <v>6000</v>
      </c>
    </row>
    <row r="680" spans="1:5" ht="26.25" x14ac:dyDescent="0.25">
      <c r="A680" s="2" t="s">
        <v>205</v>
      </c>
      <c r="B680" s="2" t="str">
        <f>"34030700"</f>
        <v>34030700</v>
      </c>
      <c r="C680" s="2" t="str">
        <f>"34030700"</f>
        <v>34030700</v>
      </c>
      <c r="D680" s="2" t="s">
        <v>570</v>
      </c>
      <c r="E680" s="4">
        <v>7500</v>
      </c>
    </row>
    <row r="681" spans="1:5" ht="26.25" x14ac:dyDescent="0.25">
      <c r="A681" s="2" t="s">
        <v>205</v>
      </c>
      <c r="B681" s="2" t="str">
        <f>"76030715"</f>
        <v>76030715</v>
      </c>
      <c r="C681" s="2" t="str">
        <f>"76030715"</f>
        <v>76030715</v>
      </c>
      <c r="D681" s="2" t="s">
        <v>571</v>
      </c>
      <c r="E681" s="4">
        <v>6000</v>
      </c>
    </row>
    <row r="682" spans="1:5" ht="26.25" x14ac:dyDescent="0.25">
      <c r="A682" s="2" t="s">
        <v>205</v>
      </c>
      <c r="B682" s="2" t="str">
        <f>"86350702"</f>
        <v>86350702</v>
      </c>
      <c r="C682" s="2" t="str">
        <f>"86350702"</f>
        <v>86350702</v>
      </c>
      <c r="D682" s="2" t="s">
        <v>572</v>
      </c>
      <c r="E682" s="4">
        <v>14500</v>
      </c>
    </row>
    <row r="683" spans="1:5" ht="26.25" x14ac:dyDescent="0.25">
      <c r="A683" s="2" t="s">
        <v>205</v>
      </c>
      <c r="B683" s="2" t="str">
        <f>"87350700"</f>
        <v>87350700</v>
      </c>
      <c r="C683" s="2" t="str">
        <f>"87350700"</f>
        <v>87350700</v>
      </c>
      <c r="D683" s="2" t="s">
        <v>572</v>
      </c>
      <c r="E683" s="4">
        <v>8990</v>
      </c>
    </row>
    <row r="684" spans="1:5" ht="26.25" x14ac:dyDescent="0.25">
      <c r="A684" s="2" t="s">
        <v>209</v>
      </c>
      <c r="B684" s="2" t="str">
        <f>"10000733"</f>
        <v>10000733</v>
      </c>
      <c r="C684" s="2" t="str">
        <f>"10000733"</f>
        <v>10000733</v>
      </c>
      <c r="D684" s="2" t="s">
        <v>573</v>
      </c>
      <c r="E684" s="4">
        <v>8990</v>
      </c>
    </row>
    <row r="685" spans="1:5" ht="26.25" x14ac:dyDescent="0.25">
      <c r="A685" s="2" t="s">
        <v>11</v>
      </c>
      <c r="B685" s="2" t="str">
        <f>"22357000"</f>
        <v>22357000</v>
      </c>
      <c r="C685" s="2" t="str">
        <f>"22747000"</f>
        <v>22747000</v>
      </c>
      <c r="D685" s="2" t="s">
        <v>574</v>
      </c>
      <c r="E685" s="4">
        <v>8990</v>
      </c>
    </row>
    <row r="686" spans="1:5" ht="26.25" x14ac:dyDescent="0.25">
      <c r="A686" s="2" t="s">
        <v>205</v>
      </c>
      <c r="B686" s="2" t="str">
        <f>"6825331422581"</f>
        <v>6825331422581</v>
      </c>
      <c r="C686" s="2" t="str">
        <f>"10001084"</f>
        <v>10001084</v>
      </c>
      <c r="D686" s="2" t="s">
        <v>575</v>
      </c>
      <c r="E686" s="4">
        <v>14990</v>
      </c>
    </row>
    <row r="687" spans="1:5" ht="26.25" x14ac:dyDescent="0.25">
      <c r="A687" s="2" t="s">
        <v>205</v>
      </c>
      <c r="B687" s="2" t="str">
        <f>"10107865"</f>
        <v>10107865</v>
      </c>
      <c r="C687" s="2" t="str">
        <f>"10107865"</f>
        <v>10107865</v>
      </c>
      <c r="D687" s="2" t="s">
        <v>576</v>
      </c>
      <c r="E687" s="4">
        <v>2000</v>
      </c>
    </row>
    <row r="688" spans="1:5" ht="26.25" x14ac:dyDescent="0.25">
      <c r="A688" s="2" t="s">
        <v>205</v>
      </c>
      <c r="B688" s="2" t="str">
        <f>"101017865"</f>
        <v>101017865</v>
      </c>
      <c r="C688" s="2" t="str">
        <f>"101017865"</f>
        <v>101017865</v>
      </c>
      <c r="D688" s="2" t="s">
        <v>577</v>
      </c>
      <c r="E688" s="4">
        <v>3500</v>
      </c>
    </row>
    <row r="689" spans="1:5" ht="26.25" x14ac:dyDescent="0.25">
      <c r="A689" s="2" t="s">
        <v>209</v>
      </c>
      <c r="B689" s="2" t="str">
        <f>"10006774"</f>
        <v>10006774</v>
      </c>
      <c r="C689" s="2" t="str">
        <f>"10006774"</f>
        <v>10006774</v>
      </c>
      <c r="D689" s="2" t="s">
        <v>578</v>
      </c>
      <c r="E689" s="4">
        <v>4000</v>
      </c>
    </row>
    <row r="690" spans="1:5" ht="26.25" x14ac:dyDescent="0.25">
      <c r="A690" s="2" t="s">
        <v>205</v>
      </c>
      <c r="B690" s="2" t="str">
        <f>"6993124568157"</f>
        <v>6993124568157</v>
      </c>
      <c r="C690" s="2" t="str">
        <f>"76350716"</f>
        <v>76350716</v>
      </c>
      <c r="D690" s="2" t="s">
        <v>579</v>
      </c>
      <c r="E690" s="4">
        <v>11990</v>
      </c>
    </row>
    <row r="691" spans="1:5" ht="26.25" x14ac:dyDescent="0.25">
      <c r="A691" s="2" t="s">
        <v>205</v>
      </c>
      <c r="B691" s="2" t="str">
        <f>"190198107077"</f>
        <v>190198107077</v>
      </c>
      <c r="C691" s="2" t="str">
        <f>"76350700"</f>
        <v>76350700</v>
      </c>
      <c r="D691" s="2" t="s">
        <v>580</v>
      </c>
      <c r="E691" s="4">
        <v>16990</v>
      </c>
    </row>
    <row r="692" spans="1:5" ht="26.25" x14ac:dyDescent="0.25">
      <c r="A692" s="2" t="s">
        <v>205</v>
      </c>
      <c r="B692" s="2" t="str">
        <f>"7858816059575"</f>
        <v>7858816059575</v>
      </c>
      <c r="C692" s="2" t="str">
        <f>"87355957"</f>
        <v>87355957</v>
      </c>
      <c r="D692" s="2" t="s">
        <v>581</v>
      </c>
      <c r="E692" s="4">
        <v>4500</v>
      </c>
    </row>
    <row r="693" spans="1:5" ht="26.25" x14ac:dyDescent="0.25">
      <c r="A693" s="2" t="s">
        <v>205</v>
      </c>
      <c r="B693" s="2" t="str">
        <f>"7858816063718"</f>
        <v>7858816063718</v>
      </c>
      <c r="C693" s="2" t="str">
        <f>"87356371"</f>
        <v>87356371</v>
      </c>
      <c r="D693" s="2" t="s">
        <v>582</v>
      </c>
      <c r="E693" s="4">
        <v>4500</v>
      </c>
    </row>
    <row r="694" spans="1:5" ht="26.25" x14ac:dyDescent="0.25">
      <c r="A694" s="2" t="s">
        <v>205</v>
      </c>
      <c r="B694" s="2" t="str">
        <f>"7858816073922"</f>
        <v>7858816073922</v>
      </c>
      <c r="C694" s="2" t="str">
        <f>"87357392"</f>
        <v>87357392</v>
      </c>
      <c r="D694" s="2" t="s">
        <v>583</v>
      </c>
      <c r="E694" s="4">
        <v>3000</v>
      </c>
    </row>
    <row r="695" spans="1:5" ht="26.25" x14ac:dyDescent="0.25">
      <c r="A695" s="2" t="s">
        <v>205</v>
      </c>
      <c r="B695" s="2" t="str">
        <f>"7858816076510"</f>
        <v>7858816076510</v>
      </c>
      <c r="C695" s="2" t="str">
        <f>"87357651"</f>
        <v>87357651</v>
      </c>
      <c r="D695" s="2" t="s">
        <v>584</v>
      </c>
      <c r="E695" s="4">
        <v>3500</v>
      </c>
    </row>
    <row r="696" spans="1:5" ht="26.25" x14ac:dyDescent="0.25">
      <c r="A696" s="2" t="s">
        <v>205</v>
      </c>
      <c r="B696" s="2" t="str">
        <f>"7858816077302"</f>
        <v>7858816077302</v>
      </c>
      <c r="C696" s="2" t="str">
        <f>"87357730"</f>
        <v>87357730</v>
      </c>
      <c r="D696" s="2" t="s">
        <v>585</v>
      </c>
      <c r="E696" s="4">
        <v>4990</v>
      </c>
    </row>
    <row r="697" spans="1:5" ht="26.25" x14ac:dyDescent="0.25">
      <c r="A697" s="2" t="s">
        <v>205</v>
      </c>
      <c r="B697" s="2" t="str">
        <f>"7858816079092"</f>
        <v>7858816079092</v>
      </c>
      <c r="C697" s="2" t="str">
        <f>"87357909"</f>
        <v>87357909</v>
      </c>
      <c r="D697" s="2" t="s">
        <v>586</v>
      </c>
      <c r="E697" s="4">
        <v>9990</v>
      </c>
    </row>
    <row r="698" spans="1:5" ht="39" x14ac:dyDescent="0.25">
      <c r="A698" s="2" t="s">
        <v>205</v>
      </c>
      <c r="B698" s="2" t="str">
        <f>"8944870143622"</f>
        <v>8944870143622</v>
      </c>
      <c r="C698" s="2" t="str">
        <f>"8944870143639"</f>
        <v>8944870143639</v>
      </c>
      <c r="D698" s="2" t="s">
        <v>587</v>
      </c>
      <c r="E698" s="4">
        <v>12990</v>
      </c>
    </row>
    <row r="699" spans="1:5" ht="39" x14ac:dyDescent="0.25">
      <c r="A699" s="2" t="s">
        <v>205</v>
      </c>
      <c r="B699" s="2" t="str">
        <f>"8944870151474"</f>
        <v>8944870151474</v>
      </c>
      <c r="C699" s="2" t="str">
        <f>"8944870151481"</f>
        <v>8944870151481</v>
      </c>
      <c r="D699" s="2" t="s">
        <v>588</v>
      </c>
      <c r="E699" s="4">
        <v>2500</v>
      </c>
    </row>
    <row r="700" spans="1:5" ht="39" x14ac:dyDescent="0.25">
      <c r="A700" s="2" t="s">
        <v>205</v>
      </c>
      <c r="B700" s="2" t="str">
        <f>"8944870151481"</f>
        <v>8944870151481</v>
      </c>
      <c r="C700" s="2" t="str">
        <f>"87352301143"</f>
        <v>87352301143</v>
      </c>
      <c r="D700" s="2" t="s">
        <v>589</v>
      </c>
      <c r="E700" s="4">
        <v>2500</v>
      </c>
    </row>
    <row r="701" spans="1:5" ht="26.25" x14ac:dyDescent="0.25">
      <c r="A701" s="2" t="s">
        <v>205</v>
      </c>
      <c r="B701" s="2" t="str">
        <f>"8944870161947"</f>
        <v>8944870161947</v>
      </c>
      <c r="C701" s="2" t="str">
        <f>"87351433"</f>
        <v>87351433</v>
      </c>
      <c r="D701" s="2" t="s">
        <v>590</v>
      </c>
      <c r="E701" s="4">
        <v>2500</v>
      </c>
    </row>
    <row r="702" spans="1:5" ht="26.25" x14ac:dyDescent="0.25">
      <c r="A702" s="2" t="s">
        <v>205</v>
      </c>
      <c r="B702" s="2" t="str">
        <f>"6956389555386"</f>
        <v>6956389555386</v>
      </c>
      <c r="C702" s="2" t="str">
        <f>"34350036"</f>
        <v>34350036</v>
      </c>
      <c r="D702" s="2" t="s">
        <v>591</v>
      </c>
      <c r="E702" s="4">
        <v>5500</v>
      </c>
    </row>
    <row r="703" spans="1:5" ht="26.25" x14ac:dyDescent="0.25">
      <c r="A703" s="2" t="s">
        <v>205</v>
      </c>
      <c r="B703" s="2" t="str">
        <f>"6925281946165"</f>
        <v>6925281946165</v>
      </c>
      <c r="C703" s="2" t="str">
        <f>"98356165"</f>
        <v>98356165</v>
      </c>
      <c r="D703" s="2" t="s">
        <v>592</v>
      </c>
      <c r="E703" s="4">
        <v>14990</v>
      </c>
    </row>
    <row r="704" spans="1:5" ht="26.25" x14ac:dyDescent="0.25">
      <c r="A704" s="2" t="s">
        <v>205</v>
      </c>
      <c r="B704" s="2" t="str">
        <f>"6925281946189"</f>
        <v>6925281946189</v>
      </c>
      <c r="C704" s="2" t="str">
        <f>"92350050"</f>
        <v>92350050</v>
      </c>
      <c r="D704" s="2" t="s">
        <v>593</v>
      </c>
      <c r="E704" s="4">
        <v>14990</v>
      </c>
    </row>
    <row r="705" spans="1:5" ht="26.25" x14ac:dyDescent="0.25">
      <c r="A705" s="2" t="s">
        <v>205</v>
      </c>
      <c r="B705" s="2" t="str">
        <f>"6925281946172"</f>
        <v>6925281946172</v>
      </c>
      <c r="C705" s="2" t="str">
        <f>"27JBLC50WH"</f>
        <v>27JBLC50WH</v>
      </c>
      <c r="D705" s="2" t="s">
        <v>594</v>
      </c>
      <c r="E705" s="4">
        <v>14990</v>
      </c>
    </row>
    <row r="706" spans="1:5" ht="26.25" x14ac:dyDescent="0.25">
      <c r="A706" s="2" t="s">
        <v>205</v>
      </c>
      <c r="B706" s="2" t="str">
        <f>"98350078"</f>
        <v>98350078</v>
      </c>
      <c r="C706" s="2" t="str">
        <f>"98350078"</f>
        <v>98350078</v>
      </c>
      <c r="D706" s="2" t="s">
        <v>595</v>
      </c>
      <c r="E706" s="4">
        <v>14990</v>
      </c>
    </row>
    <row r="707" spans="1:5" ht="26.25" x14ac:dyDescent="0.25">
      <c r="A707" s="2" t="s">
        <v>205</v>
      </c>
      <c r="B707" s="2" t="str">
        <f>"63350110"</f>
        <v>63350110</v>
      </c>
      <c r="C707" s="2" t="str">
        <f>"63350110"</f>
        <v>63350110</v>
      </c>
      <c r="D707" s="2" t="s">
        <v>596</v>
      </c>
      <c r="E707" s="4">
        <v>14990</v>
      </c>
    </row>
    <row r="708" spans="1:5" ht="26.25" x14ac:dyDescent="0.25">
      <c r="A708" s="2" t="s">
        <v>205</v>
      </c>
      <c r="B708" s="2" t="str">
        <f>"92350110"</f>
        <v>92350110</v>
      </c>
      <c r="C708" s="2" t="str">
        <f>"92350110"</f>
        <v>92350110</v>
      </c>
      <c r="D708" s="2" t="s">
        <v>596</v>
      </c>
      <c r="E708" s="4">
        <v>14990</v>
      </c>
    </row>
    <row r="709" spans="1:5" ht="26.25" x14ac:dyDescent="0.25">
      <c r="A709" s="2" t="s">
        <v>205</v>
      </c>
      <c r="B709" s="2" t="str">
        <f>"6925281949807"</f>
        <v>6925281949807</v>
      </c>
      <c r="C709" s="2" t="str">
        <f>"92359807"</f>
        <v>92359807</v>
      </c>
      <c r="D709" s="2" t="s">
        <v>596</v>
      </c>
      <c r="E709" s="4">
        <v>14990</v>
      </c>
    </row>
    <row r="710" spans="1:5" ht="26.25" x14ac:dyDescent="0.25">
      <c r="A710" s="2" t="s">
        <v>205</v>
      </c>
      <c r="B710" s="2" t="str">
        <f>"63351100"</f>
        <v>63351100</v>
      </c>
      <c r="C710" s="2" t="str">
        <f>"63351100"</f>
        <v>63351100</v>
      </c>
      <c r="D710" s="2" t="s">
        <v>597</v>
      </c>
      <c r="E710" s="4">
        <v>14990</v>
      </c>
    </row>
    <row r="711" spans="1:5" ht="26.25" x14ac:dyDescent="0.25">
      <c r="A711" s="2" t="s">
        <v>205</v>
      </c>
      <c r="B711" s="2" t="str">
        <f>"6925281949821"</f>
        <v>6925281949821</v>
      </c>
      <c r="C711" s="2" t="str">
        <f>"92350011"</f>
        <v>92350011</v>
      </c>
      <c r="D711" s="2" t="s">
        <v>597</v>
      </c>
      <c r="E711" s="4">
        <v>14990</v>
      </c>
    </row>
    <row r="712" spans="1:5" ht="26.25" x14ac:dyDescent="0.25">
      <c r="A712" s="2" t="s">
        <v>205</v>
      </c>
      <c r="B712" s="2" t="str">
        <f>"92351110"</f>
        <v>92351110</v>
      </c>
      <c r="C712" s="2" t="str">
        <f>"92351110"</f>
        <v>92351110</v>
      </c>
      <c r="D712" s="2" t="s">
        <v>598</v>
      </c>
      <c r="E712" s="4">
        <v>14990</v>
      </c>
    </row>
    <row r="713" spans="1:5" ht="26.25" x14ac:dyDescent="0.25">
      <c r="A713" s="2" t="s">
        <v>205</v>
      </c>
      <c r="B713" s="2" t="str">
        <f>"92359821"</f>
        <v>92359821</v>
      </c>
      <c r="C713" s="2" t="str">
        <f>"92359821"</f>
        <v>92359821</v>
      </c>
      <c r="D713" s="2" t="s">
        <v>598</v>
      </c>
      <c r="E713" s="4">
        <v>14990</v>
      </c>
    </row>
    <row r="714" spans="1:5" ht="26.25" x14ac:dyDescent="0.25">
      <c r="A714" s="2" t="s">
        <v>205</v>
      </c>
      <c r="B714" s="2" t="str">
        <f>"6925281949814"</f>
        <v>6925281949814</v>
      </c>
      <c r="C714" s="2" t="str">
        <f>"92351111"</f>
        <v>92351111</v>
      </c>
      <c r="D714" s="2" t="s">
        <v>598</v>
      </c>
      <c r="E714" s="4">
        <v>14990</v>
      </c>
    </row>
    <row r="715" spans="1:5" ht="39" x14ac:dyDescent="0.25">
      <c r="A715" s="2" t="s">
        <v>205</v>
      </c>
      <c r="B715" s="2" t="str">
        <f>"050036355483"</f>
        <v>050036355483</v>
      </c>
      <c r="C715" s="2" t="str">
        <f>"1578589087815"</f>
        <v>1578589087815</v>
      </c>
      <c r="D715" s="2" t="s">
        <v>598</v>
      </c>
      <c r="E715" s="4">
        <v>14990</v>
      </c>
    </row>
    <row r="716" spans="1:5" ht="26.25" x14ac:dyDescent="0.25">
      <c r="A716" s="2" t="s">
        <v>205</v>
      </c>
      <c r="B716" s="2" t="str">
        <f>"050036355476"</f>
        <v>050036355476</v>
      </c>
      <c r="C716" s="2" t="str">
        <f>"92351100"</f>
        <v>92351100</v>
      </c>
      <c r="D716" s="2" t="s">
        <v>598</v>
      </c>
      <c r="E716" s="4">
        <v>14990</v>
      </c>
    </row>
    <row r="717" spans="1:5" ht="26.25" x14ac:dyDescent="0.25">
      <c r="A717" s="2" t="s">
        <v>205</v>
      </c>
      <c r="B717" s="2" t="str">
        <f>"6925281950247"</f>
        <v>6925281950247</v>
      </c>
      <c r="C717" s="2" t="str">
        <f>"92350223"</f>
        <v>92350223</v>
      </c>
      <c r="D717" s="2" t="s">
        <v>599</v>
      </c>
      <c r="E717" s="4">
        <v>34990</v>
      </c>
    </row>
    <row r="718" spans="1:5" ht="26.25" x14ac:dyDescent="0.25">
      <c r="A718" s="2" t="s">
        <v>205</v>
      </c>
      <c r="B718" s="2" t="str">
        <f>"021299189122"</f>
        <v>021299189122</v>
      </c>
      <c r="C718" s="2" t="str">
        <f>"98359122"</f>
        <v>98359122</v>
      </c>
      <c r="D718" s="2" t="s">
        <v>600</v>
      </c>
      <c r="E718" s="4">
        <v>5990</v>
      </c>
    </row>
    <row r="719" spans="1:5" ht="26.25" x14ac:dyDescent="0.25">
      <c r="A719" s="2" t="s">
        <v>205</v>
      </c>
      <c r="B719" s="2" t="str">
        <f>"021299189603"</f>
        <v>021299189603</v>
      </c>
      <c r="C719" s="2" t="str">
        <f>"98359603"</f>
        <v>98359603</v>
      </c>
      <c r="D719" s="2" t="s">
        <v>601</v>
      </c>
      <c r="E719" s="4">
        <v>5990</v>
      </c>
    </row>
    <row r="720" spans="1:5" ht="26.25" x14ac:dyDescent="0.25">
      <c r="A720" s="2" t="s">
        <v>205</v>
      </c>
      <c r="B720" s="2" t="str">
        <f>"021299189641"</f>
        <v>021299189641</v>
      </c>
      <c r="C720" s="2" t="str">
        <f>"98350023"</f>
        <v>98350023</v>
      </c>
      <c r="D720" s="2" t="s">
        <v>602</v>
      </c>
      <c r="E720" s="4">
        <v>14990</v>
      </c>
    </row>
    <row r="721" spans="1:5" ht="26.25" x14ac:dyDescent="0.25">
      <c r="A721" s="2" t="s">
        <v>205</v>
      </c>
      <c r="B721" s="2" t="str">
        <f>"021299189627"</f>
        <v>021299189627</v>
      </c>
      <c r="C721" s="2" t="str">
        <f>"98351023"</f>
        <v>98351023</v>
      </c>
      <c r="D721" s="2" t="s">
        <v>603</v>
      </c>
      <c r="E721" s="4">
        <v>12990</v>
      </c>
    </row>
    <row r="722" spans="1:5" ht="26.25" x14ac:dyDescent="0.25">
      <c r="A722" s="2" t="s">
        <v>205</v>
      </c>
      <c r="B722" s="2" t="str">
        <f>"6965468454557"</f>
        <v>6965468454557</v>
      </c>
      <c r="C722" s="2" t="str">
        <f>"10007720"</f>
        <v>10007720</v>
      </c>
      <c r="D722" s="2" t="s">
        <v>604</v>
      </c>
      <c r="E722" s="4">
        <v>4000</v>
      </c>
    </row>
    <row r="723" spans="1:5" ht="26.25" x14ac:dyDescent="0.25">
      <c r="A723" s="2" t="s">
        <v>205</v>
      </c>
      <c r="B723" s="2" t="str">
        <f>"731398502677"</f>
        <v>731398502677</v>
      </c>
      <c r="C723" s="2" t="str">
        <f>"98352677"</f>
        <v>98352677</v>
      </c>
      <c r="D723" s="2" t="s">
        <v>605</v>
      </c>
      <c r="E723" s="4">
        <v>7500</v>
      </c>
    </row>
    <row r="724" spans="1:5" ht="26.25" x14ac:dyDescent="0.25">
      <c r="A724" s="2" t="s">
        <v>205</v>
      </c>
      <c r="B724" s="2" t="str">
        <f>"731398026029"</f>
        <v>731398026029</v>
      </c>
      <c r="C724" s="2" t="str">
        <f>"98356029"</f>
        <v>98356029</v>
      </c>
      <c r="D724" s="2" t="s">
        <v>606</v>
      </c>
      <c r="E724" s="4">
        <v>7500</v>
      </c>
    </row>
    <row r="725" spans="1:5" ht="26.25" x14ac:dyDescent="0.25">
      <c r="A725" s="2" t="s">
        <v>205</v>
      </c>
      <c r="B725" s="2" t="str">
        <f>"7808748508429"</f>
        <v>7808748508429</v>
      </c>
      <c r="C725" s="2" t="str">
        <f>"98350474"</f>
        <v>98350474</v>
      </c>
      <c r="D725" s="2" t="s">
        <v>607</v>
      </c>
      <c r="E725" s="4">
        <v>6990</v>
      </c>
    </row>
    <row r="726" spans="1:5" ht="26.25" x14ac:dyDescent="0.25">
      <c r="A726" s="2" t="s">
        <v>205</v>
      </c>
      <c r="B726" s="2" t="str">
        <f>"7808748508474"</f>
        <v>7808748508474</v>
      </c>
      <c r="C726" s="2" t="str">
        <f>"98030180"</f>
        <v>98030180</v>
      </c>
      <c r="D726" s="2" t="s">
        <v>608</v>
      </c>
      <c r="E726" s="4">
        <v>6990</v>
      </c>
    </row>
    <row r="727" spans="1:5" ht="26.25" x14ac:dyDescent="0.25">
      <c r="A727" s="2" t="s">
        <v>205</v>
      </c>
      <c r="B727" s="2" t="str">
        <f>"025215494109"</f>
        <v>025215494109</v>
      </c>
      <c r="C727" s="2" t="str">
        <f>"60357360"</f>
        <v>60357360</v>
      </c>
      <c r="D727" s="2" t="s">
        <v>609</v>
      </c>
      <c r="E727" s="4">
        <v>3500</v>
      </c>
    </row>
    <row r="728" spans="1:5" ht="26.25" x14ac:dyDescent="0.25">
      <c r="A728" s="2" t="s">
        <v>205</v>
      </c>
      <c r="B728" s="2" t="str">
        <f>"025215494116"</f>
        <v>025215494116</v>
      </c>
      <c r="C728" s="2" t="str">
        <f>"60357361"</f>
        <v>60357361</v>
      </c>
      <c r="D728" s="2" t="s">
        <v>609</v>
      </c>
      <c r="E728" s="4">
        <v>3500</v>
      </c>
    </row>
    <row r="729" spans="1:5" ht="26.25" x14ac:dyDescent="0.25">
      <c r="A729" s="2" t="s">
        <v>205</v>
      </c>
      <c r="B729" s="2" t="str">
        <f>"025215494123"</f>
        <v>025215494123</v>
      </c>
      <c r="C729" s="2" t="str">
        <f>"60357362"</f>
        <v>60357362</v>
      </c>
      <c r="D729" s="2" t="s">
        <v>609</v>
      </c>
      <c r="E729" s="4">
        <v>3500</v>
      </c>
    </row>
    <row r="730" spans="1:5" ht="26.25" x14ac:dyDescent="0.25">
      <c r="A730" s="2" t="s">
        <v>205</v>
      </c>
      <c r="B730" s="2" t="str">
        <f>"025215494130"</f>
        <v>025215494130</v>
      </c>
      <c r="C730" s="2" t="str">
        <f>"60357363"</f>
        <v>60357363</v>
      </c>
      <c r="D730" s="2" t="s">
        <v>609</v>
      </c>
      <c r="E730" s="4">
        <v>3500</v>
      </c>
    </row>
    <row r="731" spans="1:5" ht="26.25" x14ac:dyDescent="0.25">
      <c r="A731" s="2" t="s">
        <v>205</v>
      </c>
      <c r="B731" s="2" t="str">
        <f>"025215500282"</f>
        <v>025215500282</v>
      </c>
      <c r="C731" s="2" t="str">
        <f>"60351090"</f>
        <v>60351090</v>
      </c>
      <c r="D731" s="2" t="s">
        <v>610</v>
      </c>
      <c r="E731" s="4">
        <v>6490</v>
      </c>
    </row>
    <row r="732" spans="1:5" ht="26.25" x14ac:dyDescent="0.25">
      <c r="A732" s="2" t="s">
        <v>205</v>
      </c>
      <c r="B732" s="2" t="str">
        <f>"025215500305"</f>
        <v>025215500305</v>
      </c>
      <c r="C732" s="2" t="str">
        <f>"60351110"</f>
        <v>60351110</v>
      </c>
      <c r="D732" s="2" t="s">
        <v>610</v>
      </c>
      <c r="E732" s="4">
        <v>6990</v>
      </c>
    </row>
    <row r="733" spans="1:5" ht="26.25" x14ac:dyDescent="0.25">
      <c r="A733" s="2" t="s">
        <v>205</v>
      </c>
      <c r="B733" s="2" t="str">
        <f>"025215500299"</f>
        <v>025215500299</v>
      </c>
      <c r="C733" s="2" t="str">
        <f>"60351009"</f>
        <v>60351009</v>
      </c>
      <c r="D733" s="2" t="s">
        <v>611</v>
      </c>
      <c r="E733" s="4">
        <v>7990</v>
      </c>
    </row>
    <row r="734" spans="1:5" ht="26.25" x14ac:dyDescent="0.25">
      <c r="A734" s="2" t="s">
        <v>205</v>
      </c>
      <c r="B734" s="2" t="str">
        <f>"025215499647"</f>
        <v>025215499647</v>
      </c>
      <c r="C734" s="2" t="str">
        <f>"60359450"</f>
        <v>60359450</v>
      </c>
      <c r="D734" s="2" t="s">
        <v>612</v>
      </c>
      <c r="E734" s="4">
        <v>1850</v>
      </c>
    </row>
    <row r="735" spans="1:5" ht="26.25" x14ac:dyDescent="0.25">
      <c r="A735" s="2" t="s">
        <v>209</v>
      </c>
      <c r="B735" s="2" t="str">
        <f>"025215499661"</f>
        <v>025215499661</v>
      </c>
      <c r="C735" s="2" t="str">
        <f>"60359404"</f>
        <v>60359404</v>
      </c>
      <c r="D735" s="2" t="s">
        <v>613</v>
      </c>
      <c r="E735" s="4">
        <v>1850</v>
      </c>
    </row>
    <row r="736" spans="1:5" ht="26.25" x14ac:dyDescent="0.25">
      <c r="A736" s="2" t="s">
        <v>209</v>
      </c>
      <c r="B736" s="2" t="str">
        <f>"025215499654"</f>
        <v>025215499654</v>
      </c>
      <c r="C736" s="2" t="str">
        <f>"60359405"</f>
        <v>60359405</v>
      </c>
      <c r="D736" s="2" t="s">
        <v>614</v>
      </c>
      <c r="E736" s="4">
        <v>1850</v>
      </c>
    </row>
    <row r="737" spans="1:5" ht="26.25" x14ac:dyDescent="0.25">
      <c r="A737" s="2" t="s">
        <v>205</v>
      </c>
      <c r="B737" s="2" t="str">
        <f>"025215494147"</f>
        <v>025215494147</v>
      </c>
      <c r="C737" s="2" t="str">
        <f>"60357364"</f>
        <v>60357364</v>
      </c>
      <c r="D737" s="2" t="s">
        <v>615</v>
      </c>
      <c r="E737" s="4">
        <v>4990</v>
      </c>
    </row>
    <row r="738" spans="1:5" ht="26.25" x14ac:dyDescent="0.25">
      <c r="A738" s="2" t="s">
        <v>205</v>
      </c>
      <c r="B738" s="2" t="str">
        <f>"025215500398"</f>
        <v>025215500398</v>
      </c>
      <c r="C738" s="2" t="str">
        <f>"60358120"</f>
        <v>60358120</v>
      </c>
      <c r="D738" s="2" t="s">
        <v>616</v>
      </c>
      <c r="E738" s="4">
        <v>5990</v>
      </c>
    </row>
    <row r="739" spans="1:5" ht="26.25" x14ac:dyDescent="0.25">
      <c r="A739" s="2" t="s">
        <v>205</v>
      </c>
      <c r="B739" s="2" t="str">
        <f>"025215500428"</f>
        <v>025215500428</v>
      </c>
      <c r="C739" s="2" t="str">
        <f>"60358123"</f>
        <v>60358123</v>
      </c>
      <c r="D739" s="2" t="s">
        <v>617</v>
      </c>
      <c r="E739" s="4">
        <v>5990</v>
      </c>
    </row>
    <row r="740" spans="1:5" ht="26.25" x14ac:dyDescent="0.25">
      <c r="A740" s="2" t="s">
        <v>205</v>
      </c>
      <c r="B740" s="2" t="str">
        <f>"025215500411"</f>
        <v>025215500411</v>
      </c>
      <c r="C740" s="2" t="str">
        <f>"60358122"</f>
        <v>60358122</v>
      </c>
      <c r="D740" s="2" t="s">
        <v>618</v>
      </c>
      <c r="E740" s="4">
        <v>5990</v>
      </c>
    </row>
    <row r="741" spans="1:5" ht="26.25" x14ac:dyDescent="0.25">
      <c r="A741" s="2" t="s">
        <v>205</v>
      </c>
      <c r="B741" s="2" t="str">
        <f>"025215500404"</f>
        <v>025215500404</v>
      </c>
      <c r="C741" s="2" t="str">
        <f>"60358121"</f>
        <v>60358121</v>
      </c>
      <c r="D741" s="2" t="s">
        <v>619</v>
      </c>
      <c r="E741" s="4">
        <v>5990</v>
      </c>
    </row>
    <row r="742" spans="1:5" ht="26.25" x14ac:dyDescent="0.25">
      <c r="A742" s="2" t="s">
        <v>205</v>
      </c>
      <c r="B742" s="2" t="str">
        <f>"025215493454"</f>
        <v>025215493454</v>
      </c>
      <c r="C742" s="2" t="str">
        <f>"60747292"</f>
        <v>60747292</v>
      </c>
      <c r="D742" s="2" t="s">
        <v>620</v>
      </c>
      <c r="E742" s="4">
        <v>16990</v>
      </c>
    </row>
    <row r="743" spans="1:5" ht="26.25" x14ac:dyDescent="0.25">
      <c r="A743" s="2" t="s">
        <v>205</v>
      </c>
      <c r="B743" s="2" t="str">
        <f>"218400168685"</f>
        <v>218400168685</v>
      </c>
      <c r="C743" s="2" t="str">
        <f>"10351199"</f>
        <v>10351199</v>
      </c>
      <c r="D743" s="2" t="s">
        <v>621</v>
      </c>
      <c r="E743" s="4">
        <v>2500</v>
      </c>
    </row>
    <row r="744" spans="1:5" ht="26.25" x14ac:dyDescent="0.25">
      <c r="A744" s="2" t="s">
        <v>205</v>
      </c>
      <c r="B744" s="2" t="str">
        <f>"1000001075853"</f>
        <v>1000001075853</v>
      </c>
      <c r="C744" s="2" t="str">
        <f>"76350006"</f>
        <v>76350006</v>
      </c>
      <c r="D744" s="2" t="s">
        <v>622</v>
      </c>
      <c r="E744" s="4">
        <v>4500</v>
      </c>
    </row>
    <row r="745" spans="1:5" ht="26.25" x14ac:dyDescent="0.25">
      <c r="A745" s="2" t="s">
        <v>205</v>
      </c>
      <c r="B745" s="2" t="str">
        <f>"6995411110049"</f>
        <v>6995411110049</v>
      </c>
      <c r="C745" s="2" t="str">
        <f>"76350777"</f>
        <v>76350777</v>
      </c>
      <c r="D745" s="2" t="s">
        <v>623</v>
      </c>
      <c r="E745" s="4">
        <v>4990</v>
      </c>
    </row>
    <row r="746" spans="1:5" ht="26.25" x14ac:dyDescent="0.25">
      <c r="A746" s="2" t="s">
        <v>205</v>
      </c>
      <c r="B746" s="2" t="str">
        <f>"816479013744"</f>
        <v>816479013744</v>
      </c>
      <c r="C746" s="2" t="str">
        <f>"30350006"</f>
        <v>30350006</v>
      </c>
      <c r="D746" s="2" t="s">
        <v>624</v>
      </c>
      <c r="E746" s="4">
        <v>14990</v>
      </c>
    </row>
    <row r="747" spans="1:5" ht="26.25" x14ac:dyDescent="0.25">
      <c r="A747" s="2" t="s">
        <v>205</v>
      </c>
      <c r="B747" s="2" t="str">
        <f>"5012786801738"</f>
        <v>5012786801738</v>
      </c>
      <c r="C747" s="2" t="str">
        <f>"10001687"</f>
        <v>10001687</v>
      </c>
      <c r="D747" s="2" t="s">
        <v>625</v>
      </c>
      <c r="E747" s="4">
        <v>6990</v>
      </c>
    </row>
    <row r="748" spans="1:5" ht="26.25" x14ac:dyDescent="0.25">
      <c r="A748" s="2" t="s">
        <v>205</v>
      </c>
      <c r="B748" s="2" t="str">
        <f>"10001716"</f>
        <v>10001716</v>
      </c>
      <c r="C748" s="2" t="str">
        <f>"10001716"</f>
        <v>10001716</v>
      </c>
      <c r="D748" s="2" t="s">
        <v>626</v>
      </c>
      <c r="E748" s="4">
        <v>12990</v>
      </c>
    </row>
    <row r="749" spans="1:5" ht="39" x14ac:dyDescent="0.25">
      <c r="A749" s="2" t="s">
        <v>205</v>
      </c>
      <c r="B749" s="2" t="str">
        <f>"816479013720"</f>
        <v>816479013720</v>
      </c>
      <c r="C749" s="2" t="str">
        <f>"79MOTMX2BL"</f>
        <v>79MOTMX2BL</v>
      </c>
      <c r="D749" s="2" t="s">
        <v>627</v>
      </c>
      <c r="E749" s="4">
        <v>15990</v>
      </c>
    </row>
    <row r="750" spans="1:5" ht="39" x14ac:dyDescent="0.25">
      <c r="A750" s="2" t="s">
        <v>205</v>
      </c>
      <c r="B750" s="2" t="str">
        <f>"816479013652"</f>
        <v>816479013652</v>
      </c>
      <c r="C750" s="2" t="str">
        <f>"79MOTMXBLK"</f>
        <v>79MOTMXBLK</v>
      </c>
      <c r="D750" s="2" t="s">
        <v>628</v>
      </c>
      <c r="E750" s="4">
        <v>14990</v>
      </c>
    </row>
    <row r="751" spans="1:5" ht="39" x14ac:dyDescent="0.25">
      <c r="A751" s="2" t="s">
        <v>205</v>
      </c>
      <c r="B751" s="2" t="str">
        <f>"816479013669"</f>
        <v>816479013669</v>
      </c>
      <c r="C751" s="2" t="str">
        <f>"79MOTMXWHT"</f>
        <v>79MOTMXWHT</v>
      </c>
      <c r="D751" s="2" t="s">
        <v>629</v>
      </c>
      <c r="E751" s="4">
        <v>17990</v>
      </c>
    </row>
    <row r="752" spans="1:5" ht="39" x14ac:dyDescent="0.25">
      <c r="A752" s="2" t="s">
        <v>205</v>
      </c>
      <c r="B752" s="2" t="str">
        <f>"5012786803718"</f>
        <v>5012786803718</v>
      </c>
      <c r="C752" s="2" t="str">
        <f>"79MOTSQ20B"</f>
        <v>79MOTSQ20B</v>
      </c>
      <c r="D752" s="2" t="s">
        <v>630</v>
      </c>
      <c r="E752" s="4">
        <v>21990</v>
      </c>
    </row>
    <row r="753" spans="1:5" ht="39" x14ac:dyDescent="0.25">
      <c r="A753" s="2" t="s">
        <v>205</v>
      </c>
      <c r="B753" s="2" t="str">
        <f>"5012786803725"</f>
        <v>5012786803725</v>
      </c>
      <c r="C753" s="2" t="str">
        <f>"79MOTSQ20P"</f>
        <v>79MOTSQ20P</v>
      </c>
      <c r="D753" s="2" t="s">
        <v>631</v>
      </c>
      <c r="E753" s="4">
        <v>21990</v>
      </c>
    </row>
    <row r="754" spans="1:5" ht="26.25" x14ac:dyDescent="0.25">
      <c r="A754" s="2" t="s">
        <v>205</v>
      </c>
      <c r="B754" s="2" t="str">
        <f>"7804625560610"</f>
        <v>7804625560610</v>
      </c>
      <c r="C754" s="2" t="str">
        <f>"42400010"</f>
        <v>42400010</v>
      </c>
      <c r="D754" s="2" t="s">
        <v>632</v>
      </c>
      <c r="E754" s="4">
        <v>2990</v>
      </c>
    </row>
    <row r="755" spans="1:5" ht="26.25" x14ac:dyDescent="0.25">
      <c r="A755" s="2" t="s">
        <v>209</v>
      </c>
      <c r="B755" s="2" t="str">
        <f>"7804625560580"</f>
        <v>7804625560580</v>
      </c>
      <c r="C755" s="2" t="str">
        <f>"42400000"</f>
        <v>42400000</v>
      </c>
      <c r="D755" s="2" t="s">
        <v>633</v>
      </c>
      <c r="E755" s="4">
        <v>2900</v>
      </c>
    </row>
    <row r="756" spans="1:5" ht="26.25" x14ac:dyDescent="0.25">
      <c r="A756" s="2" t="s">
        <v>209</v>
      </c>
      <c r="B756" s="2" t="str">
        <f>"7804625560597"</f>
        <v>7804625560597</v>
      </c>
      <c r="C756" s="2" t="str">
        <f>"42400001"</f>
        <v>42400001</v>
      </c>
      <c r="D756" s="2" t="s">
        <v>634</v>
      </c>
      <c r="E756" s="4">
        <v>2900</v>
      </c>
    </row>
    <row r="757" spans="1:5" ht="26.25" x14ac:dyDescent="0.25">
      <c r="A757" s="2" t="s">
        <v>209</v>
      </c>
      <c r="B757" s="2" t="str">
        <f>"42400050"</f>
        <v>42400050</v>
      </c>
      <c r="C757" s="2" t="str">
        <f>"42400050"</f>
        <v>42400050</v>
      </c>
      <c r="D757" s="2" t="s">
        <v>635</v>
      </c>
      <c r="E757" s="4">
        <v>10990</v>
      </c>
    </row>
    <row r="758" spans="1:5" ht="26.25" x14ac:dyDescent="0.25">
      <c r="A758" s="2" t="s">
        <v>205</v>
      </c>
      <c r="B758" s="2" t="str">
        <f>"6901443152742"</f>
        <v>6901443152742</v>
      </c>
      <c r="C758" s="2" t="str">
        <f>"92350500"</f>
        <v>92350500</v>
      </c>
      <c r="D758" s="2" t="s">
        <v>636</v>
      </c>
      <c r="E758" s="4">
        <v>7990</v>
      </c>
    </row>
    <row r="759" spans="1:5" ht="26.25" x14ac:dyDescent="0.25">
      <c r="A759" s="2" t="s">
        <v>205</v>
      </c>
      <c r="B759" s="2" t="str">
        <f>"30350033"</f>
        <v>30350033</v>
      </c>
      <c r="C759" s="2" t="str">
        <f>"30350033"</f>
        <v>30350033</v>
      </c>
      <c r="D759" s="2" t="s">
        <v>637</v>
      </c>
      <c r="E759" s="4">
        <v>24990</v>
      </c>
    </row>
    <row r="760" spans="1:5" ht="26.25" x14ac:dyDescent="0.25">
      <c r="A760" s="2" t="s">
        <v>205</v>
      </c>
      <c r="B760" s="2" t="str">
        <f>"005142"</f>
        <v>005142</v>
      </c>
      <c r="C760" s="2" t="str">
        <f>"33030715"</f>
        <v>33030715</v>
      </c>
      <c r="D760" s="2" t="s">
        <v>638</v>
      </c>
      <c r="E760" s="4">
        <v>15850</v>
      </c>
    </row>
    <row r="761" spans="1:5" ht="26.25" x14ac:dyDescent="0.25">
      <c r="A761" s="2" t="s">
        <v>205</v>
      </c>
      <c r="B761" s="2" t="str">
        <f>"10000672"</f>
        <v>10000672</v>
      </c>
      <c r="C761" s="2" t="str">
        <f>"10000672"</f>
        <v>10000672</v>
      </c>
      <c r="D761" s="2" t="s">
        <v>639</v>
      </c>
      <c r="E761" s="4">
        <v>7000</v>
      </c>
    </row>
    <row r="762" spans="1:5" ht="26.25" x14ac:dyDescent="0.25">
      <c r="A762" s="2" t="s">
        <v>205</v>
      </c>
      <c r="B762" s="2" t="str">
        <f>"5025232880997"</f>
        <v>5025232880997</v>
      </c>
      <c r="C762" s="2" t="str">
        <f>"253500997"</f>
        <v>253500997</v>
      </c>
      <c r="D762" s="2" t="s">
        <v>640</v>
      </c>
      <c r="E762" s="4">
        <v>9990</v>
      </c>
    </row>
    <row r="763" spans="1:5" ht="26.25" x14ac:dyDescent="0.25">
      <c r="A763" s="2" t="s">
        <v>205</v>
      </c>
      <c r="B763" s="2" t="str">
        <f>"5025232882366"</f>
        <v>5025232882366</v>
      </c>
      <c r="C763" s="2" t="str">
        <f>"25350115"</f>
        <v>25350115</v>
      </c>
      <c r="D763" s="2" t="s">
        <v>641</v>
      </c>
      <c r="E763" s="4">
        <v>10990</v>
      </c>
    </row>
    <row r="764" spans="1:5" ht="26.25" x14ac:dyDescent="0.25">
      <c r="A764" s="2" t="s">
        <v>205</v>
      </c>
      <c r="B764" s="2" t="str">
        <f>"5025232882373"</f>
        <v>5025232882373</v>
      </c>
      <c r="C764" s="2" t="str">
        <f>"25352373"</f>
        <v>25352373</v>
      </c>
      <c r="D764" s="2" t="s">
        <v>642</v>
      </c>
      <c r="E764" s="4">
        <v>9990</v>
      </c>
    </row>
    <row r="765" spans="1:5" ht="26.25" x14ac:dyDescent="0.25">
      <c r="A765" s="2" t="s">
        <v>205</v>
      </c>
      <c r="B765" s="2" t="str">
        <f>"885170132054"</f>
        <v>885170132054</v>
      </c>
      <c r="C765" s="2" t="str">
        <f>"25350125"</f>
        <v>25350125</v>
      </c>
      <c r="D765" s="2" t="s">
        <v>643</v>
      </c>
      <c r="E765" s="4">
        <v>9990</v>
      </c>
    </row>
    <row r="766" spans="1:5" ht="26.25" x14ac:dyDescent="0.25">
      <c r="A766" s="2" t="s">
        <v>205</v>
      </c>
      <c r="B766" s="2" t="str">
        <f>"885170360761"</f>
        <v>885170360761</v>
      </c>
      <c r="C766" s="2" t="str">
        <f>"253500130"</f>
        <v>253500130</v>
      </c>
      <c r="D766" s="2" t="s">
        <v>644</v>
      </c>
      <c r="E766" s="4">
        <v>9990</v>
      </c>
    </row>
    <row r="767" spans="1:5" ht="26.25" x14ac:dyDescent="0.25">
      <c r="A767" s="2" t="s">
        <v>205</v>
      </c>
      <c r="B767" s="2" t="str">
        <f>"5025232828098"</f>
        <v>5025232828098</v>
      </c>
      <c r="C767" s="2" t="str">
        <f>"25350105"</f>
        <v>25350105</v>
      </c>
      <c r="D767" s="2" t="s">
        <v>645</v>
      </c>
      <c r="E767" s="4">
        <v>8990</v>
      </c>
    </row>
    <row r="768" spans="1:5" ht="26.25" x14ac:dyDescent="0.25">
      <c r="A768" s="2" t="s">
        <v>205</v>
      </c>
      <c r="B768" s="2" t="str">
        <f>"5025232882397"</f>
        <v>5025232882397</v>
      </c>
      <c r="C768" s="2" t="str">
        <f>"25352221"</f>
        <v>25352221</v>
      </c>
      <c r="D768" s="2" t="s">
        <v>646</v>
      </c>
      <c r="E768" s="4">
        <v>10990</v>
      </c>
    </row>
    <row r="769" spans="1:5" ht="26.25" x14ac:dyDescent="0.25">
      <c r="A769" s="2" t="s">
        <v>205</v>
      </c>
      <c r="B769" s="2" t="str">
        <f>"5025232880966"</f>
        <v>5025232880966</v>
      </c>
      <c r="C769" s="2" t="str">
        <f>"25350966"</f>
        <v>25350966</v>
      </c>
      <c r="D769" s="2" t="s">
        <v>647</v>
      </c>
      <c r="E769" s="4">
        <v>10990</v>
      </c>
    </row>
    <row r="770" spans="1:5" ht="26.25" x14ac:dyDescent="0.25">
      <c r="A770" s="2" t="s">
        <v>205</v>
      </c>
      <c r="B770" s="2" t="str">
        <f>"5025232820030"</f>
        <v>5025232820030</v>
      </c>
      <c r="C770" s="2" t="str">
        <f>"25350050"</f>
        <v>25350050</v>
      </c>
      <c r="D770" s="2" t="s">
        <v>648</v>
      </c>
      <c r="E770" s="4">
        <v>5900</v>
      </c>
    </row>
    <row r="771" spans="1:5" ht="26.25" x14ac:dyDescent="0.25">
      <c r="A771" s="2" t="s">
        <v>205</v>
      </c>
      <c r="B771" s="2" t="str">
        <f>"8613111467208"</f>
        <v>8613111467208</v>
      </c>
      <c r="C771" s="2" t="str">
        <f>"10100484"</f>
        <v>10100484</v>
      </c>
      <c r="D771" s="2" t="s">
        <v>649</v>
      </c>
      <c r="E771" s="4">
        <v>2990</v>
      </c>
    </row>
    <row r="772" spans="1:5" ht="26.25" x14ac:dyDescent="0.25">
      <c r="A772" s="2" t="s">
        <v>205</v>
      </c>
      <c r="B772" s="2" t="str">
        <f>"6925970711876"</f>
        <v>6925970711876</v>
      </c>
      <c r="C772" s="2" t="str">
        <f>"98351205"</f>
        <v>98351205</v>
      </c>
      <c r="D772" s="2" t="s">
        <v>650</v>
      </c>
      <c r="E772" s="4">
        <v>13500</v>
      </c>
    </row>
    <row r="773" spans="1:5" ht="26.25" x14ac:dyDescent="0.25">
      <c r="A773" s="2" t="s">
        <v>205</v>
      </c>
      <c r="B773" s="2" t="str">
        <f>"6925970700191"</f>
        <v>6925970700191</v>
      </c>
      <c r="C773" s="2" t="str">
        <f>"98352305"</f>
        <v>98352305</v>
      </c>
      <c r="D773" s="2" t="s">
        <v>651</v>
      </c>
      <c r="E773" s="4">
        <v>14500</v>
      </c>
    </row>
    <row r="774" spans="1:5" ht="26.25" x14ac:dyDescent="0.25">
      <c r="A774" s="2" t="s">
        <v>205</v>
      </c>
      <c r="B774" s="2" t="str">
        <f>"6951613981603"</f>
        <v>6951613981603</v>
      </c>
      <c r="C774" s="2" t="str">
        <f>"98351405"</f>
        <v>98351405</v>
      </c>
      <c r="D774" s="2" t="s">
        <v>652</v>
      </c>
      <c r="E774" s="4">
        <v>5990</v>
      </c>
    </row>
    <row r="775" spans="1:5" ht="26.25" x14ac:dyDescent="0.25">
      <c r="A775" s="2" t="s">
        <v>205</v>
      </c>
      <c r="B775" s="2" t="str">
        <f>"889446006865"</f>
        <v>889446006865</v>
      </c>
      <c r="C775" s="2" t="str">
        <f>"25036964"</f>
        <v>25036964</v>
      </c>
      <c r="D775" s="2" t="s">
        <v>653</v>
      </c>
      <c r="E775" s="4">
        <v>6000</v>
      </c>
    </row>
    <row r="776" spans="1:5" ht="26.25" x14ac:dyDescent="0.25">
      <c r="A776" s="2" t="s">
        <v>205</v>
      </c>
      <c r="B776" s="2" t="str">
        <f>"27PHL1405M"</f>
        <v>27PHL1405M</v>
      </c>
      <c r="C776" s="2" t="str">
        <f>"27PHL1405M"</f>
        <v>27PHL1405M</v>
      </c>
      <c r="D776" s="2" t="s">
        <v>653</v>
      </c>
      <c r="E776" s="4">
        <v>5000</v>
      </c>
    </row>
    <row r="777" spans="1:5" ht="26.25" x14ac:dyDescent="0.25">
      <c r="A777" s="2" t="s">
        <v>205</v>
      </c>
      <c r="B777" s="2" t="str">
        <f>"889446006650"</f>
        <v>889446006650</v>
      </c>
      <c r="C777" s="2" t="str">
        <f>"27PHL1405A"</f>
        <v>27PHL1405A</v>
      </c>
      <c r="D777" s="2" t="s">
        <v>653</v>
      </c>
      <c r="E777" s="4">
        <v>5000</v>
      </c>
    </row>
    <row r="778" spans="1:5" ht="26.25" x14ac:dyDescent="0.25">
      <c r="A778" s="2" t="s">
        <v>205</v>
      </c>
      <c r="B778" s="2" t="str">
        <f>"889446006896"</f>
        <v>889446006896</v>
      </c>
      <c r="C778" s="2" t="str">
        <f>"98031405"</f>
        <v>98031405</v>
      </c>
      <c r="D778" s="2" t="s">
        <v>654</v>
      </c>
      <c r="E778" s="4">
        <v>5000</v>
      </c>
    </row>
    <row r="779" spans="1:5" ht="26.25" x14ac:dyDescent="0.25">
      <c r="A779" s="2" t="s">
        <v>205</v>
      </c>
      <c r="B779" s="2" t="str">
        <f>"98036872"</f>
        <v>98036872</v>
      </c>
      <c r="C779" s="2" t="str">
        <f>"98036872"</f>
        <v>98036872</v>
      </c>
      <c r="D779" s="2" t="s">
        <v>655</v>
      </c>
      <c r="E779" s="4">
        <v>5000</v>
      </c>
    </row>
    <row r="780" spans="1:5" ht="26.25" x14ac:dyDescent="0.25">
      <c r="A780" s="2" t="s">
        <v>205</v>
      </c>
      <c r="B780" s="2" t="str">
        <f>"889446006872"</f>
        <v>889446006872</v>
      </c>
      <c r="C780" s="2" t="str">
        <f>"27PHL1405J"</f>
        <v>27PHL1405J</v>
      </c>
      <c r="D780" s="2" t="s">
        <v>655</v>
      </c>
      <c r="E780" s="4">
        <v>5000</v>
      </c>
    </row>
    <row r="781" spans="1:5" ht="26.25" x14ac:dyDescent="0.25">
      <c r="A781" s="2" t="s">
        <v>209</v>
      </c>
      <c r="B781" s="2" t="str">
        <f>"8712581584276"</f>
        <v>8712581584276</v>
      </c>
      <c r="C781" s="2" t="str">
        <f>"98352500"</f>
        <v>98352500</v>
      </c>
      <c r="D781" s="2" t="s">
        <v>656</v>
      </c>
      <c r="E781" s="4">
        <v>23990</v>
      </c>
    </row>
    <row r="782" spans="1:5" ht="26.25" x14ac:dyDescent="0.25">
      <c r="A782" s="2" t="s">
        <v>205</v>
      </c>
      <c r="B782" s="2" t="str">
        <f>"6951613981597"</f>
        <v>6951613981597</v>
      </c>
      <c r="C782" s="2" t="str">
        <f>"98351597"</f>
        <v>98351597</v>
      </c>
      <c r="D782" s="2" t="s">
        <v>657</v>
      </c>
      <c r="E782" s="4">
        <v>8990</v>
      </c>
    </row>
    <row r="783" spans="1:5" ht="26.25" x14ac:dyDescent="0.25">
      <c r="A783" s="2" t="s">
        <v>205</v>
      </c>
      <c r="B783" s="2" t="str">
        <f>"6923410724516"</f>
        <v>6923410724516</v>
      </c>
      <c r="C783" s="2" t="str">
        <f>"98354516"</f>
        <v>98354516</v>
      </c>
      <c r="D783" s="2" t="s">
        <v>658</v>
      </c>
      <c r="E783" s="4">
        <v>8990</v>
      </c>
    </row>
    <row r="784" spans="1:5" ht="26.25" x14ac:dyDescent="0.25">
      <c r="A784" s="2" t="s">
        <v>205</v>
      </c>
      <c r="B784" s="2" t="str">
        <f>"6951613981580"</f>
        <v>6951613981580</v>
      </c>
      <c r="C784" s="2" t="str">
        <f>"98351580"</f>
        <v>98351580</v>
      </c>
      <c r="D784" s="2" t="s">
        <v>659</v>
      </c>
      <c r="E784" s="4">
        <v>8990</v>
      </c>
    </row>
    <row r="785" spans="1:5" ht="26.25" x14ac:dyDescent="0.25">
      <c r="A785" s="2" t="s">
        <v>205</v>
      </c>
      <c r="B785" s="2" t="str">
        <f>"889446007695"</f>
        <v>889446007695</v>
      </c>
      <c r="C785" s="2" t="str">
        <f>"98353550"</f>
        <v>98353550</v>
      </c>
      <c r="D785" s="2" t="s">
        <v>660</v>
      </c>
      <c r="E785" s="4">
        <v>8990</v>
      </c>
    </row>
    <row r="786" spans="1:5" ht="26.25" x14ac:dyDescent="0.25">
      <c r="A786" s="2" t="s">
        <v>205</v>
      </c>
      <c r="B786" s="2" t="str">
        <f>"6923410724523"</f>
        <v>6923410724523</v>
      </c>
      <c r="C786" s="2" t="str">
        <f>"98354523"</f>
        <v>98354523</v>
      </c>
      <c r="D786" s="2" t="s">
        <v>661</v>
      </c>
      <c r="E786" s="4">
        <v>8990</v>
      </c>
    </row>
    <row r="787" spans="1:5" ht="26.25" x14ac:dyDescent="0.25">
      <c r="A787" s="2" t="s">
        <v>205</v>
      </c>
      <c r="B787" s="2" t="str">
        <f>"889446007022"</f>
        <v>889446007022</v>
      </c>
      <c r="C787" s="2" t="str">
        <f>"98354205"</f>
        <v>98354205</v>
      </c>
      <c r="D787" s="2" t="s">
        <v>662</v>
      </c>
      <c r="E787" s="4">
        <v>7500</v>
      </c>
    </row>
    <row r="788" spans="1:5" ht="26.25" x14ac:dyDescent="0.25">
      <c r="A788" s="2" t="s">
        <v>205</v>
      </c>
      <c r="B788" s="2" t="str">
        <f>"489518561034"</f>
        <v>489518561034</v>
      </c>
      <c r="C788" s="2" t="str">
        <f>"25357055"</f>
        <v>25357055</v>
      </c>
      <c r="D788" s="2" t="s">
        <v>663</v>
      </c>
      <c r="E788" s="4">
        <v>10990</v>
      </c>
    </row>
    <row r="789" spans="1:5" ht="26.25" x14ac:dyDescent="0.25">
      <c r="A789" s="2" t="s">
        <v>205</v>
      </c>
      <c r="B789" s="2" t="str">
        <f>"609585247956"</f>
        <v>609585247956</v>
      </c>
      <c r="C789" s="2" t="str">
        <f>"98359105"</f>
        <v>98359105</v>
      </c>
      <c r="D789" s="2" t="s">
        <v>664</v>
      </c>
      <c r="E789" s="4">
        <v>14990</v>
      </c>
    </row>
    <row r="790" spans="1:5" ht="26.25" x14ac:dyDescent="0.25">
      <c r="A790" s="2" t="s">
        <v>205</v>
      </c>
      <c r="B790" s="2" t="str">
        <f>"889446006032"</f>
        <v>889446006032</v>
      </c>
      <c r="C790" s="2" t="str">
        <f>"98353555"</f>
        <v>98353555</v>
      </c>
      <c r="D790" s="2" t="s">
        <v>665</v>
      </c>
      <c r="E790" s="4">
        <v>8600</v>
      </c>
    </row>
    <row r="791" spans="1:5" ht="26.25" x14ac:dyDescent="0.25">
      <c r="A791" s="2" t="s">
        <v>205</v>
      </c>
      <c r="B791" s="2" t="str">
        <f>"889446006421"</f>
        <v>889446006421</v>
      </c>
      <c r="C791" s="2" t="str">
        <f>"98351305"</f>
        <v>98351305</v>
      </c>
      <c r="D791" s="2" t="s">
        <v>666</v>
      </c>
      <c r="E791" s="4">
        <v>13490</v>
      </c>
    </row>
    <row r="792" spans="1:5" ht="26.25" x14ac:dyDescent="0.25">
      <c r="A792" s="2" t="s">
        <v>205</v>
      </c>
      <c r="B792" s="2" t="str">
        <f>"4895229100589"</f>
        <v>4895229100589</v>
      </c>
      <c r="C792" s="2" t="str">
        <f>"98350101"</f>
        <v>98350101</v>
      </c>
      <c r="D792" s="2" t="s">
        <v>667</v>
      </c>
      <c r="E792" s="4">
        <v>8990</v>
      </c>
    </row>
    <row r="793" spans="1:5" ht="26.25" x14ac:dyDescent="0.25">
      <c r="A793" s="2" t="s">
        <v>205</v>
      </c>
      <c r="B793" s="2" t="str">
        <f>"4895229100572"</f>
        <v>4895229100572</v>
      </c>
      <c r="C793" s="2" t="str">
        <f>"98350572"</f>
        <v>98350572</v>
      </c>
      <c r="D793" s="2" t="s">
        <v>668</v>
      </c>
      <c r="E793" s="4">
        <v>8990</v>
      </c>
    </row>
    <row r="794" spans="1:5" ht="26.25" x14ac:dyDescent="0.25">
      <c r="A794" s="2" t="s">
        <v>205</v>
      </c>
      <c r="B794" s="2" t="str">
        <f>"4573243090382"</f>
        <v>4573243090382</v>
      </c>
      <c r="C794" s="2" t="str">
        <f>"27PNR502BK"</f>
        <v>27PNR502BK</v>
      </c>
      <c r="D794" s="2" t="s">
        <v>669</v>
      </c>
      <c r="E794" s="4">
        <v>7990</v>
      </c>
    </row>
    <row r="795" spans="1:5" ht="26.25" x14ac:dyDescent="0.25">
      <c r="A795" s="2" t="s">
        <v>205</v>
      </c>
      <c r="B795" s="2" t="str">
        <f>"4573243090412"</f>
        <v>4573243090412</v>
      </c>
      <c r="C795" s="2" t="str">
        <f>"27PNR502BL"</f>
        <v>27PNR502BL</v>
      </c>
      <c r="D795" s="2" t="s">
        <v>670</v>
      </c>
      <c r="E795" s="4">
        <v>7990</v>
      </c>
    </row>
    <row r="796" spans="1:5" ht="26.25" x14ac:dyDescent="0.25">
      <c r="A796" s="2" t="s">
        <v>205</v>
      </c>
      <c r="B796" s="2" t="str">
        <f>"4573211154443"</f>
        <v>4573211154443</v>
      </c>
      <c r="C796" s="2" t="str">
        <f>"27PNR01TBL"</f>
        <v>27PNR01TBL</v>
      </c>
      <c r="D796" s="2" t="s">
        <v>671</v>
      </c>
      <c r="E796" s="4">
        <v>7690</v>
      </c>
    </row>
    <row r="797" spans="1:5" ht="39" x14ac:dyDescent="0.25">
      <c r="A797" s="2" t="s">
        <v>205</v>
      </c>
      <c r="B797" s="2" t="str">
        <f>"4573211154450"</f>
        <v>4573211154450</v>
      </c>
      <c r="C797" s="2" t="str">
        <f>"27PNR01TWH"</f>
        <v>27PNR01TWH</v>
      </c>
      <c r="D797" s="2" t="s">
        <v>672</v>
      </c>
      <c r="E797" s="4">
        <v>8500</v>
      </c>
    </row>
    <row r="798" spans="1:5" ht="26.25" x14ac:dyDescent="0.25">
      <c r="A798" s="2" t="s">
        <v>205</v>
      </c>
      <c r="B798" s="2" t="str">
        <f>"4573211154429"</f>
        <v>4573211154429</v>
      </c>
      <c r="C798" s="2" t="str">
        <f>"27PNR01TBK"</f>
        <v>27PNR01TBK</v>
      </c>
      <c r="D798" s="2" t="s">
        <v>673</v>
      </c>
      <c r="E798" s="4">
        <v>9990</v>
      </c>
    </row>
    <row r="799" spans="1:5" ht="26.25" x14ac:dyDescent="0.25">
      <c r="A799" s="2" t="s">
        <v>205</v>
      </c>
      <c r="B799" s="2" t="str">
        <f>"34351400"</f>
        <v>34351400</v>
      </c>
      <c r="C799" s="2" t="str">
        <f>"34351400"</f>
        <v>34351400</v>
      </c>
      <c r="D799" s="2" t="s">
        <v>674</v>
      </c>
      <c r="E799" s="4">
        <v>4000</v>
      </c>
    </row>
    <row r="800" spans="1:5" ht="26.25" x14ac:dyDescent="0.25">
      <c r="A800" s="2" t="s">
        <v>205</v>
      </c>
      <c r="B800" s="2" t="str">
        <f>"8806088304472"</f>
        <v>8806088304472</v>
      </c>
      <c r="C800" s="2" t="str">
        <f>"40351400"</f>
        <v>40351400</v>
      </c>
      <c r="D800" s="2" t="s">
        <v>675</v>
      </c>
      <c r="E800" s="4">
        <v>4000</v>
      </c>
    </row>
    <row r="801" spans="1:5" ht="26.25" x14ac:dyDescent="0.25">
      <c r="A801" s="2" t="s">
        <v>205</v>
      </c>
      <c r="B801" s="2" t="str">
        <f>"7858816041846"</f>
        <v>7858816041846</v>
      </c>
      <c r="C801" s="2" t="str">
        <f>"87354184"</f>
        <v>87354184</v>
      </c>
      <c r="D801" s="2" t="s">
        <v>676</v>
      </c>
      <c r="E801" s="4">
        <v>4990</v>
      </c>
    </row>
    <row r="802" spans="1:5" ht="26.25" x14ac:dyDescent="0.25">
      <c r="A802" s="2" t="s">
        <v>205</v>
      </c>
      <c r="B802" s="2" t="str">
        <f>"8808987920012"</f>
        <v>8808987920012</v>
      </c>
      <c r="C802" s="2" t="str">
        <f>"79ORGEH61B"</f>
        <v>79ORGEH61B</v>
      </c>
      <c r="D802" s="2" t="s">
        <v>677</v>
      </c>
      <c r="E802" s="4">
        <v>8500</v>
      </c>
    </row>
    <row r="803" spans="1:5" ht="26.25" x14ac:dyDescent="0.25">
      <c r="A803" s="2" t="s">
        <v>205</v>
      </c>
      <c r="B803" s="2" t="str">
        <f>"8806085691308"</f>
        <v>8806085691308</v>
      </c>
      <c r="C803" s="2" t="str">
        <f>"79ORGH130N"</f>
        <v>79ORGH130N</v>
      </c>
      <c r="D803" s="2" t="s">
        <v>678</v>
      </c>
      <c r="E803" s="4">
        <v>15990</v>
      </c>
    </row>
    <row r="804" spans="1:5" ht="26.25" x14ac:dyDescent="0.25">
      <c r="A804" s="2" t="s">
        <v>205</v>
      </c>
      <c r="B804" s="2" t="str">
        <f>"8806085692701"</f>
        <v>8806085692701</v>
      </c>
      <c r="C804" s="2" t="str">
        <f>"63352701"</f>
        <v>63352701</v>
      </c>
      <c r="D804" s="2" t="s">
        <v>679</v>
      </c>
      <c r="E804" s="4">
        <v>12990</v>
      </c>
    </row>
    <row r="805" spans="1:5" ht="26.25" x14ac:dyDescent="0.25">
      <c r="A805" s="2" t="s">
        <v>205</v>
      </c>
      <c r="B805" s="2" t="str">
        <f>"32351400"</f>
        <v>32351400</v>
      </c>
      <c r="C805" s="2" t="str">
        <f>"32351400"</f>
        <v>32351400</v>
      </c>
      <c r="D805" s="2" t="s">
        <v>680</v>
      </c>
      <c r="E805" s="4">
        <v>3500</v>
      </c>
    </row>
    <row r="806" spans="1:5" ht="26.25" x14ac:dyDescent="0.25">
      <c r="A806" s="2" t="s">
        <v>205</v>
      </c>
      <c r="B806" s="2" t="str">
        <f>"8806088843476"</f>
        <v>8806088843476</v>
      </c>
      <c r="C806" s="2" t="str">
        <f>"86353476"</f>
        <v>86353476</v>
      </c>
      <c r="D806" s="2" t="s">
        <v>681</v>
      </c>
      <c r="E806" s="4">
        <v>7500</v>
      </c>
    </row>
    <row r="807" spans="1:5" ht="26.25" x14ac:dyDescent="0.25">
      <c r="A807" s="2" t="s">
        <v>205</v>
      </c>
      <c r="B807" s="2" t="str">
        <f>"027242867284"</f>
        <v>027242867284</v>
      </c>
      <c r="C807" s="2" t="str">
        <f>"37SONAP15N"</f>
        <v>37SONAP15N</v>
      </c>
      <c r="D807" s="2" t="s">
        <v>682</v>
      </c>
      <c r="E807" s="4">
        <v>15990</v>
      </c>
    </row>
    <row r="808" spans="1:5" ht="26.25" x14ac:dyDescent="0.25">
      <c r="A808" s="2" t="s">
        <v>205</v>
      </c>
      <c r="B808" s="2" t="str">
        <f>"63350015"</f>
        <v>63350015</v>
      </c>
      <c r="C808" s="2" t="str">
        <f>"63350015"</f>
        <v>63350015</v>
      </c>
      <c r="D808" s="2" t="s">
        <v>682</v>
      </c>
      <c r="E808" s="4">
        <v>15990</v>
      </c>
    </row>
    <row r="809" spans="1:5" ht="26.25" x14ac:dyDescent="0.25">
      <c r="A809" s="2" t="s">
        <v>205</v>
      </c>
      <c r="B809" s="2" t="str">
        <f>"027242869516"</f>
        <v>027242869516</v>
      </c>
      <c r="C809" s="2" t="str">
        <f>"37SONAP15A"</f>
        <v>37SONAP15A</v>
      </c>
      <c r="D809" s="2" t="s">
        <v>683</v>
      </c>
      <c r="E809" s="4">
        <v>15990</v>
      </c>
    </row>
    <row r="810" spans="1:5" ht="26.25" x14ac:dyDescent="0.25">
      <c r="A810" s="2" t="s">
        <v>205</v>
      </c>
      <c r="B810" s="2" t="str">
        <f>"027242868694"</f>
        <v>027242868694</v>
      </c>
      <c r="C810" s="2" t="str">
        <f>"37SONAP15M"</f>
        <v>37SONAP15M</v>
      </c>
      <c r="D810" s="2" t="s">
        <v>684</v>
      </c>
      <c r="E810" s="4">
        <v>15990</v>
      </c>
    </row>
    <row r="811" spans="1:5" ht="26.25" x14ac:dyDescent="0.25">
      <c r="A811" s="2" t="s">
        <v>205</v>
      </c>
      <c r="B811" s="2" t="str">
        <f>"4905524931242"</f>
        <v>4905524931242</v>
      </c>
      <c r="C811" s="2" t="str">
        <f>"41351242"</f>
        <v>41351242</v>
      </c>
      <c r="D811" s="2" t="s">
        <v>685</v>
      </c>
      <c r="E811" s="4">
        <v>7000</v>
      </c>
    </row>
    <row r="812" spans="1:5" ht="26.25" x14ac:dyDescent="0.25">
      <c r="A812" s="2" t="s">
        <v>205</v>
      </c>
      <c r="B812" s="2" t="str">
        <f>"027242867093"</f>
        <v>027242867093</v>
      </c>
      <c r="C812" s="2" t="str">
        <f>"63350001"</f>
        <v>63350001</v>
      </c>
      <c r="D812" s="2" t="s">
        <v>686</v>
      </c>
      <c r="E812" s="4">
        <v>16990</v>
      </c>
    </row>
    <row r="813" spans="1:5" ht="26.25" x14ac:dyDescent="0.25">
      <c r="A813" s="2" t="s">
        <v>205</v>
      </c>
      <c r="B813" s="2" t="str">
        <f>"027242868854"</f>
        <v>027242868854</v>
      </c>
      <c r="C813" s="2" t="str">
        <f>"63351010"</f>
        <v>63351010</v>
      </c>
      <c r="D813" s="2" t="s">
        <v>687</v>
      </c>
      <c r="E813" s="4">
        <v>9990</v>
      </c>
    </row>
    <row r="814" spans="1:5" ht="26.25" x14ac:dyDescent="0.25">
      <c r="A814" s="2" t="s">
        <v>205</v>
      </c>
      <c r="B814" s="2" t="str">
        <f>"027242869660"</f>
        <v>027242869660</v>
      </c>
      <c r="C814" s="2" t="str">
        <f>"98353100"</f>
        <v>98353100</v>
      </c>
      <c r="D814" s="2" t="s">
        <v>688</v>
      </c>
      <c r="E814" s="4">
        <v>18990</v>
      </c>
    </row>
    <row r="815" spans="1:5" ht="26.25" x14ac:dyDescent="0.25">
      <c r="A815" s="2" t="s">
        <v>205</v>
      </c>
      <c r="B815" s="2" t="str">
        <f>"027242869684"</f>
        <v>027242869684</v>
      </c>
      <c r="C815" s="2" t="str">
        <f>"98350310"</f>
        <v>98350310</v>
      </c>
      <c r="D815" s="2" t="s">
        <v>689</v>
      </c>
      <c r="E815" s="4">
        <v>18990</v>
      </c>
    </row>
    <row r="816" spans="1:5" ht="26.25" x14ac:dyDescent="0.25">
      <c r="A816" s="2" t="s">
        <v>209</v>
      </c>
      <c r="B816" s="2" t="str">
        <f>"94000007"</f>
        <v>94000007</v>
      </c>
      <c r="C816" s="2" t="str">
        <f>"94000007"</f>
        <v>94000007</v>
      </c>
      <c r="D816" s="2" t="s">
        <v>690</v>
      </c>
      <c r="E816" s="4">
        <v>7900</v>
      </c>
    </row>
    <row r="817" spans="1:5" ht="26.25" x14ac:dyDescent="0.25">
      <c r="A817" s="2" t="s">
        <v>205</v>
      </c>
      <c r="B817" s="2" t="str">
        <f>"6927900010431"</f>
        <v>6927900010431</v>
      </c>
      <c r="C817" s="2" t="str">
        <f>"25351570"</f>
        <v>25351570</v>
      </c>
      <c r="D817" s="2" t="s">
        <v>691</v>
      </c>
      <c r="E817" s="4">
        <v>3990</v>
      </c>
    </row>
    <row r="818" spans="1:5" ht="26.25" x14ac:dyDescent="0.25">
      <c r="A818" s="2" t="s">
        <v>205</v>
      </c>
      <c r="B818" s="2" t="str">
        <f>"6927900010417"</f>
        <v>6927900010417</v>
      </c>
      <c r="C818" s="2" t="str">
        <f>"25351571"</f>
        <v>25351571</v>
      </c>
      <c r="D818" s="2" t="s">
        <v>691</v>
      </c>
      <c r="E818" s="4">
        <v>3990</v>
      </c>
    </row>
    <row r="819" spans="1:5" ht="26.25" x14ac:dyDescent="0.25">
      <c r="A819" s="2" t="s">
        <v>205</v>
      </c>
      <c r="B819" s="2" t="str">
        <f>"6927900010424"</f>
        <v>6927900010424</v>
      </c>
      <c r="C819" s="2" t="str">
        <f>"25350424"</f>
        <v>25350424</v>
      </c>
      <c r="D819" s="2" t="s">
        <v>691</v>
      </c>
      <c r="E819" s="4">
        <v>3990</v>
      </c>
    </row>
    <row r="820" spans="1:5" ht="26.25" x14ac:dyDescent="0.25">
      <c r="A820" s="2" t="s">
        <v>205</v>
      </c>
      <c r="B820" s="2" t="str">
        <f>"6927900010080"</f>
        <v>6927900010080</v>
      </c>
      <c r="C820" s="2" t="str">
        <f>"25350150"</f>
        <v>25350150</v>
      </c>
      <c r="D820" s="2" t="s">
        <v>692</v>
      </c>
      <c r="E820" s="4">
        <v>4500</v>
      </c>
    </row>
    <row r="821" spans="1:5" ht="26.25" x14ac:dyDescent="0.25">
      <c r="A821" s="2" t="s">
        <v>205</v>
      </c>
      <c r="B821" s="2" t="str">
        <f>"6927900010073"</f>
        <v>6927900010073</v>
      </c>
      <c r="C821" s="2" t="str">
        <f>"25350175"</f>
        <v>25350175</v>
      </c>
      <c r="D821" s="2" t="s">
        <v>693</v>
      </c>
      <c r="E821" s="4">
        <v>4500</v>
      </c>
    </row>
    <row r="822" spans="1:5" ht="26.25" x14ac:dyDescent="0.25">
      <c r="A822" s="2" t="s">
        <v>205</v>
      </c>
      <c r="B822" s="2" t="str">
        <f>"7867090891122"</f>
        <v>7867090891122</v>
      </c>
      <c r="C822" s="2" t="str">
        <f>"40350112"</f>
        <v>40350112</v>
      </c>
      <c r="D822" s="2" t="s">
        <v>694</v>
      </c>
      <c r="E822" s="4">
        <v>5000</v>
      </c>
    </row>
    <row r="823" spans="1:5" ht="26.25" x14ac:dyDescent="0.25">
      <c r="A823" s="2" t="s">
        <v>205</v>
      </c>
      <c r="B823" s="2" t="str">
        <f>"6925871611008"</f>
        <v>6925871611008</v>
      </c>
      <c r="C823" s="2" t="str">
        <f>"22351100"</f>
        <v>22351100</v>
      </c>
      <c r="D823" s="2" t="s">
        <v>695</v>
      </c>
      <c r="E823" s="4">
        <v>6000</v>
      </c>
    </row>
    <row r="824" spans="1:5" ht="26.25" x14ac:dyDescent="0.25">
      <c r="A824" s="2" t="s">
        <v>205</v>
      </c>
      <c r="B824" s="2" t="str">
        <f>"6901443200429"</f>
        <v>6901443200429</v>
      </c>
      <c r="C824" s="2" t="str">
        <f>"92350088"</f>
        <v>92350088</v>
      </c>
      <c r="D824" s="2" t="s">
        <v>696</v>
      </c>
      <c r="E824" s="4">
        <v>19990</v>
      </c>
    </row>
    <row r="825" spans="1:5" ht="26.25" x14ac:dyDescent="0.25">
      <c r="A825" s="2" t="s">
        <v>205</v>
      </c>
      <c r="B825" s="2" t="str">
        <f>"61350700"</f>
        <v>61350700</v>
      </c>
      <c r="C825" s="2" t="str">
        <f>"61350700"</f>
        <v>61350700</v>
      </c>
      <c r="D825" s="2" t="s">
        <v>697</v>
      </c>
      <c r="E825" s="4">
        <v>3990</v>
      </c>
    </row>
    <row r="826" spans="1:5" ht="26.25" x14ac:dyDescent="0.25">
      <c r="A826" s="2" t="s">
        <v>205</v>
      </c>
      <c r="B826" s="2" t="str">
        <f>"8017040519906"</f>
        <v>8017040519906</v>
      </c>
      <c r="C826" s="2" t="str">
        <f>"303551990"</f>
        <v>303551990</v>
      </c>
      <c r="D826" s="2" t="s">
        <v>698</v>
      </c>
      <c r="E826" s="4">
        <v>8990</v>
      </c>
    </row>
    <row r="827" spans="1:5" ht="26.25" x14ac:dyDescent="0.25">
      <c r="A827" s="2" t="s">
        <v>205</v>
      </c>
      <c r="B827" s="2" t="str">
        <f>"10001197"</f>
        <v>10001197</v>
      </c>
      <c r="C827" s="2" t="str">
        <f>"10001197"</f>
        <v>10001197</v>
      </c>
      <c r="D827" s="2" t="s">
        <v>699</v>
      </c>
      <c r="E827" s="4">
        <v>2500</v>
      </c>
    </row>
    <row r="828" spans="1:5" ht="26.25" x14ac:dyDescent="0.25">
      <c r="A828" s="2" t="s">
        <v>205</v>
      </c>
      <c r="B828" s="2" t="str">
        <f>"61350701"</f>
        <v>61350701</v>
      </c>
      <c r="C828" s="2" t="str">
        <f>"61350701"</f>
        <v>61350701</v>
      </c>
      <c r="D828" s="2" t="s">
        <v>700</v>
      </c>
      <c r="E828" s="4">
        <v>8990</v>
      </c>
    </row>
    <row r="829" spans="1:5" ht="26.25" x14ac:dyDescent="0.25">
      <c r="A829" s="2" t="s">
        <v>205</v>
      </c>
      <c r="B829" s="2" t="str">
        <f>"6918027003345"</f>
        <v>6918027003345</v>
      </c>
      <c r="C829" s="2" t="str">
        <f>"40350700"</f>
        <v>40350700</v>
      </c>
      <c r="D829" s="2" t="s">
        <v>701</v>
      </c>
      <c r="E829" s="4">
        <v>4500</v>
      </c>
    </row>
    <row r="830" spans="1:5" ht="26.25" x14ac:dyDescent="0.25">
      <c r="A830" s="2" t="s">
        <v>205</v>
      </c>
      <c r="B830" s="2" t="str">
        <f>"7858816022647"</f>
        <v>7858816022647</v>
      </c>
      <c r="C830" s="2" t="str">
        <f>"87352264"</f>
        <v>87352264</v>
      </c>
      <c r="D830" s="2" t="s">
        <v>702</v>
      </c>
      <c r="E830" s="4">
        <v>3000</v>
      </c>
    </row>
    <row r="831" spans="1:5" ht="26.25" x14ac:dyDescent="0.25">
      <c r="A831" s="2" t="s">
        <v>205</v>
      </c>
      <c r="B831" s="2" t="str">
        <f>"54350700"</f>
        <v>54350700</v>
      </c>
      <c r="C831" s="2" t="str">
        <f>"54350700"</f>
        <v>54350700</v>
      </c>
      <c r="D831" s="2" t="s">
        <v>702</v>
      </c>
      <c r="E831" s="4">
        <v>4990</v>
      </c>
    </row>
    <row r="832" spans="1:5" ht="26.25" x14ac:dyDescent="0.25">
      <c r="A832" s="2" t="s">
        <v>205</v>
      </c>
      <c r="B832" s="2" t="str">
        <f>"190198001733"</f>
        <v>190198001733</v>
      </c>
      <c r="C832" s="2" t="str">
        <f>"54031748"</f>
        <v>54031748</v>
      </c>
      <c r="D832" s="2" t="s">
        <v>703</v>
      </c>
      <c r="E832" s="4">
        <v>11990</v>
      </c>
    </row>
    <row r="833" spans="1:5" ht="26.25" x14ac:dyDescent="0.25">
      <c r="A833" s="2" t="s">
        <v>209</v>
      </c>
      <c r="B833" s="2" t="str">
        <f>"66000782"</f>
        <v>66000782</v>
      </c>
      <c r="C833" s="2" t="str">
        <f>"66000782"</f>
        <v>66000782</v>
      </c>
      <c r="D833" s="2" t="s">
        <v>704</v>
      </c>
      <c r="E833" s="4">
        <v>6500</v>
      </c>
    </row>
    <row r="834" spans="1:5" ht="26.25" x14ac:dyDescent="0.25">
      <c r="A834" s="2" t="s">
        <v>205</v>
      </c>
      <c r="B834" s="2" t="str">
        <f>"54351400"</f>
        <v>54351400</v>
      </c>
      <c r="C834" s="2" t="str">
        <f>"54351400"</f>
        <v>54351400</v>
      </c>
      <c r="D834" s="2" t="s">
        <v>705</v>
      </c>
      <c r="E834" s="4">
        <v>5990</v>
      </c>
    </row>
    <row r="835" spans="1:5" ht="26.25" x14ac:dyDescent="0.25">
      <c r="A835" s="2" t="s">
        <v>205</v>
      </c>
      <c r="B835" s="2" t="str">
        <f>"61351405"</f>
        <v>61351405</v>
      </c>
      <c r="C835" s="2" t="str">
        <f>"61351405"</f>
        <v>61351405</v>
      </c>
      <c r="D835" s="2" t="s">
        <v>706</v>
      </c>
      <c r="E835" s="4">
        <v>4000</v>
      </c>
    </row>
    <row r="836" spans="1:5" ht="26.25" x14ac:dyDescent="0.25">
      <c r="A836" s="2" t="s">
        <v>205</v>
      </c>
      <c r="B836" s="2" t="str">
        <f>"61351409"</f>
        <v>61351409</v>
      </c>
      <c r="C836" s="2" t="str">
        <f>"61351409"</f>
        <v>61351409</v>
      </c>
      <c r="D836" s="2" t="s">
        <v>707</v>
      </c>
      <c r="E836" s="4">
        <v>3990</v>
      </c>
    </row>
    <row r="837" spans="1:5" ht="26.25" x14ac:dyDescent="0.25">
      <c r="A837" s="2" t="s">
        <v>209</v>
      </c>
      <c r="B837" s="2" t="str">
        <f>"76033708"</f>
        <v>76033708</v>
      </c>
      <c r="C837" s="2" t="str">
        <f>"76033708"</f>
        <v>76033708</v>
      </c>
      <c r="D837" s="2" t="s">
        <v>708</v>
      </c>
      <c r="E837" s="4">
        <v>12500</v>
      </c>
    </row>
    <row r="838" spans="1:5" ht="26.25" x14ac:dyDescent="0.25">
      <c r="A838" s="2" t="s">
        <v>205</v>
      </c>
      <c r="B838" s="2" t="str">
        <f>"7858816041037"</f>
        <v>7858816041037</v>
      </c>
      <c r="C838" s="2" t="str">
        <f>"87354103"</f>
        <v>87354103</v>
      </c>
      <c r="D838" s="2" t="s">
        <v>709</v>
      </c>
      <c r="E838" s="4">
        <v>6990</v>
      </c>
    </row>
    <row r="839" spans="1:5" ht="26.25" x14ac:dyDescent="0.25">
      <c r="A839" s="2" t="s">
        <v>205</v>
      </c>
      <c r="B839" s="2" t="str">
        <f>"6999969795659"</f>
        <v>6999969795659</v>
      </c>
      <c r="C839" s="2" t="str">
        <f>"10014859"</f>
        <v>10014859</v>
      </c>
      <c r="D839" s="2" t="s">
        <v>710</v>
      </c>
      <c r="E839" s="4">
        <v>3500</v>
      </c>
    </row>
    <row r="840" spans="1:5" ht="26.25" x14ac:dyDescent="0.25">
      <c r="A840" s="2" t="s">
        <v>205</v>
      </c>
      <c r="B840" s="2" t="str">
        <f>"7808748508368"</f>
        <v>7808748508368</v>
      </c>
      <c r="C840" s="2" t="str">
        <f>"98030120"</f>
        <v>98030120</v>
      </c>
      <c r="D840" s="2" t="s">
        <v>711</v>
      </c>
      <c r="E840" s="4">
        <v>5800</v>
      </c>
    </row>
    <row r="841" spans="1:5" ht="26.25" x14ac:dyDescent="0.25">
      <c r="A841" s="2" t="s">
        <v>205</v>
      </c>
      <c r="B841" s="2" t="str">
        <f>"7808748508450"</f>
        <v>7808748508450</v>
      </c>
      <c r="C841" s="2" t="str">
        <f>"98350180"</f>
        <v>98350180</v>
      </c>
      <c r="D841" s="2" t="s">
        <v>712</v>
      </c>
      <c r="E841" s="4">
        <v>11990</v>
      </c>
    </row>
    <row r="842" spans="1:5" ht="26.25" x14ac:dyDescent="0.25">
      <c r="A842" s="2" t="s">
        <v>209</v>
      </c>
      <c r="B842" s="2" t="str">
        <f>"25390000"</f>
        <v>25390000</v>
      </c>
      <c r="C842" s="2" t="str">
        <f>"25390000"</f>
        <v>25390000</v>
      </c>
      <c r="D842" s="2" t="s">
        <v>713</v>
      </c>
      <c r="E842" s="4">
        <v>3800</v>
      </c>
    </row>
    <row r="843" spans="1:5" ht="26.25" x14ac:dyDescent="0.25">
      <c r="A843" s="2" t="s">
        <v>209</v>
      </c>
      <c r="B843" s="2" t="str">
        <f>"025215498909"</f>
        <v>025215498909</v>
      </c>
      <c r="C843" s="2" t="str">
        <f>"60037841"</f>
        <v>60037841</v>
      </c>
      <c r="D843" s="2" t="s">
        <v>714</v>
      </c>
      <c r="E843" s="4">
        <v>1990</v>
      </c>
    </row>
    <row r="844" spans="1:5" ht="26.25" x14ac:dyDescent="0.25">
      <c r="A844" s="2" t="s">
        <v>209</v>
      </c>
      <c r="B844" s="2" t="str">
        <f>"025215498893"</f>
        <v>025215498893</v>
      </c>
      <c r="C844" s="2" t="str">
        <f>"60037840"</f>
        <v>60037840</v>
      </c>
      <c r="D844" s="2" t="s">
        <v>715</v>
      </c>
      <c r="E844" s="4">
        <v>1990</v>
      </c>
    </row>
    <row r="845" spans="1:5" ht="26.25" x14ac:dyDescent="0.25">
      <c r="A845" s="2" t="s">
        <v>209</v>
      </c>
      <c r="B845" s="2" t="str">
        <f>"025215498886"</f>
        <v>025215498886</v>
      </c>
      <c r="C845" s="2" t="str">
        <f>"60037839"</f>
        <v>60037839</v>
      </c>
      <c r="D845" s="2" t="s">
        <v>716</v>
      </c>
      <c r="E845" s="4">
        <v>1990</v>
      </c>
    </row>
    <row r="846" spans="1:5" ht="26.25" x14ac:dyDescent="0.25">
      <c r="A846" s="2" t="s">
        <v>209</v>
      </c>
      <c r="B846" s="2" t="str">
        <f>"98030095"</f>
        <v>98030095</v>
      </c>
      <c r="C846" s="2" t="str">
        <f>"98030095"</f>
        <v>98030095</v>
      </c>
      <c r="D846" s="2" t="s">
        <v>716</v>
      </c>
      <c r="E846" s="4">
        <v>1890</v>
      </c>
    </row>
    <row r="847" spans="1:5" ht="26.25" x14ac:dyDescent="0.25">
      <c r="A847" s="2" t="s">
        <v>209</v>
      </c>
      <c r="B847" s="2" t="str">
        <f>"025215190247"</f>
        <v>025215190247</v>
      </c>
      <c r="C847" s="2" t="str">
        <f>"60035600"</f>
        <v>60035600</v>
      </c>
      <c r="D847" s="2" t="s">
        <v>716</v>
      </c>
      <c r="E847" s="4">
        <v>1990</v>
      </c>
    </row>
    <row r="848" spans="1:5" ht="26.25" x14ac:dyDescent="0.25">
      <c r="A848" s="2" t="s">
        <v>209</v>
      </c>
      <c r="B848" s="2" t="str">
        <f>"025215498916"</f>
        <v>025215498916</v>
      </c>
      <c r="C848" s="2" t="str">
        <f>"60037842"</f>
        <v>60037842</v>
      </c>
      <c r="D848" s="2" t="s">
        <v>717</v>
      </c>
      <c r="E848" s="4">
        <v>1990</v>
      </c>
    </row>
    <row r="849" spans="1:5" ht="26.25" x14ac:dyDescent="0.25">
      <c r="A849" s="2" t="s">
        <v>209</v>
      </c>
      <c r="B849" s="2" t="str">
        <f>"025215498879"</f>
        <v>025215498879</v>
      </c>
      <c r="C849" s="2" t="str">
        <f>"60037838"</f>
        <v>60037838</v>
      </c>
      <c r="D849" s="2" t="s">
        <v>718</v>
      </c>
      <c r="E849" s="4">
        <v>1990</v>
      </c>
    </row>
    <row r="850" spans="1:5" ht="26.25" x14ac:dyDescent="0.25">
      <c r="A850" s="2" t="s">
        <v>209</v>
      </c>
      <c r="B850" s="2" t="str">
        <f>"025215492891"</f>
        <v>025215492891</v>
      </c>
      <c r="C850" s="2" t="str">
        <f>"60030560"</f>
        <v>60030560</v>
      </c>
      <c r="D850" s="2" t="s">
        <v>719</v>
      </c>
      <c r="E850" s="4">
        <v>1990</v>
      </c>
    </row>
    <row r="851" spans="1:5" ht="26.25" x14ac:dyDescent="0.25">
      <c r="A851" s="2" t="s">
        <v>209</v>
      </c>
      <c r="B851" s="2" t="str">
        <f>"25398077"</f>
        <v>25398077</v>
      </c>
      <c r="C851" s="2" t="str">
        <f>"25398077"</f>
        <v>25398077</v>
      </c>
      <c r="D851" s="2" t="s">
        <v>720</v>
      </c>
      <c r="E851" s="4">
        <v>23900</v>
      </c>
    </row>
    <row r="852" spans="1:5" ht="26.25" x14ac:dyDescent="0.25">
      <c r="A852" s="2" t="s">
        <v>209</v>
      </c>
      <c r="B852" s="2" t="str">
        <f>"025215491214"</f>
        <v>025215491214</v>
      </c>
      <c r="C852" s="2" t="str">
        <f>"60037169"</f>
        <v>60037169</v>
      </c>
      <c r="D852" s="2" t="s">
        <v>721</v>
      </c>
      <c r="E852" s="4">
        <v>3990</v>
      </c>
    </row>
    <row r="853" spans="1:5" ht="26.25" x14ac:dyDescent="0.25">
      <c r="A853" s="2" t="s">
        <v>209</v>
      </c>
      <c r="B853" s="2" t="str">
        <f>"025215502866"</f>
        <v>025215502866</v>
      </c>
      <c r="C853" s="2" t="str">
        <f>"60037170"</f>
        <v>60037170</v>
      </c>
      <c r="D853" s="2" t="s">
        <v>722</v>
      </c>
      <c r="E853" s="4">
        <v>3990</v>
      </c>
    </row>
    <row r="854" spans="1:5" ht="26.25" x14ac:dyDescent="0.25">
      <c r="A854" s="2" t="s">
        <v>209</v>
      </c>
      <c r="B854" s="2" t="str">
        <f>"025215502873"</f>
        <v>025215502873</v>
      </c>
      <c r="C854" s="2" t="str">
        <f>"60037171"</f>
        <v>60037171</v>
      </c>
      <c r="D854" s="2" t="s">
        <v>723</v>
      </c>
      <c r="E854" s="4">
        <v>3990</v>
      </c>
    </row>
    <row r="855" spans="1:5" ht="26.25" x14ac:dyDescent="0.25">
      <c r="A855" s="2" t="s">
        <v>209</v>
      </c>
      <c r="B855" s="2" t="str">
        <f>"025215491207"</f>
        <v>025215491207</v>
      </c>
      <c r="C855" s="2" t="str">
        <f>"60037168"</f>
        <v>60037168</v>
      </c>
      <c r="D855" s="2" t="s">
        <v>724</v>
      </c>
      <c r="E855" s="4">
        <v>3990</v>
      </c>
    </row>
    <row r="856" spans="1:5" ht="26.25" x14ac:dyDescent="0.25">
      <c r="A856" s="2" t="s">
        <v>209</v>
      </c>
      <c r="B856" s="2" t="str">
        <f>"025215493584"</f>
        <v>025215493584</v>
      </c>
      <c r="C856" s="2" t="str">
        <f>"60033085"</f>
        <v>60033085</v>
      </c>
      <c r="D856" s="2" t="s">
        <v>725</v>
      </c>
      <c r="E856" s="4">
        <v>6990</v>
      </c>
    </row>
    <row r="857" spans="1:5" ht="26.25" x14ac:dyDescent="0.25">
      <c r="A857" s="2" t="s">
        <v>209</v>
      </c>
      <c r="B857" s="2" t="str">
        <f>"8669885018849"</f>
        <v>8669885018849</v>
      </c>
      <c r="C857" s="2" t="str">
        <f>"66030760"</f>
        <v>66030760</v>
      </c>
      <c r="D857" s="2" t="s">
        <v>726</v>
      </c>
      <c r="E857" s="4">
        <v>7000</v>
      </c>
    </row>
    <row r="858" spans="1:5" ht="26.25" x14ac:dyDescent="0.25">
      <c r="A858" s="2" t="s">
        <v>209</v>
      </c>
      <c r="B858" s="2" t="str">
        <f>"10001612"</f>
        <v>10001612</v>
      </c>
      <c r="C858" s="2" t="str">
        <f>"10001612"</f>
        <v>10001612</v>
      </c>
      <c r="D858" s="2" t="s">
        <v>727</v>
      </c>
      <c r="E858" s="4">
        <v>3000</v>
      </c>
    </row>
    <row r="859" spans="1:5" ht="26.25" x14ac:dyDescent="0.25">
      <c r="A859" s="2" t="s">
        <v>209</v>
      </c>
      <c r="B859" s="2" t="str">
        <f>"7168227120208"</f>
        <v>7168227120208</v>
      </c>
      <c r="C859" s="2" t="str">
        <f>"27MXX120BL"</f>
        <v>27MXX120BL</v>
      </c>
      <c r="D859" s="2" t="s">
        <v>728</v>
      </c>
      <c r="E859" s="4">
        <v>4990</v>
      </c>
    </row>
    <row r="860" spans="1:5" ht="39" x14ac:dyDescent="0.25">
      <c r="A860" s="2" t="s">
        <v>209</v>
      </c>
      <c r="B860" s="2" t="str">
        <f>"7168227120949"</f>
        <v>7168227120949</v>
      </c>
      <c r="C860" s="2" t="str">
        <f>"27MXX120WH"</f>
        <v>27MXX120WH</v>
      </c>
      <c r="D860" s="2" t="s">
        <v>729</v>
      </c>
      <c r="E860" s="4">
        <v>4990</v>
      </c>
    </row>
    <row r="861" spans="1:5" ht="26.25" x14ac:dyDescent="0.25">
      <c r="A861" s="2" t="s">
        <v>209</v>
      </c>
      <c r="B861" s="2" t="str">
        <f>"7168227120253"</f>
        <v>7168227120253</v>
      </c>
      <c r="C861" s="2" t="str">
        <f>"27MXX120BK"</f>
        <v>27MXX120BK</v>
      </c>
      <c r="D861" s="2" t="s">
        <v>730</v>
      </c>
      <c r="E861" s="4">
        <v>4990</v>
      </c>
    </row>
    <row r="862" spans="1:5" ht="26.25" x14ac:dyDescent="0.25">
      <c r="A862" s="2" t="s">
        <v>209</v>
      </c>
      <c r="B862" s="2" t="str">
        <f>"7168227120734"</f>
        <v>7168227120734</v>
      </c>
      <c r="C862" s="2" t="str">
        <f>"27MXX120RD"</f>
        <v>27MXX120RD</v>
      </c>
      <c r="D862" s="2" t="s">
        <v>731</v>
      </c>
      <c r="E862" s="4">
        <v>4990</v>
      </c>
    </row>
    <row r="863" spans="1:5" ht="26.25" x14ac:dyDescent="0.25">
      <c r="A863" s="2" t="s">
        <v>209</v>
      </c>
      <c r="B863" s="2" t="str">
        <f>"76030001"</f>
        <v>76030001</v>
      </c>
      <c r="C863" s="2" t="str">
        <f>"76030001"</f>
        <v>76030001</v>
      </c>
      <c r="D863" s="2" t="s">
        <v>732</v>
      </c>
      <c r="E863" s="4">
        <v>7000</v>
      </c>
    </row>
    <row r="864" spans="1:5" ht="26.25" x14ac:dyDescent="0.25">
      <c r="A864" s="2" t="s">
        <v>205</v>
      </c>
      <c r="B864" s="2" t="str">
        <f>"6931791200888"</f>
        <v>6931791200888</v>
      </c>
      <c r="C864" s="2" t="str">
        <f>"76030450"</f>
        <v>76030450</v>
      </c>
      <c r="D864" s="2" t="s">
        <v>733</v>
      </c>
      <c r="E864" s="4">
        <v>10990</v>
      </c>
    </row>
    <row r="865" spans="1:5" ht="26.25" x14ac:dyDescent="0.25">
      <c r="A865" s="2" t="s">
        <v>205</v>
      </c>
      <c r="B865" s="2" t="str">
        <f>"4578612782318"</f>
        <v>4578612782318</v>
      </c>
      <c r="C865" s="2" t="str">
        <f>"76352318"</f>
        <v>76352318</v>
      </c>
      <c r="D865" s="2" t="s">
        <v>734</v>
      </c>
      <c r="E865" s="4">
        <v>12800</v>
      </c>
    </row>
    <row r="866" spans="1:5" ht="26.25" x14ac:dyDescent="0.25">
      <c r="A866" s="2" t="s">
        <v>11</v>
      </c>
      <c r="B866" s="2" t="str">
        <f>"816479014642"</f>
        <v>816479014642</v>
      </c>
      <c r="C866" s="2" t="str">
        <f>"30350501"</f>
        <v>30350501</v>
      </c>
      <c r="D866" s="2" t="s">
        <v>735</v>
      </c>
      <c r="E866" s="4">
        <v>35000</v>
      </c>
    </row>
    <row r="867" spans="1:5" ht="26.25" x14ac:dyDescent="0.25">
      <c r="A867" s="2" t="s">
        <v>205</v>
      </c>
      <c r="B867" s="2" t="str">
        <f>"98009361"</f>
        <v>98009361</v>
      </c>
      <c r="C867" s="2" t="str">
        <f>"98009361"</f>
        <v>98009361</v>
      </c>
      <c r="D867" s="2" t="s">
        <v>736</v>
      </c>
      <c r="E867" s="4">
        <v>17990</v>
      </c>
    </row>
    <row r="868" spans="1:5" ht="26.25" x14ac:dyDescent="0.25">
      <c r="A868" s="2" t="s">
        <v>209</v>
      </c>
      <c r="B868" s="2" t="str">
        <f>"10002032"</f>
        <v>10002032</v>
      </c>
      <c r="C868" s="2" t="str">
        <f>"10002032"</f>
        <v>10002032</v>
      </c>
      <c r="D868" s="2" t="s">
        <v>737</v>
      </c>
      <c r="E868" s="4">
        <v>16990</v>
      </c>
    </row>
    <row r="869" spans="1:5" ht="26.25" x14ac:dyDescent="0.25">
      <c r="A869" s="2" t="s">
        <v>11</v>
      </c>
      <c r="B869" s="2" t="str">
        <f>"66001643"</f>
        <v>66001643</v>
      </c>
      <c r="C869" s="2" t="str">
        <f>"66001643"</f>
        <v>66001643</v>
      </c>
      <c r="D869" s="2" t="s">
        <v>738</v>
      </c>
      <c r="E869" s="4">
        <v>19000</v>
      </c>
    </row>
    <row r="870" spans="1:5" ht="26.25" x14ac:dyDescent="0.25">
      <c r="A870" s="2" t="s">
        <v>205</v>
      </c>
      <c r="B870" s="2" t="str">
        <f>"6930620461087"</f>
        <v>6930620461087</v>
      </c>
      <c r="C870" s="2" t="str">
        <f>"10119701"</f>
        <v>10119701</v>
      </c>
      <c r="D870" s="2" t="s">
        <v>739</v>
      </c>
      <c r="E870" s="4">
        <v>24990</v>
      </c>
    </row>
    <row r="871" spans="1:5" ht="26.25" x14ac:dyDescent="0.25">
      <c r="A871" s="2" t="s">
        <v>209</v>
      </c>
      <c r="B871" s="2" t="str">
        <f>"6806135402320"</f>
        <v>6806135402320</v>
      </c>
      <c r="C871" s="2" t="str">
        <f>"10016751"</f>
        <v>10016751</v>
      </c>
      <c r="D871" s="2" t="s">
        <v>740</v>
      </c>
      <c r="E871" s="4">
        <v>15000</v>
      </c>
    </row>
    <row r="872" spans="1:5" ht="26.25" x14ac:dyDescent="0.25">
      <c r="A872" s="2" t="s">
        <v>209</v>
      </c>
      <c r="B872" s="2" t="str">
        <f>"4710268238089"</f>
        <v>4710268238089</v>
      </c>
      <c r="C872" s="2" t="str">
        <f>"29GENHS400"</f>
        <v>29GENHS400</v>
      </c>
      <c r="D872" s="2" t="s">
        <v>741</v>
      </c>
      <c r="E872" s="4">
        <v>13990</v>
      </c>
    </row>
    <row r="873" spans="1:5" ht="26.25" x14ac:dyDescent="0.25">
      <c r="A873" s="2" t="s">
        <v>49</v>
      </c>
      <c r="B873" s="2" t="str">
        <f>"4710268245674"</f>
        <v>4710268245674</v>
      </c>
      <c r="C873" s="2" t="str">
        <f>"92930505"</f>
        <v>92930505</v>
      </c>
      <c r="D873" s="2" t="s">
        <v>742</v>
      </c>
      <c r="E873" s="4">
        <v>11990</v>
      </c>
    </row>
    <row r="874" spans="1:5" ht="26.25" x14ac:dyDescent="0.25">
      <c r="A874" s="2" t="s">
        <v>209</v>
      </c>
      <c r="B874" s="2" t="str">
        <f>"091163235439"</f>
        <v>091163235439</v>
      </c>
      <c r="C874" s="2" t="str">
        <f>"98030200"</f>
        <v>98030200</v>
      </c>
      <c r="D874" s="2" t="s">
        <v>743</v>
      </c>
      <c r="E874" s="4">
        <v>7500</v>
      </c>
    </row>
    <row r="875" spans="1:5" ht="26.25" x14ac:dyDescent="0.25">
      <c r="A875" s="2" t="s">
        <v>205</v>
      </c>
      <c r="B875" s="2" t="str">
        <f>"7858816082283"</f>
        <v>7858816082283</v>
      </c>
      <c r="C875" s="2" t="str">
        <f>"87938228"</f>
        <v>87938228</v>
      </c>
      <c r="D875" s="2" t="s">
        <v>744</v>
      </c>
      <c r="E875" s="4">
        <v>11990</v>
      </c>
    </row>
    <row r="876" spans="1:5" ht="26.25" x14ac:dyDescent="0.25">
      <c r="A876" s="2" t="s">
        <v>49</v>
      </c>
      <c r="B876" s="2" t="str">
        <f>"6956398302100"</f>
        <v>6956398302100</v>
      </c>
      <c r="C876" s="2" t="str">
        <f>"40930520"</f>
        <v>40930520</v>
      </c>
      <c r="D876" s="2" t="s">
        <v>745</v>
      </c>
      <c r="E876" s="4">
        <v>12990</v>
      </c>
    </row>
    <row r="877" spans="1:5" ht="26.25" x14ac:dyDescent="0.25">
      <c r="A877" s="2" t="s">
        <v>209</v>
      </c>
      <c r="B877" s="2" t="str">
        <f>"798302167513"</f>
        <v>798302167513</v>
      </c>
      <c r="C877" s="2" t="str">
        <f>"92030220"</f>
        <v>92030220</v>
      </c>
      <c r="D877" s="2" t="s">
        <v>746</v>
      </c>
      <c r="E877" s="4">
        <v>6990</v>
      </c>
    </row>
    <row r="878" spans="1:5" ht="26.25" x14ac:dyDescent="0.25">
      <c r="A878" s="2" t="s">
        <v>209</v>
      </c>
      <c r="B878" s="2" t="str">
        <f>"42400020"</f>
        <v>42400020</v>
      </c>
      <c r="C878" s="2" t="str">
        <f>"42400020"</f>
        <v>42400020</v>
      </c>
      <c r="D878" s="2" t="s">
        <v>747</v>
      </c>
      <c r="E878" s="4">
        <v>7500</v>
      </c>
    </row>
    <row r="879" spans="1:5" ht="26.25" x14ac:dyDescent="0.25">
      <c r="A879" s="2" t="s">
        <v>209</v>
      </c>
      <c r="B879" s="2" t="str">
        <f>"33030716"</f>
        <v>33030716</v>
      </c>
      <c r="C879" s="2" t="str">
        <f>"33030716"</f>
        <v>33030716</v>
      </c>
      <c r="D879" s="2" t="s">
        <v>748</v>
      </c>
      <c r="E879" s="4">
        <v>19500</v>
      </c>
    </row>
    <row r="880" spans="1:5" ht="26.25" x14ac:dyDescent="0.25">
      <c r="A880" s="2" t="s">
        <v>209</v>
      </c>
      <c r="B880" s="2" t="str">
        <f>"87000806"</f>
        <v>87000806</v>
      </c>
      <c r="C880" s="2" t="str">
        <f>"87000806"</f>
        <v>87000806</v>
      </c>
      <c r="D880" s="2" t="s">
        <v>749</v>
      </c>
      <c r="E880" s="4">
        <v>3900</v>
      </c>
    </row>
    <row r="881" spans="1:5" ht="26.25" x14ac:dyDescent="0.25">
      <c r="A881" s="2" t="s">
        <v>209</v>
      </c>
      <c r="B881" s="2" t="str">
        <f>"66031616"</f>
        <v>66031616</v>
      </c>
      <c r="C881" s="2" t="str">
        <f>"66031616"</f>
        <v>66031616</v>
      </c>
      <c r="D881" s="2" t="s">
        <v>750</v>
      </c>
      <c r="E881" s="4">
        <v>10900</v>
      </c>
    </row>
    <row r="882" spans="1:5" ht="26.25" x14ac:dyDescent="0.25">
      <c r="A882" s="2" t="s">
        <v>209</v>
      </c>
      <c r="B882" s="2" t="str">
        <f>"5025232789511"</f>
        <v>5025232789511</v>
      </c>
      <c r="C882" s="2" t="str">
        <f>"25033450"</f>
        <v>25033450</v>
      </c>
      <c r="D882" s="2" t="s">
        <v>751</v>
      </c>
      <c r="E882" s="4">
        <v>6500</v>
      </c>
    </row>
    <row r="883" spans="1:5" ht="26.25" x14ac:dyDescent="0.25">
      <c r="A883" s="2" t="s">
        <v>209</v>
      </c>
      <c r="B883" s="2" t="str">
        <f>"25469077"</f>
        <v>25469077</v>
      </c>
      <c r="C883" s="2" t="str">
        <f>"25469077"</f>
        <v>25469077</v>
      </c>
      <c r="D883" s="2" t="s">
        <v>751</v>
      </c>
      <c r="E883" s="4">
        <v>10700</v>
      </c>
    </row>
    <row r="884" spans="1:5" ht="26.25" x14ac:dyDescent="0.25">
      <c r="A884" s="2" t="s">
        <v>209</v>
      </c>
      <c r="B884" s="2" t="str">
        <f>"98030125"</f>
        <v>98030125</v>
      </c>
      <c r="C884" s="2" t="str">
        <f>"98030125"</f>
        <v>98030125</v>
      </c>
      <c r="D884" s="2" t="s">
        <v>752</v>
      </c>
      <c r="E884" s="4">
        <v>7990</v>
      </c>
    </row>
    <row r="885" spans="1:5" ht="26.25" x14ac:dyDescent="0.25">
      <c r="A885" s="2" t="s">
        <v>209</v>
      </c>
      <c r="B885" s="2" t="str">
        <f>"98038125"</f>
        <v>98038125</v>
      </c>
      <c r="C885" s="2" t="str">
        <f>"98038125"</f>
        <v>98038125</v>
      </c>
      <c r="D885" s="2" t="s">
        <v>753</v>
      </c>
      <c r="E885" s="4">
        <v>7990</v>
      </c>
    </row>
    <row r="886" spans="1:5" ht="26.25" x14ac:dyDescent="0.25">
      <c r="A886" s="2" t="s">
        <v>209</v>
      </c>
      <c r="B886" s="2" t="str">
        <f>"885170113244"</f>
        <v>885170113244</v>
      </c>
      <c r="C886" s="2" t="str">
        <f>"25031251"</f>
        <v>25031251</v>
      </c>
      <c r="D886" s="2" t="s">
        <v>753</v>
      </c>
      <c r="E886" s="4">
        <v>7990</v>
      </c>
    </row>
    <row r="887" spans="1:5" ht="39" x14ac:dyDescent="0.25">
      <c r="A887" s="2" t="s">
        <v>209</v>
      </c>
      <c r="B887" s="2" t="str">
        <f>"25030125BLK"</f>
        <v>25030125BLK</v>
      </c>
      <c r="C887" s="2" t="str">
        <f>"25030125BLK"</f>
        <v>25030125BLK</v>
      </c>
      <c r="D887" s="2" t="s">
        <v>754</v>
      </c>
      <c r="E887" s="4">
        <v>7990</v>
      </c>
    </row>
    <row r="888" spans="1:5" ht="26.25" x14ac:dyDescent="0.25">
      <c r="A888" s="2" t="s">
        <v>209</v>
      </c>
      <c r="B888" s="2" t="str">
        <f>"98033134"</f>
        <v>98033134</v>
      </c>
      <c r="C888" s="2" t="str">
        <f>"98033134"</f>
        <v>98033134</v>
      </c>
      <c r="D888" s="2" t="s">
        <v>755</v>
      </c>
      <c r="E888" s="4">
        <v>7990</v>
      </c>
    </row>
    <row r="889" spans="1:5" ht="26.25" x14ac:dyDescent="0.25">
      <c r="A889" s="2" t="s">
        <v>209</v>
      </c>
      <c r="B889" s="2" t="str">
        <f>"885170083134"</f>
        <v>885170083134</v>
      </c>
      <c r="C889" s="2" t="str">
        <f>"25030125"</f>
        <v>25030125</v>
      </c>
      <c r="D889" s="2" t="s">
        <v>755</v>
      </c>
      <c r="E889" s="4">
        <v>7990</v>
      </c>
    </row>
    <row r="890" spans="1:5" ht="26.25" x14ac:dyDescent="0.25">
      <c r="A890" s="2" t="s">
        <v>209</v>
      </c>
      <c r="B890" s="2" t="str">
        <f>"10112232"</f>
        <v>10112232</v>
      </c>
      <c r="C890" s="2" t="str">
        <f>"10112232"</f>
        <v>10112232</v>
      </c>
      <c r="D890" s="2" t="s">
        <v>756</v>
      </c>
      <c r="E890" s="4">
        <v>7990</v>
      </c>
    </row>
    <row r="891" spans="1:5" ht="26.25" x14ac:dyDescent="0.25">
      <c r="A891" s="2" t="s">
        <v>209</v>
      </c>
      <c r="B891" s="2" t="str">
        <f>"98033282"</f>
        <v>98033282</v>
      </c>
      <c r="C891" s="2" t="str">
        <f>"98033282"</f>
        <v>98033282</v>
      </c>
      <c r="D891" s="2" t="s">
        <v>757</v>
      </c>
      <c r="E891" s="4">
        <v>7990</v>
      </c>
    </row>
    <row r="892" spans="1:5" ht="26.25" x14ac:dyDescent="0.25">
      <c r="A892" s="2" t="s">
        <v>209</v>
      </c>
      <c r="B892" s="2" t="str">
        <f>"885170113282"</f>
        <v>885170113282</v>
      </c>
      <c r="C892" s="2" t="str">
        <f>"25031252"</f>
        <v>25031252</v>
      </c>
      <c r="D892" s="2" t="s">
        <v>757</v>
      </c>
      <c r="E892" s="4">
        <v>7990</v>
      </c>
    </row>
    <row r="893" spans="1:5" ht="26.25" x14ac:dyDescent="0.25">
      <c r="A893" s="2" t="s">
        <v>209</v>
      </c>
      <c r="B893" s="2" t="str">
        <f>"98463299"</f>
        <v>98463299</v>
      </c>
      <c r="C893" s="2" t="str">
        <f>"98463299"</f>
        <v>98463299</v>
      </c>
      <c r="D893" s="2" t="s">
        <v>758</v>
      </c>
      <c r="E893" s="4">
        <v>7990</v>
      </c>
    </row>
    <row r="894" spans="1:5" ht="26.25" x14ac:dyDescent="0.25">
      <c r="A894" s="2" t="s">
        <v>209</v>
      </c>
      <c r="B894" s="2" t="str">
        <f>"885170113299"</f>
        <v>885170113299</v>
      </c>
      <c r="C894" s="2" t="str">
        <f>"25031250"</f>
        <v>25031250</v>
      </c>
      <c r="D894" s="2" t="s">
        <v>758</v>
      </c>
      <c r="E894" s="4">
        <v>7990</v>
      </c>
    </row>
    <row r="895" spans="1:5" ht="39" x14ac:dyDescent="0.25">
      <c r="A895" s="2" t="s">
        <v>209</v>
      </c>
      <c r="B895" s="2" t="str">
        <f>"25030125WH"</f>
        <v>25030125WH</v>
      </c>
      <c r="C895" s="2" t="str">
        <f>"25030125WH"</f>
        <v>25030125WH</v>
      </c>
      <c r="D895" s="2" t="s">
        <v>759</v>
      </c>
      <c r="E895" s="4">
        <v>7990</v>
      </c>
    </row>
    <row r="896" spans="1:5" ht="26.25" x14ac:dyDescent="0.25">
      <c r="A896" s="2" t="s">
        <v>209</v>
      </c>
      <c r="B896" s="2" t="str">
        <f>"885170114401"</f>
        <v>885170114401</v>
      </c>
      <c r="C896" s="2" t="str">
        <f>"25034401"</f>
        <v>25034401</v>
      </c>
      <c r="D896" s="2" t="s">
        <v>760</v>
      </c>
      <c r="E896" s="4">
        <v>7990</v>
      </c>
    </row>
    <row r="897" spans="1:5" ht="26.25" x14ac:dyDescent="0.25">
      <c r="A897" s="2" t="s">
        <v>209</v>
      </c>
      <c r="B897" s="2" t="str">
        <f>"5025232655762"</f>
        <v>5025232655762</v>
      </c>
      <c r="C897" s="2" t="str">
        <f>"25033440"</f>
        <v>25033440</v>
      </c>
      <c r="D897" s="2" t="s">
        <v>761</v>
      </c>
      <c r="E897" s="4">
        <v>11900</v>
      </c>
    </row>
    <row r="898" spans="1:5" ht="26.25" x14ac:dyDescent="0.25">
      <c r="A898" s="2" t="s">
        <v>209</v>
      </c>
      <c r="B898" s="2" t="str">
        <f>"25033434"</f>
        <v>25033434</v>
      </c>
      <c r="C898" s="2" t="str">
        <f>"25033434"</f>
        <v>25033434</v>
      </c>
      <c r="D898" s="2" t="s">
        <v>762</v>
      </c>
      <c r="E898" s="4">
        <v>11900</v>
      </c>
    </row>
    <row r="899" spans="1:5" ht="26.25" x14ac:dyDescent="0.25">
      <c r="A899" s="2" t="s">
        <v>209</v>
      </c>
      <c r="B899" s="2" t="str">
        <f>"25460046"</f>
        <v>25460046</v>
      </c>
      <c r="C899" s="2" t="str">
        <f>"25460046"</f>
        <v>25460046</v>
      </c>
      <c r="D899" s="2" t="s">
        <v>763</v>
      </c>
      <c r="E899" s="4">
        <v>5990</v>
      </c>
    </row>
    <row r="900" spans="1:5" ht="26.25" x14ac:dyDescent="0.25">
      <c r="A900" s="2" t="s">
        <v>209</v>
      </c>
      <c r="B900" s="2" t="str">
        <f>"25460021"</f>
        <v>25460021</v>
      </c>
      <c r="C900" s="2" t="str">
        <f>"25460021"</f>
        <v>25460021</v>
      </c>
      <c r="D900" s="2" t="s">
        <v>764</v>
      </c>
      <c r="E900" s="4">
        <v>4990</v>
      </c>
    </row>
    <row r="901" spans="1:5" ht="26.25" x14ac:dyDescent="0.25">
      <c r="A901" s="2" t="s">
        <v>209</v>
      </c>
      <c r="B901" s="2" t="str">
        <f>"66031621"</f>
        <v>66031621</v>
      </c>
      <c r="C901" s="2" t="str">
        <f>"66031621"</f>
        <v>66031621</v>
      </c>
      <c r="D901" s="2" t="s">
        <v>764</v>
      </c>
      <c r="E901" s="4">
        <v>8500</v>
      </c>
    </row>
    <row r="902" spans="1:5" ht="26.25" x14ac:dyDescent="0.25">
      <c r="A902" s="2" t="s">
        <v>209</v>
      </c>
      <c r="B902" s="2" t="str">
        <f>"5025232846696"</f>
        <v>5025232846696</v>
      </c>
      <c r="C902" s="2" t="str">
        <f>"25030100"</f>
        <v>25030100</v>
      </c>
      <c r="D902" s="2" t="s">
        <v>765</v>
      </c>
      <c r="E902" s="4">
        <v>15500</v>
      </c>
    </row>
    <row r="903" spans="1:5" ht="26.25" x14ac:dyDescent="0.25">
      <c r="A903" s="2" t="s">
        <v>209</v>
      </c>
      <c r="B903" s="2" t="str">
        <f>"5025232476329"</f>
        <v>5025232476329</v>
      </c>
      <c r="C903" s="2" t="str">
        <f>"25030161"</f>
        <v>25030161</v>
      </c>
      <c r="D903" s="2" t="s">
        <v>766</v>
      </c>
      <c r="E903" s="4">
        <v>15500</v>
      </c>
    </row>
    <row r="904" spans="1:5" ht="26.25" x14ac:dyDescent="0.25">
      <c r="A904" s="2" t="s">
        <v>209</v>
      </c>
      <c r="B904" s="2" t="str">
        <f>"037988259052"</f>
        <v>037988259052</v>
      </c>
      <c r="C904" s="2" t="str">
        <f>"25030021"</f>
        <v>25030021</v>
      </c>
      <c r="D904" s="2" t="s">
        <v>767</v>
      </c>
      <c r="E904" s="4">
        <v>7500</v>
      </c>
    </row>
    <row r="905" spans="1:5" ht="26.25" x14ac:dyDescent="0.25">
      <c r="A905" s="2" t="s">
        <v>209</v>
      </c>
      <c r="B905" s="2" t="str">
        <f>"27PANHV96K"</f>
        <v>27PANHV96K</v>
      </c>
      <c r="C905" s="2" t="str">
        <f>"27PANHV96K"</f>
        <v>27PANHV96K</v>
      </c>
      <c r="D905" s="2" t="s">
        <v>768</v>
      </c>
      <c r="E905" s="4">
        <v>2990</v>
      </c>
    </row>
    <row r="906" spans="1:5" ht="26.25" x14ac:dyDescent="0.25">
      <c r="A906" s="2" t="s">
        <v>209</v>
      </c>
      <c r="B906" s="2" t="str">
        <f>"885170046368"</f>
        <v>885170046368</v>
      </c>
      <c r="C906" s="2" t="str">
        <f>"25030096"</f>
        <v>25030096</v>
      </c>
      <c r="D906" s="2" t="s">
        <v>768</v>
      </c>
      <c r="E906" s="4">
        <v>3500</v>
      </c>
    </row>
    <row r="907" spans="1:5" ht="26.25" x14ac:dyDescent="0.25">
      <c r="A907" s="2" t="s">
        <v>209</v>
      </c>
      <c r="B907" s="2" t="str">
        <f>"10112210"</f>
        <v>10112210</v>
      </c>
      <c r="C907" s="2" t="str">
        <f>"10112210"</f>
        <v>10112210</v>
      </c>
      <c r="D907" s="2" t="s">
        <v>769</v>
      </c>
      <c r="E907" s="4">
        <v>3500</v>
      </c>
    </row>
    <row r="908" spans="1:5" ht="26.25" x14ac:dyDescent="0.25">
      <c r="A908" s="2" t="s">
        <v>209</v>
      </c>
      <c r="B908" s="2" t="str">
        <f>"885170083097"</f>
        <v>885170083097</v>
      </c>
      <c r="C908" s="2" t="str">
        <f>"25030041"</f>
        <v>25030041</v>
      </c>
      <c r="D908" s="2" t="s">
        <v>770</v>
      </c>
      <c r="E908" s="4">
        <v>5990</v>
      </c>
    </row>
    <row r="909" spans="1:5" ht="26.25" x14ac:dyDescent="0.25">
      <c r="A909" s="2" t="s">
        <v>209</v>
      </c>
      <c r="B909" s="2" t="str">
        <f>"885170112384"</f>
        <v>885170112384</v>
      </c>
      <c r="C909" s="2" t="str">
        <f>"25032384"</f>
        <v>25032384</v>
      </c>
      <c r="D909" s="2" t="s">
        <v>771</v>
      </c>
      <c r="E909" s="4">
        <v>5990</v>
      </c>
    </row>
    <row r="910" spans="1:5" ht="26.25" x14ac:dyDescent="0.25">
      <c r="A910" s="2" t="s">
        <v>209</v>
      </c>
      <c r="B910" s="2" t="str">
        <f>"885170114760"</f>
        <v>885170114760</v>
      </c>
      <c r="C910" s="2" t="str">
        <f>"25034100"</f>
        <v>25034100</v>
      </c>
      <c r="D910" s="2" t="s">
        <v>772</v>
      </c>
      <c r="E910" s="4">
        <v>5990</v>
      </c>
    </row>
    <row r="911" spans="1:5" ht="26.25" x14ac:dyDescent="0.25">
      <c r="A911" s="2" t="s">
        <v>209</v>
      </c>
      <c r="B911" s="2" t="str">
        <f>"6988794451526"</f>
        <v>6988794451526</v>
      </c>
      <c r="C911" s="2" t="str">
        <f>"10007819"</f>
        <v>10007819</v>
      </c>
      <c r="D911" s="2" t="s">
        <v>773</v>
      </c>
      <c r="E911" s="4">
        <v>12990</v>
      </c>
    </row>
    <row r="912" spans="1:5" ht="26.25" x14ac:dyDescent="0.25">
      <c r="A912" s="2" t="s">
        <v>209</v>
      </c>
      <c r="B912" s="2" t="str">
        <f>"6956398302643"</f>
        <v>6956398302643</v>
      </c>
      <c r="C912" s="2" t="str">
        <f>"10003733"</f>
        <v>10003733</v>
      </c>
      <c r="D912" s="2" t="s">
        <v>774</v>
      </c>
      <c r="E912" s="4">
        <v>15990</v>
      </c>
    </row>
    <row r="913" spans="1:5" ht="26.25" x14ac:dyDescent="0.25">
      <c r="A913" s="2" t="s">
        <v>209</v>
      </c>
      <c r="B913" s="2" t="str">
        <f>"10000074"</f>
        <v>10000074</v>
      </c>
      <c r="C913" s="2" t="str">
        <f>"10000074"</f>
        <v>10000074</v>
      </c>
      <c r="D913" s="2" t="s">
        <v>775</v>
      </c>
      <c r="E913" s="4">
        <v>8990</v>
      </c>
    </row>
    <row r="914" spans="1:5" ht="26.25" x14ac:dyDescent="0.25">
      <c r="A914" s="2" t="s">
        <v>209</v>
      </c>
      <c r="B914" s="2" t="str">
        <f>"6926898194994"</f>
        <v>6926898194994</v>
      </c>
      <c r="C914" s="2" t="str">
        <f>"10000046"</f>
        <v>10000046</v>
      </c>
      <c r="D914" s="2" t="s">
        <v>776</v>
      </c>
      <c r="E914" s="4">
        <v>19990</v>
      </c>
    </row>
    <row r="915" spans="1:5" ht="26.25" x14ac:dyDescent="0.25">
      <c r="A915" s="2" t="s">
        <v>49</v>
      </c>
      <c r="B915" s="2" t="str">
        <f>"7168229875502"</f>
        <v>7168229875502</v>
      </c>
      <c r="C915" s="2" t="str">
        <f>"98350550"</f>
        <v>98350550</v>
      </c>
      <c r="D915" s="2" t="s">
        <v>777</v>
      </c>
      <c r="E915" s="4">
        <v>11990</v>
      </c>
    </row>
    <row r="916" spans="1:5" ht="26.25" x14ac:dyDescent="0.25">
      <c r="A916" s="2" t="s">
        <v>209</v>
      </c>
      <c r="B916" s="2" t="str">
        <f>"67370001"</f>
        <v>67370001</v>
      </c>
      <c r="C916" s="2" t="str">
        <f>"67370001"</f>
        <v>67370001</v>
      </c>
      <c r="D916" s="2" t="s">
        <v>778</v>
      </c>
      <c r="E916" s="4">
        <v>13500</v>
      </c>
    </row>
    <row r="917" spans="1:5" ht="26.25" x14ac:dyDescent="0.25">
      <c r="A917" s="2" t="s">
        <v>209</v>
      </c>
      <c r="B917" s="2" t="str">
        <f>"690362550017"</f>
        <v>690362550017</v>
      </c>
      <c r="C917" s="2" t="str">
        <f>"10003104"</f>
        <v>10003104</v>
      </c>
      <c r="D917" s="2" t="s">
        <v>779</v>
      </c>
      <c r="E917" s="4">
        <v>10990</v>
      </c>
    </row>
    <row r="918" spans="1:5" ht="26.25" x14ac:dyDescent="0.25">
      <c r="A918" s="2" t="s">
        <v>209</v>
      </c>
      <c r="B918" s="2" t="str">
        <f>"6950854007776"</f>
        <v>6950854007776</v>
      </c>
      <c r="C918" s="2" t="str">
        <f>"10032229"</f>
        <v>10032229</v>
      </c>
      <c r="D918" s="2" t="s">
        <v>780</v>
      </c>
      <c r="E918" s="4">
        <v>11900</v>
      </c>
    </row>
    <row r="919" spans="1:5" ht="26.25" x14ac:dyDescent="0.25">
      <c r="A919" s="2" t="s">
        <v>209</v>
      </c>
      <c r="B919" s="2" t="str">
        <f>"7297927252558"</f>
        <v>7297927252558</v>
      </c>
      <c r="C919" s="2" t="str">
        <f>"10100770"</f>
        <v>10100770</v>
      </c>
      <c r="D919" s="2" t="s">
        <v>781</v>
      </c>
      <c r="E919" s="4">
        <v>7990</v>
      </c>
    </row>
    <row r="920" spans="1:5" ht="26.25" x14ac:dyDescent="0.25">
      <c r="A920" s="2" t="s">
        <v>209</v>
      </c>
      <c r="B920" s="2" t="str">
        <f>"4267675421851"</f>
        <v>4267675421851</v>
      </c>
      <c r="C920" s="2" t="str">
        <f>"10100748"</f>
        <v>10100748</v>
      </c>
      <c r="D920" s="2" t="s">
        <v>782</v>
      </c>
      <c r="E920" s="4">
        <v>3990</v>
      </c>
    </row>
    <row r="921" spans="1:5" ht="26.25" x14ac:dyDescent="0.25">
      <c r="A921" s="2" t="s">
        <v>209</v>
      </c>
      <c r="B921" s="2" t="str">
        <f>"8613542981427"</f>
        <v>8613542981427</v>
      </c>
      <c r="C921" s="2" t="str">
        <f>"10100561"</f>
        <v>10100561</v>
      </c>
      <c r="D921" s="2" t="s">
        <v>783</v>
      </c>
      <c r="E921" s="4">
        <v>2990</v>
      </c>
    </row>
    <row r="922" spans="1:5" ht="26.25" x14ac:dyDescent="0.25">
      <c r="A922" s="2" t="s">
        <v>11</v>
      </c>
      <c r="B922" s="2" t="str">
        <f>"7168222785921"</f>
        <v>7168222785921</v>
      </c>
      <c r="C922" s="2" t="str">
        <f>"27PLCTLW2B"</f>
        <v>27PLCTLW2B</v>
      </c>
      <c r="D922" s="2" t="s">
        <v>784</v>
      </c>
      <c r="E922" s="4">
        <v>14990</v>
      </c>
    </row>
    <row r="923" spans="1:5" ht="26.25" x14ac:dyDescent="0.25">
      <c r="A923" s="2" t="s">
        <v>209</v>
      </c>
      <c r="B923" s="2" t="str">
        <f>"25454100"</f>
        <v>25454100</v>
      </c>
      <c r="C923" s="2" t="str">
        <f>"25454100"</f>
        <v>25454100</v>
      </c>
      <c r="D923" s="2" t="s">
        <v>785</v>
      </c>
      <c r="E923" s="4">
        <v>29990</v>
      </c>
    </row>
    <row r="924" spans="1:5" ht="26.25" x14ac:dyDescent="0.25">
      <c r="A924" s="2" t="s">
        <v>209</v>
      </c>
      <c r="B924" s="2" t="str">
        <f>"25454200"</f>
        <v>25454200</v>
      </c>
      <c r="C924" s="2" t="str">
        <f>"25454200"</f>
        <v>25454200</v>
      </c>
      <c r="D924" s="2" t="s">
        <v>786</v>
      </c>
      <c r="E924" s="4">
        <v>12900</v>
      </c>
    </row>
    <row r="925" spans="1:5" ht="26.25" x14ac:dyDescent="0.25">
      <c r="A925" s="2" t="s">
        <v>209</v>
      </c>
      <c r="B925" s="2" t="str">
        <f>"66273590"</f>
        <v>66273590</v>
      </c>
      <c r="C925" s="2" t="str">
        <f>"66273590"</f>
        <v>66273590</v>
      </c>
      <c r="D925" s="2" t="s">
        <v>787</v>
      </c>
      <c r="E925" s="4">
        <v>6900</v>
      </c>
    </row>
    <row r="926" spans="1:5" ht="26.25" x14ac:dyDescent="0.25">
      <c r="A926" s="2" t="s">
        <v>209</v>
      </c>
      <c r="B926" s="2" t="str">
        <f>"25451360"</f>
        <v>25451360</v>
      </c>
      <c r="C926" s="2" t="str">
        <f>"25451360"</f>
        <v>25451360</v>
      </c>
      <c r="D926" s="2" t="s">
        <v>788</v>
      </c>
      <c r="E926" s="4">
        <v>1900</v>
      </c>
    </row>
    <row r="927" spans="1:5" ht="26.25" x14ac:dyDescent="0.25">
      <c r="A927" s="2" t="s">
        <v>209</v>
      </c>
      <c r="B927" s="2" t="str">
        <f>"609585223066"</f>
        <v>609585223066</v>
      </c>
      <c r="C927" s="2" t="str">
        <f>"25033590BK"</f>
        <v>25033590BK</v>
      </c>
      <c r="D927" s="2" t="s">
        <v>789</v>
      </c>
      <c r="E927" s="4">
        <v>5900</v>
      </c>
    </row>
    <row r="928" spans="1:5" ht="26.25" x14ac:dyDescent="0.25">
      <c r="A928" s="2" t="s">
        <v>209</v>
      </c>
      <c r="B928" s="2" t="str">
        <f>"609585223059"</f>
        <v>609585223059</v>
      </c>
      <c r="C928" s="2" t="str">
        <f>"25033590BL"</f>
        <v>25033590BL</v>
      </c>
      <c r="D928" s="2" t="s">
        <v>790</v>
      </c>
      <c r="E928" s="4">
        <v>5900</v>
      </c>
    </row>
    <row r="929" spans="1:5" ht="26.25" x14ac:dyDescent="0.25">
      <c r="A929" s="2" t="s">
        <v>209</v>
      </c>
      <c r="B929" s="2" t="str">
        <f>"609585223073"</f>
        <v>609585223073</v>
      </c>
      <c r="C929" s="2" t="str">
        <f>"25033590PK"</f>
        <v>25033590PK</v>
      </c>
      <c r="D929" s="2" t="s">
        <v>791</v>
      </c>
      <c r="E929" s="4">
        <v>5900</v>
      </c>
    </row>
    <row r="930" spans="1:5" ht="26.25" x14ac:dyDescent="0.25">
      <c r="A930" s="2" t="s">
        <v>209</v>
      </c>
      <c r="B930" s="2" t="str">
        <f>"609585223028"</f>
        <v>609585223028</v>
      </c>
      <c r="C930" s="2" t="str">
        <f>"25033590PP"</f>
        <v>25033590PP</v>
      </c>
      <c r="D930" s="2" t="s">
        <v>792</v>
      </c>
      <c r="E930" s="4">
        <v>5900</v>
      </c>
    </row>
    <row r="931" spans="1:5" ht="26.25" x14ac:dyDescent="0.25">
      <c r="A931" s="2" t="s">
        <v>209</v>
      </c>
      <c r="B931" s="2" t="str">
        <f>"609585223042"</f>
        <v>609585223042</v>
      </c>
      <c r="C931" s="2" t="str">
        <f>"25033590WT"</f>
        <v>25033590WT</v>
      </c>
      <c r="D931" s="2" t="s">
        <v>793</v>
      </c>
      <c r="E931" s="4">
        <v>5900</v>
      </c>
    </row>
    <row r="932" spans="1:5" ht="26.25" x14ac:dyDescent="0.25">
      <c r="A932" s="2" t="s">
        <v>209</v>
      </c>
      <c r="B932" s="2" t="str">
        <f>"25457000"</f>
        <v>25457000</v>
      </c>
      <c r="C932" s="2" t="str">
        <f>"25457000"</f>
        <v>25457000</v>
      </c>
      <c r="D932" s="2" t="s">
        <v>794</v>
      </c>
      <c r="E932" s="4">
        <v>8500</v>
      </c>
    </row>
    <row r="933" spans="1:5" ht="26.25" x14ac:dyDescent="0.25">
      <c r="A933" s="2" t="s">
        <v>209</v>
      </c>
      <c r="B933" s="2" t="str">
        <f>"25453595"</f>
        <v>25453595</v>
      </c>
      <c r="C933" s="2" t="str">
        <f>"25453595"</f>
        <v>25453595</v>
      </c>
      <c r="D933" s="2" t="s">
        <v>795</v>
      </c>
      <c r="E933" s="4">
        <v>8600</v>
      </c>
    </row>
    <row r="934" spans="1:5" ht="26.25" x14ac:dyDescent="0.25">
      <c r="A934" s="2" t="s">
        <v>209</v>
      </c>
      <c r="B934" s="2" t="str">
        <f>"889446003208"</f>
        <v>889446003208</v>
      </c>
      <c r="C934" s="2" t="str">
        <f>"25031900"</f>
        <v>25031900</v>
      </c>
      <c r="D934" s="2" t="s">
        <v>796</v>
      </c>
      <c r="E934" s="4">
        <v>8900</v>
      </c>
    </row>
    <row r="935" spans="1:5" ht="26.25" x14ac:dyDescent="0.25">
      <c r="A935" s="2" t="s">
        <v>209</v>
      </c>
      <c r="B935" s="2" t="str">
        <f>"25454700"</f>
        <v>25454700</v>
      </c>
      <c r="C935" s="2" t="str">
        <f>"25454700"</f>
        <v>25454700</v>
      </c>
      <c r="D935" s="2" t="s">
        <v>797</v>
      </c>
      <c r="E935" s="4">
        <v>6490</v>
      </c>
    </row>
    <row r="936" spans="1:5" ht="26.25" x14ac:dyDescent="0.25">
      <c r="A936" s="2" t="s">
        <v>209</v>
      </c>
      <c r="B936" s="2" t="str">
        <f>"609585247758"</f>
        <v>609585247758</v>
      </c>
      <c r="C936" s="2" t="str">
        <f>"25038100"</f>
        <v>25038100</v>
      </c>
      <c r="D936" s="2" t="s">
        <v>798</v>
      </c>
      <c r="E936" s="4">
        <v>13600</v>
      </c>
    </row>
    <row r="937" spans="1:5" ht="26.25" x14ac:dyDescent="0.25">
      <c r="A937" s="2" t="s">
        <v>209</v>
      </c>
      <c r="B937" s="2" t="str">
        <f>"25452000"</f>
        <v>25452000</v>
      </c>
      <c r="C937" s="2" t="str">
        <f>"25452000"</f>
        <v>25452000</v>
      </c>
      <c r="D937" s="2" t="s">
        <v>799</v>
      </c>
      <c r="E937" s="4">
        <v>7900</v>
      </c>
    </row>
    <row r="938" spans="1:5" ht="26.25" x14ac:dyDescent="0.25">
      <c r="A938" s="2" t="s">
        <v>209</v>
      </c>
      <c r="B938" s="2" t="str">
        <f>"609585237520"</f>
        <v>609585237520</v>
      </c>
      <c r="C938" s="2" t="str">
        <f>"25031000BK"</f>
        <v>25031000BK</v>
      </c>
      <c r="D938" s="2" t="s">
        <v>800</v>
      </c>
      <c r="E938" s="4">
        <v>6650</v>
      </c>
    </row>
    <row r="939" spans="1:5" ht="26.25" x14ac:dyDescent="0.25">
      <c r="A939" s="2" t="s">
        <v>209</v>
      </c>
      <c r="B939" s="2" t="str">
        <f>"609585237544"</f>
        <v>609585237544</v>
      </c>
      <c r="C939" s="2" t="str">
        <f>"25031000PK"</f>
        <v>25031000PK</v>
      </c>
      <c r="D939" s="2" t="s">
        <v>801</v>
      </c>
      <c r="E939" s="4">
        <v>6550</v>
      </c>
    </row>
    <row r="940" spans="1:5" ht="26.25" x14ac:dyDescent="0.25">
      <c r="A940" s="2" t="s">
        <v>209</v>
      </c>
      <c r="B940" s="2" t="str">
        <f>"885170173330"</f>
        <v>885170173330</v>
      </c>
      <c r="C940" s="2" t="str">
        <f>"25030034"</f>
        <v>25030034</v>
      </c>
      <c r="D940" s="2" t="s">
        <v>802</v>
      </c>
      <c r="E940" s="4">
        <v>7990</v>
      </c>
    </row>
    <row r="941" spans="1:5" ht="26.25" x14ac:dyDescent="0.25">
      <c r="A941" s="2" t="s">
        <v>205</v>
      </c>
      <c r="B941" s="2" t="str">
        <f>"6925970700054"</f>
        <v>6925970700054</v>
      </c>
      <c r="C941" s="2" t="str">
        <f>"98350330"</f>
        <v>98350330</v>
      </c>
      <c r="D941" s="2" t="s">
        <v>803</v>
      </c>
      <c r="E941" s="4">
        <v>9990</v>
      </c>
    </row>
    <row r="942" spans="1:5" ht="26.25" x14ac:dyDescent="0.25">
      <c r="A942" s="2" t="s">
        <v>205</v>
      </c>
      <c r="B942" s="2" t="str">
        <f>"6925970700283"</f>
        <v>6925970700283</v>
      </c>
      <c r="C942" s="2" t="str">
        <f>"98353300"</f>
        <v>98353300</v>
      </c>
      <c r="D942" s="2" t="s">
        <v>804</v>
      </c>
      <c r="E942" s="4">
        <v>14500</v>
      </c>
    </row>
    <row r="943" spans="1:5" ht="26.25" x14ac:dyDescent="0.25">
      <c r="A943" s="2" t="s">
        <v>209</v>
      </c>
      <c r="B943" s="2" t="str">
        <f>"66272005"</f>
        <v>66272005</v>
      </c>
      <c r="C943" s="2" t="str">
        <f>"66272005"</f>
        <v>66272005</v>
      </c>
      <c r="D943" s="2" t="s">
        <v>805</v>
      </c>
      <c r="E943" s="4">
        <v>5990</v>
      </c>
    </row>
    <row r="944" spans="1:5" ht="26.25" x14ac:dyDescent="0.25">
      <c r="A944" s="2" t="s">
        <v>209</v>
      </c>
      <c r="B944" s="2" t="str">
        <f>"6925970709118"</f>
        <v>6925970709118</v>
      </c>
      <c r="C944" s="2" t="str">
        <f>"25033700RD"</f>
        <v>25033700RD</v>
      </c>
      <c r="D944" s="2" t="s">
        <v>806</v>
      </c>
      <c r="E944" s="4">
        <v>5350</v>
      </c>
    </row>
    <row r="945" spans="1:5" ht="26.25" x14ac:dyDescent="0.25">
      <c r="A945" s="2" t="s">
        <v>209</v>
      </c>
      <c r="B945" s="2" t="str">
        <f>"609585241787"</f>
        <v>609585241787</v>
      </c>
      <c r="C945" s="2" t="str">
        <f>"25033900BL"</f>
        <v>25033900BL</v>
      </c>
      <c r="D945" s="2" t="s">
        <v>807</v>
      </c>
      <c r="E945" s="4">
        <v>7500</v>
      </c>
    </row>
    <row r="946" spans="1:5" ht="26.25" x14ac:dyDescent="0.25">
      <c r="A946" s="2" t="s">
        <v>209</v>
      </c>
      <c r="B946" s="2" t="str">
        <f>"609585242432"</f>
        <v>609585242432</v>
      </c>
      <c r="C946" s="2" t="str">
        <f>"25033900GR"</f>
        <v>25033900GR</v>
      </c>
      <c r="D946" s="2" t="s">
        <v>808</v>
      </c>
      <c r="E946" s="4">
        <v>7500</v>
      </c>
    </row>
    <row r="947" spans="1:5" ht="26.25" x14ac:dyDescent="0.25">
      <c r="A947" s="2" t="s">
        <v>209</v>
      </c>
      <c r="B947" s="2" t="str">
        <f>"609585242456"</f>
        <v>609585242456</v>
      </c>
      <c r="C947" s="2" t="str">
        <f>"25033900GY"</f>
        <v>25033900GY</v>
      </c>
      <c r="D947" s="2" t="s">
        <v>809</v>
      </c>
      <c r="E947" s="4">
        <v>7500</v>
      </c>
    </row>
    <row r="948" spans="1:5" ht="26.25" x14ac:dyDescent="0.25">
      <c r="A948" s="2" t="s">
        <v>209</v>
      </c>
      <c r="B948" s="2" t="str">
        <f>"8712581336028"</f>
        <v>8712581336028</v>
      </c>
      <c r="C948" s="2" t="str">
        <f>"98451350"</f>
        <v>98451350</v>
      </c>
      <c r="D948" s="2" t="s">
        <v>810</v>
      </c>
      <c r="E948" s="4">
        <v>4500</v>
      </c>
    </row>
    <row r="949" spans="1:5" ht="26.25" x14ac:dyDescent="0.25">
      <c r="A949" s="2" t="s">
        <v>209</v>
      </c>
      <c r="B949" s="2" t="str">
        <f>"27PHL1350N"</f>
        <v>27PHL1350N</v>
      </c>
      <c r="C949" s="2" t="str">
        <f>"27PHL1350N"</f>
        <v>27PHL1350N</v>
      </c>
      <c r="D949" s="2" t="s">
        <v>810</v>
      </c>
      <c r="E949" s="4">
        <v>3990</v>
      </c>
    </row>
    <row r="950" spans="1:5" ht="26.25" x14ac:dyDescent="0.25">
      <c r="A950" s="2" t="s">
        <v>209</v>
      </c>
      <c r="B950" s="2" t="str">
        <f>"6925970701969"</f>
        <v>6925970701969</v>
      </c>
      <c r="C950" s="2" t="str">
        <f>"98033010"</f>
        <v>98033010</v>
      </c>
      <c r="D950" s="2" t="s">
        <v>811</v>
      </c>
      <c r="E950" s="4">
        <v>4990</v>
      </c>
    </row>
    <row r="951" spans="1:5" ht="26.25" x14ac:dyDescent="0.25">
      <c r="A951" s="2" t="s">
        <v>209</v>
      </c>
      <c r="B951" s="2" t="str">
        <f>"6923410732207"</f>
        <v>6923410732207</v>
      </c>
      <c r="C951" s="2" t="str">
        <f>"98033030"</f>
        <v>98033030</v>
      </c>
      <c r="D951" s="2" t="s">
        <v>812</v>
      </c>
      <c r="E951" s="4">
        <v>4990</v>
      </c>
    </row>
    <row r="952" spans="1:5" ht="26.25" x14ac:dyDescent="0.25">
      <c r="A952" s="2" t="s">
        <v>209</v>
      </c>
      <c r="B952" s="2" t="str">
        <f>"6925970701976"</f>
        <v>6925970701976</v>
      </c>
      <c r="C952" s="2" t="str">
        <f>"98033020"</f>
        <v>98033020</v>
      </c>
      <c r="D952" s="2" t="s">
        <v>813</v>
      </c>
      <c r="E952" s="4">
        <v>4990</v>
      </c>
    </row>
    <row r="953" spans="1:5" ht="26.25" x14ac:dyDescent="0.25">
      <c r="A953" s="2" t="s">
        <v>209</v>
      </c>
      <c r="B953" s="2" t="str">
        <f>"6951613991374"</f>
        <v>6951613991374</v>
      </c>
      <c r="C953" s="2" t="str">
        <f>"98033550"</f>
        <v>98033550</v>
      </c>
      <c r="D953" s="2" t="s">
        <v>814</v>
      </c>
      <c r="E953" s="4">
        <v>7500</v>
      </c>
    </row>
    <row r="954" spans="1:5" ht="26.25" x14ac:dyDescent="0.25">
      <c r="A954" s="2" t="s">
        <v>209</v>
      </c>
      <c r="B954" s="2" t="str">
        <f>"6951613991398"</f>
        <v>6951613991398</v>
      </c>
      <c r="C954" s="2" t="str">
        <f>"25033500"</f>
        <v>25033500</v>
      </c>
      <c r="D954" s="2" t="s">
        <v>815</v>
      </c>
      <c r="E954" s="4">
        <v>6990</v>
      </c>
    </row>
    <row r="955" spans="1:5" ht="26.25" x14ac:dyDescent="0.25">
      <c r="A955" s="2" t="s">
        <v>209</v>
      </c>
      <c r="B955" s="2" t="str">
        <f>"6951613991381"</f>
        <v>6951613991381</v>
      </c>
      <c r="C955" s="2" t="str">
        <f>"25031381"</f>
        <v>25031381</v>
      </c>
      <c r="D955" s="2" t="s">
        <v>816</v>
      </c>
      <c r="E955" s="4">
        <v>6990</v>
      </c>
    </row>
    <row r="956" spans="1:5" ht="26.25" x14ac:dyDescent="0.25">
      <c r="A956" s="2" t="s">
        <v>209</v>
      </c>
      <c r="B956" s="2" t="str">
        <f>"6923410713695"</f>
        <v>6923410713695</v>
      </c>
      <c r="C956" s="2" t="str">
        <f>"98033590"</f>
        <v>98033590</v>
      </c>
      <c r="D956" s="2" t="s">
        <v>817</v>
      </c>
      <c r="E956" s="4">
        <v>5990</v>
      </c>
    </row>
    <row r="957" spans="1:5" ht="26.25" x14ac:dyDescent="0.25">
      <c r="A957" s="2" t="s">
        <v>209</v>
      </c>
      <c r="B957" s="2" t="str">
        <f>"6923410713718"</f>
        <v>6923410713718</v>
      </c>
      <c r="C957" s="2" t="str">
        <f>"98033591"</f>
        <v>98033591</v>
      </c>
      <c r="D957" s="2" t="s">
        <v>818</v>
      </c>
      <c r="E957" s="4">
        <v>5990</v>
      </c>
    </row>
    <row r="958" spans="1:5" ht="26.25" x14ac:dyDescent="0.25">
      <c r="A958" s="2" t="s">
        <v>209</v>
      </c>
      <c r="B958" s="2" t="str">
        <f>"6923410713749"</f>
        <v>6923410713749</v>
      </c>
      <c r="C958" s="2" t="str">
        <f>"98033592"</f>
        <v>98033592</v>
      </c>
      <c r="D958" s="2" t="s">
        <v>819</v>
      </c>
      <c r="E958" s="4">
        <v>5990</v>
      </c>
    </row>
    <row r="959" spans="1:5" ht="26.25" x14ac:dyDescent="0.25">
      <c r="A959" s="2" t="s">
        <v>209</v>
      </c>
      <c r="B959" s="2" t="str">
        <f>"6925970709132"</f>
        <v>6925970709132</v>
      </c>
      <c r="C959" s="2" t="str">
        <f>"98033703"</f>
        <v>98033703</v>
      </c>
      <c r="D959" s="2" t="s">
        <v>820</v>
      </c>
      <c r="E959" s="4">
        <v>6990</v>
      </c>
    </row>
    <row r="960" spans="1:5" ht="26.25" x14ac:dyDescent="0.25">
      <c r="A960" s="2" t="s">
        <v>209</v>
      </c>
      <c r="B960" s="2" t="str">
        <f>"6925970709125"</f>
        <v>6925970709125</v>
      </c>
      <c r="C960" s="2" t="str">
        <f>"98039125"</f>
        <v>98039125</v>
      </c>
      <c r="D960" s="2" t="s">
        <v>820</v>
      </c>
      <c r="E960" s="4">
        <v>7600</v>
      </c>
    </row>
    <row r="961" spans="1:5" ht="26.25" x14ac:dyDescent="0.25">
      <c r="A961" s="2" t="s">
        <v>209</v>
      </c>
      <c r="B961" s="2" t="str">
        <f>"6925970709095"</f>
        <v>6925970709095</v>
      </c>
      <c r="C961" s="2" t="str">
        <f>"98033701"</f>
        <v>98033701</v>
      </c>
      <c r="D961" s="2" t="s">
        <v>821</v>
      </c>
      <c r="E961" s="4">
        <v>5990</v>
      </c>
    </row>
    <row r="962" spans="1:5" ht="26.25" x14ac:dyDescent="0.25">
      <c r="A962" s="2" t="s">
        <v>209</v>
      </c>
      <c r="B962" s="2" t="str">
        <f>"25033700BK"</f>
        <v>25033700BK</v>
      </c>
      <c r="C962" s="2" t="str">
        <f>"25033700BK"</f>
        <v>25033700BK</v>
      </c>
      <c r="D962" s="2" t="s">
        <v>822</v>
      </c>
      <c r="E962" s="4">
        <v>5350</v>
      </c>
    </row>
    <row r="963" spans="1:5" ht="26.25" x14ac:dyDescent="0.25">
      <c r="A963" s="2" t="s">
        <v>209</v>
      </c>
      <c r="B963" s="2" t="str">
        <f>"6925970709088"</f>
        <v>6925970709088</v>
      </c>
      <c r="C963" s="2" t="str">
        <f>"98033700"</f>
        <v>98033700</v>
      </c>
      <c r="D963" s="2" t="s">
        <v>822</v>
      </c>
      <c r="E963" s="4">
        <v>7600</v>
      </c>
    </row>
    <row r="964" spans="1:5" ht="26.25" x14ac:dyDescent="0.25">
      <c r="A964" s="2" t="s">
        <v>209</v>
      </c>
      <c r="B964" s="2" t="str">
        <f>"6925970709101"</f>
        <v>6925970709101</v>
      </c>
      <c r="C964" s="2" t="str">
        <f>"98033702"</f>
        <v>98033702</v>
      </c>
      <c r="D964" s="2" t="s">
        <v>823</v>
      </c>
      <c r="E964" s="4">
        <v>6990</v>
      </c>
    </row>
    <row r="965" spans="1:5" ht="26.25" x14ac:dyDescent="0.25">
      <c r="A965" s="2" t="s">
        <v>209</v>
      </c>
      <c r="B965" s="2" t="str">
        <f>"6925970709439"</f>
        <v>6925970709439</v>
      </c>
      <c r="C965" s="2" t="str">
        <f>"98033705"</f>
        <v>98033705</v>
      </c>
      <c r="D965" s="2" t="s">
        <v>824</v>
      </c>
      <c r="E965" s="4">
        <v>7500</v>
      </c>
    </row>
    <row r="966" spans="1:5" ht="26.25" x14ac:dyDescent="0.25">
      <c r="A966" s="2" t="s">
        <v>209</v>
      </c>
      <c r="B966" s="2" t="str">
        <f>"609585241794"</f>
        <v>609585241794</v>
      </c>
      <c r="C966" s="2" t="str">
        <f>"25033900RD"</f>
        <v>25033900RD</v>
      </c>
      <c r="D966" s="2" t="s">
        <v>825</v>
      </c>
      <c r="E966" s="4">
        <v>7500</v>
      </c>
    </row>
    <row r="967" spans="1:5" ht="39" x14ac:dyDescent="0.25">
      <c r="A967" s="2" t="s">
        <v>209</v>
      </c>
      <c r="B967" s="2" t="str">
        <f>"609585241824"</f>
        <v>609585241824</v>
      </c>
      <c r="C967" s="2" t="str">
        <f>"25033900WH"</f>
        <v>25033900WH</v>
      </c>
      <c r="D967" s="2" t="s">
        <v>825</v>
      </c>
      <c r="E967" s="4">
        <v>7500</v>
      </c>
    </row>
    <row r="968" spans="1:5" ht="26.25" x14ac:dyDescent="0.25">
      <c r="A968" s="2" t="s">
        <v>209</v>
      </c>
      <c r="B968" s="2" t="str">
        <f>"4895185623658"</f>
        <v>4895185623658</v>
      </c>
      <c r="C968" s="2" t="str">
        <f>"27PHL5000N"</f>
        <v>27PHL5000N</v>
      </c>
      <c r="D968" s="2" t="s">
        <v>826</v>
      </c>
      <c r="E968" s="4">
        <v>13990</v>
      </c>
    </row>
    <row r="969" spans="1:5" ht="26.25" x14ac:dyDescent="0.25">
      <c r="A969" s="2" t="s">
        <v>209</v>
      </c>
      <c r="B969" s="2" t="str">
        <f>"609585242425"</f>
        <v>609585242425</v>
      </c>
      <c r="C969" s="2" t="str">
        <f>"25033900PP"</f>
        <v>25033900PP</v>
      </c>
      <c r="D969" s="2" t="s">
        <v>827</v>
      </c>
      <c r="E969" s="4">
        <v>7500</v>
      </c>
    </row>
    <row r="970" spans="1:5" ht="26.25" x14ac:dyDescent="0.25">
      <c r="A970" s="2" t="s">
        <v>209</v>
      </c>
      <c r="B970" s="2" t="str">
        <f>"609585231559"</f>
        <v>609585231559</v>
      </c>
      <c r="C970" s="2" t="str">
        <f>"98033000"</f>
        <v>98033000</v>
      </c>
      <c r="D970" s="2" t="s">
        <v>828</v>
      </c>
      <c r="E970" s="4">
        <v>11990</v>
      </c>
    </row>
    <row r="971" spans="1:5" ht="26.25" x14ac:dyDescent="0.25">
      <c r="A971" s="2" t="s">
        <v>209</v>
      </c>
      <c r="B971" s="2" t="str">
        <f>"609585228993"</f>
        <v>609585228993</v>
      </c>
      <c r="C971" s="2" t="str">
        <f>"10001747"</f>
        <v>10001747</v>
      </c>
      <c r="D971" s="2" t="s">
        <v>829</v>
      </c>
      <c r="E971" s="4">
        <v>11990</v>
      </c>
    </row>
    <row r="972" spans="1:5" ht="26.25" x14ac:dyDescent="0.25">
      <c r="A972" s="2" t="s">
        <v>209</v>
      </c>
      <c r="B972" s="2" t="str">
        <f>"889446007664"</f>
        <v>889446007664</v>
      </c>
      <c r="C972" s="2" t="str">
        <f>"10112177"</f>
        <v>10112177</v>
      </c>
      <c r="D972" s="2" t="s">
        <v>830</v>
      </c>
      <c r="E972" s="4">
        <v>13990</v>
      </c>
    </row>
    <row r="973" spans="1:5" ht="26.25" x14ac:dyDescent="0.25">
      <c r="A973" s="2" t="s">
        <v>209</v>
      </c>
      <c r="B973" s="2" t="str">
        <f>"889446007190"</f>
        <v>889446007190</v>
      </c>
      <c r="C973" s="2" t="str">
        <f>"98075000"</f>
        <v>98075000</v>
      </c>
      <c r="D973" s="2" t="s">
        <v>831</v>
      </c>
      <c r="E973" s="4">
        <v>10990</v>
      </c>
    </row>
    <row r="974" spans="1:5" ht="26.25" x14ac:dyDescent="0.25">
      <c r="A974" s="2" t="s">
        <v>209</v>
      </c>
      <c r="B974" s="2" t="str">
        <f>"889446004717"</f>
        <v>889446004717</v>
      </c>
      <c r="C974" s="2" t="str">
        <f>"98021250"</f>
        <v>98021250</v>
      </c>
      <c r="D974" s="2" t="s">
        <v>832</v>
      </c>
      <c r="E974" s="4">
        <v>10990</v>
      </c>
    </row>
    <row r="975" spans="1:5" ht="26.25" x14ac:dyDescent="0.25">
      <c r="A975" s="2" t="s">
        <v>209</v>
      </c>
      <c r="B975" s="2" t="str">
        <f>"609585228481"</f>
        <v>609585228481</v>
      </c>
      <c r="C975" s="2" t="str">
        <f>"25034200"</f>
        <v>25034200</v>
      </c>
      <c r="D975" s="2" t="s">
        <v>833</v>
      </c>
      <c r="E975" s="4">
        <v>13990</v>
      </c>
    </row>
    <row r="976" spans="1:5" ht="26.25" x14ac:dyDescent="0.25">
      <c r="A976" s="2" t="s">
        <v>209</v>
      </c>
      <c r="B976" s="2" t="str">
        <f>"8712581523503"</f>
        <v>8712581523503</v>
      </c>
      <c r="C976" s="2" t="str">
        <f>"98038100"</f>
        <v>98038100</v>
      </c>
      <c r="D976" s="2" t="s">
        <v>834</v>
      </c>
      <c r="E976" s="4">
        <v>13600</v>
      </c>
    </row>
    <row r="977" spans="1:5" ht="26.25" x14ac:dyDescent="0.25">
      <c r="A977" s="2" t="s">
        <v>209</v>
      </c>
      <c r="B977" s="2" t="str">
        <f>"840063200364"</f>
        <v>840063200364</v>
      </c>
      <c r="C977" s="2" t="str">
        <f>"98030100"</f>
        <v>98030100</v>
      </c>
      <c r="D977" s="2" t="s">
        <v>835</v>
      </c>
      <c r="E977" s="4">
        <v>8990</v>
      </c>
    </row>
    <row r="978" spans="1:5" ht="26.25" x14ac:dyDescent="0.25">
      <c r="A978" s="2" t="s">
        <v>209</v>
      </c>
      <c r="B978" s="2" t="str">
        <f>"66275300"</f>
        <v>66275300</v>
      </c>
      <c r="C978" s="2" t="str">
        <f>"66275300"</f>
        <v>66275300</v>
      </c>
      <c r="D978" s="2" t="s">
        <v>836</v>
      </c>
      <c r="E978" s="4">
        <v>12990</v>
      </c>
    </row>
    <row r="979" spans="1:5" ht="26.25" x14ac:dyDescent="0.25">
      <c r="A979" s="2" t="s">
        <v>209</v>
      </c>
      <c r="B979" s="2" t="str">
        <f>"814633020812"</f>
        <v>814633020812</v>
      </c>
      <c r="C979" s="2" t="str">
        <f>"27PNR0E3BL"</f>
        <v>27PNR0E3BL</v>
      </c>
      <c r="D979" s="2" t="s">
        <v>837</v>
      </c>
      <c r="E979" s="4">
        <v>10990</v>
      </c>
    </row>
    <row r="980" spans="1:5" ht="26.25" x14ac:dyDescent="0.25">
      <c r="A980" s="2" t="s">
        <v>209</v>
      </c>
      <c r="B980" s="2" t="str">
        <f>"8120201700881"</f>
        <v>8120201700881</v>
      </c>
      <c r="C980" s="2" t="str">
        <f>"10030088"</f>
        <v>10030088</v>
      </c>
      <c r="D980" s="2" t="s">
        <v>838</v>
      </c>
      <c r="E980" s="4">
        <v>5990</v>
      </c>
    </row>
    <row r="981" spans="1:5" ht="39" x14ac:dyDescent="0.25">
      <c r="A981" s="2" t="s">
        <v>209</v>
      </c>
      <c r="B981" s="2" t="str">
        <f>"7394291016813"</f>
        <v>7394291016813</v>
      </c>
      <c r="C981" s="2" t="str">
        <f>"1594408692658"</f>
        <v>1594408692658</v>
      </c>
      <c r="D981" s="2" t="s">
        <v>839</v>
      </c>
      <c r="E981" s="4">
        <v>7990</v>
      </c>
    </row>
    <row r="982" spans="1:5" ht="26.25" x14ac:dyDescent="0.25">
      <c r="A982" s="2" t="s">
        <v>209</v>
      </c>
      <c r="B982" s="2" t="str">
        <f>"25580010"</f>
        <v>25580010</v>
      </c>
      <c r="C982" s="2" t="str">
        <f>"25580010"</f>
        <v>25580010</v>
      </c>
      <c r="D982" s="2" t="s">
        <v>840</v>
      </c>
      <c r="E982" s="4">
        <v>16900</v>
      </c>
    </row>
    <row r="983" spans="1:5" ht="26.25" x14ac:dyDescent="0.25">
      <c r="A983" s="2" t="s">
        <v>209</v>
      </c>
      <c r="B983" s="2" t="str">
        <f>"66003711"</f>
        <v>66003711</v>
      </c>
      <c r="C983" s="2" t="str">
        <f>"66003711"</f>
        <v>66003711</v>
      </c>
      <c r="D983" s="2" t="s">
        <v>841</v>
      </c>
      <c r="E983" s="4">
        <v>16900</v>
      </c>
    </row>
    <row r="984" spans="1:5" ht="26.25" x14ac:dyDescent="0.25">
      <c r="A984" s="2" t="s">
        <v>209</v>
      </c>
      <c r="B984" s="2" t="str">
        <f>"66378015"</f>
        <v>66378015</v>
      </c>
      <c r="C984" s="2" t="str">
        <f>"66378015"</f>
        <v>66378015</v>
      </c>
      <c r="D984" s="2" t="s">
        <v>842</v>
      </c>
      <c r="E984" s="4">
        <v>6990</v>
      </c>
    </row>
    <row r="985" spans="1:5" ht="26.25" x14ac:dyDescent="0.25">
      <c r="A985" s="2" t="s">
        <v>209</v>
      </c>
      <c r="B985" s="2" t="str">
        <f>"027242861022"</f>
        <v>027242861022</v>
      </c>
      <c r="C985" s="2" t="str">
        <f>"25031500"</f>
        <v>25031500</v>
      </c>
      <c r="D985" s="2" t="s">
        <v>843</v>
      </c>
      <c r="E985" s="4">
        <v>21500</v>
      </c>
    </row>
    <row r="986" spans="1:5" ht="26.25" x14ac:dyDescent="0.25">
      <c r="A986" s="2" t="s">
        <v>209</v>
      </c>
      <c r="B986" s="2" t="str">
        <f>"25580009"</f>
        <v>25580009</v>
      </c>
      <c r="C986" s="2" t="str">
        <f>"25580009"</f>
        <v>25580009</v>
      </c>
      <c r="D986" s="2" t="s">
        <v>844</v>
      </c>
      <c r="E986" s="4">
        <v>8500</v>
      </c>
    </row>
    <row r="987" spans="1:5" ht="26.25" x14ac:dyDescent="0.25">
      <c r="A987" s="2" t="s">
        <v>209</v>
      </c>
      <c r="B987" s="2" t="str">
        <f>"027242815131"</f>
        <v>027242815131</v>
      </c>
      <c r="C987" s="2" t="str">
        <f>"98030099"</f>
        <v>98030099</v>
      </c>
      <c r="D987" s="2" t="s">
        <v>845</v>
      </c>
      <c r="E987" s="4">
        <v>8500</v>
      </c>
    </row>
    <row r="988" spans="1:5" ht="26.25" x14ac:dyDescent="0.25">
      <c r="A988" s="2" t="s">
        <v>209</v>
      </c>
      <c r="B988" s="2" t="str">
        <f>"027242813984"</f>
        <v>027242813984</v>
      </c>
      <c r="C988" s="2" t="str">
        <f>"98033984"</f>
        <v>98033984</v>
      </c>
      <c r="D988" s="2" t="s">
        <v>846</v>
      </c>
      <c r="E988" s="4">
        <v>8500</v>
      </c>
    </row>
    <row r="989" spans="1:5" ht="39" x14ac:dyDescent="0.25">
      <c r="A989" s="2" t="s">
        <v>209</v>
      </c>
      <c r="B989" s="2" t="str">
        <f>"37SONMDR9N"</f>
        <v>37SONMDR9N</v>
      </c>
      <c r="C989" s="2" t="str">
        <f>"37SONMDR9N"</f>
        <v>37SONMDR9N</v>
      </c>
      <c r="D989" s="2" t="s">
        <v>846</v>
      </c>
      <c r="E989" s="4">
        <v>8500</v>
      </c>
    </row>
    <row r="990" spans="1:5" ht="39" x14ac:dyDescent="0.25">
      <c r="A990" s="2" t="s">
        <v>209</v>
      </c>
      <c r="B990" s="2" t="str">
        <f>"027242815100"</f>
        <v>027242815100</v>
      </c>
      <c r="C990" s="2" t="str">
        <f>"37SONMDR9B"</f>
        <v>37SONMDR9B</v>
      </c>
      <c r="D990" s="2" t="s">
        <v>847</v>
      </c>
      <c r="E990" s="4">
        <v>8500</v>
      </c>
    </row>
    <row r="991" spans="1:5" ht="26.25" x14ac:dyDescent="0.25">
      <c r="A991" s="2" t="s">
        <v>209</v>
      </c>
      <c r="B991" s="2" t="str">
        <f>"027242815117"</f>
        <v>027242815117</v>
      </c>
      <c r="C991" s="2" t="str">
        <f>"98035117"</f>
        <v>98035117</v>
      </c>
      <c r="D991" s="2" t="s">
        <v>848</v>
      </c>
      <c r="E991" s="4">
        <v>8500</v>
      </c>
    </row>
    <row r="992" spans="1:5" ht="39" x14ac:dyDescent="0.25">
      <c r="A992" s="2" t="s">
        <v>209</v>
      </c>
      <c r="B992" s="2" t="str">
        <f>"37SONMDR9G"</f>
        <v>37SONMDR9G</v>
      </c>
      <c r="C992" s="2" t="str">
        <f>"37SONMDR9G"</f>
        <v>37SONMDR9G</v>
      </c>
      <c r="D992" s="2" t="s">
        <v>848</v>
      </c>
      <c r="E992" s="4">
        <v>8500</v>
      </c>
    </row>
    <row r="993" spans="1:5" ht="26.25" x14ac:dyDescent="0.25">
      <c r="A993" s="2" t="s">
        <v>209</v>
      </c>
      <c r="B993" s="2" t="str">
        <f>"98035131"</f>
        <v>98035131</v>
      </c>
      <c r="C993" s="2" t="str">
        <f>"98035131"</f>
        <v>98035131</v>
      </c>
      <c r="D993" s="2" t="s">
        <v>849</v>
      </c>
      <c r="E993" s="4">
        <v>8500</v>
      </c>
    </row>
    <row r="994" spans="1:5" ht="26.25" x14ac:dyDescent="0.25">
      <c r="A994" s="2" t="s">
        <v>209</v>
      </c>
      <c r="B994" s="2" t="str">
        <f>"027242815124"</f>
        <v>027242815124</v>
      </c>
      <c r="C994" s="2" t="str">
        <f>"98035124"</f>
        <v>98035124</v>
      </c>
      <c r="D994" s="2" t="s">
        <v>850</v>
      </c>
      <c r="E994" s="4">
        <v>8500</v>
      </c>
    </row>
    <row r="995" spans="1:5" ht="26.25" x14ac:dyDescent="0.25">
      <c r="A995" s="2" t="s">
        <v>209</v>
      </c>
      <c r="B995" s="2" t="str">
        <f>"98035100"</f>
        <v>98035100</v>
      </c>
      <c r="C995" s="2" t="str">
        <f>"98035100"</f>
        <v>98035100</v>
      </c>
      <c r="D995" s="2" t="s">
        <v>851</v>
      </c>
      <c r="E995" s="4">
        <v>8500</v>
      </c>
    </row>
    <row r="996" spans="1:5" ht="39" x14ac:dyDescent="0.25">
      <c r="A996" s="2" t="s">
        <v>209</v>
      </c>
      <c r="B996" s="2" t="str">
        <f>"37SONMDR9P"</f>
        <v>37SONMDR9P</v>
      </c>
      <c r="C996" s="2" t="str">
        <f>"37SONMDR9P"</f>
        <v>37SONMDR9P</v>
      </c>
      <c r="D996" s="2" t="s">
        <v>852</v>
      </c>
      <c r="E996" s="4">
        <v>8500</v>
      </c>
    </row>
    <row r="997" spans="1:5" ht="26.25" x14ac:dyDescent="0.25">
      <c r="A997" s="2" t="s">
        <v>209</v>
      </c>
      <c r="B997" s="2" t="str">
        <f>"98038656"</f>
        <v>98038656</v>
      </c>
      <c r="C997" s="2" t="str">
        <f>"98038656"</f>
        <v>98038656</v>
      </c>
      <c r="D997" s="2" t="s">
        <v>853</v>
      </c>
      <c r="E997" s="4">
        <v>10990</v>
      </c>
    </row>
    <row r="998" spans="1:5" ht="26.25" x14ac:dyDescent="0.25">
      <c r="A998" s="2" t="s">
        <v>209</v>
      </c>
      <c r="B998" s="2" t="str">
        <f>"027242868656"</f>
        <v>027242868656</v>
      </c>
      <c r="C998" s="2" t="str">
        <f>"25028656"</f>
        <v>25028656</v>
      </c>
      <c r="D998" s="2" t="s">
        <v>853</v>
      </c>
      <c r="E998" s="4">
        <v>10990</v>
      </c>
    </row>
    <row r="999" spans="1:5" ht="26.25" x14ac:dyDescent="0.25">
      <c r="A999" s="2" t="s">
        <v>209</v>
      </c>
      <c r="B999" s="2" t="str">
        <f>"98030115"</f>
        <v>98030115</v>
      </c>
      <c r="C999" s="2" t="str">
        <f>"98030115"</f>
        <v>98030115</v>
      </c>
      <c r="D999" s="2" t="s">
        <v>854</v>
      </c>
      <c r="E999" s="4">
        <v>10990</v>
      </c>
    </row>
    <row r="1000" spans="1:5" ht="39" x14ac:dyDescent="0.25">
      <c r="A1000" s="2" t="s">
        <v>209</v>
      </c>
      <c r="B1000" s="2" t="str">
        <f>"027242867277"</f>
        <v>027242867277</v>
      </c>
      <c r="C1000" s="2" t="str">
        <f>"37SONMD15N"</f>
        <v>37SONMD15N</v>
      </c>
      <c r="D1000" s="2" t="s">
        <v>854</v>
      </c>
      <c r="E1000" s="4">
        <v>10990</v>
      </c>
    </row>
    <row r="1001" spans="1:5" ht="26.25" x14ac:dyDescent="0.25">
      <c r="A1001" s="2" t="s">
        <v>209</v>
      </c>
      <c r="B1001" s="2" t="str">
        <f>"98031015"</f>
        <v>98031015</v>
      </c>
      <c r="C1001" s="2" t="str">
        <f>"98031015"</f>
        <v>98031015</v>
      </c>
      <c r="D1001" s="2" t="s">
        <v>855</v>
      </c>
      <c r="E1001" s="4">
        <v>10990</v>
      </c>
    </row>
    <row r="1002" spans="1:5" ht="26.25" x14ac:dyDescent="0.25">
      <c r="A1002" s="2" t="s">
        <v>209</v>
      </c>
      <c r="B1002" s="2" t="str">
        <f>"027242868649"</f>
        <v>027242868649</v>
      </c>
      <c r="C1002" s="2" t="str">
        <f>"98028649"</f>
        <v>98028649</v>
      </c>
      <c r="D1002" s="2" t="s">
        <v>855</v>
      </c>
      <c r="E1002" s="4">
        <v>10990</v>
      </c>
    </row>
    <row r="1003" spans="1:5" ht="26.25" x14ac:dyDescent="0.25">
      <c r="A1003" s="2" t="s">
        <v>209</v>
      </c>
      <c r="B1003" s="2" t="str">
        <f>"027242868663"</f>
        <v>027242868663</v>
      </c>
      <c r="C1003" s="2" t="str">
        <f>"98034534"</f>
        <v>98034534</v>
      </c>
      <c r="D1003" s="2" t="s">
        <v>856</v>
      </c>
      <c r="E1003" s="4">
        <v>10990</v>
      </c>
    </row>
    <row r="1004" spans="1:5" ht="39" x14ac:dyDescent="0.25">
      <c r="A1004" s="2" t="s">
        <v>209</v>
      </c>
      <c r="B1004" s="2" t="str">
        <f>"25030015WH"</f>
        <v>25030015WH</v>
      </c>
      <c r="C1004" s="2" t="str">
        <f>"25030015WH"</f>
        <v>25030015WH</v>
      </c>
      <c r="D1004" s="2" t="s">
        <v>857</v>
      </c>
      <c r="E1004" s="4">
        <v>10990</v>
      </c>
    </row>
    <row r="1005" spans="1:5" ht="26.25" x14ac:dyDescent="0.25">
      <c r="A1005" s="2" t="s">
        <v>209</v>
      </c>
      <c r="B1005" s="2" t="s">
        <v>858</v>
      </c>
      <c r="C1005" s="2" t="str">
        <f>"98030015"</f>
        <v>98030015</v>
      </c>
      <c r="D1005" s="2" t="s">
        <v>857</v>
      </c>
      <c r="E1005" s="4">
        <v>10990</v>
      </c>
    </row>
    <row r="1006" spans="1:5" ht="26.25" x14ac:dyDescent="0.25">
      <c r="A1006" s="2" t="s">
        <v>209</v>
      </c>
      <c r="B1006" s="2" t="str">
        <f>"25030150"</f>
        <v>25030150</v>
      </c>
      <c r="C1006" s="2" t="str">
        <f>"25030150"</f>
        <v>25030150</v>
      </c>
      <c r="D1006" s="2" t="s">
        <v>859</v>
      </c>
      <c r="E1006" s="4">
        <v>10990</v>
      </c>
    </row>
    <row r="1007" spans="1:5" ht="39" x14ac:dyDescent="0.25">
      <c r="A1007" s="2" t="s">
        <v>209</v>
      </c>
      <c r="B1007" s="2" t="str">
        <f>"027242868625"</f>
        <v>027242868625</v>
      </c>
      <c r="C1007" s="2" t="str">
        <f>"37SONMD15B"</f>
        <v>37SONMD15B</v>
      </c>
      <c r="D1007" s="2" t="s">
        <v>859</v>
      </c>
      <c r="E1007" s="4">
        <v>10990</v>
      </c>
    </row>
    <row r="1008" spans="1:5" ht="39" x14ac:dyDescent="0.25">
      <c r="A1008" s="2" t="s">
        <v>209</v>
      </c>
      <c r="B1008" s="2" t="str">
        <f>"027242867086"</f>
        <v>027242867086</v>
      </c>
      <c r="C1008" s="2" t="str">
        <f>"1594408768918"</f>
        <v>1594408768918</v>
      </c>
      <c r="D1008" s="2" t="s">
        <v>860</v>
      </c>
      <c r="E1008" s="4">
        <v>15990</v>
      </c>
    </row>
    <row r="1009" spans="1:5" ht="39" x14ac:dyDescent="0.25">
      <c r="A1009" s="2" t="s">
        <v>209</v>
      </c>
      <c r="B1009" s="2" t="str">
        <f>"25030110WH"</f>
        <v>25030110WH</v>
      </c>
      <c r="C1009" s="2" t="str">
        <f>"25030110WH"</f>
        <v>25030110WH</v>
      </c>
      <c r="D1009" s="2" t="s">
        <v>861</v>
      </c>
      <c r="E1009" s="4">
        <v>15990</v>
      </c>
    </row>
    <row r="1010" spans="1:5" ht="26.25" x14ac:dyDescent="0.25">
      <c r="A1010" s="2" t="s">
        <v>209</v>
      </c>
      <c r="B1010" s="2" t="str">
        <f>"027242868823"</f>
        <v>027242868823</v>
      </c>
      <c r="C1010" s="2" t="str">
        <f>"98008823"</f>
        <v>98008823</v>
      </c>
      <c r="D1010" s="2" t="s">
        <v>861</v>
      </c>
      <c r="E1010" s="4">
        <v>12990</v>
      </c>
    </row>
    <row r="1011" spans="1:5" ht="26.25" x14ac:dyDescent="0.25">
      <c r="A1011" s="2" t="s">
        <v>209</v>
      </c>
      <c r="B1011" s="2" t="str">
        <f>"65030110"</f>
        <v>65030110</v>
      </c>
      <c r="C1011" s="2" t="str">
        <f>"65030110"</f>
        <v>65030110</v>
      </c>
      <c r="D1011" s="2" t="s">
        <v>862</v>
      </c>
      <c r="E1011" s="4">
        <v>15990</v>
      </c>
    </row>
    <row r="1012" spans="1:5" ht="26.25" x14ac:dyDescent="0.25">
      <c r="A1012" s="2" t="s">
        <v>209</v>
      </c>
      <c r="B1012" s="2" t="str">
        <f>"66371515"</f>
        <v>66371515</v>
      </c>
      <c r="C1012" s="2" t="str">
        <f>"66371515"</f>
        <v>66371515</v>
      </c>
      <c r="D1012" s="2" t="s">
        <v>863</v>
      </c>
      <c r="E1012" s="4">
        <v>8500</v>
      </c>
    </row>
    <row r="1013" spans="1:5" ht="26.25" x14ac:dyDescent="0.25">
      <c r="A1013" s="2" t="s">
        <v>209</v>
      </c>
      <c r="B1013" s="2" t="str">
        <f>"25587077"</f>
        <v>25587077</v>
      </c>
      <c r="C1013" s="2" t="str">
        <f>"25587077"</f>
        <v>25587077</v>
      </c>
      <c r="D1013" s="2" t="s">
        <v>864</v>
      </c>
      <c r="E1013" s="4">
        <v>15950</v>
      </c>
    </row>
    <row r="1014" spans="1:5" ht="26.25" x14ac:dyDescent="0.25">
      <c r="A1014" s="2" t="s">
        <v>209</v>
      </c>
      <c r="B1014" s="2" t="str">
        <f>"25580110"</f>
        <v>25580110</v>
      </c>
      <c r="C1014" s="2" t="str">
        <f>"25580110"</f>
        <v>25580110</v>
      </c>
      <c r="D1014" s="2" t="s">
        <v>865</v>
      </c>
      <c r="E1014" s="4">
        <v>16800</v>
      </c>
    </row>
    <row r="1015" spans="1:5" ht="26.25" x14ac:dyDescent="0.25">
      <c r="A1015" s="2" t="s">
        <v>11</v>
      </c>
      <c r="B1015" s="2" t="str">
        <f>"34740019"</f>
        <v>34740019</v>
      </c>
      <c r="C1015" s="2" t="str">
        <f>"34740019"</f>
        <v>34740019</v>
      </c>
      <c r="D1015" s="2" t="s">
        <v>866</v>
      </c>
      <c r="E1015" s="4">
        <v>8500</v>
      </c>
    </row>
    <row r="1016" spans="1:5" ht="26.25" x14ac:dyDescent="0.25">
      <c r="A1016" s="2" t="s">
        <v>209</v>
      </c>
      <c r="B1016" s="2" t="str">
        <f>"81030808"</f>
        <v>81030808</v>
      </c>
      <c r="C1016" s="2" t="str">
        <f>"81030808"</f>
        <v>81030808</v>
      </c>
      <c r="D1016" s="2" t="s">
        <v>867</v>
      </c>
      <c r="E1016" s="4">
        <v>8500</v>
      </c>
    </row>
    <row r="1017" spans="1:5" ht="26.25" x14ac:dyDescent="0.25">
      <c r="A1017" s="2" t="s">
        <v>209</v>
      </c>
      <c r="B1017" s="2" t="str">
        <f>"66002721"</f>
        <v>66002721</v>
      </c>
      <c r="C1017" s="2" t="str">
        <f>"66002721"</f>
        <v>66002721</v>
      </c>
      <c r="D1017" s="2" t="s">
        <v>868</v>
      </c>
      <c r="E1017" s="4">
        <v>7000</v>
      </c>
    </row>
    <row r="1018" spans="1:5" ht="26.25" x14ac:dyDescent="0.25">
      <c r="A1018" s="2" t="s">
        <v>209</v>
      </c>
      <c r="B1018" s="2" t="str">
        <f>"87001515"</f>
        <v>87001515</v>
      </c>
      <c r="C1018" s="2" t="str">
        <f>"87001515"</f>
        <v>87001515</v>
      </c>
      <c r="D1018" s="2" t="s">
        <v>869</v>
      </c>
      <c r="E1018" s="4">
        <v>18000</v>
      </c>
    </row>
    <row r="1019" spans="1:5" ht="26.25" x14ac:dyDescent="0.25">
      <c r="A1019" s="2" t="s">
        <v>209</v>
      </c>
      <c r="B1019" s="2" t="str">
        <f>"87001510"</f>
        <v>87001510</v>
      </c>
      <c r="C1019" s="2" t="str">
        <f>"87001510"</f>
        <v>87001510</v>
      </c>
      <c r="D1019" s="2" t="s">
        <v>870</v>
      </c>
      <c r="E1019" s="4">
        <v>16500</v>
      </c>
    </row>
    <row r="1020" spans="1:5" ht="26.25" x14ac:dyDescent="0.25">
      <c r="A1020" s="2" t="s">
        <v>209</v>
      </c>
      <c r="B1020" s="2" t="str">
        <f>"6927900010264"</f>
        <v>6927900010264</v>
      </c>
      <c r="C1020" s="2" t="str">
        <f>"25031460"</f>
        <v>25031460</v>
      </c>
      <c r="D1020" s="2" t="s">
        <v>871</v>
      </c>
      <c r="E1020" s="4">
        <v>2990</v>
      </c>
    </row>
    <row r="1021" spans="1:5" ht="26.25" x14ac:dyDescent="0.25">
      <c r="A1021" s="2" t="s">
        <v>209</v>
      </c>
      <c r="B1021" s="2" t="str">
        <f>"6927900010240"</f>
        <v>6927900010240</v>
      </c>
      <c r="C1021" s="2" t="str">
        <f>"25031466"</f>
        <v>25031466</v>
      </c>
      <c r="D1021" s="2" t="s">
        <v>872</v>
      </c>
      <c r="E1021" s="4">
        <v>2990</v>
      </c>
    </row>
    <row r="1022" spans="1:5" ht="26.25" x14ac:dyDescent="0.25">
      <c r="A1022" s="2" t="s">
        <v>209</v>
      </c>
      <c r="B1022" s="2" t="str">
        <f>"6927900010257"</f>
        <v>6927900010257</v>
      </c>
      <c r="C1022" s="2" t="str">
        <f>"25031464"</f>
        <v>25031464</v>
      </c>
      <c r="D1022" s="2" t="s">
        <v>873</v>
      </c>
      <c r="E1022" s="4">
        <v>2990</v>
      </c>
    </row>
    <row r="1023" spans="1:5" ht="26.25" x14ac:dyDescent="0.25">
      <c r="A1023" s="2" t="s">
        <v>209</v>
      </c>
      <c r="B1023" s="2" t="str">
        <f>"6927900010271"</f>
        <v>6927900010271</v>
      </c>
      <c r="C1023" s="2" t="str">
        <f>"25031461"</f>
        <v>25031461</v>
      </c>
      <c r="D1023" s="2" t="s">
        <v>874</v>
      </c>
      <c r="E1023" s="4">
        <v>2990</v>
      </c>
    </row>
    <row r="1024" spans="1:5" ht="26.25" x14ac:dyDescent="0.25">
      <c r="A1024" s="2" t="s">
        <v>209</v>
      </c>
      <c r="B1024" s="2" t="str">
        <f>"6927900010035"</f>
        <v>6927900010035</v>
      </c>
      <c r="C1024" s="2" t="str">
        <f>"25030170"</f>
        <v>25030170</v>
      </c>
      <c r="D1024" s="2" t="s">
        <v>875</v>
      </c>
      <c r="E1024" s="4">
        <v>2990</v>
      </c>
    </row>
    <row r="1025" spans="1:5" ht="26.25" x14ac:dyDescent="0.25">
      <c r="A1025" s="2" t="s">
        <v>209</v>
      </c>
      <c r="B1025" s="2" t="str">
        <f>"6927900010028"</f>
        <v>6927900010028</v>
      </c>
      <c r="C1025" s="2" t="str">
        <f>"25031700"</f>
        <v>25031700</v>
      </c>
      <c r="D1025" s="2" t="s">
        <v>876</v>
      </c>
      <c r="E1025" s="4">
        <v>2990</v>
      </c>
    </row>
    <row r="1026" spans="1:5" ht="26.25" x14ac:dyDescent="0.25">
      <c r="A1026" s="2" t="s">
        <v>209</v>
      </c>
      <c r="B1026" s="2" t="str">
        <f>"6927900010059"</f>
        <v>6927900010059</v>
      </c>
      <c r="C1026" s="2" t="str">
        <f>"25030017"</f>
        <v>25030017</v>
      </c>
      <c r="D1026" s="2" t="s">
        <v>877</v>
      </c>
      <c r="E1026" s="4">
        <v>2990</v>
      </c>
    </row>
    <row r="1027" spans="1:5" ht="26.25" x14ac:dyDescent="0.25">
      <c r="A1027" s="2" t="s">
        <v>11</v>
      </c>
      <c r="B1027" s="2" t="str">
        <f>"11001558"</f>
        <v>11001558</v>
      </c>
      <c r="C1027" s="2" t="str">
        <f>"11001558"</f>
        <v>11001558</v>
      </c>
      <c r="D1027" s="2" t="s">
        <v>878</v>
      </c>
      <c r="E1027" s="4">
        <v>39000</v>
      </c>
    </row>
    <row r="1028" spans="1:5" ht="26.25" x14ac:dyDescent="0.25">
      <c r="A1028" s="2" t="s">
        <v>209</v>
      </c>
      <c r="B1028" s="2" t="str">
        <f>"6925871621038"</f>
        <v>6925871621038</v>
      </c>
      <c r="C1028" s="2" t="str">
        <f>"22032103"</f>
        <v>22032103</v>
      </c>
      <c r="D1028" s="2" t="s">
        <v>879</v>
      </c>
      <c r="E1028" s="4">
        <v>4000</v>
      </c>
    </row>
    <row r="1029" spans="1:5" ht="26.25" x14ac:dyDescent="0.25">
      <c r="A1029" s="2" t="s">
        <v>209</v>
      </c>
      <c r="B1029" s="2" t="str">
        <f>"7858816068928"</f>
        <v>7858816068928</v>
      </c>
      <c r="C1029" s="2" t="str">
        <f>"87036892"</f>
        <v>87036892</v>
      </c>
      <c r="D1029" s="2" t="s">
        <v>880</v>
      </c>
      <c r="E1029" s="4">
        <v>4990</v>
      </c>
    </row>
    <row r="1030" spans="1:5" ht="26.25" x14ac:dyDescent="0.25">
      <c r="A1030" s="2" t="s">
        <v>209</v>
      </c>
      <c r="B1030" s="2" t="str">
        <f>"6950854008889"</f>
        <v>6950854008889</v>
      </c>
      <c r="C1030" s="2" t="str">
        <f>"10002700"</f>
        <v>10002700</v>
      </c>
      <c r="D1030" s="2" t="s">
        <v>881</v>
      </c>
      <c r="E1030" s="4">
        <v>17000</v>
      </c>
    </row>
    <row r="1031" spans="1:5" ht="26.25" x14ac:dyDescent="0.25">
      <c r="A1031" s="2" t="s">
        <v>11</v>
      </c>
      <c r="B1031" s="2" t="str">
        <f>"79740010"</f>
        <v>79740010</v>
      </c>
      <c r="C1031" s="2" t="str">
        <f>"79740010"</f>
        <v>79740010</v>
      </c>
      <c r="D1031" s="2" t="s">
        <v>882</v>
      </c>
      <c r="E1031" s="4">
        <v>19500</v>
      </c>
    </row>
    <row r="1032" spans="1:5" ht="26.25" x14ac:dyDescent="0.25">
      <c r="A1032" s="2" t="s">
        <v>209</v>
      </c>
      <c r="B1032" s="2" t="str">
        <f>"7796941037061"</f>
        <v>7796941037061</v>
      </c>
      <c r="C1032" s="2" t="str">
        <f>"42130009"</f>
        <v>42130009</v>
      </c>
      <c r="D1032" s="2" t="s">
        <v>883</v>
      </c>
      <c r="E1032" s="4">
        <v>8500</v>
      </c>
    </row>
    <row r="1033" spans="1:5" ht="26.25" x14ac:dyDescent="0.25">
      <c r="A1033" s="2" t="s">
        <v>21</v>
      </c>
      <c r="B1033" s="2" t="str">
        <f>"10003002"</f>
        <v>10003002</v>
      </c>
      <c r="C1033" s="2" t="str">
        <f>"10003002"</f>
        <v>10003002</v>
      </c>
      <c r="D1033" s="2" t="s">
        <v>884</v>
      </c>
      <c r="E1033" s="4">
        <v>7500</v>
      </c>
    </row>
    <row r="1034" spans="1:5" ht="26.25" x14ac:dyDescent="0.25">
      <c r="A1034" s="2" t="s">
        <v>885</v>
      </c>
      <c r="B1034" s="2" t="str">
        <f>"10002720"</f>
        <v>10002720</v>
      </c>
      <c r="C1034" s="2" t="str">
        <f>"10002720"</f>
        <v>10002720</v>
      </c>
      <c r="D1034" s="2" t="s">
        <v>886</v>
      </c>
      <c r="E1034" s="4">
        <v>5990</v>
      </c>
    </row>
    <row r="1035" spans="1:5" ht="26.25" x14ac:dyDescent="0.25">
      <c r="A1035" s="2" t="s">
        <v>9</v>
      </c>
      <c r="B1035" s="2" t="str">
        <f>"7858816045332"</f>
        <v>7858816045332</v>
      </c>
      <c r="C1035" s="2" t="str">
        <f>"87084533"</f>
        <v>87084533</v>
      </c>
      <c r="D1035" s="2" t="s">
        <v>887</v>
      </c>
      <c r="E1035" s="4">
        <v>4500</v>
      </c>
    </row>
    <row r="1036" spans="1:5" ht="26.25" x14ac:dyDescent="0.25">
      <c r="A1036" s="2" t="s">
        <v>9</v>
      </c>
      <c r="B1036" s="2" t="str">
        <f>"7858816045325"</f>
        <v>7858816045325</v>
      </c>
      <c r="C1036" s="2" t="str">
        <f>"87084532"</f>
        <v>87084532</v>
      </c>
      <c r="D1036" s="2" t="s">
        <v>888</v>
      </c>
      <c r="E1036" s="4">
        <v>4500</v>
      </c>
    </row>
    <row r="1037" spans="1:5" ht="26.25" x14ac:dyDescent="0.25">
      <c r="A1037" s="2" t="s">
        <v>889</v>
      </c>
      <c r="B1037" s="2" t="str">
        <f>"4710007727850"</f>
        <v>4710007727850</v>
      </c>
      <c r="C1037" s="2" t="str">
        <f>"65737850"</f>
        <v>65737850</v>
      </c>
      <c r="D1037" s="2" t="s">
        <v>890</v>
      </c>
      <c r="E1037" s="4">
        <v>4500</v>
      </c>
    </row>
    <row r="1038" spans="1:5" ht="26.25" x14ac:dyDescent="0.25">
      <c r="A1038" s="2" t="s">
        <v>889</v>
      </c>
      <c r="B1038" s="2" t="str">
        <f>"10003432"</f>
        <v>10003432</v>
      </c>
      <c r="C1038" s="2" t="str">
        <f>"10003432"</f>
        <v>10003432</v>
      </c>
      <c r="D1038" s="2" t="s">
        <v>891</v>
      </c>
      <c r="E1038" s="4">
        <v>5500</v>
      </c>
    </row>
    <row r="1039" spans="1:5" ht="26.25" x14ac:dyDescent="0.25">
      <c r="A1039" s="2" t="s">
        <v>889</v>
      </c>
      <c r="B1039" s="2" t="str">
        <f>"6686996001104"</f>
        <v>6686996001104</v>
      </c>
      <c r="C1039" s="2" t="str">
        <f>"40731288"</f>
        <v>40731288</v>
      </c>
      <c r="D1039" s="2" t="s">
        <v>892</v>
      </c>
      <c r="E1039" s="4">
        <v>9990</v>
      </c>
    </row>
    <row r="1040" spans="1:5" ht="26.25" x14ac:dyDescent="0.25">
      <c r="A1040" s="2" t="s">
        <v>889</v>
      </c>
      <c r="B1040" s="2" t="str">
        <f>"201703032323"</f>
        <v>201703032323</v>
      </c>
      <c r="C1040" s="2" t="str">
        <f>"76730080"</f>
        <v>76730080</v>
      </c>
      <c r="D1040" s="2" t="s">
        <v>893</v>
      </c>
      <c r="E1040" s="4">
        <v>3000</v>
      </c>
    </row>
    <row r="1041" spans="1:5" ht="26.25" x14ac:dyDescent="0.25">
      <c r="A1041" s="2" t="s">
        <v>889</v>
      </c>
      <c r="B1041" s="2" t="str">
        <f>"10003046"</f>
        <v>10003046</v>
      </c>
      <c r="C1041" s="2" t="str">
        <f>"10003046"</f>
        <v>10003046</v>
      </c>
      <c r="D1041" s="2" t="s">
        <v>894</v>
      </c>
      <c r="E1041" s="4">
        <v>2990</v>
      </c>
    </row>
    <row r="1042" spans="1:5" ht="26.25" x14ac:dyDescent="0.25">
      <c r="A1042" s="2" t="s">
        <v>889</v>
      </c>
      <c r="B1042" s="2" t="str">
        <f>"10000335"</f>
        <v>10000335</v>
      </c>
      <c r="C1042" s="2" t="str">
        <f>"10000335"</f>
        <v>10000335</v>
      </c>
      <c r="D1042" s="2" t="s">
        <v>895</v>
      </c>
      <c r="E1042" s="4">
        <v>5990</v>
      </c>
    </row>
    <row r="1043" spans="1:5" ht="26.25" x14ac:dyDescent="0.25">
      <c r="A1043" s="2" t="s">
        <v>889</v>
      </c>
      <c r="B1043" s="2" t="str">
        <f>"7858816016660"</f>
        <v>7858816016660</v>
      </c>
      <c r="C1043" s="2" t="str">
        <f>"87731666"</f>
        <v>87731666</v>
      </c>
      <c r="D1043" s="2" t="s">
        <v>896</v>
      </c>
      <c r="E1043" s="4">
        <v>3990</v>
      </c>
    </row>
    <row r="1044" spans="1:5" ht="26.25" x14ac:dyDescent="0.25">
      <c r="A1044" s="2" t="s">
        <v>889</v>
      </c>
      <c r="B1044" s="2" t="str">
        <f>"7858816038273"</f>
        <v>7858816038273</v>
      </c>
      <c r="C1044" s="2" t="str">
        <f>"87733827"</f>
        <v>87733827</v>
      </c>
      <c r="D1044" s="2" t="s">
        <v>897</v>
      </c>
      <c r="E1044" s="4">
        <v>10500</v>
      </c>
    </row>
    <row r="1045" spans="1:5" ht="26.25" x14ac:dyDescent="0.25">
      <c r="A1045" s="2" t="s">
        <v>889</v>
      </c>
      <c r="B1045" s="2" t="str">
        <f>"7858816068768"</f>
        <v>7858816068768</v>
      </c>
      <c r="C1045" s="2" t="str">
        <f>"87736876"</f>
        <v>87736876</v>
      </c>
      <c r="D1045" s="2" t="s">
        <v>898</v>
      </c>
      <c r="E1045" s="4">
        <v>7490</v>
      </c>
    </row>
    <row r="1046" spans="1:5" ht="26.25" x14ac:dyDescent="0.25">
      <c r="A1046" s="2" t="s">
        <v>889</v>
      </c>
      <c r="B1046" s="2" t="str">
        <f>"7858816077210"</f>
        <v>7858816077210</v>
      </c>
      <c r="C1046" s="2" t="str">
        <f>"87737721"</f>
        <v>87737721</v>
      </c>
      <c r="D1046" s="2" t="s">
        <v>899</v>
      </c>
      <c r="E1046" s="4">
        <v>14990</v>
      </c>
    </row>
    <row r="1047" spans="1:5" ht="26.25" x14ac:dyDescent="0.25">
      <c r="A1047" s="2" t="s">
        <v>889</v>
      </c>
      <c r="B1047" s="2" t="str">
        <f>"7858816077203"</f>
        <v>7858816077203</v>
      </c>
      <c r="C1047" s="2" t="str">
        <f>"87777720"</f>
        <v>87777720</v>
      </c>
      <c r="D1047" s="2" t="s">
        <v>900</v>
      </c>
      <c r="E1047" s="4">
        <v>8990</v>
      </c>
    </row>
    <row r="1048" spans="1:5" ht="26.25" x14ac:dyDescent="0.25">
      <c r="A1048" s="2" t="s">
        <v>889</v>
      </c>
      <c r="B1048" s="2" t="str">
        <f>"6925871603256"</f>
        <v>6925871603256</v>
      </c>
      <c r="C1048" s="2" t="str">
        <f>"22733256"</f>
        <v>22733256</v>
      </c>
      <c r="D1048" s="2" t="s">
        <v>901</v>
      </c>
      <c r="E1048" s="4">
        <v>7500</v>
      </c>
    </row>
    <row r="1049" spans="1:5" ht="26.25" x14ac:dyDescent="0.25">
      <c r="A1049" s="2" t="s">
        <v>889</v>
      </c>
      <c r="B1049" s="2" t="str">
        <f>"6925871604697"</f>
        <v>6925871604697</v>
      </c>
      <c r="C1049" s="2" t="str">
        <f>"22730469"</f>
        <v>22730469</v>
      </c>
      <c r="D1049" s="2" t="s">
        <v>902</v>
      </c>
      <c r="E1049" s="4">
        <v>2990</v>
      </c>
    </row>
    <row r="1050" spans="1:5" ht="26.25" x14ac:dyDescent="0.25">
      <c r="A1050" s="2" t="s">
        <v>889</v>
      </c>
      <c r="B1050" s="2" t="str">
        <f>"5000000507019"</f>
        <v>5000000507019</v>
      </c>
      <c r="C1050" s="2" t="str">
        <f>"76730101"</f>
        <v>76730101</v>
      </c>
      <c r="D1050" s="2" t="s">
        <v>903</v>
      </c>
      <c r="E1050" s="4">
        <v>13800</v>
      </c>
    </row>
    <row r="1051" spans="1:5" ht="26.25" x14ac:dyDescent="0.25">
      <c r="A1051" s="2" t="s">
        <v>889</v>
      </c>
      <c r="B1051" s="2" t="str">
        <f>"7858816063008"</f>
        <v>7858816063008</v>
      </c>
      <c r="C1051" s="2" t="str">
        <f>"87736300"</f>
        <v>87736300</v>
      </c>
      <c r="D1051" s="2" t="s">
        <v>904</v>
      </c>
      <c r="E1051" s="4">
        <v>23990</v>
      </c>
    </row>
    <row r="1052" spans="1:5" ht="26.25" x14ac:dyDescent="0.25">
      <c r="A1052" s="2" t="s">
        <v>889</v>
      </c>
      <c r="B1052" s="2" t="str">
        <f>"7858816068775"</f>
        <v>7858816068775</v>
      </c>
      <c r="C1052" s="2" t="str">
        <f>"87736877"</f>
        <v>87736877</v>
      </c>
      <c r="D1052" s="2" t="s">
        <v>905</v>
      </c>
      <c r="E1052" s="4">
        <v>5990</v>
      </c>
    </row>
    <row r="1053" spans="1:5" ht="26.25" x14ac:dyDescent="0.25">
      <c r="A1053" s="2" t="s">
        <v>889</v>
      </c>
      <c r="B1053" s="2" t="str">
        <f>"5000000507017"</f>
        <v>5000000507017</v>
      </c>
      <c r="C1053" s="2" t="str">
        <f>"76730090"</f>
        <v>76730090</v>
      </c>
      <c r="D1053" s="2" t="s">
        <v>906</v>
      </c>
      <c r="E1053" s="4">
        <v>12600</v>
      </c>
    </row>
    <row r="1054" spans="1:5" ht="26.25" x14ac:dyDescent="0.25">
      <c r="A1054" s="2" t="s">
        <v>889</v>
      </c>
      <c r="B1054" s="2" t="str">
        <f>"5000000507018"</f>
        <v>5000000507018</v>
      </c>
      <c r="C1054" s="2" t="str">
        <f>"76730100"</f>
        <v>76730100</v>
      </c>
      <c r="D1054" s="2" t="s">
        <v>907</v>
      </c>
      <c r="E1054" s="4">
        <v>15500</v>
      </c>
    </row>
    <row r="1055" spans="1:5" ht="26.25" x14ac:dyDescent="0.25">
      <c r="A1055" s="2" t="s">
        <v>889</v>
      </c>
      <c r="B1055" s="2" t="str">
        <f>"2018073552003"</f>
        <v>2018073552003</v>
      </c>
      <c r="C1055" s="2" t="str">
        <f>"18735200"</f>
        <v>18735200</v>
      </c>
      <c r="D1055" s="2" t="s">
        <v>908</v>
      </c>
      <c r="E1055" s="4">
        <v>6000</v>
      </c>
    </row>
    <row r="1056" spans="1:5" ht="26.25" x14ac:dyDescent="0.25">
      <c r="A1056" s="2" t="s">
        <v>889</v>
      </c>
      <c r="B1056" s="2" t="str">
        <f>"7858816079245"</f>
        <v>7858816079245</v>
      </c>
      <c r="C1056" s="2" t="str">
        <f>"87737924"</f>
        <v>87737924</v>
      </c>
      <c r="D1056" s="2" t="s">
        <v>909</v>
      </c>
      <c r="E1056" s="4">
        <v>7990</v>
      </c>
    </row>
    <row r="1057" spans="1:5" ht="26.25" x14ac:dyDescent="0.25">
      <c r="A1057" s="2" t="s">
        <v>889</v>
      </c>
      <c r="B1057" s="2" t="str">
        <f>"50794482"</f>
        <v>50794482</v>
      </c>
      <c r="C1057" s="2" t="str">
        <f>"50794482"</f>
        <v>50794482</v>
      </c>
      <c r="D1057" s="2" t="s">
        <v>910</v>
      </c>
      <c r="E1057" s="4">
        <v>9500</v>
      </c>
    </row>
    <row r="1058" spans="1:5" ht="26.25" x14ac:dyDescent="0.25">
      <c r="A1058" s="2" t="s">
        <v>889</v>
      </c>
      <c r="B1058" s="2" t="str">
        <f>"79794482"</f>
        <v>79794482</v>
      </c>
      <c r="C1058" s="2" t="str">
        <f>"79794482"</f>
        <v>79794482</v>
      </c>
      <c r="D1058" s="2" t="s">
        <v>911</v>
      </c>
      <c r="E1058" s="4">
        <v>8500</v>
      </c>
    </row>
    <row r="1059" spans="1:5" ht="26.25" x14ac:dyDescent="0.25">
      <c r="A1059" s="2" t="s">
        <v>889</v>
      </c>
      <c r="B1059" s="2" t="str">
        <f>"7858816008436"</f>
        <v>7858816008436</v>
      </c>
      <c r="C1059" s="2" t="str">
        <f>"87730075"</f>
        <v>87730075</v>
      </c>
      <c r="D1059" s="2" t="s">
        <v>912</v>
      </c>
      <c r="E1059" s="4">
        <v>7500</v>
      </c>
    </row>
    <row r="1060" spans="1:5" ht="26.25" x14ac:dyDescent="0.25">
      <c r="A1060" s="2" t="s">
        <v>889</v>
      </c>
      <c r="B1060" s="2" t="str">
        <f>"8002017232301"</f>
        <v>8002017232301</v>
      </c>
      <c r="C1060" s="2" t="str">
        <f>"18730075"</f>
        <v>18730075</v>
      </c>
      <c r="D1060" s="2" t="s">
        <v>913</v>
      </c>
      <c r="E1060" s="4">
        <v>7500</v>
      </c>
    </row>
    <row r="1061" spans="1:5" ht="26.25" x14ac:dyDescent="0.25">
      <c r="A1061" s="2" t="s">
        <v>12</v>
      </c>
      <c r="B1061" s="2" t="str">
        <f>"10001049"</f>
        <v>10001049</v>
      </c>
      <c r="C1061" s="2" t="str">
        <f>"10001049"</f>
        <v>10001049</v>
      </c>
      <c r="D1061" s="2" t="s">
        <v>914</v>
      </c>
      <c r="E1061" s="4">
        <v>4100</v>
      </c>
    </row>
    <row r="1062" spans="1:5" ht="26.25" x14ac:dyDescent="0.25">
      <c r="A1062" s="2" t="s">
        <v>12</v>
      </c>
      <c r="B1062" s="2" t="str">
        <f>"2019081900015"</f>
        <v>2019081900015</v>
      </c>
      <c r="C1062" s="2" t="str">
        <f>"18050715"</f>
        <v>18050715</v>
      </c>
      <c r="D1062" s="2" t="s">
        <v>915</v>
      </c>
      <c r="E1062" s="4">
        <v>20000</v>
      </c>
    </row>
    <row r="1063" spans="1:5" ht="26.25" x14ac:dyDescent="0.25">
      <c r="A1063" s="2" t="s">
        <v>916</v>
      </c>
      <c r="B1063" s="2" t="str">
        <f>"989218650"</f>
        <v>989218650</v>
      </c>
      <c r="C1063" s="2" t="str">
        <f>"989218650"</f>
        <v>989218650</v>
      </c>
      <c r="D1063" s="2" t="s">
        <v>917</v>
      </c>
      <c r="E1063" s="4">
        <v>6000</v>
      </c>
    </row>
    <row r="1064" spans="1:5" ht="26.25" x14ac:dyDescent="0.25">
      <c r="A1064" s="2" t="s">
        <v>916</v>
      </c>
      <c r="B1064" s="2" t="str">
        <f>"6925871618656"</f>
        <v>6925871618656</v>
      </c>
      <c r="C1064" s="2" t="str">
        <f>"980518650"</f>
        <v>980518650</v>
      </c>
      <c r="D1064" s="2" t="s">
        <v>918</v>
      </c>
      <c r="E1064" s="4">
        <v>4000</v>
      </c>
    </row>
    <row r="1065" spans="1:5" ht="26.25" x14ac:dyDescent="0.25">
      <c r="A1065" s="2" t="s">
        <v>919</v>
      </c>
      <c r="B1065" s="2" t="str">
        <f>"6886895965129"</f>
        <v>6886895965129</v>
      </c>
      <c r="C1065" s="2" t="str">
        <f>"76550700"</f>
        <v>76550700</v>
      </c>
      <c r="D1065" s="2" t="s">
        <v>920</v>
      </c>
      <c r="E1065" s="4">
        <v>9990</v>
      </c>
    </row>
    <row r="1066" spans="1:5" ht="26.25" x14ac:dyDescent="0.25">
      <c r="A1066" s="2" t="s">
        <v>921</v>
      </c>
      <c r="B1066" s="2" t="str">
        <f>"94001471"</f>
        <v>94001471</v>
      </c>
      <c r="C1066" s="2" t="str">
        <f>"94001471"</f>
        <v>94001471</v>
      </c>
      <c r="D1066" s="2" t="s">
        <v>922</v>
      </c>
      <c r="E1066" s="4">
        <v>16900</v>
      </c>
    </row>
    <row r="1067" spans="1:5" ht="26.25" x14ac:dyDescent="0.25">
      <c r="A1067" s="2" t="s">
        <v>921</v>
      </c>
      <c r="B1067" s="2" t="str">
        <f>"6925871625524"</f>
        <v>6925871625524</v>
      </c>
      <c r="C1067" s="2" t="str">
        <f>"22072552"</f>
        <v>22072552</v>
      </c>
      <c r="D1067" s="2" t="s">
        <v>923</v>
      </c>
      <c r="E1067" s="4">
        <v>39900</v>
      </c>
    </row>
    <row r="1068" spans="1:5" ht="26.25" x14ac:dyDescent="0.25">
      <c r="A1068" s="2" t="s">
        <v>921</v>
      </c>
      <c r="B1068" s="2" t="str">
        <f>"4710007734131"</f>
        <v>4710007734131</v>
      </c>
      <c r="C1068" s="2" t="str">
        <f>"65074131"</f>
        <v>65074131</v>
      </c>
      <c r="D1068" s="2" t="s">
        <v>924</v>
      </c>
      <c r="E1068" s="4">
        <v>23780</v>
      </c>
    </row>
    <row r="1069" spans="1:5" ht="26.25" x14ac:dyDescent="0.25">
      <c r="A1069" s="2" t="s">
        <v>925</v>
      </c>
      <c r="B1069" s="2" t="str">
        <f>"4710007729373"</f>
        <v>4710007729373</v>
      </c>
      <c r="C1069" s="2" t="str">
        <f>"65079373"</f>
        <v>65079373</v>
      </c>
      <c r="D1069" s="2" t="s">
        <v>926</v>
      </c>
      <c r="E1069" s="4">
        <v>18900</v>
      </c>
    </row>
    <row r="1070" spans="1:5" ht="26.25" x14ac:dyDescent="0.25">
      <c r="A1070" s="2" t="s">
        <v>925</v>
      </c>
      <c r="B1070" s="2" t="str">
        <f>"6925871614719"</f>
        <v>6925871614719</v>
      </c>
      <c r="C1070" s="2" t="str">
        <f>"22071471"</f>
        <v>22071471</v>
      </c>
      <c r="D1070" s="2" t="s">
        <v>927</v>
      </c>
      <c r="E1070" s="4">
        <v>12500</v>
      </c>
    </row>
    <row r="1071" spans="1:5" ht="26.25" x14ac:dyDescent="0.25">
      <c r="A1071" s="2" t="s">
        <v>921</v>
      </c>
      <c r="B1071" s="2" t="str">
        <f>"94001472"</f>
        <v>94001472</v>
      </c>
      <c r="C1071" s="2" t="str">
        <f>"94001472"</f>
        <v>94001472</v>
      </c>
      <c r="D1071" s="2" t="s">
        <v>928</v>
      </c>
      <c r="E1071" s="4">
        <v>19800</v>
      </c>
    </row>
    <row r="1072" spans="1:5" ht="26.25" x14ac:dyDescent="0.25">
      <c r="A1072" s="2" t="s">
        <v>925</v>
      </c>
      <c r="B1072" s="2" t="str">
        <f>"6925871617581"</f>
        <v>6925871617581</v>
      </c>
      <c r="C1072" s="2" t="str">
        <f>"22071758"</f>
        <v>22071758</v>
      </c>
      <c r="D1072" s="2" t="s">
        <v>929</v>
      </c>
      <c r="E1072" s="4">
        <v>29900</v>
      </c>
    </row>
    <row r="1073" spans="1:5" ht="26.25" x14ac:dyDescent="0.25">
      <c r="A1073" s="2" t="s">
        <v>925</v>
      </c>
      <c r="B1073" s="2" t="str">
        <f>"6925871618465"</f>
        <v>6925871618465</v>
      </c>
      <c r="C1073" s="2" t="str">
        <f>"22071846"</f>
        <v>22071846</v>
      </c>
      <c r="D1073" s="2" t="s">
        <v>930</v>
      </c>
      <c r="E1073" s="4">
        <v>17500</v>
      </c>
    </row>
    <row r="1074" spans="1:5" ht="26.25" x14ac:dyDescent="0.25">
      <c r="A1074" s="2" t="s">
        <v>925</v>
      </c>
      <c r="B1074" s="2" t="str">
        <f>"6925871624527"</f>
        <v>6925871624527</v>
      </c>
      <c r="C1074" s="2" t="str">
        <f>"22072452"</f>
        <v>22072452</v>
      </c>
      <c r="D1074" s="2" t="s">
        <v>931</v>
      </c>
      <c r="E1074" s="4">
        <v>19990</v>
      </c>
    </row>
    <row r="1075" spans="1:5" ht="26.25" x14ac:dyDescent="0.25">
      <c r="A1075" s="2" t="s">
        <v>925</v>
      </c>
      <c r="B1075" s="2" t="str">
        <f>"6925871624558"</f>
        <v>6925871624558</v>
      </c>
      <c r="C1075" s="2" t="str">
        <f>"22072455"</f>
        <v>22072455</v>
      </c>
      <c r="D1075" s="2" t="s">
        <v>932</v>
      </c>
      <c r="E1075" s="4">
        <v>16990</v>
      </c>
    </row>
    <row r="1076" spans="1:5" ht="26.25" x14ac:dyDescent="0.25">
      <c r="A1076" s="2" t="s">
        <v>925</v>
      </c>
      <c r="B1076" s="2" t="str">
        <f>"6925871625623"</f>
        <v>6925871625623</v>
      </c>
      <c r="C1076" s="2" t="str">
        <f>"22072562"</f>
        <v>22072562</v>
      </c>
      <c r="D1076" s="2" t="s">
        <v>933</v>
      </c>
      <c r="E1076" s="4">
        <v>48500</v>
      </c>
    </row>
    <row r="1077" spans="1:5" ht="26.25" x14ac:dyDescent="0.25">
      <c r="A1077" s="2" t="s">
        <v>925</v>
      </c>
      <c r="B1077" s="2" t="str">
        <f>"6925871627375"</f>
        <v>6925871627375</v>
      </c>
      <c r="C1077" s="2" t="str">
        <f>"22072737"</f>
        <v>22072737</v>
      </c>
      <c r="D1077" s="2" t="s">
        <v>934</v>
      </c>
      <c r="E1077" s="4">
        <v>18500</v>
      </c>
    </row>
    <row r="1078" spans="1:5" ht="26.25" x14ac:dyDescent="0.25">
      <c r="A1078" s="2" t="s">
        <v>921</v>
      </c>
      <c r="B1078" s="2" t="str">
        <f>"5789344567893"</f>
        <v>5789344567893</v>
      </c>
      <c r="C1078" s="2" t="str">
        <f>"32PRXPX75N"</f>
        <v>32PRXPX75N</v>
      </c>
      <c r="D1078" s="2" t="s">
        <v>935</v>
      </c>
      <c r="E1078" s="4">
        <v>11990</v>
      </c>
    </row>
    <row r="1079" spans="1:5" ht="26.25" x14ac:dyDescent="0.25">
      <c r="A1079" s="2" t="s">
        <v>921</v>
      </c>
      <c r="B1079" s="2" t="str">
        <f>"7168232793725"</f>
        <v>7168232793725</v>
      </c>
      <c r="C1079" s="2" t="str">
        <f>"32PLCPX37A"</f>
        <v>32PLCPX37A</v>
      </c>
      <c r="D1079" s="2" t="s">
        <v>936</v>
      </c>
      <c r="E1079" s="4">
        <v>8990</v>
      </c>
    </row>
    <row r="1080" spans="1:5" ht="26.25" x14ac:dyDescent="0.25">
      <c r="A1080" s="2" t="s">
        <v>921</v>
      </c>
      <c r="B1080" s="2" t="str">
        <f>"7168232793763"</f>
        <v>7168232793763</v>
      </c>
      <c r="C1080" s="2" t="str">
        <f>"32PLCPX37N"</f>
        <v>32PLCPX37N</v>
      </c>
      <c r="D1080" s="2" t="s">
        <v>937</v>
      </c>
      <c r="E1080" s="4">
        <v>8990</v>
      </c>
    </row>
    <row r="1081" spans="1:5" ht="26.25" x14ac:dyDescent="0.25">
      <c r="A1081" s="2" t="s">
        <v>921</v>
      </c>
      <c r="B1081" s="2" t="str">
        <f>"7168232793770"</f>
        <v>7168232793770</v>
      </c>
      <c r="C1081" s="2" t="str">
        <f>"32PLCPX37R"</f>
        <v>32PLCPX37R</v>
      </c>
      <c r="D1081" s="2" t="s">
        <v>938</v>
      </c>
      <c r="E1081" s="4">
        <v>8990</v>
      </c>
    </row>
    <row r="1082" spans="1:5" ht="26.25" x14ac:dyDescent="0.25">
      <c r="A1082" s="2" t="s">
        <v>925</v>
      </c>
      <c r="B1082" s="2" t="str">
        <f>"18070002"</f>
        <v>18070002</v>
      </c>
      <c r="C1082" s="2" t="str">
        <f>"18070002"</f>
        <v>18070002</v>
      </c>
      <c r="D1082" s="2" t="s">
        <v>939</v>
      </c>
      <c r="E1082" s="4">
        <v>12500</v>
      </c>
    </row>
    <row r="1083" spans="1:5" ht="26.25" x14ac:dyDescent="0.25">
      <c r="A1083" s="2" t="s">
        <v>921</v>
      </c>
      <c r="B1083" s="2" t="str">
        <f>"87270683"</f>
        <v>87270683</v>
      </c>
      <c r="C1083" s="2" t="str">
        <f>"87270683"</f>
        <v>87270683</v>
      </c>
      <c r="D1083" s="2" t="s">
        <v>940</v>
      </c>
      <c r="E1083" s="4">
        <v>19900</v>
      </c>
    </row>
    <row r="1084" spans="1:5" ht="26.25" x14ac:dyDescent="0.25">
      <c r="A1084" s="2" t="s">
        <v>327</v>
      </c>
      <c r="B1084" s="2" t="str">
        <f>"10008017"</f>
        <v>10008017</v>
      </c>
      <c r="C1084" s="2" t="str">
        <f>"10008017"</f>
        <v>10008017</v>
      </c>
      <c r="D1084" s="2" t="s">
        <v>941</v>
      </c>
      <c r="E1084" s="4">
        <v>5990</v>
      </c>
    </row>
    <row r="1085" spans="1:5" ht="26.25" x14ac:dyDescent="0.25">
      <c r="A1085" s="2" t="s">
        <v>327</v>
      </c>
      <c r="B1085" s="2" t="str">
        <f>"850600213"</f>
        <v>850600213</v>
      </c>
      <c r="C1085" s="2" t="str">
        <f>"850600213"</f>
        <v>850600213</v>
      </c>
      <c r="D1085" s="2" t="s">
        <v>942</v>
      </c>
      <c r="E1085" s="4">
        <v>12500</v>
      </c>
    </row>
    <row r="1086" spans="1:5" ht="26.25" x14ac:dyDescent="0.25">
      <c r="A1086" s="2" t="s">
        <v>327</v>
      </c>
      <c r="B1086" s="2" t="str">
        <f>"10000663"</f>
        <v>10000663</v>
      </c>
      <c r="C1086" s="2" t="str">
        <f>"10000663"</f>
        <v>10000663</v>
      </c>
      <c r="D1086" s="2" t="s">
        <v>943</v>
      </c>
      <c r="E1086" s="4">
        <v>12900</v>
      </c>
    </row>
    <row r="1087" spans="1:5" ht="26.25" x14ac:dyDescent="0.25">
      <c r="A1087" s="2" t="s">
        <v>327</v>
      </c>
      <c r="B1087" s="2" t="str">
        <f>"10000201"</f>
        <v>10000201</v>
      </c>
      <c r="C1087" s="2" t="str">
        <f>"10000201"</f>
        <v>10000201</v>
      </c>
      <c r="D1087" s="2" t="s">
        <v>944</v>
      </c>
      <c r="E1087" s="4">
        <v>8500</v>
      </c>
    </row>
    <row r="1088" spans="1:5" ht="26.25" x14ac:dyDescent="0.25">
      <c r="A1088" s="2" t="s">
        <v>327</v>
      </c>
      <c r="B1088" s="2" t="str">
        <f>"10002829"</f>
        <v>10002829</v>
      </c>
      <c r="C1088" s="2" t="str">
        <f>"10002829"</f>
        <v>10002829</v>
      </c>
      <c r="D1088" s="2" t="s">
        <v>945</v>
      </c>
      <c r="E1088" s="4">
        <v>7500</v>
      </c>
    </row>
    <row r="1089" spans="1:5" ht="26.25" x14ac:dyDescent="0.25">
      <c r="A1089" s="2" t="s">
        <v>327</v>
      </c>
      <c r="B1089" s="2" t="str">
        <f>"2013030632675"</f>
        <v>2013030632675</v>
      </c>
      <c r="C1089" s="2" t="str">
        <f>"10000704"</f>
        <v>10000704</v>
      </c>
      <c r="D1089" s="2" t="s">
        <v>946</v>
      </c>
      <c r="E1089" s="4">
        <v>7850</v>
      </c>
    </row>
    <row r="1090" spans="1:5" ht="26.25" x14ac:dyDescent="0.25">
      <c r="A1090" s="2" t="s">
        <v>327</v>
      </c>
      <c r="B1090" s="2" t="str">
        <f>"10000708"</f>
        <v>10000708</v>
      </c>
      <c r="C1090" s="2" t="str">
        <f>"10000708"</f>
        <v>10000708</v>
      </c>
      <c r="D1090" s="2" t="s">
        <v>947</v>
      </c>
      <c r="E1090" s="4">
        <v>19900</v>
      </c>
    </row>
    <row r="1091" spans="1:5" ht="26.25" x14ac:dyDescent="0.25">
      <c r="A1091" s="2" t="s">
        <v>327</v>
      </c>
      <c r="B1091" s="2" t="str">
        <f>"6925871642439"</f>
        <v>6925871642439</v>
      </c>
      <c r="C1091" s="2" t="str">
        <f>"22064243"</f>
        <v>22064243</v>
      </c>
      <c r="D1091" s="2" t="s">
        <v>948</v>
      </c>
      <c r="E1091" s="4">
        <v>7990</v>
      </c>
    </row>
    <row r="1092" spans="1:5" ht="26.25" x14ac:dyDescent="0.25">
      <c r="A1092" s="2" t="s">
        <v>949</v>
      </c>
      <c r="B1092" s="2" t="str">
        <f>"8613728754913"</f>
        <v>8613728754913</v>
      </c>
      <c r="C1092" s="2" t="str">
        <f>"10002039"</f>
        <v>10002039</v>
      </c>
      <c r="D1092" s="2" t="s">
        <v>950</v>
      </c>
      <c r="E1092" s="4">
        <v>16000</v>
      </c>
    </row>
    <row r="1093" spans="1:5" ht="26.25" x14ac:dyDescent="0.25">
      <c r="A1093" s="2" t="s">
        <v>327</v>
      </c>
      <c r="B1093" s="2" t="str">
        <f>"100603379"</f>
        <v>100603379</v>
      </c>
      <c r="C1093" s="2" t="str">
        <f>"100603379"</f>
        <v>100603379</v>
      </c>
      <c r="D1093" s="2" t="s">
        <v>951</v>
      </c>
      <c r="E1093" s="4">
        <v>14900</v>
      </c>
    </row>
    <row r="1094" spans="1:5" ht="26.25" x14ac:dyDescent="0.25">
      <c r="A1094" s="2" t="s">
        <v>327</v>
      </c>
      <c r="B1094" s="2" t="str">
        <f>"102603379"</f>
        <v>102603379</v>
      </c>
      <c r="C1094" s="2" t="str">
        <f>"102603379"</f>
        <v>102603379</v>
      </c>
      <c r="D1094" s="2" t="s">
        <v>951</v>
      </c>
      <c r="E1094" s="4">
        <v>14900</v>
      </c>
    </row>
    <row r="1095" spans="1:5" ht="26.25" x14ac:dyDescent="0.25">
      <c r="A1095" s="2" t="s">
        <v>11</v>
      </c>
      <c r="B1095" s="2" t="str">
        <f>"7215201215525"</f>
        <v>7215201215525</v>
      </c>
      <c r="C1095" s="2" t="str">
        <f>"10003379"</f>
        <v>10003379</v>
      </c>
      <c r="D1095" s="2" t="s">
        <v>952</v>
      </c>
      <c r="E1095" s="4">
        <v>14900</v>
      </c>
    </row>
    <row r="1096" spans="1:5" ht="26.25" x14ac:dyDescent="0.25">
      <c r="A1096" s="2" t="s">
        <v>327</v>
      </c>
      <c r="B1096" s="2" t="str">
        <f>"300610891"</f>
        <v>300610891</v>
      </c>
      <c r="C1096" s="2" t="str">
        <f>"300610891"</f>
        <v>300610891</v>
      </c>
      <c r="D1096" s="2" t="s">
        <v>953</v>
      </c>
      <c r="E1096" s="4">
        <v>19900</v>
      </c>
    </row>
    <row r="1097" spans="1:5" ht="26.25" x14ac:dyDescent="0.25">
      <c r="A1097" s="2" t="s">
        <v>327</v>
      </c>
      <c r="B1097" s="2" t="str">
        <f>"41300070"</f>
        <v>41300070</v>
      </c>
      <c r="C1097" s="2" t="str">
        <f>"41300070"</f>
        <v>41300070</v>
      </c>
      <c r="D1097" s="2" t="s">
        <v>954</v>
      </c>
      <c r="E1097" s="4">
        <v>17500</v>
      </c>
    </row>
    <row r="1098" spans="1:5" ht="26.25" x14ac:dyDescent="0.25">
      <c r="A1098" s="2" t="s">
        <v>11</v>
      </c>
      <c r="B1098" s="2" t="str">
        <f>"10002855"</f>
        <v>10002855</v>
      </c>
      <c r="C1098" s="2" t="str">
        <f>"10002855"</f>
        <v>10002855</v>
      </c>
      <c r="D1098" s="2" t="s">
        <v>955</v>
      </c>
      <c r="E1098" s="4">
        <v>16900</v>
      </c>
    </row>
    <row r="1099" spans="1:5" ht="26.25" x14ac:dyDescent="0.25">
      <c r="A1099" s="2" t="s">
        <v>327</v>
      </c>
      <c r="B1099" s="2" t="str">
        <f>"170600141"</f>
        <v>170600141</v>
      </c>
      <c r="C1099" s="2" t="str">
        <f>"170600141"</f>
        <v>170600141</v>
      </c>
      <c r="D1099" s="2" t="s">
        <v>956</v>
      </c>
      <c r="E1099" s="4">
        <v>15500</v>
      </c>
    </row>
    <row r="1100" spans="1:5" ht="26.25" x14ac:dyDescent="0.25">
      <c r="A1100" s="2" t="s">
        <v>327</v>
      </c>
      <c r="B1100" s="2" t="str">
        <f>"10003363"</f>
        <v>10003363</v>
      </c>
      <c r="C1100" s="2" t="str">
        <f>"10003363"</f>
        <v>10003363</v>
      </c>
      <c r="D1100" s="2" t="s">
        <v>957</v>
      </c>
      <c r="E1100" s="4">
        <v>12900</v>
      </c>
    </row>
    <row r="1101" spans="1:5" ht="26.25" x14ac:dyDescent="0.25">
      <c r="A1101" s="2" t="s">
        <v>327</v>
      </c>
      <c r="B1101" s="2" t="str">
        <f>"10003543"</f>
        <v>10003543</v>
      </c>
      <c r="C1101" s="2" t="str">
        <f>"10003543"</f>
        <v>10003543</v>
      </c>
      <c r="D1101" s="2" t="s">
        <v>958</v>
      </c>
      <c r="E1101" s="4">
        <v>10500</v>
      </c>
    </row>
    <row r="1102" spans="1:5" ht="26.25" x14ac:dyDescent="0.25">
      <c r="A1102" s="2" t="s">
        <v>327</v>
      </c>
      <c r="B1102" s="2" t="str">
        <f>"10000687"</f>
        <v>10000687</v>
      </c>
      <c r="C1102" s="2" t="str">
        <f>"10000687"</f>
        <v>10000687</v>
      </c>
      <c r="D1102" s="2" t="s">
        <v>959</v>
      </c>
      <c r="E1102" s="4">
        <v>11900</v>
      </c>
    </row>
    <row r="1103" spans="1:5" ht="26.25" x14ac:dyDescent="0.25">
      <c r="A1103" s="2" t="s">
        <v>327</v>
      </c>
      <c r="B1103" s="2" t="str">
        <f>"51103763"</f>
        <v>51103763</v>
      </c>
      <c r="C1103" s="2" t="str">
        <f>"51103763"</f>
        <v>51103763</v>
      </c>
      <c r="D1103" s="2" t="s">
        <v>960</v>
      </c>
      <c r="E1103" s="4">
        <v>16500</v>
      </c>
    </row>
    <row r="1104" spans="1:5" ht="26.25" x14ac:dyDescent="0.25">
      <c r="A1104" s="2" t="s">
        <v>21</v>
      </c>
      <c r="B1104" s="2" t="str">
        <f>"98521111"</f>
        <v>98521111</v>
      </c>
      <c r="C1104" s="2" t="str">
        <f>"98521111"</f>
        <v>98521111</v>
      </c>
      <c r="D1104" s="2" t="s">
        <v>961</v>
      </c>
      <c r="E1104" s="2">
        <v>1</v>
      </c>
    </row>
    <row r="1105" spans="1:5" ht="26.25" x14ac:dyDescent="0.25">
      <c r="A1105" s="2" t="s">
        <v>21</v>
      </c>
      <c r="B1105" s="2" t="str">
        <f>"10013165"</f>
        <v>10013165</v>
      </c>
      <c r="C1105" s="2" t="str">
        <f>"10013165"</f>
        <v>10013165</v>
      </c>
      <c r="D1105" s="2" t="s">
        <v>962</v>
      </c>
      <c r="E1105" s="4">
        <v>3990</v>
      </c>
    </row>
    <row r="1106" spans="1:5" ht="26.25" x14ac:dyDescent="0.25">
      <c r="A1106" s="2" t="s">
        <v>201</v>
      </c>
      <c r="B1106" s="2" t="str">
        <f>"7858816052705"</f>
        <v>7858816052705</v>
      </c>
      <c r="C1106" s="2" t="str">
        <f>"875205270"</f>
        <v>875205270</v>
      </c>
      <c r="D1106" s="2" t="s">
        <v>963</v>
      </c>
      <c r="E1106" s="4">
        <v>4500</v>
      </c>
    </row>
    <row r="1107" spans="1:5" ht="26.25" x14ac:dyDescent="0.25">
      <c r="A1107" s="2" t="s">
        <v>201</v>
      </c>
      <c r="B1107" s="2" t="str">
        <f>"7858816052712"</f>
        <v>7858816052712</v>
      </c>
      <c r="C1107" s="2" t="str">
        <f>"875205271"</f>
        <v>875205271</v>
      </c>
      <c r="D1107" s="2" t="s">
        <v>964</v>
      </c>
      <c r="E1107" s="4">
        <v>4000</v>
      </c>
    </row>
    <row r="1108" spans="1:5" ht="26.25" x14ac:dyDescent="0.25">
      <c r="A1108" s="2" t="s">
        <v>201</v>
      </c>
      <c r="B1108" s="2" t="str">
        <f>"10011790"</f>
        <v>10011790</v>
      </c>
      <c r="C1108" s="2" t="str">
        <f>"10011790"</f>
        <v>10011790</v>
      </c>
      <c r="D1108" s="2" t="s">
        <v>965</v>
      </c>
      <c r="E1108" s="4">
        <v>3500</v>
      </c>
    </row>
    <row r="1109" spans="1:5" ht="26.25" x14ac:dyDescent="0.25">
      <c r="A1109" s="2" t="s">
        <v>201</v>
      </c>
      <c r="B1109" s="2" t="str">
        <f>"2018103553345"</f>
        <v>2018103553345</v>
      </c>
      <c r="C1109" s="2" t="str">
        <f>"18555334"</f>
        <v>18555334</v>
      </c>
      <c r="D1109" s="2" t="s">
        <v>966</v>
      </c>
      <c r="E1109" s="4">
        <v>3500</v>
      </c>
    </row>
    <row r="1110" spans="1:5" ht="26.25" x14ac:dyDescent="0.25">
      <c r="A1110" s="2" t="s">
        <v>201</v>
      </c>
      <c r="B1110" s="2" t="str">
        <f>"2018103553352"</f>
        <v>2018103553352</v>
      </c>
      <c r="C1110" s="2" t="str">
        <f>"18555335"</f>
        <v>18555335</v>
      </c>
      <c r="D1110" s="2" t="s">
        <v>967</v>
      </c>
      <c r="E1110" s="4">
        <v>3500</v>
      </c>
    </row>
    <row r="1111" spans="1:5" ht="26.25" x14ac:dyDescent="0.25">
      <c r="A1111" s="2" t="s">
        <v>201</v>
      </c>
      <c r="B1111" s="2" t="str">
        <f>"2018103553369"</f>
        <v>2018103553369</v>
      </c>
      <c r="C1111" s="2" t="str">
        <f>"18525336"</f>
        <v>18525336</v>
      </c>
      <c r="D1111" s="2" t="s">
        <v>968</v>
      </c>
      <c r="E1111" s="4">
        <v>3500</v>
      </c>
    </row>
    <row r="1112" spans="1:5" ht="26.25" x14ac:dyDescent="0.25">
      <c r="A1112" s="2" t="s">
        <v>201</v>
      </c>
      <c r="B1112" s="2" t="str">
        <f>"2018103553376"</f>
        <v>2018103553376</v>
      </c>
      <c r="C1112" s="2" t="str">
        <f>"18525337"</f>
        <v>18525337</v>
      </c>
      <c r="D1112" s="2" t="s">
        <v>969</v>
      </c>
      <c r="E1112" s="4">
        <v>3500</v>
      </c>
    </row>
    <row r="1113" spans="1:5" ht="26.25" x14ac:dyDescent="0.25">
      <c r="A1113" s="2" t="s">
        <v>201</v>
      </c>
      <c r="B1113" s="2" t="str">
        <f>"2018103553598"</f>
        <v>2018103553598</v>
      </c>
      <c r="C1113" s="2" t="str">
        <f>"18525359"</f>
        <v>18525359</v>
      </c>
      <c r="D1113" s="2" t="s">
        <v>970</v>
      </c>
      <c r="E1113" s="4">
        <v>6990</v>
      </c>
    </row>
    <row r="1114" spans="1:5" ht="26.25" x14ac:dyDescent="0.25">
      <c r="A1114" s="2" t="s">
        <v>971</v>
      </c>
      <c r="B1114" s="2" t="str">
        <f>"10009898"</f>
        <v>10009898</v>
      </c>
      <c r="C1114" s="2" t="str">
        <f>"10009898"</f>
        <v>10009898</v>
      </c>
      <c r="D1114" s="2" t="s">
        <v>972</v>
      </c>
      <c r="E1114" s="4">
        <v>3500</v>
      </c>
    </row>
    <row r="1115" spans="1:5" ht="26.25" x14ac:dyDescent="0.25">
      <c r="A1115" s="2" t="s">
        <v>20</v>
      </c>
      <c r="B1115" s="2" t="str">
        <f>"10000158"</f>
        <v>10000158</v>
      </c>
      <c r="C1115" s="2" t="str">
        <f>"10000158"</f>
        <v>10000158</v>
      </c>
      <c r="D1115" s="2" t="s">
        <v>973</v>
      </c>
      <c r="E1115" s="4">
        <v>1000</v>
      </c>
    </row>
    <row r="1116" spans="1:5" ht="26.25" x14ac:dyDescent="0.25">
      <c r="A1116" s="2" t="s">
        <v>20</v>
      </c>
      <c r="B1116" s="2" t="str">
        <f>"6924494001098"</f>
        <v>6924494001098</v>
      </c>
      <c r="C1116" s="2" t="str">
        <f>"32N0000211"</f>
        <v>32N0000211</v>
      </c>
      <c r="D1116" s="2" t="s">
        <v>974</v>
      </c>
      <c r="E1116" s="4">
        <v>2500</v>
      </c>
    </row>
    <row r="1117" spans="1:5" ht="26.25" x14ac:dyDescent="0.25">
      <c r="A1117" s="2" t="s">
        <v>20</v>
      </c>
      <c r="B1117" s="2" t="str">
        <f>"8518783725024"</f>
        <v>8518783725024</v>
      </c>
      <c r="C1117" s="2" t="str">
        <f>"10017026"</f>
        <v>10017026</v>
      </c>
      <c r="D1117" s="2" t="s">
        <v>975</v>
      </c>
      <c r="E1117" s="4">
        <v>3000</v>
      </c>
    </row>
    <row r="1118" spans="1:5" ht="26.25" x14ac:dyDescent="0.25">
      <c r="A1118" s="2" t="s">
        <v>20</v>
      </c>
      <c r="B1118" s="2" t="str">
        <f>"6924494110271"</f>
        <v>6924494110271</v>
      </c>
      <c r="C1118" s="2" t="str">
        <f>"31N0000271"</f>
        <v>31N0000271</v>
      </c>
      <c r="D1118" s="2" t="s">
        <v>976</v>
      </c>
      <c r="E1118" s="4">
        <v>3990</v>
      </c>
    </row>
    <row r="1119" spans="1:5" ht="26.25" x14ac:dyDescent="0.25">
      <c r="A1119" s="2" t="s">
        <v>20</v>
      </c>
      <c r="B1119" s="2" t="str">
        <f>"98082121"</f>
        <v>98082121</v>
      </c>
      <c r="C1119" s="2" t="str">
        <f>"98082121"</f>
        <v>98082121</v>
      </c>
      <c r="D1119" s="2" t="s">
        <v>977</v>
      </c>
      <c r="E1119" s="4">
        <v>2000</v>
      </c>
    </row>
    <row r="1120" spans="1:5" ht="26.25" x14ac:dyDescent="0.25">
      <c r="A1120" s="2" t="s">
        <v>20</v>
      </c>
      <c r="B1120" s="2" t="str">
        <f>"22080412"</f>
        <v>22080412</v>
      </c>
      <c r="C1120" s="2" t="str">
        <f>"22080412"</f>
        <v>22080412</v>
      </c>
      <c r="D1120" s="2" t="s">
        <v>978</v>
      </c>
      <c r="E1120" s="4">
        <v>3500</v>
      </c>
    </row>
    <row r="1121" spans="1:5" ht="26.25" x14ac:dyDescent="0.25">
      <c r="A1121" s="2" t="s">
        <v>20</v>
      </c>
      <c r="B1121" s="2" t="str">
        <f>"030878335683"</f>
        <v>030878335683</v>
      </c>
      <c r="C1121" s="2" t="str">
        <f>"10001657"</f>
        <v>10001657</v>
      </c>
      <c r="D1121" s="2" t="s">
        <v>979</v>
      </c>
      <c r="E1121" s="4">
        <v>3500</v>
      </c>
    </row>
    <row r="1122" spans="1:5" ht="26.25" x14ac:dyDescent="0.25">
      <c r="A1122" s="2" t="s">
        <v>20</v>
      </c>
      <c r="B1122" s="2" t="str">
        <f>"6686996210902"</f>
        <v>6686996210902</v>
      </c>
      <c r="C1122" s="2" t="str">
        <f>"54080301"</f>
        <v>54080301</v>
      </c>
      <c r="D1122" s="2" t="s">
        <v>980</v>
      </c>
      <c r="E1122" s="4">
        <v>3000</v>
      </c>
    </row>
    <row r="1123" spans="1:5" ht="26.25" x14ac:dyDescent="0.25">
      <c r="A1123" s="2" t="s">
        <v>20</v>
      </c>
      <c r="B1123" s="2" t="str">
        <f>"6924494001111"</f>
        <v>6924494001111</v>
      </c>
      <c r="C1123" s="2" t="str">
        <f>"98089131"</f>
        <v>98089131</v>
      </c>
      <c r="D1123" s="2" t="s">
        <v>981</v>
      </c>
      <c r="E1123" s="4">
        <v>3000</v>
      </c>
    </row>
    <row r="1124" spans="1:5" ht="26.25" x14ac:dyDescent="0.25">
      <c r="A1124" s="2" t="s">
        <v>20</v>
      </c>
      <c r="B1124" s="2" t="str">
        <f>"7858816059940"</f>
        <v>7858816059940</v>
      </c>
      <c r="C1124" s="2" t="str">
        <f>"87085994"</f>
        <v>87085994</v>
      </c>
      <c r="D1124" s="2" t="s">
        <v>982</v>
      </c>
      <c r="E1124" s="4">
        <v>3500</v>
      </c>
    </row>
    <row r="1125" spans="1:5" ht="26.25" x14ac:dyDescent="0.25">
      <c r="A1125" s="2" t="s">
        <v>20</v>
      </c>
      <c r="B1125" s="2" t="str">
        <f>"22080013"</f>
        <v>22080013</v>
      </c>
      <c r="C1125" s="2" t="str">
        <f>"22080013"</f>
        <v>22080013</v>
      </c>
      <c r="D1125" s="2" t="s">
        <v>983</v>
      </c>
      <c r="E1125" s="4">
        <v>3500</v>
      </c>
    </row>
    <row r="1126" spans="1:5" ht="26.25" x14ac:dyDescent="0.25">
      <c r="A1126" s="2" t="s">
        <v>20</v>
      </c>
      <c r="B1126" s="2" t="str">
        <f>"4040849556883"</f>
        <v>4040849556883</v>
      </c>
      <c r="C1126" s="2" t="str">
        <f>"29HP0AUX15"</f>
        <v>29HP0AUX15</v>
      </c>
      <c r="D1126" s="2" t="s">
        <v>984</v>
      </c>
      <c r="E1126" s="4">
        <v>4500</v>
      </c>
    </row>
    <row r="1127" spans="1:5" ht="26.25" x14ac:dyDescent="0.25">
      <c r="A1127" s="2" t="s">
        <v>9</v>
      </c>
      <c r="B1127" s="2" t="str">
        <f>"10082052"</f>
        <v>10082052</v>
      </c>
      <c r="C1127" s="2" t="str">
        <f>"10082052"</f>
        <v>10082052</v>
      </c>
      <c r="D1127" s="2" t="s">
        <v>985</v>
      </c>
      <c r="E1127" s="4">
        <v>3500</v>
      </c>
    </row>
    <row r="1128" spans="1:5" ht="26.25" x14ac:dyDescent="0.25">
      <c r="A1128" s="2" t="s">
        <v>9</v>
      </c>
      <c r="B1128" s="2" t="str">
        <f>"76081200"</f>
        <v>76081200</v>
      </c>
      <c r="C1128" s="2" t="str">
        <f>"76081200"</f>
        <v>76081200</v>
      </c>
      <c r="D1128" s="2" t="s">
        <v>986</v>
      </c>
      <c r="E1128" s="4">
        <v>3000</v>
      </c>
    </row>
    <row r="1129" spans="1:5" ht="26.25" x14ac:dyDescent="0.25">
      <c r="A1129" s="2" t="s">
        <v>9</v>
      </c>
      <c r="B1129" s="2" t="str">
        <f>"303010207"</f>
        <v>303010207</v>
      </c>
      <c r="C1129" s="2" t="str">
        <f>"303010207"</f>
        <v>303010207</v>
      </c>
      <c r="D1129" s="2" t="s">
        <v>987</v>
      </c>
      <c r="E1129" s="4">
        <v>14900</v>
      </c>
    </row>
    <row r="1130" spans="1:5" ht="26.25" x14ac:dyDescent="0.25">
      <c r="A1130" s="2" t="s">
        <v>20</v>
      </c>
      <c r="B1130" s="2" t="str">
        <f>"798302162082"</f>
        <v>798302162082</v>
      </c>
      <c r="C1130" s="2" t="str">
        <f>"92080530"</f>
        <v>92080530</v>
      </c>
      <c r="D1130" s="2" t="s">
        <v>988</v>
      </c>
      <c r="E1130" s="4">
        <v>12590</v>
      </c>
    </row>
    <row r="1131" spans="1:5" ht="26.25" x14ac:dyDescent="0.25">
      <c r="A1131" s="2" t="s">
        <v>9</v>
      </c>
      <c r="B1131" s="2" t="str">
        <f>"76080000"</f>
        <v>76080000</v>
      </c>
      <c r="C1131" s="2" t="str">
        <f>"76080000"</f>
        <v>76080000</v>
      </c>
      <c r="D1131" s="2" t="s">
        <v>989</v>
      </c>
      <c r="E1131" s="4">
        <v>4500</v>
      </c>
    </row>
    <row r="1132" spans="1:5" ht="26.25" x14ac:dyDescent="0.25">
      <c r="A1132" s="2" t="s">
        <v>20</v>
      </c>
      <c r="B1132" s="2" t="str">
        <f>"1100000341000"</f>
        <v>1100000341000</v>
      </c>
      <c r="C1132" s="2" t="str">
        <f>"92080352"</f>
        <v>92080352</v>
      </c>
      <c r="D1132" s="2" t="s">
        <v>990</v>
      </c>
      <c r="E1132" s="4">
        <v>9290</v>
      </c>
    </row>
    <row r="1133" spans="1:5" ht="26.25" x14ac:dyDescent="0.25">
      <c r="A1133" s="2" t="s">
        <v>9</v>
      </c>
      <c r="B1133" s="2" t="str">
        <f>"7858816075513"</f>
        <v>7858816075513</v>
      </c>
      <c r="C1133" s="2" t="str">
        <f>"87087551"</f>
        <v>87087551</v>
      </c>
      <c r="D1133" s="2" t="s">
        <v>991</v>
      </c>
      <c r="E1133" s="4">
        <v>3990</v>
      </c>
    </row>
    <row r="1134" spans="1:5" ht="26.25" x14ac:dyDescent="0.25">
      <c r="A1134" s="2" t="s">
        <v>9</v>
      </c>
      <c r="B1134" s="2" t="str">
        <f>"190198496263"</f>
        <v>190198496263</v>
      </c>
      <c r="C1134" s="2" t="str">
        <f>"34081703"</f>
        <v>34081703</v>
      </c>
      <c r="D1134" s="2" t="s">
        <v>992</v>
      </c>
      <c r="E1134" s="4">
        <v>15990</v>
      </c>
    </row>
    <row r="1135" spans="1:5" ht="26.25" x14ac:dyDescent="0.25">
      <c r="A1135" s="2" t="s">
        <v>9</v>
      </c>
      <c r="B1135" s="2" t="str">
        <f>"76080720"</f>
        <v>76080720</v>
      </c>
      <c r="C1135" s="2" t="str">
        <f>"76080720"</f>
        <v>76080720</v>
      </c>
      <c r="D1135" s="2" t="s">
        <v>993</v>
      </c>
      <c r="E1135" s="4">
        <v>6990</v>
      </c>
    </row>
    <row r="1136" spans="1:5" ht="26.25" x14ac:dyDescent="0.25">
      <c r="A1136" s="2" t="s">
        <v>9</v>
      </c>
      <c r="B1136" s="2" t="str">
        <f>"76087701"</f>
        <v>76087701</v>
      </c>
      <c r="C1136" s="2" t="str">
        <f>"76087701"</f>
        <v>76087701</v>
      </c>
      <c r="D1136" s="2" t="s">
        <v>994</v>
      </c>
      <c r="E1136" s="4">
        <v>3000</v>
      </c>
    </row>
    <row r="1137" spans="1:5" ht="26.25" x14ac:dyDescent="0.25">
      <c r="A1137" s="2" t="s">
        <v>20</v>
      </c>
      <c r="B1137" s="2" t="str">
        <f>"10080375"</f>
        <v>10080375</v>
      </c>
      <c r="C1137" s="2" t="str">
        <f>"10080375"</f>
        <v>10080375</v>
      </c>
      <c r="D1137" s="2" t="s">
        <v>995</v>
      </c>
      <c r="E1137" s="4">
        <v>2000</v>
      </c>
    </row>
    <row r="1138" spans="1:5" ht="26.25" x14ac:dyDescent="0.25">
      <c r="A1138" s="2" t="s">
        <v>20</v>
      </c>
      <c r="B1138" s="2" t="str">
        <f>"7858816000331"</f>
        <v>7858816000331</v>
      </c>
      <c r="C1138" s="2" t="str">
        <f>"87080033"</f>
        <v>87080033</v>
      </c>
      <c r="D1138" s="2" t="s">
        <v>996</v>
      </c>
      <c r="E1138" s="4">
        <v>1500</v>
      </c>
    </row>
    <row r="1139" spans="1:5" ht="26.25" x14ac:dyDescent="0.25">
      <c r="A1139" s="2" t="s">
        <v>9</v>
      </c>
      <c r="B1139" s="2" t="str">
        <f>"34171401"</f>
        <v>34171401</v>
      </c>
      <c r="C1139" s="2" t="str">
        <f>"34171401"</f>
        <v>34171401</v>
      </c>
      <c r="D1139" s="2" t="s">
        <v>997</v>
      </c>
      <c r="E1139" s="4">
        <v>2500</v>
      </c>
    </row>
    <row r="1140" spans="1:5" ht="26.25" x14ac:dyDescent="0.25">
      <c r="A1140" s="2" t="s">
        <v>9</v>
      </c>
      <c r="B1140" s="2" t="str">
        <f>"79170715"</f>
        <v>79170715</v>
      </c>
      <c r="C1140" s="2" t="str">
        <f>"79170715"</f>
        <v>79170715</v>
      </c>
      <c r="D1140" s="2" t="s">
        <v>998</v>
      </c>
      <c r="E1140" s="4">
        <v>3000</v>
      </c>
    </row>
    <row r="1141" spans="1:5" ht="26.25" x14ac:dyDescent="0.25">
      <c r="A1141" s="2" t="s">
        <v>9</v>
      </c>
      <c r="B1141" s="2" t="str">
        <f>"341707134"</f>
        <v>341707134</v>
      </c>
      <c r="C1141" s="2" t="str">
        <f>"341707134"</f>
        <v>341707134</v>
      </c>
      <c r="D1141" s="2" t="s">
        <v>999</v>
      </c>
      <c r="E1141" s="4">
        <v>6000</v>
      </c>
    </row>
    <row r="1142" spans="1:5" ht="26.25" x14ac:dyDescent="0.25">
      <c r="A1142" s="2" t="s">
        <v>9</v>
      </c>
      <c r="B1142" s="2" t="str">
        <f>"17170715"</f>
        <v>17170715</v>
      </c>
      <c r="C1142" s="2" t="str">
        <f>"17170715"</f>
        <v>17170715</v>
      </c>
      <c r="D1142" s="2" t="s">
        <v>1000</v>
      </c>
      <c r="E1142" s="4">
        <v>3000</v>
      </c>
    </row>
    <row r="1143" spans="1:5" ht="26.25" x14ac:dyDescent="0.25">
      <c r="A1143" s="2" t="s">
        <v>9</v>
      </c>
      <c r="B1143" s="2" t="str">
        <f>"34170700"</f>
        <v>34170700</v>
      </c>
      <c r="C1143" s="2" t="str">
        <f>"34170700"</f>
        <v>34170700</v>
      </c>
      <c r="D1143" s="2" t="s">
        <v>1000</v>
      </c>
      <c r="E1143" s="4">
        <v>5000</v>
      </c>
    </row>
    <row r="1144" spans="1:5" ht="26.25" x14ac:dyDescent="0.25">
      <c r="A1144" s="2" t="s">
        <v>9</v>
      </c>
      <c r="B1144" s="2" t="str">
        <f>"34170715"</f>
        <v>34170715</v>
      </c>
      <c r="C1144" s="2" t="str">
        <f>"34170715"</f>
        <v>34170715</v>
      </c>
      <c r="D1144" s="2" t="s">
        <v>1001</v>
      </c>
      <c r="E1144" s="4">
        <v>3000</v>
      </c>
    </row>
    <row r="1145" spans="1:5" ht="26.25" x14ac:dyDescent="0.25">
      <c r="A1145" s="2" t="s">
        <v>9</v>
      </c>
      <c r="B1145" s="2" t="str">
        <f>"41170715"</f>
        <v>41170715</v>
      </c>
      <c r="C1145" s="2" t="str">
        <f>"41170715"</f>
        <v>41170715</v>
      </c>
      <c r="D1145" s="2" t="s">
        <v>1002</v>
      </c>
      <c r="E1145" s="4">
        <v>8500</v>
      </c>
    </row>
    <row r="1146" spans="1:5" ht="26.25" x14ac:dyDescent="0.25">
      <c r="A1146" s="2" t="s">
        <v>9</v>
      </c>
      <c r="B1146" s="2" t="str">
        <f>"66170000"</f>
        <v>66170000</v>
      </c>
      <c r="C1146" s="2" t="str">
        <f>"66170000"</f>
        <v>66170000</v>
      </c>
      <c r="D1146" s="2" t="s">
        <v>1003</v>
      </c>
      <c r="E1146" s="4">
        <v>4000</v>
      </c>
    </row>
    <row r="1147" spans="1:5" ht="26.25" x14ac:dyDescent="0.25">
      <c r="A1147" s="2" t="s">
        <v>9</v>
      </c>
      <c r="B1147" s="2" t="str">
        <f>"6789012121210"</f>
        <v>6789012121210</v>
      </c>
      <c r="C1147" s="2" t="str">
        <f>"10107788"</f>
        <v>10107788</v>
      </c>
      <c r="D1147" s="2" t="s">
        <v>1004</v>
      </c>
      <c r="E1147" s="4">
        <v>3000</v>
      </c>
    </row>
    <row r="1148" spans="1:5" ht="26.25" x14ac:dyDescent="0.25">
      <c r="A1148" s="2" t="s">
        <v>9</v>
      </c>
      <c r="B1148" s="2" t="str">
        <f>"79171408"</f>
        <v>79171408</v>
      </c>
      <c r="C1148" s="2" t="str">
        <f>"79171408"</f>
        <v>79171408</v>
      </c>
      <c r="D1148" s="2" t="s">
        <v>1005</v>
      </c>
      <c r="E1148" s="4">
        <v>2500</v>
      </c>
    </row>
    <row r="1149" spans="1:5" ht="26.25" x14ac:dyDescent="0.25">
      <c r="A1149" s="2" t="s">
        <v>9</v>
      </c>
      <c r="B1149" s="2" t="str">
        <f>"51103936"</f>
        <v>51103936</v>
      </c>
      <c r="C1149" s="2" t="str">
        <f>"51103936"</f>
        <v>51103936</v>
      </c>
      <c r="D1149" s="2" t="s">
        <v>1006</v>
      </c>
      <c r="E1149" s="4">
        <v>3500</v>
      </c>
    </row>
    <row r="1150" spans="1:5" ht="26.25" x14ac:dyDescent="0.25">
      <c r="A1150" s="2" t="s">
        <v>9</v>
      </c>
      <c r="B1150" s="2" t="str">
        <f>"10170105"</f>
        <v>10170105</v>
      </c>
      <c r="C1150" s="2" t="str">
        <f>"10170105"</f>
        <v>10170105</v>
      </c>
      <c r="D1150" s="2" t="s">
        <v>1007</v>
      </c>
      <c r="E1150" s="4">
        <v>3500</v>
      </c>
    </row>
    <row r="1151" spans="1:5" ht="26.25" x14ac:dyDescent="0.25">
      <c r="A1151" s="2" t="s">
        <v>9</v>
      </c>
      <c r="B1151" s="2" t="str">
        <f>"51103935"</f>
        <v>51103935</v>
      </c>
      <c r="C1151" s="2" t="str">
        <f>"51103935"</f>
        <v>51103935</v>
      </c>
      <c r="D1151" s="2" t="s">
        <v>1008</v>
      </c>
      <c r="E1151" s="4">
        <v>3500</v>
      </c>
    </row>
    <row r="1152" spans="1:5" ht="26.25" x14ac:dyDescent="0.25">
      <c r="A1152" s="2" t="s">
        <v>20</v>
      </c>
      <c r="B1152" s="2" t="str">
        <f>"6686996002378"</f>
        <v>6686996002378</v>
      </c>
      <c r="C1152" s="2" t="str">
        <f>"40080011"</f>
        <v>40080011</v>
      </c>
      <c r="D1152" s="2" t="s">
        <v>1009</v>
      </c>
      <c r="E1152" s="4">
        <v>2000</v>
      </c>
    </row>
    <row r="1153" spans="1:5" ht="26.25" x14ac:dyDescent="0.25">
      <c r="A1153" s="2" t="s">
        <v>20</v>
      </c>
      <c r="B1153" s="2" t="str">
        <f>"6686996002354"</f>
        <v>6686996002354</v>
      </c>
      <c r="C1153" s="2" t="str">
        <f>"40080013"</f>
        <v>40080013</v>
      </c>
      <c r="D1153" s="2" t="s">
        <v>1010</v>
      </c>
      <c r="E1153" s="4">
        <v>2000</v>
      </c>
    </row>
    <row r="1154" spans="1:5" ht="26.25" x14ac:dyDescent="0.25">
      <c r="A1154" s="2" t="s">
        <v>20</v>
      </c>
      <c r="B1154" s="2" t="str">
        <f>"6686996002361"</f>
        <v>6686996002361</v>
      </c>
      <c r="C1154" s="2" t="str">
        <f>"40080012"</f>
        <v>40080012</v>
      </c>
      <c r="D1154" s="2" t="s">
        <v>1011</v>
      </c>
      <c r="E1154" s="4">
        <v>2000</v>
      </c>
    </row>
    <row r="1155" spans="1:5" ht="26.25" x14ac:dyDescent="0.25">
      <c r="A1155" s="2" t="s">
        <v>20</v>
      </c>
      <c r="B1155" s="2" t="str">
        <f>"10000132"</f>
        <v>10000132</v>
      </c>
      <c r="C1155" s="2" t="str">
        <f>"10000132"</f>
        <v>10000132</v>
      </c>
      <c r="D1155" s="2" t="s">
        <v>1012</v>
      </c>
      <c r="E1155" s="4">
        <v>2000</v>
      </c>
    </row>
    <row r="1156" spans="1:5" ht="26.25" x14ac:dyDescent="0.25">
      <c r="A1156" s="2" t="s">
        <v>20</v>
      </c>
      <c r="B1156" s="2" t="str">
        <f>"7858816060137"</f>
        <v>7858816060137</v>
      </c>
      <c r="C1156" s="2" t="str">
        <f>"87086013"</f>
        <v>87086013</v>
      </c>
      <c r="D1156" s="2" t="s">
        <v>1013</v>
      </c>
      <c r="E1156" s="4">
        <v>2000</v>
      </c>
    </row>
    <row r="1157" spans="1:5" ht="26.25" x14ac:dyDescent="0.25">
      <c r="A1157" s="2" t="s">
        <v>20</v>
      </c>
      <c r="B1157" s="2" t="str">
        <f>"280893013"</f>
        <v>280893013</v>
      </c>
      <c r="C1157" s="2" t="str">
        <f>"280893013"</f>
        <v>280893013</v>
      </c>
      <c r="D1157" s="2" t="s">
        <v>1014</v>
      </c>
      <c r="E1157" s="4">
        <v>2000</v>
      </c>
    </row>
    <row r="1158" spans="1:5" ht="26.25" x14ac:dyDescent="0.25">
      <c r="A1158" s="2" t="s">
        <v>20</v>
      </c>
      <c r="B1158" s="2" t="str">
        <f>"10000141"</f>
        <v>10000141</v>
      </c>
      <c r="C1158" s="2" t="str">
        <f>"10000141"</f>
        <v>10000141</v>
      </c>
      <c r="D1158" s="2" t="s">
        <v>1015</v>
      </c>
      <c r="E1158" s="4">
        <v>2000</v>
      </c>
    </row>
    <row r="1159" spans="1:5" ht="26.25" x14ac:dyDescent="0.25">
      <c r="A1159" s="2" t="s">
        <v>20</v>
      </c>
      <c r="B1159" s="2" t="str">
        <f>"280893083"</f>
        <v>280893083</v>
      </c>
      <c r="C1159" s="2" t="str">
        <f>"280893083"</f>
        <v>280893083</v>
      </c>
      <c r="D1159" s="2" t="s">
        <v>1016</v>
      </c>
      <c r="E1159" s="4">
        <v>2000</v>
      </c>
    </row>
    <row r="1160" spans="1:5" ht="26.25" x14ac:dyDescent="0.25">
      <c r="A1160" s="2" t="s">
        <v>20</v>
      </c>
      <c r="B1160" s="2" t="str">
        <f>"9284676725240"</f>
        <v>9284676725240</v>
      </c>
      <c r="C1160" s="2" t="str">
        <f>"32AC005206"</f>
        <v>32AC005206</v>
      </c>
      <c r="D1160" s="2" t="s">
        <v>1017</v>
      </c>
      <c r="E1160" s="4">
        <v>2000</v>
      </c>
    </row>
    <row r="1161" spans="1:5" ht="26.25" x14ac:dyDescent="0.25">
      <c r="A1161" s="2" t="s">
        <v>20</v>
      </c>
      <c r="B1161" s="2" t="str">
        <f>"8363454822454"</f>
        <v>8363454822454</v>
      </c>
      <c r="C1161" s="2" t="str">
        <f>"32CBLAC600"</f>
        <v>32CBLAC600</v>
      </c>
      <c r="D1161" s="2" t="s">
        <v>1018</v>
      </c>
      <c r="E1161" s="4">
        <v>2000</v>
      </c>
    </row>
    <row r="1162" spans="1:5" ht="26.25" x14ac:dyDescent="0.25">
      <c r="A1162" s="2" t="s">
        <v>20</v>
      </c>
      <c r="B1162" s="2" t="str">
        <f>"10003852"</f>
        <v>10003852</v>
      </c>
      <c r="C1162" s="2" t="str">
        <f>"10003852"</f>
        <v>10003852</v>
      </c>
      <c r="D1162" s="2" t="s">
        <v>1019</v>
      </c>
      <c r="E1162" s="4">
        <v>2000</v>
      </c>
    </row>
    <row r="1163" spans="1:5" ht="26.25" x14ac:dyDescent="0.25">
      <c r="A1163" s="2" t="s">
        <v>20</v>
      </c>
      <c r="B1163" s="2" t="str">
        <f>"7858816060120"</f>
        <v>7858816060120</v>
      </c>
      <c r="C1163" s="2" t="str">
        <f>"87086012"</f>
        <v>87086012</v>
      </c>
      <c r="D1163" s="2" t="s">
        <v>1020</v>
      </c>
      <c r="E1163" s="4">
        <v>2000</v>
      </c>
    </row>
    <row r="1164" spans="1:5" ht="26.25" x14ac:dyDescent="0.25">
      <c r="A1164" s="2" t="s">
        <v>20</v>
      </c>
      <c r="B1164" s="2" t="str">
        <f>"766623318921"</f>
        <v>766623318921</v>
      </c>
      <c r="C1164" s="2" t="str">
        <f>"56088921"</f>
        <v>56088921</v>
      </c>
      <c r="D1164" s="2" t="s">
        <v>1021</v>
      </c>
      <c r="E1164" s="4">
        <v>2990</v>
      </c>
    </row>
    <row r="1165" spans="1:5" ht="26.25" x14ac:dyDescent="0.25">
      <c r="A1165" s="2" t="s">
        <v>20</v>
      </c>
      <c r="B1165" s="2" t="str">
        <f>"6686996002569"</f>
        <v>6686996002569</v>
      </c>
      <c r="C1165" s="2" t="str">
        <f>"400809202"</f>
        <v>400809202</v>
      </c>
      <c r="D1165" s="2" t="s">
        <v>1022</v>
      </c>
      <c r="E1165" s="4">
        <v>4500</v>
      </c>
    </row>
    <row r="1166" spans="1:5" ht="26.25" x14ac:dyDescent="0.25">
      <c r="A1166" s="2" t="s">
        <v>20</v>
      </c>
      <c r="B1166" s="2" t="str">
        <f>"10004243"</f>
        <v>10004243</v>
      </c>
      <c r="C1166" s="2" t="str">
        <f>"10004243"</f>
        <v>10004243</v>
      </c>
      <c r="D1166" s="2" t="s">
        <v>1023</v>
      </c>
      <c r="E1166" s="4">
        <v>3500</v>
      </c>
    </row>
    <row r="1167" spans="1:5" ht="26.25" x14ac:dyDescent="0.25">
      <c r="A1167" s="2" t="s">
        <v>20</v>
      </c>
      <c r="B1167" s="2" t="str">
        <f>"6686993187467"</f>
        <v>6686993187467</v>
      </c>
      <c r="C1167" s="2" t="str">
        <f>"40080610"</f>
        <v>40080610</v>
      </c>
      <c r="D1167" s="2" t="s">
        <v>1024</v>
      </c>
      <c r="E1167" s="4">
        <v>5500</v>
      </c>
    </row>
    <row r="1168" spans="1:5" ht="26.25" x14ac:dyDescent="0.25">
      <c r="A1168" s="2" t="s">
        <v>20</v>
      </c>
      <c r="B1168" s="2" t="str">
        <f>"766623740074"</f>
        <v>766623740074</v>
      </c>
      <c r="C1168" s="2" t="str">
        <f>"56080074"</f>
        <v>56080074</v>
      </c>
      <c r="D1168" s="2" t="s">
        <v>1025</v>
      </c>
      <c r="E1168" s="4">
        <v>9500</v>
      </c>
    </row>
    <row r="1169" spans="1:5" ht="26.25" x14ac:dyDescent="0.25">
      <c r="A1169" s="2" t="s">
        <v>20</v>
      </c>
      <c r="B1169" s="2" t="str">
        <f>"6905631119029"</f>
        <v>6905631119029</v>
      </c>
      <c r="C1169" s="2" t="str">
        <f>"400812213"</f>
        <v>400812213</v>
      </c>
      <c r="D1169" s="2" t="s">
        <v>1026</v>
      </c>
      <c r="E1169" s="4">
        <v>5500</v>
      </c>
    </row>
    <row r="1170" spans="1:5" ht="26.25" x14ac:dyDescent="0.25">
      <c r="A1170" s="2" t="s">
        <v>20</v>
      </c>
      <c r="B1170" s="2" t="str">
        <f>"10004244"</f>
        <v>10004244</v>
      </c>
      <c r="C1170" s="2" t="str">
        <f>"10004244"</f>
        <v>10004244</v>
      </c>
      <c r="D1170" s="2" t="s">
        <v>1027</v>
      </c>
      <c r="E1170" s="4">
        <v>4500</v>
      </c>
    </row>
    <row r="1171" spans="1:5" ht="26.25" x14ac:dyDescent="0.25">
      <c r="A1171" s="2" t="s">
        <v>20</v>
      </c>
      <c r="B1171" s="2" t="str">
        <f>"6686993187474"</f>
        <v>6686993187474</v>
      </c>
      <c r="C1171" s="2" t="str">
        <f>"40080615"</f>
        <v>40080615</v>
      </c>
      <c r="D1171" s="2" t="s">
        <v>1028</v>
      </c>
      <c r="E1171" s="4">
        <v>6500</v>
      </c>
    </row>
    <row r="1172" spans="1:5" ht="26.25" x14ac:dyDescent="0.25">
      <c r="A1172" s="2" t="s">
        <v>20</v>
      </c>
      <c r="B1172" s="2" t="str">
        <f>"766623318976"</f>
        <v>766623318976</v>
      </c>
      <c r="C1172" s="2" t="str">
        <f>"56088976"</f>
        <v>56088976</v>
      </c>
      <c r="D1172" s="2" t="s">
        <v>1029</v>
      </c>
      <c r="E1172" s="4">
        <v>3990</v>
      </c>
    </row>
    <row r="1173" spans="1:5" ht="26.25" x14ac:dyDescent="0.25">
      <c r="A1173" s="2" t="s">
        <v>20</v>
      </c>
      <c r="B1173" s="2" t="str">
        <f>"766623334129"</f>
        <v>766623334129</v>
      </c>
      <c r="C1173" s="2" t="str">
        <f>"56084129"</f>
        <v>56084129</v>
      </c>
      <c r="D1173" s="2" t="s">
        <v>1030</v>
      </c>
      <c r="E1173" s="4">
        <v>5990</v>
      </c>
    </row>
    <row r="1174" spans="1:5" ht="26.25" x14ac:dyDescent="0.25">
      <c r="A1174" s="2" t="s">
        <v>20</v>
      </c>
      <c r="B1174" s="2" t="str">
        <f>"6905631119036"</f>
        <v>6905631119036</v>
      </c>
      <c r="C1174" s="2" t="str">
        <f>"400812214"</f>
        <v>400812214</v>
      </c>
      <c r="D1174" s="2" t="s">
        <v>1031</v>
      </c>
      <c r="E1174" s="4">
        <v>6500</v>
      </c>
    </row>
    <row r="1175" spans="1:5" ht="26.25" x14ac:dyDescent="0.25">
      <c r="A1175" s="2" t="s">
        <v>20</v>
      </c>
      <c r="B1175" s="2" t="str">
        <f>"10004245"</f>
        <v>10004245</v>
      </c>
      <c r="C1175" s="2" t="str">
        <f>"10004245"</f>
        <v>10004245</v>
      </c>
      <c r="D1175" s="2" t="s">
        <v>1032</v>
      </c>
      <c r="E1175" s="4">
        <v>5000</v>
      </c>
    </row>
    <row r="1176" spans="1:5" ht="26.25" x14ac:dyDescent="0.25">
      <c r="A1176" s="2" t="s">
        <v>20</v>
      </c>
      <c r="B1176" s="2" t="str">
        <f>"6686993187481"</f>
        <v>6686993187481</v>
      </c>
      <c r="C1176" s="2" t="str">
        <f>"40080620"</f>
        <v>40080620</v>
      </c>
      <c r="D1176" s="2" t="s">
        <v>1033</v>
      </c>
      <c r="E1176" s="4">
        <v>7500</v>
      </c>
    </row>
    <row r="1177" spans="1:5" ht="26.25" x14ac:dyDescent="0.25">
      <c r="A1177" s="2" t="s">
        <v>20</v>
      </c>
      <c r="B1177" s="2" t="str">
        <f>"766623319768"</f>
        <v>766623319768</v>
      </c>
      <c r="C1177" s="2" t="str">
        <f>"56089768"</f>
        <v>56089768</v>
      </c>
      <c r="D1177" s="2" t="s">
        <v>1034</v>
      </c>
      <c r="E1177" s="4">
        <v>4990</v>
      </c>
    </row>
    <row r="1178" spans="1:5" ht="26.25" x14ac:dyDescent="0.25">
      <c r="A1178" s="2" t="s">
        <v>20</v>
      </c>
      <c r="B1178" s="2" t="str">
        <f>"6686996002545"</f>
        <v>6686996002545</v>
      </c>
      <c r="C1178" s="2" t="str">
        <f>"4008176605"</f>
        <v>4008176605</v>
      </c>
      <c r="D1178" s="2" t="s">
        <v>1035</v>
      </c>
      <c r="E1178" s="4">
        <v>2500</v>
      </c>
    </row>
    <row r="1179" spans="1:5" ht="26.25" x14ac:dyDescent="0.25">
      <c r="A1179" s="2" t="s">
        <v>20</v>
      </c>
      <c r="B1179" s="2" t="str">
        <f>"10003704"</f>
        <v>10003704</v>
      </c>
      <c r="C1179" s="2" t="str">
        <f>"10003704"</f>
        <v>10003704</v>
      </c>
      <c r="D1179" s="2" t="s">
        <v>1036</v>
      </c>
      <c r="E1179" s="4">
        <v>2500</v>
      </c>
    </row>
    <row r="1180" spans="1:5" ht="26.25" x14ac:dyDescent="0.25">
      <c r="A1180" s="2" t="s">
        <v>20</v>
      </c>
      <c r="B1180" s="2" t="str">
        <f>"6686996002552"</f>
        <v>6686996002552</v>
      </c>
      <c r="C1180" s="2" t="str">
        <f>"400812211"</f>
        <v>400812211</v>
      </c>
      <c r="D1180" s="2" t="s">
        <v>1037</v>
      </c>
      <c r="E1180" s="4">
        <v>3500</v>
      </c>
    </row>
    <row r="1181" spans="1:5" ht="26.25" x14ac:dyDescent="0.25">
      <c r="A1181" s="2" t="s">
        <v>20</v>
      </c>
      <c r="B1181" s="2" t="str">
        <f>"10003703"</f>
        <v>10003703</v>
      </c>
      <c r="C1181" s="2" t="str">
        <f>"10003703"</f>
        <v>10003703</v>
      </c>
      <c r="D1181" s="2" t="s">
        <v>1038</v>
      </c>
      <c r="E1181" s="4">
        <v>2500</v>
      </c>
    </row>
    <row r="1182" spans="1:5" ht="26.25" x14ac:dyDescent="0.25">
      <c r="A1182" s="2" t="s">
        <v>20</v>
      </c>
      <c r="B1182" s="2" t="str">
        <f>"6686996662558"</f>
        <v>6686996662558</v>
      </c>
      <c r="C1182" s="2" t="str">
        <f>"40080605"</f>
        <v>40080605</v>
      </c>
      <c r="D1182" s="2" t="s">
        <v>1039</v>
      </c>
      <c r="E1182" s="4">
        <v>4500</v>
      </c>
    </row>
    <row r="1183" spans="1:5" ht="26.25" x14ac:dyDescent="0.25">
      <c r="A1183" s="2" t="s">
        <v>20</v>
      </c>
      <c r="B1183" s="2" t="str">
        <f>"766623319867"</f>
        <v>766623319867</v>
      </c>
      <c r="C1183" s="2" t="str">
        <f>"56089867"</f>
        <v>56089867</v>
      </c>
      <c r="D1183" s="2" t="s">
        <v>1040</v>
      </c>
      <c r="E1183" s="4">
        <v>6990</v>
      </c>
    </row>
    <row r="1184" spans="1:5" ht="26.25" x14ac:dyDescent="0.25">
      <c r="A1184" s="2" t="s">
        <v>21</v>
      </c>
      <c r="B1184" s="2" t="str">
        <f>"10000053"</f>
        <v>10000053</v>
      </c>
      <c r="C1184" s="2" t="str">
        <f>"10000053"</f>
        <v>10000053</v>
      </c>
      <c r="D1184" s="2" t="s">
        <v>1041</v>
      </c>
      <c r="E1184" s="4">
        <v>1000</v>
      </c>
    </row>
    <row r="1185" spans="1:5" ht="26.25" x14ac:dyDescent="0.25">
      <c r="A1185" s="2" t="s">
        <v>20</v>
      </c>
      <c r="B1185" s="2" t="str">
        <f>"766623307116"</f>
        <v>766623307116</v>
      </c>
      <c r="C1185" s="2" t="str">
        <f>"56087116"</f>
        <v>56087116</v>
      </c>
      <c r="D1185" s="2" t="s">
        <v>1042</v>
      </c>
      <c r="E1185" s="4">
        <v>11990</v>
      </c>
    </row>
    <row r="1186" spans="1:5" ht="26.25" x14ac:dyDescent="0.25">
      <c r="A1186" s="2" t="s">
        <v>20</v>
      </c>
      <c r="B1186" s="2" t="str">
        <f>"9254"</f>
        <v>9254</v>
      </c>
      <c r="C1186" s="2" t="str">
        <f>"98089254"</f>
        <v>98089254</v>
      </c>
      <c r="D1186" s="2" t="s">
        <v>1043</v>
      </c>
      <c r="E1186" s="4">
        <v>9990</v>
      </c>
    </row>
    <row r="1187" spans="1:5" ht="26.25" x14ac:dyDescent="0.25">
      <c r="A1187" s="2" t="s">
        <v>20</v>
      </c>
      <c r="B1187" s="2" t="str">
        <f>"9255"</f>
        <v>9255</v>
      </c>
      <c r="C1187" s="2" t="str">
        <f>"98089255"</f>
        <v>98089255</v>
      </c>
      <c r="D1187" s="2" t="s">
        <v>1044</v>
      </c>
      <c r="E1187" s="4">
        <v>9990</v>
      </c>
    </row>
    <row r="1188" spans="1:5" ht="26.25" x14ac:dyDescent="0.25">
      <c r="A1188" s="2" t="s">
        <v>9</v>
      </c>
      <c r="B1188" s="2" t="str">
        <f>"3137112858858"</f>
        <v>3137112858858</v>
      </c>
      <c r="C1188" s="2" t="str">
        <f>"10003171"</f>
        <v>10003171</v>
      </c>
      <c r="D1188" s="2" t="s">
        <v>1045</v>
      </c>
      <c r="E1188" s="4">
        <v>4500</v>
      </c>
    </row>
    <row r="1189" spans="1:5" ht="26.25" x14ac:dyDescent="0.25">
      <c r="A1189" s="2" t="s">
        <v>20</v>
      </c>
      <c r="B1189" s="2" t="str">
        <f>"6686996002422"</f>
        <v>6686996002422</v>
      </c>
      <c r="C1189" s="2" t="str">
        <f>"40081212"</f>
        <v>40081212</v>
      </c>
      <c r="D1189" s="2" t="s">
        <v>1046</v>
      </c>
      <c r="E1189" s="4">
        <v>2000</v>
      </c>
    </row>
    <row r="1190" spans="1:5" ht="26.25" x14ac:dyDescent="0.25">
      <c r="A1190" s="2" t="s">
        <v>20</v>
      </c>
      <c r="B1190" s="2" t="str">
        <f>"28084795"</f>
        <v>28084795</v>
      </c>
      <c r="C1190" s="2" t="str">
        <f>"28084795"</f>
        <v>28084795</v>
      </c>
      <c r="D1190" s="2" t="s">
        <v>1047</v>
      </c>
      <c r="E1190" s="4">
        <v>1000</v>
      </c>
    </row>
    <row r="1191" spans="1:5" ht="26.25" x14ac:dyDescent="0.25">
      <c r="A1191" s="2" t="s">
        <v>20</v>
      </c>
      <c r="B1191" s="2" t="str">
        <f>"6924494001340"</f>
        <v>6924494001340</v>
      </c>
      <c r="C1191" s="2" t="str">
        <f>"98081000"</f>
        <v>98081000</v>
      </c>
      <c r="D1191" s="2" t="s">
        <v>1048</v>
      </c>
      <c r="E1191" s="4">
        <v>3500</v>
      </c>
    </row>
    <row r="1192" spans="1:5" ht="26.25" x14ac:dyDescent="0.25">
      <c r="A1192" s="2" t="s">
        <v>20</v>
      </c>
      <c r="B1192" s="2" t="str">
        <f>"10003250"</f>
        <v>10003250</v>
      </c>
      <c r="C1192" s="2" t="str">
        <f>"10003250"</f>
        <v>10003250</v>
      </c>
      <c r="D1192" s="2" t="s">
        <v>1049</v>
      </c>
      <c r="E1192" s="4">
        <v>2000</v>
      </c>
    </row>
    <row r="1193" spans="1:5" ht="26.25" x14ac:dyDescent="0.25">
      <c r="A1193" s="2" t="s">
        <v>20</v>
      </c>
      <c r="B1193" s="2" t="str">
        <f>"10007500"</f>
        <v>10007500</v>
      </c>
      <c r="C1193" s="2" t="str">
        <f>"10007500"</f>
        <v>10007500</v>
      </c>
      <c r="D1193" s="2" t="s">
        <v>1050</v>
      </c>
      <c r="E1193" s="4">
        <v>2500</v>
      </c>
    </row>
    <row r="1194" spans="1:5" ht="26.25" x14ac:dyDescent="0.25">
      <c r="A1194" s="2" t="s">
        <v>20</v>
      </c>
      <c r="B1194" s="2" t="str">
        <f>"766623336314"</f>
        <v>766623336314</v>
      </c>
      <c r="C1194" s="2" t="str">
        <f>"56086314"</f>
        <v>56086314</v>
      </c>
      <c r="D1194" s="2" t="s">
        <v>1051</v>
      </c>
      <c r="E1194" s="4">
        <v>3000</v>
      </c>
    </row>
    <row r="1195" spans="1:5" ht="26.25" x14ac:dyDescent="0.25">
      <c r="A1195" s="2" t="s">
        <v>9</v>
      </c>
      <c r="B1195" s="2" t="str">
        <f>"10108855"</f>
        <v>10108855</v>
      </c>
      <c r="C1195" s="2" t="str">
        <f>"10108855"</f>
        <v>10108855</v>
      </c>
      <c r="D1195" s="2" t="s">
        <v>1052</v>
      </c>
      <c r="E1195" s="4">
        <v>2000</v>
      </c>
    </row>
    <row r="1196" spans="1:5" ht="26.25" x14ac:dyDescent="0.25">
      <c r="A1196" s="2" t="s">
        <v>20</v>
      </c>
      <c r="B1196" s="2" t="str">
        <f>"7858816084812"</f>
        <v>7858816084812</v>
      </c>
      <c r="C1196" s="2" t="str">
        <f>"87088481"</f>
        <v>87088481</v>
      </c>
      <c r="D1196" s="2" t="s">
        <v>1053</v>
      </c>
      <c r="E1196" s="4">
        <v>2000</v>
      </c>
    </row>
    <row r="1197" spans="1:5" ht="26.25" x14ac:dyDescent="0.25">
      <c r="A1197" s="2" t="s">
        <v>20</v>
      </c>
      <c r="B1197" s="2" t="str">
        <f>"7858816084829"</f>
        <v>7858816084829</v>
      </c>
      <c r="C1197" s="2" t="str">
        <f>"87088482"</f>
        <v>87088482</v>
      </c>
      <c r="D1197" s="2" t="s">
        <v>1054</v>
      </c>
      <c r="E1197" s="4">
        <v>3000</v>
      </c>
    </row>
    <row r="1198" spans="1:5" ht="26.25" x14ac:dyDescent="0.25">
      <c r="A1198" s="2" t="s">
        <v>9</v>
      </c>
      <c r="B1198" s="2" t="str">
        <f>"766623340496"</f>
        <v>766623340496</v>
      </c>
      <c r="C1198" s="2" t="str">
        <f>"56080496"</f>
        <v>56080496</v>
      </c>
      <c r="D1198" s="2" t="s">
        <v>1055</v>
      </c>
      <c r="E1198" s="4">
        <v>4500</v>
      </c>
    </row>
    <row r="1199" spans="1:5" ht="26.25" x14ac:dyDescent="0.25">
      <c r="A1199" s="2" t="s">
        <v>20</v>
      </c>
      <c r="B1199" s="2" t="str">
        <f>"766623340502"</f>
        <v>766623340502</v>
      </c>
      <c r="C1199" s="2" t="str">
        <f>"56080502"</f>
        <v>56080502</v>
      </c>
      <c r="D1199" s="2" t="s">
        <v>1056</v>
      </c>
      <c r="E1199" s="4">
        <v>6000</v>
      </c>
    </row>
    <row r="1200" spans="1:5" ht="26.25" x14ac:dyDescent="0.25">
      <c r="A1200" s="2" t="s">
        <v>20</v>
      </c>
      <c r="B1200" s="2" t="str">
        <f>"10000706"</f>
        <v>10000706</v>
      </c>
      <c r="C1200" s="2" t="str">
        <f>"10000706"</f>
        <v>10000706</v>
      </c>
      <c r="D1200" s="2" t="s">
        <v>1057</v>
      </c>
      <c r="E1200" s="4">
        <v>5500</v>
      </c>
    </row>
    <row r="1201" spans="1:5" ht="26.25" x14ac:dyDescent="0.25">
      <c r="A1201" s="2" t="s">
        <v>20</v>
      </c>
      <c r="B1201" s="2" t="str">
        <f>"10082860"</f>
        <v>10082860</v>
      </c>
      <c r="C1201" s="2" t="str">
        <f>"10082860"</f>
        <v>10082860</v>
      </c>
      <c r="D1201" s="2" t="s">
        <v>1058</v>
      </c>
      <c r="E1201" s="4">
        <v>3000</v>
      </c>
    </row>
    <row r="1202" spans="1:5" ht="26.25" x14ac:dyDescent="0.25">
      <c r="A1202" s="2" t="s">
        <v>9</v>
      </c>
      <c r="B1202" s="2" t="str">
        <f>"303010743"</f>
        <v>303010743</v>
      </c>
      <c r="C1202" s="2" t="str">
        <f>"303010743"</f>
        <v>303010743</v>
      </c>
      <c r="D1202" s="2" t="s">
        <v>1059</v>
      </c>
      <c r="E1202" s="4">
        <v>11900</v>
      </c>
    </row>
    <row r="1203" spans="1:5" ht="26.25" x14ac:dyDescent="0.25">
      <c r="A1203" s="2" t="s">
        <v>9</v>
      </c>
      <c r="B1203" s="2" t="str">
        <f>"3325201509006"</f>
        <v>3325201509006</v>
      </c>
      <c r="C1203" s="2" t="str">
        <f>"41080008"</f>
        <v>41080008</v>
      </c>
      <c r="D1203" s="2" t="s">
        <v>1060</v>
      </c>
      <c r="E1203" s="4">
        <v>2500</v>
      </c>
    </row>
    <row r="1204" spans="1:5" ht="26.25" x14ac:dyDescent="0.25">
      <c r="A1204" s="2" t="s">
        <v>20</v>
      </c>
      <c r="B1204" s="2" t="str">
        <f>"2565895132666"</f>
        <v>2565895132666</v>
      </c>
      <c r="C1204" s="2" t="str">
        <f>"10001014"</f>
        <v>10001014</v>
      </c>
      <c r="D1204" s="2" t="s">
        <v>1061</v>
      </c>
      <c r="E1204" s="4">
        <v>3000</v>
      </c>
    </row>
    <row r="1205" spans="1:5" ht="26.25" x14ac:dyDescent="0.25">
      <c r="A1205" s="2" t="s">
        <v>9</v>
      </c>
      <c r="B1205" s="2" t="str">
        <f>"6789012340307"</f>
        <v>6789012340307</v>
      </c>
      <c r="C1205" s="2" t="str">
        <f>"66000815"</f>
        <v>66000815</v>
      </c>
      <c r="D1205" s="2" t="s">
        <v>1062</v>
      </c>
      <c r="E1205" s="4">
        <v>3000</v>
      </c>
    </row>
    <row r="1206" spans="1:5" ht="26.25" x14ac:dyDescent="0.25">
      <c r="A1206" s="2" t="s">
        <v>20</v>
      </c>
      <c r="B1206" s="2" t="str">
        <f>"10003354"</f>
        <v>10003354</v>
      </c>
      <c r="C1206" s="2" t="str">
        <f>"10003354"</f>
        <v>10003354</v>
      </c>
      <c r="D1206" s="2" t="s">
        <v>1063</v>
      </c>
      <c r="E1206" s="4">
        <v>4500</v>
      </c>
    </row>
    <row r="1207" spans="1:5" ht="26.25" x14ac:dyDescent="0.25">
      <c r="A1207" s="2" t="s">
        <v>20</v>
      </c>
      <c r="B1207" s="2" t="str">
        <f>"22081010"</f>
        <v>22081010</v>
      </c>
      <c r="C1207" s="2" t="str">
        <f>"22081010"</f>
        <v>22081010</v>
      </c>
      <c r="D1207" s="2" t="s">
        <v>1064</v>
      </c>
      <c r="E1207" s="4">
        <v>8500</v>
      </c>
    </row>
    <row r="1208" spans="1:5" ht="26.25" x14ac:dyDescent="0.25">
      <c r="A1208" s="2" t="s">
        <v>20</v>
      </c>
      <c r="B1208" s="2" t="str">
        <f>"22081005"</f>
        <v>22081005</v>
      </c>
      <c r="C1208" s="2" t="str">
        <f>"22081005"</f>
        <v>22081005</v>
      </c>
      <c r="D1208" s="2" t="s">
        <v>1065</v>
      </c>
      <c r="E1208" s="4">
        <v>7500</v>
      </c>
    </row>
    <row r="1209" spans="1:5" ht="26.25" x14ac:dyDescent="0.25">
      <c r="A1209" s="2" t="s">
        <v>20</v>
      </c>
      <c r="B1209" s="2" t="str">
        <f>"766623372503"</f>
        <v>766623372503</v>
      </c>
      <c r="C1209" s="2" t="str">
        <f>"56082503"</f>
        <v>56082503</v>
      </c>
      <c r="D1209" s="2" t="s">
        <v>1066</v>
      </c>
      <c r="E1209" s="4">
        <v>9990</v>
      </c>
    </row>
    <row r="1210" spans="1:5" ht="26.25" x14ac:dyDescent="0.25">
      <c r="A1210" s="2" t="s">
        <v>9</v>
      </c>
      <c r="B1210" s="2" t="str">
        <f>"10100458"</f>
        <v>10100458</v>
      </c>
      <c r="C1210" s="2" t="str">
        <f>"10100458"</f>
        <v>10100458</v>
      </c>
      <c r="D1210" s="2" t="s">
        <v>1067</v>
      </c>
      <c r="E1210" s="4">
        <v>3000</v>
      </c>
    </row>
    <row r="1211" spans="1:5" ht="26.25" x14ac:dyDescent="0.25">
      <c r="A1211" s="2" t="s">
        <v>20</v>
      </c>
      <c r="B1211" s="2" t="str">
        <f>"10009348"</f>
        <v>10009348</v>
      </c>
      <c r="C1211" s="2" t="str">
        <f>"10009348"</f>
        <v>10009348</v>
      </c>
      <c r="D1211" s="2" t="s">
        <v>1068</v>
      </c>
      <c r="E1211" s="4">
        <v>3500</v>
      </c>
    </row>
    <row r="1212" spans="1:5" ht="26.25" x14ac:dyDescent="0.25">
      <c r="A1212" s="2" t="s">
        <v>9</v>
      </c>
      <c r="B1212" s="2" t="str">
        <f>"110100261"</f>
        <v>110100261</v>
      </c>
      <c r="C1212" s="2" t="str">
        <f>"110100261"</f>
        <v>110100261</v>
      </c>
      <c r="D1212" s="2" t="s">
        <v>1069</v>
      </c>
      <c r="E1212" s="4">
        <v>6000</v>
      </c>
    </row>
    <row r="1213" spans="1:5" ht="26.25" x14ac:dyDescent="0.25">
      <c r="A1213" s="2" t="s">
        <v>9</v>
      </c>
      <c r="B1213" s="2" t="str">
        <f>"10100638"</f>
        <v>10100638</v>
      </c>
      <c r="C1213" s="2" t="str">
        <f>"10100638"</f>
        <v>10100638</v>
      </c>
      <c r="D1213" s="2" t="s">
        <v>1070</v>
      </c>
      <c r="E1213" s="4">
        <v>5500</v>
      </c>
    </row>
    <row r="1214" spans="1:5" ht="26.25" x14ac:dyDescent="0.25">
      <c r="A1214" s="2" t="s">
        <v>9</v>
      </c>
      <c r="B1214" s="2" t="str">
        <f>"10101111"</f>
        <v>10101111</v>
      </c>
      <c r="C1214" s="2" t="str">
        <f>"10101111"</f>
        <v>10101111</v>
      </c>
      <c r="D1214" s="2" t="s">
        <v>1071</v>
      </c>
      <c r="E1214" s="4">
        <v>6000</v>
      </c>
    </row>
    <row r="1215" spans="1:5" ht="39" x14ac:dyDescent="0.25">
      <c r="A1215" s="2" t="s">
        <v>20</v>
      </c>
      <c r="B1215" s="2" t="str">
        <f>"31HDMEV281"</f>
        <v>31HDMEV281</v>
      </c>
      <c r="C1215" s="2" t="str">
        <f>"31HDMEV281"</f>
        <v>31HDMEV281</v>
      </c>
      <c r="D1215" s="2" t="s">
        <v>1072</v>
      </c>
      <c r="E1215" s="4">
        <v>6990</v>
      </c>
    </row>
    <row r="1216" spans="1:5" ht="26.25" x14ac:dyDescent="0.25">
      <c r="A1216" s="2" t="s">
        <v>20</v>
      </c>
      <c r="B1216" s="2" t="str">
        <f>"87080010"</f>
        <v>87080010</v>
      </c>
      <c r="C1216" s="2" t="str">
        <f>"10011526"</f>
        <v>10011526</v>
      </c>
      <c r="D1216" s="2" t="s">
        <v>1073</v>
      </c>
      <c r="E1216" s="4">
        <v>1500</v>
      </c>
    </row>
    <row r="1217" spans="1:5" ht="26.25" x14ac:dyDescent="0.25">
      <c r="A1217" s="2" t="s">
        <v>20</v>
      </c>
      <c r="B1217" s="2" t="str">
        <f>"10001722"</f>
        <v>10001722</v>
      </c>
      <c r="C1217" s="2" t="str">
        <f>"10001722"</f>
        <v>10001722</v>
      </c>
      <c r="D1217" s="2" t="s">
        <v>1074</v>
      </c>
      <c r="E1217" s="4">
        <v>2500</v>
      </c>
    </row>
    <row r="1218" spans="1:5" ht="26.25" x14ac:dyDescent="0.25">
      <c r="A1218" s="2" t="s">
        <v>9</v>
      </c>
      <c r="B1218" s="2" t="str">
        <f>"10000603"</f>
        <v>10000603</v>
      </c>
      <c r="C1218" s="2" t="str">
        <f>"10000603"</f>
        <v>10000603</v>
      </c>
      <c r="D1218" s="2" t="s">
        <v>1075</v>
      </c>
      <c r="E1218" s="4">
        <v>3500</v>
      </c>
    </row>
    <row r="1219" spans="1:5" ht="26.25" x14ac:dyDescent="0.25">
      <c r="A1219" s="2" t="s">
        <v>20</v>
      </c>
      <c r="B1219" s="2" t="str">
        <f>"10003972"</f>
        <v>10003972</v>
      </c>
      <c r="C1219" s="2" t="str">
        <f>"10003972"</f>
        <v>10003972</v>
      </c>
      <c r="D1219" s="2" t="s">
        <v>1076</v>
      </c>
      <c r="E1219" s="4">
        <v>3500</v>
      </c>
    </row>
    <row r="1220" spans="1:5" ht="39" x14ac:dyDescent="0.25">
      <c r="A1220" s="2" t="s">
        <v>20</v>
      </c>
      <c r="B1220" s="2" t="str">
        <f>"7168231450155"</f>
        <v>7168231450155</v>
      </c>
      <c r="C1220" s="2" t="str">
        <f>"31HDM4K015"</f>
        <v>31HDM4K015</v>
      </c>
      <c r="D1220" s="2" t="s">
        <v>1077</v>
      </c>
      <c r="E1220" s="4">
        <v>5990</v>
      </c>
    </row>
    <row r="1221" spans="1:5" ht="26.25" x14ac:dyDescent="0.25">
      <c r="A1221" s="2" t="s">
        <v>20</v>
      </c>
      <c r="B1221" s="2" t="str">
        <f>"7168231443157"</f>
        <v>7168231443157</v>
      </c>
      <c r="C1221" s="2" t="str">
        <f>"98080015"</f>
        <v>98080015</v>
      </c>
      <c r="D1221" s="2" t="s">
        <v>1078</v>
      </c>
      <c r="E1221" s="4">
        <v>4000</v>
      </c>
    </row>
    <row r="1222" spans="1:5" ht="26.25" x14ac:dyDescent="0.25">
      <c r="A1222" s="2" t="s">
        <v>20</v>
      </c>
      <c r="B1222" s="2" t="str">
        <f>"6931326001881"</f>
        <v>6931326001881</v>
      </c>
      <c r="C1222" s="2" t="str">
        <f>"40080015"</f>
        <v>40080015</v>
      </c>
      <c r="D1222" s="2" t="s">
        <v>1079</v>
      </c>
      <c r="E1222" s="4">
        <v>3500</v>
      </c>
    </row>
    <row r="1223" spans="1:5" ht="26.25" x14ac:dyDescent="0.25">
      <c r="A1223" s="2" t="s">
        <v>20</v>
      </c>
      <c r="B1223" s="2" t="str">
        <f>"18084536"</f>
        <v>18084536</v>
      </c>
      <c r="C1223" s="2" t="str">
        <f>"18084536"</f>
        <v>18084536</v>
      </c>
      <c r="D1223" s="2" t="s">
        <v>1080</v>
      </c>
      <c r="E1223" s="4">
        <v>3990</v>
      </c>
    </row>
    <row r="1224" spans="1:5" ht="39" x14ac:dyDescent="0.25">
      <c r="A1224" s="2" t="s">
        <v>20</v>
      </c>
      <c r="B1224" s="2" t="str">
        <f>"716829957097"</f>
        <v>716829957097</v>
      </c>
      <c r="C1224" s="2" t="str">
        <f>"31HDMEG180"</f>
        <v>31HDMEG180</v>
      </c>
      <c r="D1224" s="2" t="s">
        <v>1081</v>
      </c>
      <c r="E1224" s="4">
        <v>2500</v>
      </c>
    </row>
    <row r="1225" spans="1:5" ht="26.25" x14ac:dyDescent="0.25">
      <c r="A1225" s="2" t="s">
        <v>20</v>
      </c>
      <c r="B1225" s="2" t="str">
        <f>"766623306119"</f>
        <v>766623306119</v>
      </c>
      <c r="C1225" s="2" t="str">
        <f>"56086119"</f>
        <v>56086119</v>
      </c>
      <c r="D1225" s="2" t="s">
        <v>1082</v>
      </c>
      <c r="E1225" s="4">
        <v>4500</v>
      </c>
    </row>
    <row r="1226" spans="1:5" ht="26.25" x14ac:dyDescent="0.25">
      <c r="A1226" s="2" t="s">
        <v>20</v>
      </c>
      <c r="B1226" s="2" t="str">
        <f>"030878335744"</f>
        <v>030878335744</v>
      </c>
      <c r="C1226" s="2" t="str">
        <f>"31GEL33574"</f>
        <v>31GEL33574</v>
      </c>
      <c r="D1226" s="2" t="s">
        <v>1083</v>
      </c>
      <c r="E1226" s="4">
        <v>5500</v>
      </c>
    </row>
    <row r="1227" spans="1:5" ht="26.25" x14ac:dyDescent="0.25">
      <c r="A1227" s="2" t="s">
        <v>20</v>
      </c>
      <c r="B1227" s="2" t="str">
        <f>"850028002742"</f>
        <v>850028002742</v>
      </c>
      <c r="C1227" s="2" t="str">
        <f>"13080018"</f>
        <v>13080018</v>
      </c>
      <c r="D1227" s="2" t="s">
        <v>1084</v>
      </c>
      <c r="E1227" s="4">
        <v>3000</v>
      </c>
    </row>
    <row r="1228" spans="1:5" ht="26.25" x14ac:dyDescent="0.25">
      <c r="A1228" s="2" t="s">
        <v>20</v>
      </c>
      <c r="B1228" s="2" t="str">
        <f>"10002007"</f>
        <v>10002007</v>
      </c>
      <c r="C1228" s="2" t="str">
        <f>"10002007"</f>
        <v>10002007</v>
      </c>
      <c r="D1228" s="2" t="s">
        <v>1085</v>
      </c>
      <c r="E1228" s="4">
        <v>5500</v>
      </c>
    </row>
    <row r="1229" spans="1:5" ht="26.25" x14ac:dyDescent="0.25">
      <c r="A1229" s="2" t="s">
        <v>20</v>
      </c>
      <c r="B1229" s="2" t="str">
        <f>"7809601103652"</f>
        <v>7809601103652</v>
      </c>
      <c r="C1229" s="2" t="str">
        <f>"92082330"</f>
        <v>92082330</v>
      </c>
      <c r="D1229" s="2" t="s">
        <v>1086</v>
      </c>
      <c r="E1229" s="4">
        <v>5500</v>
      </c>
    </row>
    <row r="1230" spans="1:5" ht="26.25" x14ac:dyDescent="0.25">
      <c r="A1230" s="2" t="s">
        <v>20</v>
      </c>
      <c r="B1230" s="2" t="str">
        <f>"6931326001157"</f>
        <v>6931326001157</v>
      </c>
      <c r="C1230" s="2" t="str">
        <f>"40081157"</f>
        <v>40081157</v>
      </c>
      <c r="D1230" s="2" t="s">
        <v>1087</v>
      </c>
      <c r="E1230" s="4">
        <v>3000</v>
      </c>
    </row>
    <row r="1231" spans="1:5" ht="26.25" x14ac:dyDescent="0.25">
      <c r="A1231" s="2" t="s">
        <v>20</v>
      </c>
      <c r="B1231" s="2" t="str">
        <f>"9126"</f>
        <v>9126</v>
      </c>
      <c r="C1231" s="2" t="str">
        <f>"98080010"</f>
        <v>98080010</v>
      </c>
      <c r="D1231" s="2" t="s">
        <v>1088</v>
      </c>
      <c r="E1231" s="4">
        <v>8500</v>
      </c>
    </row>
    <row r="1232" spans="1:5" ht="26.25" x14ac:dyDescent="0.25">
      <c r="A1232" s="2" t="s">
        <v>20</v>
      </c>
      <c r="B1232" s="2" t="str">
        <f>"10012802"</f>
        <v>10012802</v>
      </c>
      <c r="C1232" s="2" t="str">
        <f>"10012802"</f>
        <v>10012802</v>
      </c>
      <c r="D1232" s="2" t="s">
        <v>1089</v>
      </c>
      <c r="E1232" s="4">
        <v>8990</v>
      </c>
    </row>
    <row r="1233" spans="1:5" ht="26.25" x14ac:dyDescent="0.25">
      <c r="A1233" s="2" t="s">
        <v>20</v>
      </c>
      <c r="B1233" s="2" t="str">
        <f>"6986698983402"</f>
        <v>6986698983402</v>
      </c>
      <c r="C1233" s="2" t="str">
        <f>"40083402"</f>
        <v>40083402</v>
      </c>
      <c r="D1233" s="2" t="s">
        <v>1090</v>
      </c>
      <c r="E1233" s="4">
        <v>10000</v>
      </c>
    </row>
    <row r="1234" spans="1:5" ht="26.25" x14ac:dyDescent="0.25">
      <c r="A1234" s="2" t="s">
        <v>20</v>
      </c>
      <c r="B1234" s="2" t="str">
        <f>"6986698983419"</f>
        <v>6986698983419</v>
      </c>
      <c r="C1234" s="2" t="str">
        <f>"40083419"</f>
        <v>40083419</v>
      </c>
      <c r="D1234" s="2" t="s">
        <v>1091</v>
      </c>
      <c r="E1234" s="4">
        <v>20000</v>
      </c>
    </row>
    <row r="1235" spans="1:5" ht="26.25" x14ac:dyDescent="0.25">
      <c r="A1235" s="2" t="s">
        <v>20</v>
      </c>
      <c r="B1235" s="2" t="str">
        <f>"6686441951077"</f>
        <v>6686441951077</v>
      </c>
      <c r="C1235" s="2" t="str">
        <f>"40082004"</f>
        <v>40082004</v>
      </c>
      <c r="D1235" s="2" t="s">
        <v>1092</v>
      </c>
      <c r="E1235" s="4">
        <v>44990</v>
      </c>
    </row>
    <row r="1236" spans="1:5" ht="26.25" x14ac:dyDescent="0.25">
      <c r="A1236" s="2" t="s">
        <v>20</v>
      </c>
      <c r="B1236" s="2" t="str">
        <f>"6931326001898"</f>
        <v>6931326001898</v>
      </c>
      <c r="C1236" s="2" t="str">
        <f>"40080003"</f>
        <v>40080003</v>
      </c>
      <c r="D1236" s="2" t="s">
        <v>1093</v>
      </c>
      <c r="E1236" s="4">
        <v>5000</v>
      </c>
    </row>
    <row r="1237" spans="1:5" ht="26.25" x14ac:dyDescent="0.25">
      <c r="A1237" s="2" t="s">
        <v>20</v>
      </c>
      <c r="B1237" s="2" t="str">
        <f>"766623306126"</f>
        <v>766623306126</v>
      </c>
      <c r="C1237" s="2" t="str">
        <f>"56086126"</f>
        <v>56086126</v>
      </c>
      <c r="D1237" s="2" t="s">
        <v>1094</v>
      </c>
      <c r="E1237" s="4">
        <v>6990</v>
      </c>
    </row>
    <row r="1238" spans="1:5" ht="26.25" x14ac:dyDescent="0.25">
      <c r="A1238" s="2" t="s">
        <v>20</v>
      </c>
      <c r="B1238" s="2" t="str">
        <f>"10009997"</f>
        <v>10009997</v>
      </c>
      <c r="C1238" s="2" t="str">
        <f>"10009997"</f>
        <v>10009997</v>
      </c>
      <c r="D1238" s="2" t="s">
        <v>1095</v>
      </c>
      <c r="E1238" s="4">
        <v>4500</v>
      </c>
    </row>
    <row r="1239" spans="1:5" ht="39" x14ac:dyDescent="0.25">
      <c r="A1239" s="2" t="s">
        <v>20</v>
      </c>
      <c r="B1239" s="2" t="str">
        <f>"7168299510952"</f>
        <v>7168299510952</v>
      </c>
      <c r="C1239" s="2" t="str">
        <f>"31HDMEG300"</f>
        <v>31HDMEG300</v>
      </c>
      <c r="D1239" s="2" t="s">
        <v>1096</v>
      </c>
      <c r="E1239" s="4">
        <v>4500</v>
      </c>
    </row>
    <row r="1240" spans="1:5" ht="26.25" x14ac:dyDescent="0.25">
      <c r="A1240" s="2" t="s">
        <v>20</v>
      </c>
      <c r="B1240" s="2" t="str">
        <f>"6931326001904"</f>
        <v>6931326001904</v>
      </c>
      <c r="C1240" s="2" t="str">
        <f>"40081904"</f>
        <v>40081904</v>
      </c>
      <c r="D1240" s="2" t="s">
        <v>1097</v>
      </c>
      <c r="E1240" s="4">
        <v>7000</v>
      </c>
    </row>
    <row r="1241" spans="1:5" ht="26.25" x14ac:dyDescent="0.25">
      <c r="A1241" s="2" t="s">
        <v>20</v>
      </c>
      <c r="B1241" s="2" t="str">
        <f>"766623323239"</f>
        <v>766623323239</v>
      </c>
      <c r="C1241" s="2" t="str">
        <f>"56083239"</f>
        <v>56083239</v>
      </c>
      <c r="D1241" s="2" t="s">
        <v>1098</v>
      </c>
      <c r="E1241" s="4">
        <v>9990</v>
      </c>
    </row>
    <row r="1242" spans="1:5" ht="26.25" x14ac:dyDescent="0.25">
      <c r="A1242" s="2" t="s">
        <v>20</v>
      </c>
      <c r="B1242" s="2" t="str">
        <f>"10010008"</f>
        <v>10010008</v>
      </c>
      <c r="C1242" s="2" t="str">
        <f>"10010008"</f>
        <v>10010008</v>
      </c>
      <c r="D1242" s="2" t="s">
        <v>1099</v>
      </c>
      <c r="E1242" s="4">
        <v>5990</v>
      </c>
    </row>
    <row r="1243" spans="1:5" ht="26.25" x14ac:dyDescent="0.25">
      <c r="A1243" s="2" t="s">
        <v>20</v>
      </c>
      <c r="B1243" s="2" t="str">
        <f>"9125"</f>
        <v>9125</v>
      </c>
      <c r="C1243" s="2" t="str">
        <f>"98080005"</f>
        <v>98080005</v>
      </c>
      <c r="D1243" s="2" t="s">
        <v>1100</v>
      </c>
      <c r="E1243" s="4">
        <v>5000</v>
      </c>
    </row>
    <row r="1244" spans="1:5" ht="26.25" x14ac:dyDescent="0.25">
      <c r="A1244" s="2" t="s">
        <v>20</v>
      </c>
      <c r="B1244" s="2" t="str">
        <f>"40080005"</f>
        <v>40080005</v>
      </c>
      <c r="C1244" s="2" t="str">
        <f>"40080005"</f>
        <v>40080005</v>
      </c>
      <c r="D1244" s="2" t="s">
        <v>1101</v>
      </c>
      <c r="E1244" s="4">
        <v>8500</v>
      </c>
    </row>
    <row r="1245" spans="1:5" ht="39" x14ac:dyDescent="0.25">
      <c r="A1245" s="2" t="s">
        <v>20</v>
      </c>
      <c r="B1245" s="2" t="str">
        <f>"2015100011717"</f>
        <v>2015100011717</v>
      </c>
      <c r="C1245" s="2" t="str">
        <f>"31HDMEG500"</f>
        <v>31HDMEG500</v>
      </c>
      <c r="D1245" s="2" t="s">
        <v>1102</v>
      </c>
      <c r="E1245" s="4">
        <v>5000</v>
      </c>
    </row>
    <row r="1246" spans="1:5" ht="26.25" x14ac:dyDescent="0.25">
      <c r="A1246" s="2" t="s">
        <v>20</v>
      </c>
      <c r="B1246" s="2" t="str">
        <f>"10002418"</f>
        <v>10002418</v>
      </c>
      <c r="C1246" s="2" t="str">
        <f>"10002418"</f>
        <v>10002418</v>
      </c>
      <c r="D1246" s="2" t="s">
        <v>1103</v>
      </c>
      <c r="E1246" s="4">
        <v>5000</v>
      </c>
    </row>
    <row r="1247" spans="1:5" ht="26.25" x14ac:dyDescent="0.25">
      <c r="A1247" s="2" t="s">
        <v>20</v>
      </c>
      <c r="B1247" s="2" t="str">
        <f>"798389163408"</f>
        <v>798389163408</v>
      </c>
      <c r="C1247" s="2" t="str">
        <f>"98020606"</f>
        <v>98020606</v>
      </c>
      <c r="D1247" s="2" t="s">
        <v>1104</v>
      </c>
      <c r="E1247" s="4">
        <v>9990</v>
      </c>
    </row>
    <row r="1248" spans="1:5" ht="26.25" x14ac:dyDescent="0.25">
      <c r="A1248" s="2" t="s">
        <v>20</v>
      </c>
      <c r="B1248" s="2" t="str">
        <f>"766623324427"</f>
        <v>766623324427</v>
      </c>
      <c r="C1248" s="2" t="str">
        <f>"56084427"</f>
        <v>56084427</v>
      </c>
      <c r="D1248" s="2" t="s">
        <v>1105</v>
      </c>
      <c r="E1248" s="4">
        <v>9990</v>
      </c>
    </row>
    <row r="1249" spans="1:5" ht="26.25" x14ac:dyDescent="0.25">
      <c r="A1249" s="2" t="s">
        <v>9</v>
      </c>
      <c r="B1249" s="2" t="str">
        <f>"5620000025190"</f>
        <v>5620000025190</v>
      </c>
      <c r="C1249" s="2" t="str">
        <f>"28082519"</f>
        <v>28082519</v>
      </c>
      <c r="D1249" s="2" t="s">
        <v>1106</v>
      </c>
      <c r="E1249" s="4">
        <v>5000</v>
      </c>
    </row>
    <row r="1250" spans="1:5" ht="26.25" x14ac:dyDescent="0.25">
      <c r="A1250" s="2" t="s">
        <v>20</v>
      </c>
      <c r="B1250" s="2" t="str">
        <f>"7895623000406"</f>
        <v>7895623000406</v>
      </c>
      <c r="C1250" s="2" t="str">
        <f>"66080040"</f>
        <v>66080040</v>
      </c>
      <c r="D1250" s="2" t="s">
        <v>1107</v>
      </c>
      <c r="E1250" s="4">
        <v>5000</v>
      </c>
    </row>
    <row r="1251" spans="1:5" ht="26.25" x14ac:dyDescent="0.25">
      <c r="A1251" s="2" t="s">
        <v>20</v>
      </c>
      <c r="B1251" s="2" t="str">
        <f>"7858816011009"</f>
        <v>7858816011009</v>
      </c>
      <c r="C1251" s="2" t="str">
        <f>"87081100"</f>
        <v>87081100</v>
      </c>
      <c r="D1251" s="2" t="s">
        <v>1108</v>
      </c>
      <c r="E1251" s="4">
        <v>5500</v>
      </c>
    </row>
    <row r="1252" spans="1:5" ht="26.25" x14ac:dyDescent="0.25">
      <c r="A1252" s="2" t="s">
        <v>20</v>
      </c>
      <c r="B1252" s="2" t="str">
        <f>"7858816059902"</f>
        <v>7858816059902</v>
      </c>
      <c r="C1252" s="2" t="str">
        <f>"87085990"</f>
        <v>87085990</v>
      </c>
      <c r="D1252" s="2" t="s">
        <v>1109</v>
      </c>
      <c r="E1252" s="4">
        <v>5000</v>
      </c>
    </row>
    <row r="1253" spans="1:5" ht="26.25" x14ac:dyDescent="0.25">
      <c r="A1253" s="2" t="s">
        <v>9</v>
      </c>
      <c r="B1253" s="2" t="str">
        <f>"6924494002002"</f>
        <v>6924494002002</v>
      </c>
      <c r="C1253" s="2" t="str">
        <f>"110660020"</f>
        <v>110660020</v>
      </c>
      <c r="D1253" s="2" t="s">
        <v>1110</v>
      </c>
      <c r="E1253" s="4">
        <v>8300</v>
      </c>
    </row>
    <row r="1254" spans="1:5" ht="26.25" x14ac:dyDescent="0.25">
      <c r="A1254" s="2" t="s">
        <v>9</v>
      </c>
      <c r="B1254" s="2" t="str">
        <f>"79080720"</f>
        <v>79080720</v>
      </c>
      <c r="C1254" s="2" t="str">
        <f>"79080720"</f>
        <v>79080720</v>
      </c>
      <c r="D1254" s="2" t="s">
        <v>1111</v>
      </c>
      <c r="E1254" s="4">
        <v>3000</v>
      </c>
    </row>
    <row r="1255" spans="1:5" ht="26.25" x14ac:dyDescent="0.25">
      <c r="A1255" s="2" t="s">
        <v>9</v>
      </c>
      <c r="B1255" s="2" t="str">
        <f>"86080700"</f>
        <v>86080700</v>
      </c>
      <c r="C1255" s="2" t="str">
        <f>"86080700"</f>
        <v>86080700</v>
      </c>
      <c r="D1255" s="2" t="s">
        <v>1112</v>
      </c>
      <c r="E1255" s="4">
        <v>4900</v>
      </c>
    </row>
    <row r="1256" spans="1:5" ht="26.25" x14ac:dyDescent="0.25">
      <c r="A1256" s="2" t="s">
        <v>9</v>
      </c>
      <c r="B1256" s="2" t="str">
        <f>"6789033343400"</f>
        <v>6789033343400</v>
      </c>
      <c r="C1256" s="2" t="str">
        <f>"10081221"</f>
        <v>10081221</v>
      </c>
      <c r="D1256" s="2" t="s">
        <v>1113</v>
      </c>
      <c r="E1256" s="4">
        <v>3500</v>
      </c>
    </row>
    <row r="1257" spans="1:5" ht="26.25" x14ac:dyDescent="0.25">
      <c r="A1257" s="2" t="s">
        <v>9</v>
      </c>
      <c r="B1257" s="2" t="str">
        <f>"5626890042828"</f>
        <v>5626890042828</v>
      </c>
      <c r="C1257" s="2" t="str">
        <f>"280893055"</f>
        <v>280893055</v>
      </c>
      <c r="D1257" s="2" t="s">
        <v>1114</v>
      </c>
      <c r="E1257" s="4">
        <v>3000</v>
      </c>
    </row>
    <row r="1258" spans="1:5" ht="26.25" x14ac:dyDescent="0.25">
      <c r="A1258" s="2" t="s">
        <v>9</v>
      </c>
      <c r="B1258" s="2" t="str">
        <f>"10000147"</f>
        <v>10000147</v>
      </c>
      <c r="C1258" s="2" t="str">
        <f>"10000147"</f>
        <v>10000147</v>
      </c>
      <c r="D1258" s="2" t="s">
        <v>1115</v>
      </c>
      <c r="E1258" s="4">
        <v>2000</v>
      </c>
    </row>
    <row r="1259" spans="1:5" ht="26.25" x14ac:dyDescent="0.25">
      <c r="A1259" s="2" t="s">
        <v>9</v>
      </c>
      <c r="B1259" s="2" t="str">
        <f>"10000661"</f>
        <v>10000661</v>
      </c>
      <c r="C1259" s="2" t="str">
        <f>"10000661"</f>
        <v>10000661</v>
      </c>
      <c r="D1259" s="2" t="s">
        <v>1116</v>
      </c>
      <c r="E1259" s="4">
        <v>2000</v>
      </c>
    </row>
    <row r="1260" spans="1:5" ht="26.25" x14ac:dyDescent="0.25">
      <c r="A1260" s="2" t="s">
        <v>9</v>
      </c>
      <c r="B1260" s="2" t="str">
        <f>"46170714"</f>
        <v>46170714</v>
      </c>
      <c r="C1260" s="2" t="str">
        <f>"46170714"</f>
        <v>46170714</v>
      </c>
      <c r="D1260" s="2" t="s">
        <v>1117</v>
      </c>
      <c r="E1260" s="4">
        <v>7500</v>
      </c>
    </row>
    <row r="1261" spans="1:5" ht="26.25" x14ac:dyDescent="0.25">
      <c r="A1261" s="2" t="s">
        <v>9</v>
      </c>
      <c r="B1261" s="2" t="str">
        <f>"46170715"</f>
        <v>46170715</v>
      </c>
      <c r="C1261" s="2" t="str">
        <f>"46170715"</f>
        <v>46170715</v>
      </c>
      <c r="D1261" s="2" t="s">
        <v>1118</v>
      </c>
      <c r="E1261" s="4">
        <v>7500</v>
      </c>
    </row>
    <row r="1262" spans="1:5" ht="26.25" x14ac:dyDescent="0.25">
      <c r="A1262" s="2" t="s">
        <v>9</v>
      </c>
      <c r="B1262" s="2" t="str">
        <f>"3325201511641"</f>
        <v>3325201511641</v>
      </c>
      <c r="C1262" s="2" t="str">
        <f>"41080715"</f>
        <v>41080715</v>
      </c>
      <c r="D1262" s="2" t="s">
        <v>1118</v>
      </c>
      <c r="E1262" s="4">
        <v>3500</v>
      </c>
    </row>
    <row r="1263" spans="1:5" ht="26.25" x14ac:dyDescent="0.25">
      <c r="A1263" s="2" t="s">
        <v>9</v>
      </c>
      <c r="B1263" s="2" t="str">
        <f>"3008894"</f>
        <v>3008894</v>
      </c>
      <c r="C1263" s="2" t="str">
        <f>"3008894"</f>
        <v>3008894</v>
      </c>
      <c r="D1263" s="2" t="s">
        <v>1119</v>
      </c>
      <c r="E1263" s="4">
        <v>11500</v>
      </c>
    </row>
    <row r="1264" spans="1:5" ht="26.25" x14ac:dyDescent="0.25">
      <c r="A1264" s="2" t="s">
        <v>9</v>
      </c>
      <c r="B1264" s="2" t="str">
        <f>"41080717"</f>
        <v>41080717</v>
      </c>
      <c r="C1264" s="2" t="str">
        <f>"41080717"</f>
        <v>41080717</v>
      </c>
      <c r="D1264" s="2" t="s">
        <v>1120</v>
      </c>
      <c r="E1264" s="4">
        <v>8500</v>
      </c>
    </row>
    <row r="1265" spans="1:5" ht="26.25" x14ac:dyDescent="0.25">
      <c r="A1265" s="2" t="s">
        <v>9</v>
      </c>
      <c r="B1265" s="2" t="str">
        <f>"6974680032337"</f>
        <v>6974680032337</v>
      </c>
      <c r="C1265" s="2" t="str">
        <f>"10084198"</f>
        <v>10084198</v>
      </c>
      <c r="D1265" s="2" t="s">
        <v>1121</v>
      </c>
      <c r="E1265" s="4">
        <v>3000</v>
      </c>
    </row>
    <row r="1266" spans="1:5" ht="26.25" x14ac:dyDescent="0.25">
      <c r="A1266" s="2" t="s">
        <v>9</v>
      </c>
      <c r="B1266" s="2" t="str">
        <f>"86080717"</f>
        <v>86080717</v>
      </c>
      <c r="C1266" s="2" t="str">
        <f>"86080717"</f>
        <v>86080717</v>
      </c>
      <c r="D1266" s="2" t="s">
        <v>1122</v>
      </c>
      <c r="E1266" s="4">
        <v>1900</v>
      </c>
    </row>
    <row r="1267" spans="1:5" ht="26.25" x14ac:dyDescent="0.25">
      <c r="A1267" s="2" t="s">
        <v>9</v>
      </c>
      <c r="B1267" s="2" t="str">
        <f>"88090716"</f>
        <v>88090716</v>
      </c>
      <c r="C1267" s="2" t="str">
        <f>"88090716"</f>
        <v>88090716</v>
      </c>
      <c r="D1267" s="2" t="s">
        <v>1123</v>
      </c>
      <c r="E1267" s="4">
        <v>6000</v>
      </c>
    </row>
    <row r="1268" spans="1:5" ht="26.25" x14ac:dyDescent="0.25">
      <c r="A1268" s="2" t="s">
        <v>9</v>
      </c>
      <c r="B1268" s="2" t="str">
        <f>"6988889995553"</f>
        <v>6988889995553</v>
      </c>
      <c r="C1268" s="2" t="str">
        <f>"10004198"</f>
        <v>10004198</v>
      </c>
      <c r="D1268" s="2" t="s">
        <v>1124</v>
      </c>
      <c r="E1268" s="4">
        <v>3000</v>
      </c>
    </row>
    <row r="1269" spans="1:5" ht="26.25" x14ac:dyDescent="0.25">
      <c r="A1269" s="2" t="s">
        <v>9</v>
      </c>
      <c r="B1269" s="2" t="str">
        <f>"300810495"</f>
        <v>300810495</v>
      </c>
      <c r="C1269" s="2" t="str">
        <f>"300810495"</f>
        <v>300810495</v>
      </c>
      <c r="D1269" s="2" t="s">
        <v>1125</v>
      </c>
      <c r="E1269" s="4">
        <v>19900</v>
      </c>
    </row>
    <row r="1270" spans="1:5" ht="26.25" x14ac:dyDescent="0.25">
      <c r="A1270" s="2" t="s">
        <v>9</v>
      </c>
      <c r="B1270" s="2" t="str">
        <f>"10001205"</f>
        <v>10001205</v>
      </c>
      <c r="C1270" s="2" t="str">
        <f>"10001205"</f>
        <v>10001205</v>
      </c>
      <c r="D1270" s="2" t="s">
        <v>1126</v>
      </c>
      <c r="E1270" s="4">
        <v>3500</v>
      </c>
    </row>
    <row r="1271" spans="1:5" ht="26.25" x14ac:dyDescent="0.25">
      <c r="A1271" s="2" t="s">
        <v>9</v>
      </c>
      <c r="B1271" s="2" t="str">
        <f>"8017040505725"</f>
        <v>8017040505725</v>
      </c>
      <c r="C1271" s="2" t="str">
        <f>"30089414"</f>
        <v>30089414</v>
      </c>
      <c r="D1271" s="2" t="s">
        <v>1127</v>
      </c>
      <c r="E1271" s="4">
        <v>9950</v>
      </c>
    </row>
    <row r="1272" spans="1:5" ht="26.25" x14ac:dyDescent="0.25">
      <c r="A1272" s="2" t="s">
        <v>9</v>
      </c>
      <c r="B1272" s="2" t="str">
        <f>"66791339"</f>
        <v>66791339</v>
      </c>
      <c r="C1272" s="2" t="str">
        <f>"66791339"</f>
        <v>66791339</v>
      </c>
      <c r="D1272" s="2" t="s">
        <v>1128</v>
      </c>
      <c r="E1272" s="4">
        <v>11500</v>
      </c>
    </row>
    <row r="1273" spans="1:5" ht="26.25" x14ac:dyDescent="0.25">
      <c r="A1273" s="2" t="s">
        <v>9</v>
      </c>
      <c r="B1273" s="2" t="str">
        <f>"1719121"</f>
        <v>1719121</v>
      </c>
      <c r="C1273" s="2" t="str">
        <f>"76080285"</f>
        <v>76080285</v>
      </c>
      <c r="D1273" s="2" t="s">
        <v>1129</v>
      </c>
      <c r="E1273" s="4">
        <v>2600</v>
      </c>
    </row>
    <row r="1274" spans="1:5" ht="26.25" x14ac:dyDescent="0.25">
      <c r="A1274" s="2" t="s">
        <v>9</v>
      </c>
      <c r="B1274" s="2" t="str">
        <f>"303010495"</f>
        <v>303010495</v>
      </c>
      <c r="C1274" s="2" t="str">
        <f>"303010495"</f>
        <v>303010495</v>
      </c>
      <c r="D1274" s="2" t="s">
        <v>1130</v>
      </c>
      <c r="E1274" s="4">
        <v>19500</v>
      </c>
    </row>
    <row r="1275" spans="1:5" ht="26.25" x14ac:dyDescent="0.25">
      <c r="A1275" s="2" t="s">
        <v>9</v>
      </c>
      <c r="B1275" s="2" t="str">
        <f>"86080716"</f>
        <v>86080716</v>
      </c>
      <c r="C1275" s="2" t="str">
        <f>"86080716"</f>
        <v>86080716</v>
      </c>
      <c r="D1275" s="2" t="s">
        <v>1131</v>
      </c>
      <c r="E1275" s="4">
        <v>1500</v>
      </c>
    </row>
    <row r="1276" spans="1:5" ht="26.25" x14ac:dyDescent="0.25">
      <c r="A1276" s="2" t="s">
        <v>9</v>
      </c>
      <c r="B1276" s="2" t="str">
        <f>"87000259"</f>
        <v>87000259</v>
      </c>
      <c r="C1276" s="2" t="str">
        <f>"87000259"</f>
        <v>87000259</v>
      </c>
      <c r="D1276" s="2" t="s">
        <v>1132</v>
      </c>
      <c r="E1276" s="4">
        <v>2500</v>
      </c>
    </row>
    <row r="1277" spans="1:5" ht="26.25" x14ac:dyDescent="0.25">
      <c r="A1277" s="2" t="s">
        <v>9</v>
      </c>
      <c r="B1277" s="2" t="str">
        <f>"005140"</f>
        <v>005140</v>
      </c>
      <c r="C1277" s="2" t="str">
        <f>"33080715"</f>
        <v>33080715</v>
      </c>
      <c r="D1277" s="2" t="s">
        <v>1133</v>
      </c>
      <c r="E1277" s="4">
        <v>15850</v>
      </c>
    </row>
    <row r="1278" spans="1:5" ht="39" x14ac:dyDescent="0.25">
      <c r="A1278" s="2" t="s">
        <v>9</v>
      </c>
      <c r="B1278" s="2" t="str">
        <f>"79ORGMD819"</f>
        <v>79ORGMD819</v>
      </c>
      <c r="C1278" s="2" t="str">
        <f>"79ORGMD819"</f>
        <v>79ORGMD819</v>
      </c>
      <c r="D1278" s="2" t="s">
        <v>1134</v>
      </c>
      <c r="E1278" s="4">
        <v>7500</v>
      </c>
    </row>
    <row r="1279" spans="1:5" ht="26.25" x14ac:dyDescent="0.25">
      <c r="A1279" s="2" t="s">
        <v>20</v>
      </c>
      <c r="B1279" s="2" t="str">
        <f>"40088853"</f>
        <v>40088853</v>
      </c>
      <c r="C1279" s="2" t="str">
        <f>"40088853"</f>
        <v>40088853</v>
      </c>
      <c r="D1279" s="2" t="s">
        <v>1135</v>
      </c>
      <c r="E1279" s="4">
        <v>3000</v>
      </c>
    </row>
    <row r="1280" spans="1:5" ht="26.25" x14ac:dyDescent="0.25">
      <c r="A1280" s="2" t="s">
        <v>9</v>
      </c>
      <c r="B1280" s="2" t="str">
        <f>"8435350768430"</f>
        <v>8435350768430</v>
      </c>
      <c r="C1280" s="2" t="str">
        <f>"85080103"</f>
        <v>85080103</v>
      </c>
      <c r="D1280" s="2" t="s">
        <v>1136</v>
      </c>
      <c r="E1280" s="4">
        <v>5500</v>
      </c>
    </row>
    <row r="1281" spans="1:5" ht="26.25" x14ac:dyDescent="0.25">
      <c r="A1281" s="2" t="s">
        <v>9</v>
      </c>
      <c r="B1281" s="2" t="str">
        <f>"860807253"</f>
        <v>860807253</v>
      </c>
      <c r="C1281" s="2" t="str">
        <f>"860807253"</f>
        <v>860807253</v>
      </c>
      <c r="D1281" s="2" t="s">
        <v>1137</v>
      </c>
      <c r="E1281" s="4">
        <v>8500</v>
      </c>
    </row>
    <row r="1282" spans="1:5" ht="26.25" x14ac:dyDescent="0.25">
      <c r="A1282" s="2" t="s">
        <v>9</v>
      </c>
      <c r="B1282" s="2" t="str">
        <f>"33085140"</f>
        <v>33085140</v>
      </c>
      <c r="C1282" s="2" t="str">
        <f>"33085140"</f>
        <v>33085140</v>
      </c>
      <c r="D1282" s="2" t="s">
        <v>1138</v>
      </c>
      <c r="E1282" s="4">
        <v>19500</v>
      </c>
    </row>
    <row r="1283" spans="1:5" ht="26.25" x14ac:dyDescent="0.25">
      <c r="A1283" s="2" t="s">
        <v>9</v>
      </c>
      <c r="B1283" s="2" t="str">
        <f>"7858816066870"</f>
        <v>7858816066870</v>
      </c>
      <c r="C1283" s="2" t="str">
        <f>"87086687"</f>
        <v>87086687</v>
      </c>
      <c r="D1283" s="2" t="s">
        <v>1139</v>
      </c>
      <c r="E1283" s="4">
        <v>4500</v>
      </c>
    </row>
    <row r="1284" spans="1:5" ht="26.25" x14ac:dyDescent="0.25">
      <c r="A1284" s="2" t="s">
        <v>9</v>
      </c>
      <c r="B1284" s="2" t="str">
        <f>"49081400"</f>
        <v>49081400</v>
      </c>
      <c r="C1284" s="2" t="str">
        <f>"49081400"</f>
        <v>49081400</v>
      </c>
      <c r="D1284" s="2" t="s">
        <v>1140</v>
      </c>
      <c r="E1284" s="4">
        <v>9500</v>
      </c>
    </row>
    <row r="1285" spans="1:5" ht="26.25" x14ac:dyDescent="0.25">
      <c r="A1285" s="2" t="s">
        <v>9</v>
      </c>
      <c r="B1285" s="2" t="str">
        <f>"49080716"</f>
        <v>49080716</v>
      </c>
      <c r="C1285" s="2" t="str">
        <f>"49080716"</f>
        <v>49080716</v>
      </c>
      <c r="D1285" s="2" t="s">
        <v>1141</v>
      </c>
      <c r="E1285" s="4">
        <v>6500</v>
      </c>
    </row>
    <row r="1286" spans="1:5" ht="26.25" x14ac:dyDescent="0.25">
      <c r="A1286" s="2" t="s">
        <v>9</v>
      </c>
      <c r="B1286" s="2" t="str">
        <f>"507241"</f>
        <v>507241</v>
      </c>
      <c r="C1286" s="2" t="str">
        <f>"76127241"</f>
        <v>76127241</v>
      </c>
      <c r="D1286" s="2" t="s">
        <v>1142</v>
      </c>
      <c r="E1286" s="4">
        <v>8500</v>
      </c>
    </row>
    <row r="1287" spans="1:5" ht="26.25" x14ac:dyDescent="0.25">
      <c r="A1287" s="2" t="s">
        <v>9</v>
      </c>
      <c r="B1287" s="2" t="str">
        <f>"7858816016332"</f>
        <v>7858816016332</v>
      </c>
      <c r="C1287" s="2" t="str">
        <f>"87081633"</f>
        <v>87081633</v>
      </c>
      <c r="D1287" s="2" t="s">
        <v>1143</v>
      </c>
      <c r="E1287" s="4">
        <v>5900</v>
      </c>
    </row>
    <row r="1288" spans="1:5" ht="26.25" x14ac:dyDescent="0.25">
      <c r="A1288" s="2" t="s">
        <v>20</v>
      </c>
      <c r="B1288" s="2" t="str">
        <f>"8712581622558"</f>
        <v>8712581622558</v>
      </c>
      <c r="C1288" s="2" t="str">
        <f>"98081604"</f>
        <v>98081604</v>
      </c>
      <c r="D1288" s="2" t="s">
        <v>1144</v>
      </c>
      <c r="E1288" s="4">
        <v>7500</v>
      </c>
    </row>
    <row r="1289" spans="1:5" ht="26.25" x14ac:dyDescent="0.25">
      <c r="A1289" s="2" t="s">
        <v>9</v>
      </c>
      <c r="B1289" s="2" t="str">
        <f>"45170500"</f>
        <v>45170500</v>
      </c>
      <c r="C1289" s="2" t="str">
        <f>"45170500"</f>
        <v>45170500</v>
      </c>
      <c r="D1289" s="2" t="s">
        <v>1145</v>
      </c>
      <c r="E1289" s="4">
        <v>3000</v>
      </c>
    </row>
    <row r="1290" spans="1:5" ht="26.25" x14ac:dyDescent="0.25">
      <c r="A1290" s="2" t="s">
        <v>30</v>
      </c>
      <c r="B1290" s="2" t="str">
        <f>"4710007713204"</f>
        <v>4710007713204</v>
      </c>
      <c r="C1290" s="2" t="str">
        <f>"65083204"</f>
        <v>65083204</v>
      </c>
      <c r="D1290" s="2" t="s">
        <v>1146</v>
      </c>
      <c r="E1290" s="4">
        <v>15900</v>
      </c>
    </row>
    <row r="1291" spans="1:5" ht="26.25" x14ac:dyDescent="0.25">
      <c r="A1291" s="2" t="s">
        <v>20</v>
      </c>
      <c r="B1291" s="2" t="str">
        <f>"7858816052118"</f>
        <v>7858816052118</v>
      </c>
      <c r="C1291" s="2" t="str">
        <f>"87085211"</f>
        <v>87085211</v>
      </c>
      <c r="D1291" s="2" t="s">
        <v>1147</v>
      </c>
      <c r="E1291" s="4">
        <v>3000</v>
      </c>
    </row>
    <row r="1292" spans="1:5" ht="26.25" x14ac:dyDescent="0.25">
      <c r="A1292" s="2" t="s">
        <v>20</v>
      </c>
      <c r="B1292" s="2" t="str">
        <f>"8712581622565"</f>
        <v>8712581622565</v>
      </c>
      <c r="C1292" s="2" t="str">
        <f>"98082472"</f>
        <v>98082472</v>
      </c>
      <c r="D1292" s="2" t="s">
        <v>1148</v>
      </c>
      <c r="E1292" s="4">
        <v>7500</v>
      </c>
    </row>
    <row r="1293" spans="1:5" ht="26.25" x14ac:dyDescent="0.25">
      <c r="A1293" s="2" t="s">
        <v>20</v>
      </c>
      <c r="B1293" s="2" t="str">
        <f>"5620000931774"</f>
        <v>5620000931774</v>
      </c>
      <c r="C1293" s="2" t="str">
        <f>"280893177"</f>
        <v>280893177</v>
      </c>
      <c r="D1293" s="2" t="s">
        <v>1149</v>
      </c>
      <c r="E1293" s="4">
        <v>2000</v>
      </c>
    </row>
    <row r="1294" spans="1:5" ht="26.25" x14ac:dyDescent="0.25">
      <c r="A1294" s="2" t="s">
        <v>20</v>
      </c>
      <c r="B1294" s="2" t="str">
        <f>"6686996002392"</f>
        <v>6686996002392</v>
      </c>
      <c r="C1294" s="2" t="str">
        <f>"40080920"</f>
        <v>40080920</v>
      </c>
      <c r="D1294" s="2" t="s">
        <v>1150</v>
      </c>
      <c r="E1294" s="4">
        <v>3000</v>
      </c>
    </row>
    <row r="1295" spans="1:5" ht="26.25" x14ac:dyDescent="0.25">
      <c r="A1295" s="2" t="s">
        <v>20</v>
      </c>
      <c r="B1295" s="2" t="str">
        <f>"6686996002408"</f>
        <v>6686996002408</v>
      </c>
      <c r="C1295" s="2" t="str">
        <f>"40082029"</f>
        <v>40082029</v>
      </c>
      <c r="D1295" s="2" t="s">
        <v>1151</v>
      </c>
      <c r="E1295" s="4">
        <v>4500</v>
      </c>
    </row>
    <row r="1296" spans="1:5" ht="26.25" x14ac:dyDescent="0.25">
      <c r="A1296" s="2" t="s">
        <v>20</v>
      </c>
      <c r="B1296" s="2" t="str">
        <f>"10080575"</f>
        <v>10080575</v>
      </c>
      <c r="C1296" s="2" t="str">
        <f>"10080575"</f>
        <v>10080575</v>
      </c>
      <c r="D1296" s="2" t="s">
        <v>1152</v>
      </c>
      <c r="E1296" s="4">
        <v>3000</v>
      </c>
    </row>
    <row r="1297" spans="1:5" ht="26.25" x14ac:dyDescent="0.25">
      <c r="A1297" s="2" t="s">
        <v>20</v>
      </c>
      <c r="B1297" s="2" t="str">
        <f>"7858816060113"</f>
        <v>7858816060113</v>
      </c>
      <c r="C1297" s="2" t="str">
        <f>"87086011"</f>
        <v>87086011</v>
      </c>
      <c r="D1297" s="2" t="s">
        <v>1153</v>
      </c>
      <c r="E1297" s="4">
        <v>3500</v>
      </c>
    </row>
    <row r="1298" spans="1:5" ht="26.25" x14ac:dyDescent="0.25">
      <c r="A1298" s="2" t="s">
        <v>20</v>
      </c>
      <c r="B1298" s="2" t="str">
        <f>"7858816044731"</f>
        <v>7858816044731</v>
      </c>
      <c r="C1298" s="2" t="str">
        <f>"87084473"</f>
        <v>87084473</v>
      </c>
      <c r="D1298" s="2" t="s">
        <v>1154</v>
      </c>
      <c r="E1298" s="4">
        <v>3900</v>
      </c>
    </row>
    <row r="1299" spans="1:5" ht="26.25" x14ac:dyDescent="0.25">
      <c r="A1299" s="2" t="s">
        <v>20</v>
      </c>
      <c r="B1299" s="2" t="str">
        <f>"8765301244561"</f>
        <v>8765301244561</v>
      </c>
      <c r="C1299" s="2" t="str">
        <f>"31TLK00218"</f>
        <v>31TLK00218</v>
      </c>
      <c r="D1299" s="2" t="s">
        <v>1155</v>
      </c>
      <c r="E1299" s="4">
        <v>4500</v>
      </c>
    </row>
    <row r="1300" spans="1:5" ht="26.25" x14ac:dyDescent="0.25">
      <c r="A1300" s="2" t="s">
        <v>9</v>
      </c>
      <c r="B1300" s="2" t="str">
        <f>"57080700"</f>
        <v>57080700</v>
      </c>
      <c r="C1300" s="2" t="str">
        <f>"57080700"</f>
        <v>57080700</v>
      </c>
      <c r="D1300" s="2" t="s">
        <v>1156</v>
      </c>
      <c r="E1300" s="4">
        <v>15990</v>
      </c>
    </row>
    <row r="1301" spans="1:5" ht="26.25" x14ac:dyDescent="0.25">
      <c r="A1301" s="2" t="s">
        <v>9</v>
      </c>
      <c r="B1301" s="2" t="str">
        <f>"6922175183354"</f>
        <v>6922175183354</v>
      </c>
      <c r="C1301" s="2" t="str">
        <f>"110110184"</f>
        <v>110110184</v>
      </c>
      <c r="D1301" s="2" t="s">
        <v>1157</v>
      </c>
      <c r="E1301" s="4">
        <v>3000</v>
      </c>
    </row>
    <row r="1302" spans="1:5" ht="26.25" x14ac:dyDescent="0.25">
      <c r="A1302" s="2" t="s">
        <v>9</v>
      </c>
      <c r="B1302" s="2" t="str">
        <f>"87011955"</f>
        <v>87011955</v>
      </c>
      <c r="C1302" s="2" t="str">
        <f>"87011955"</f>
        <v>87011955</v>
      </c>
      <c r="D1302" s="2" t="s">
        <v>1158</v>
      </c>
      <c r="E1302" s="4">
        <v>3000</v>
      </c>
    </row>
    <row r="1303" spans="1:5" ht="26.25" x14ac:dyDescent="0.25">
      <c r="A1303" s="2" t="s">
        <v>20</v>
      </c>
      <c r="B1303" s="2" t="str">
        <f>"5620000011216"</f>
        <v>5620000011216</v>
      </c>
      <c r="C1303" s="2" t="str">
        <f>"28081121"</f>
        <v>28081121</v>
      </c>
      <c r="D1303" s="2" t="s">
        <v>1159</v>
      </c>
      <c r="E1303" s="4">
        <v>1500</v>
      </c>
    </row>
    <row r="1304" spans="1:5" ht="26.25" x14ac:dyDescent="0.25">
      <c r="A1304" s="2" t="s">
        <v>20</v>
      </c>
      <c r="B1304" s="2" t="str">
        <f>"5626890011084"</f>
        <v>5626890011084</v>
      </c>
      <c r="C1304" s="2" t="str">
        <f>"280893061"</f>
        <v>280893061</v>
      </c>
      <c r="D1304" s="2" t="s">
        <v>1160</v>
      </c>
      <c r="E1304" s="4">
        <v>1600</v>
      </c>
    </row>
    <row r="1305" spans="1:5" ht="26.25" x14ac:dyDescent="0.25">
      <c r="A1305" s="2" t="s">
        <v>20</v>
      </c>
      <c r="B1305" s="2" t="str">
        <f>"6686996001500"</f>
        <v>6686996001500</v>
      </c>
      <c r="C1305" s="2" t="str">
        <f>"40081500"</f>
        <v>40081500</v>
      </c>
      <c r="D1305" s="2" t="s">
        <v>1161</v>
      </c>
      <c r="E1305" s="4">
        <v>2500</v>
      </c>
    </row>
    <row r="1306" spans="1:5" ht="26.25" x14ac:dyDescent="0.25">
      <c r="A1306" s="2" t="s">
        <v>20</v>
      </c>
      <c r="B1306" s="2" t="str">
        <f>"766623333405"</f>
        <v>766623333405</v>
      </c>
      <c r="C1306" s="2" t="str">
        <f>"56083405"</f>
        <v>56083405</v>
      </c>
      <c r="D1306" s="2" t="s">
        <v>1162</v>
      </c>
      <c r="E1306" s="4">
        <v>3000</v>
      </c>
    </row>
    <row r="1307" spans="1:5" ht="26.25" x14ac:dyDescent="0.25">
      <c r="A1307" s="2" t="s">
        <v>20</v>
      </c>
      <c r="B1307" s="2" t="str">
        <f>"798302167155"</f>
        <v>798302167155</v>
      </c>
      <c r="C1307" s="2" t="str">
        <f>"92080307"</f>
        <v>92080307</v>
      </c>
      <c r="D1307" s="2" t="s">
        <v>1163</v>
      </c>
      <c r="E1307" s="4">
        <v>2500</v>
      </c>
    </row>
    <row r="1308" spans="1:5" ht="26.25" x14ac:dyDescent="0.25">
      <c r="A1308" s="2" t="s">
        <v>20</v>
      </c>
      <c r="B1308" s="2" t="str">
        <f>"798302167117"</f>
        <v>798302167117</v>
      </c>
      <c r="C1308" s="2" t="str">
        <f>"92080303"</f>
        <v>92080303</v>
      </c>
      <c r="D1308" s="2" t="s">
        <v>1164</v>
      </c>
      <c r="E1308" s="4">
        <v>3000</v>
      </c>
    </row>
    <row r="1309" spans="1:5" ht="26.25" x14ac:dyDescent="0.25">
      <c r="A1309" s="2" t="s">
        <v>20</v>
      </c>
      <c r="B1309" s="2" t="str">
        <f>"766623340458"</f>
        <v>766623340458</v>
      </c>
      <c r="C1309" s="2" t="str">
        <f>"56080458"</f>
        <v>56080458</v>
      </c>
      <c r="D1309" s="2" t="s">
        <v>1165</v>
      </c>
      <c r="E1309" s="4">
        <v>4500</v>
      </c>
    </row>
    <row r="1310" spans="1:5" ht="26.25" x14ac:dyDescent="0.25">
      <c r="A1310" s="2" t="s">
        <v>20</v>
      </c>
      <c r="B1310" s="2" t="str">
        <f>"10006565"</f>
        <v>10006565</v>
      </c>
      <c r="C1310" s="2" t="str">
        <f>"10006565"</f>
        <v>10006565</v>
      </c>
      <c r="D1310" s="2" t="s">
        <v>1166</v>
      </c>
      <c r="E1310" s="4">
        <v>2000</v>
      </c>
    </row>
    <row r="1311" spans="1:5" ht="26.25" x14ac:dyDescent="0.25">
      <c r="A1311" s="2" t="s">
        <v>20</v>
      </c>
      <c r="B1311" s="2" t="str">
        <f>"7858816014918"</f>
        <v>7858816014918</v>
      </c>
      <c r="C1311" s="2" t="str">
        <f>"87081491"</f>
        <v>87081491</v>
      </c>
      <c r="D1311" s="2" t="s">
        <v>1167</v>
      </c>
      <c r="E1311" s="4">
        <v>2500</v>
      </c>
    </row>
    <row r="1312" spans="1:5" ht="26.25" x14ac:dyDescent="0.25">
      <c r="A1312" s="2" t="s">
        <v>20</v>
      </c>
      <c r="B1312" s="2" t="str">
        <f>"10002775"</f>
        <v>10002775</v>
      </c>
      <c r="C1312" s="2" t="str">
        <f>"10002775"</f>
        <v>10002775</v>
      </c>
      <c r="D1312" s="2" t="s">
        <v>1168</v>
      </c>
      <c r="E1312" s="4">
        <v>2100</v>
      </c>
    </row>
    <row r="1313" spans="1:5" ht="26.25" x14ac:dyDescent="0.25">
      <c r="A1313" s="2" t="s">
        <v>9</v>
      </c>
      <c r="B1313" s="2" t="str">
        <f>"10110142"</f>
        <v>10110142</v>
      </c>
      <c r="C1313" s="2" t="str">
        <f>"10110142"</f>
        <v>10110142</v>
      </c>
      <c r="D1313" s="2" t="s">
        <v>1169</v>
      </c>
      <c r="E1313" s="4">
        <v>2000</v>
      </c>
    </row>
    <row r="1314" spans="1:5" ht="26.25" x14ac:dyDescent="0.25">
      <c r="A1314" s="2" t="s">
        <v>9</v>
      </c>
      <c r="B1314" s="2" t="str">
        <f>"42600130"</f>
        <v>42600130</v>
      </c>
      <c r="C1314" s="2" t="str">
        <f>"42600130"</f>
        <v>42600130</v>
      </c>
      <c r="D1314" s="2" t="s">
        <v>1170</v>
      </c>
      <c r="E1314" s="4">
        <v>10500</v>
      </c>
    </row>
    <row r="1315" spans="1:5" ht="26.25" x14ac:dyDescent="0.25">
      <c r="A1315" s="2" t="s">
        <v>9</v>
      </c>
      <c r="B1315" s="2" t="str">
        <f>"4558522025255"</f>
        <v>4558522025255</v>
      </c>
      <c r="C1315" s="2" t="str">
        <f>"10082520"</f>
        <v>10082520</v>
      </c>
      <c r="D1315" s="2" t="s">
        <v>1171</v>
      </c>
      <c r="E1315" s="4">
        <v>3500</v>
      </c>
    </row>
    <row r="1316" spans="1:5" ht="26.25" x14ac:dyDescent="0.25">
      <c r="A1316" s="2" t="s">
        <v>20</v>
      </c>
      <c r="B1316" s="2" t="str">
        <f>"4558522785180"</f>
        <v>4558522785180</v>
      </c>
      <c r="C1316" s="2" t="str">
        <f>"10082149"</f>
        <v>10082149</v>
      </c>
      <c r="D1316" s="2" t="s">
        <v>1172</v>
      </c>
      <c r="E1316" s="4">
        <v>6500</v>
      </c>
    </row>
    <row r="1317" spans="1:5" ht="26.25" x14ac:dyDescent="0.25">
      <c r="A1317" s="2" t="s">
        <v>9</v>
      </c>
      <c r="B1317" s="2" t="str">
        <f>"87000336"</f>
        <v>87000336</v>
      </c>
      <c r="C1317" s="2" t="str">
        <f>"87000336"</f>
        <v>87000336</v>
      </c>
      <c r="D1317" s="2" t="s">
        <v>1173</v>
      </c>
      <c r="E1317" s="4">
        <v>2500</v>
      </c>
    </row>
    <row r="1318" spans="1:5" ht="26.25" x14ac:dyDescent="0.25">
      <c r="A1318" s="2" t="s">
        <v>9</v>
      </c>
      <c r="B1318" s="2" t="str">
        <f>"87001034"</f>
        <v>87001034</v>
      </c>
      <c r="C1318" s="2" t="str">
        <f>"87001034"</f>
        <v>87001034</v>
      </c>
      <c r="D1318" s="2" t="s">
        <v>1174</v>
      </c>
      <c r="E1318" s="4">
        <v>3500</v>
      </c>
    </row>
    <row r="1319" spans="1:5" ht="26.25" x14ac:dyDescent="0.25">
      <c r="A1319" s="2" t="s">
        <v>9</v>
      </c>
      <c r="B1319" s="2" t="str">
        <f>"10003429"</f>
        <v>10003429</v>
      </c>
      <c r="C1319" s="2" t="str">
        <f>"10003429"</f>
        <v>10003429</v>
      </c>
      <c r="D1319" s="2" t="s">
        <v>1175</v>
      </c>
      <c r="E1319" s="4">
        <v>7000</v>
      </c>
    </row>
    <row r="1320" spans="1:5" ht="26.25" x14ac:dyDescent="0.25">
      <c r="A1320" s="2" t="s">
        <v>9</v>
      </c>
      <c r="B1320" s="2" t="str">
        <f>"10004014"</f>
        <v>10004014</v>
      </c>
      <c r="C1320" s="2" t="str">
        <f>"10004014"</f>
        <v>10004014</v>
      </c>
      <c r="D1320" s="2" t="s">
        <v>1176</v>
      </c>
      <c r="E1320" s="4">
        <v>3000</v>
      </c>
    </row>
    <row r="1321" spans="1:5" ht="26.25" x14ac:dyDescent="0.25">
      <c r="A1321" s="2" t="s">
        <v>9</v>
      </c>
      <c r="B1321" s="2" t="str">
        <f>"10017004"</f>
        <v>10017004</v>
      </c>
      <c r="C1321" s="2" t="str">
        <f>"10017004"</f>
        <v>10017004</v>
      </c>
      <c r="D1321" s="2" t="s">
        <v>1177</v>
      </c>
      <c r="E1321" s="4">
        <v>2000</v>
      </c>
    </row>
    <row r="1322" spans="1:5" ht="26.25" x14ac:dyDescent="0.25">
      <c r="A1322" s="2" t="s">
        <v>20</v>
      </c>
      <c r="B1322" s="2" t="str">
        <f>"98081111"</f>
        <v>98081111</v>
      </c>
      <c r="C1322" s="2" t="str">
        <f>"98081111"</f>
        <v>98081111</v>
      </c>
      <c r="D1322" s="2" t="s">
        <v>1178</v>
      </c>
      <c r="E1322" s="4">
        <v>3990</v>
      </c>
    </row>
    <row r="1323" spans="1:5" ht="26.25" x14ac:dyDescent="0.25">
      <c r="A1323" s="2" t="s">
        <v>20</v>
      </c>
      <c r="B1323" s="2" t="str">
        <f>"6924494001074"</f>
        <v>6924494001074</v>
      </c>
      <c r="C1323" s="2" t="str">
        <f>"32N0000205"</f>
        <v>32N0000205</v>
      </c>
      <c r="D1323" s="2" t="s">
        <v>1179</v>
      </c>
      <c r="E1323" s="4">
        <v>1500</v>
      </c>
    </row>
    <row r="1324" spans="1:5" ht="26.25" x14ac:dyDescent="0.25">
      <c r="A1324" s="2" t="s">
        <v>20</v>
      </c>
      <c r="B1324" s="2" t="str">
        <f>"716829982563"</f>
        <v>716829982563</v>
      </c>
      <c r="C1324" s="2" t="str">
        <f>"32N00BL000"</f>
        <v>32N00BL000</v>
      </c>
      <c r="D1324" s="2" t="s">
        <v>1180</v>
      </c>
      <c r="E1324" s="4">
        <v>1990</v>
      </c>
    </row>
    <row r="1325" spans="1:5" ht="26.25" x14ac:dyDescent="0.25">
      <c r="A1325" s="2" t="s">
        <v>20</v>
      </c>
      <c r="B1325" s="2" t="str">
        <f>"6999017662117"</f>
        <v>6999017662117</v>
      </c>
      <c r="C1325" s="2" t="str">
        <f>"40082117"</f>
        <v>40082117</v>
      </c>
      <c r="D1325" s="2" t="s">
        <v>1181</v>
      </c>
      <c r="E1325" s="4">
        <v>2990</v>
      </c>
    </row>
    <row r="1326" spans="1:5" ht="26.25" x14ac:dyDescent="0.25">
      <c r="A1326" s="2" t="s">
        <v>20</v>
      </c>
      <c r="B1326" s="2" t="str">
        <f>"6925871640428"</f>
        <v>6925871640428</v>
      </c>
      <c r="C1326" s="2" t="str">
        <f>"22084042"</f>
        <v>22084042</v>
      </c>
      <c r="D1326" s="2" t="s">
        <v>1182</v>
      </c>
      <c r="E1326" s="4">
        <v>3000</v>
      </c>
    </row>
    <row r="1327" spans="1:5" ht="26.25" x14ac:dyDescent="0.25">
      <c r="A1327" s="2" t="s">
        <v>20</v>
      </c>
      <c r="B1327" s="2" t="str">
        <f>"7858816041150"</f>
        <v>7858816041150</v>
      </c>
      <c r="C1327" s="2" t="str">
        <f>"87084115"</f>
        <v>87084115</v>
      </c>
      <c r="D1327" s="2" t="s">
        <v>1183</v>
      </c>
      <c r="E1327" s="4">
        <v>3000</v>
      </c>
    </row>
    <row r="1328" spans="1:5" ht="26.25" x14ac:dyDescent="0.25">
      <c r="A1328" s="2" t="s">
        <v>20</v>
      </c>
      <c r="B1328" s="2" t="str">
        <f>"7858816053221"</f>
        <v>7858816053221</v>
      </c>
      <c r="C1328" s="2" t="str">
        <f>"87085322"</f>
        <v>87085322</v>
      </c>
      <c r="D1328" s="2" t="s">
        <v>1184</v>
      </c>
      <c r="E1328" s="4">
        <v>2500</v>
      </c>
    </row>
    <row r="1329" spans="1:5" ht="26.25" x14ac:dyDescent="0.25">
      <c r="A1329" s="2" t="s">
        <v>20</v>
      </c>
      <c r="B1329" s="2" t="str">
        <f>"7858816085192"</f>
        <v>7858816085192</v>
      </c>
      <c r="C1329" s="2" t="str">
        <f>"87088519"</f>
        <v>87088519</v>
      </c>
      <c r="D1329" s="2" t="s">
        <v>1185</v>
      </c>
      <c r="E1329" s="4">
        <v>3000</v>
      </c>
    </row>
    <row r="1330" spans="1:5" ht="26.25" x14ac:dyDescent="0.25">
      <c r="A1330" s="2" t="s">
        <v>20</v>
      </c>
      <c r="B1330" s="2" t="str">
        <f>"798302162426"</f>
        <v>798302162426</v>
      </c>
      <c r="C1330" s="2" t="str">
        <f>"92080212"</f>
        <v>92080212</v>
      </c>
      <c r="D1330" s="2" t="s">
        <v>1186</v>
      </c>
      <c r="E1330" s="4">
        <v>2990</v>
      </c>
    </row>
    <row r="1331" spans="1:5" ht="26.25" x14ac:dyDescent="0.25">
      <c r="A1331" s="2" t="s">
        <v>20</v>
      </c>
      <c r="B1331" s="2" t="str">
        <f>"6905631119005"</f>
        <v>6905631119005</v>
      </c>
      <c r="C1331" s="2" t="str">
        <f>"400811900"</f>
        <v>400811900</v>
      </c>
      <c r="D1331" s="2" t="s">
        <v>1187</v>
      </c>
      <c r="E1331" s="4">
        <v>1500</v>
      </c>
    </row>
    <row r="1332" spans="1:5" ht="26.25" x14ac:dyDescent="0.25">
      <c r="A1332" s="2" t="s">
        <v>20</v>
      </c>
      <c r="B1332" s="2" t="str">
        <f>"7858816085185"</f>
        <v>7858816085185</v>
      </c>
      <c r="C1332" s="2" t="str">
        <f>"87088518"</f>
        <v>87088518</v>
      </c>
      <c r="D1332" s="2" t="s">
        <v>1188</v>
      </c>
      <c r="E1332" s="4">
        <v>3000</v>
      </c>
    </row>
    <row r="1333" spans="1:5" ht="26.25" x14ac:dyDescent="0.25">
      <c r="A1333" s="2" t="s">
        <v>9</v>
      </c>
      <c r="B1333" s="2" t="str">
        <f>"100000142"</f>
        <v>100000142</v>
      </c>
      <c r="C1333" s="2" t="str">
        <f>"100000142"</f>
        <v>100000142</v>
      </c>
      <c r="D1333" s="2" t="s">
        <v>1189</v>
      </c>
      <c r="E1333" s="4">
        <v>2500</v>
      </c>
    </row>
    <row r="1334" spans="1:5" ht="26.25" x14ac:dyDescent="0.25">
      <c r="A1334" s="2" t="s">
        <v>20</v>
      </c>
      <c r="B1334" s="2" t="str">
        <f>"10000142"</f>
        <v>10000142</v>
      </c>
      <c r="C1334" s="2" t="str">
        <f>"10000142"</f>
        <v>10000142</v>
      </c>
      <c r="D1334" s="2" t="s">
        <v>1189</v>
      </c>
      <c r="E1334" s="4">
        <v>1500</v>
      </c>
    </row>
    <row r="1335" spans="1:5" ht="26.25" x14ac:dyDescent="0.25">
      <c r="A1335" s="2" t="s">
        <v>20</v>
      </c>
      <c r="B1335" s="2" t="str">
        <f>"7809601103683"</f>
        <v>7809601103683</v>
      </c>
      <c r="C1335" s="2" t="str">
        <f>"92083110"</f>
        <v>92083110</v>
      </c>
      <c r="D1335" s="2" t="s">
        <v>1190</v>
      </c>
      <c r="E1335" s="4">
        <v>3500</v>
      </c>
    </row>
    <row r="1336" spans="1:5" ht="26.25" x14ac:dyDescent="0.25">
      <c r="A1336" s="2" t="s">
        <v>20</v>
      </c>
      <c r="B1336" s="2" t="str">
        <f>"7168279539256"</f>
        <v>7168279539256</v>
      </c>
      <c r="C1336" s="2" t="str">
        <f>"79PLC539BK"</f>
        <v>79PLC539BK</v>
      </c>
      <c r="D1336" s="2" t="s">
        <v>1191</v>
      </c>
      <c r="E1336" s="4">
        <v>3990</v>
      </c>
    </row>
    <row r="1337" spans="1:5" ht="26.25" x14ac:dyDescent="0.25">
      <c r="A1337" s="2" t="s">
        <v>20</v>
      </c>
      <c r="B1337" s="2" t="str">
        <f>"6925871603041"</f>
        <v>6925871603041</v>
      </c>
      <c r="C1337" s="2" t="str">
        <f>"22084049"</f>
        <v>22084049</v>
      </c>
      <c r="D1337" s="2" t="s">
        <v>1192</v>
      </c>
      <c r="E1337" s="4">
        <v>3500</v>
      </c>
    </row>
    <row r="1338" spans="1:5" ht="26.25" x14ac:dyDescent="0.25">
      <c r="A1338" s="2" t="s">
        <v>20</v>
      </c>
      <c r="B1338" s="2" t="str">
        <f>"766623352857"</f>
        <v>766623352857</v>
      </c>
      <c r="C1338" s="2" t="str">
        <f>"56082857"</f>
        <v>56082857</v>
      </c>
      <c r="D1338" s="2" t="s">
        <v>1193</v>
      </c>
      <c r="E1338" s="4">
        <v>3500</v>
      </c>
    </row>
    <row r="1339" spans="1:5" ht="26.25" x14ac:dyDescent="0.25">
      <c r="A1339" s="2" t="s">
        <v>20</v>
      </c>
      <c r="B1339" s="2" t="str">
        <f>"766623334594"</f>
        <v>766623334594</v>
      </c>
      <c r="C1339" s="2" t="str">
        <f>"56084594"</f>
        <v>56084594</v>
      </c>
      <c r="D1339" s="2" t="s">
        <v>1193</v>
      </c>
      <c r="E1339" s="4">
        <v>3000</v>
      </c>
    </row>
    <row r="1340" spans="1:5" ht="26.25" x14ac:dyDescent="0.25">
      <c r="A1340" s="2" t="s">
        <v>20</v>
      </c>
      <c r="B1340" s="2" t="str">
        <f>"716829762264"</f>
        <v>716829762264</v>
      </c>
      <c r="C1340" s="2" t="str">
        <f>"32N0040205"</f>
        <v>32N0040205</v>
      </c>
      <c r="D1340" s="2" t="s">
        <v>1194</v>
      </c>
      <c r="E1340" s="4">
        <v>3500</v>
      </c>
    </row>
    <row r="1341" spans="1:5" ht="26.25" x14ac:dyDescent="0.25">
      <c r="A1341" s="2" t="s">
        <v>20</v>
      </c>
      <c r="B1341" s="2" t="str">
        <f>"716829762066"</f>
        <v>716829762066</v>
      </c>
      <c r="C1341" s="2" t="str">
        <f>"32N0040203"</f>
        <v>32N0040203</v>
      </c>
      <c r="D1341" s="2" t="s">
        <v>1195</v>
      </c>
      <c r="E1341" s="4">
        <v>3500</v>
      </c>
    </row>
    <row r="1342" spans="1:5" ht="26.25" x14ac:dyDescent="0.25">
      <c r="A1342" s="2" t="s">
        <v>20</v>
      </c>
      <c r="B1342" s="2" t="str">
        <f>"716829762165"</f>
        <v>716829762165</v>
      </c>
      <c r="C1342" s="2" t="str">
        <f>"32N0040204"</f>
        <v>32N0040204</v>
      </c>
      <c r="D1342" s="2" t="s">
        <v>1196</v>
      </c>
      <c r="E1342" s="4">
        <v>3500</v>
      </c>
    </row>
    <row r="1343" spans="1:5" ht="26.25" x14ac:dyDescent="0.25">
      <c r="A1343" s="2" t="s">
        <v>20</v>
      </c>
      <c r="B1343" s="2" t="str">
        <f>"680988500442"</f>
        <v>680988500442</v>
      </c>
      <c r="C1343" s="2" t="str">
        <f>"79MGEL5044"</f>
        <v>79MGEL5044</v>
      </c>
      <c r="D1343" s="2" t="s">
        <v>1197</v>
      </c>
      <c r="E1343" s="4">
        <v>2000</v>
      </c>
    </row>
    <row r="1344" spans="1:5" ht="26.25" x14ac:dyDescent="0.25">
      <c r="A1344" s="2" t="s">
        <v>20</v>
      </c>
      <c r="B1344" s="2" t="str">
        <f>"030878335249"</f>
        <v>030878335249</v>
      </c>
      <c r="C1344" s="2" t="str">
        <f>"31GEL33524"</f>
        <v>31GEL33524</v>
      </c>
      <c r="D1344" s="2" t="s">
        <v>1198</v>
      </c>
      <c r="E1344" s="4">
        <v>4500</v>
      </c>
    </row>
    <row r="1345" spans="1:5" ht="26.25" x14ac:dyDescent="0.25">
      <c r="A1345" s="2" t="s">
        <v>20</v>
      </c>
      <c r="B1345" s="2" t="str">
        <f>"716829932193"</f>
        <v>716829932193</v>
      </c>
      <c r="C1345" s="2" t="str">
        <f>"32N00BL018"</f>
        <v>32N00BL018</v>
      </c>
      <c r="D1345" s="2" t="s">
        <v>1199</v>
      </c>
      <c r="E1345" s="4">
        <v>2500</v>
      </c>
    </row>
    <row r="1346" spans="1:5" ht="26.25" x14ac:dyDescent="0.25">
      <c r="A1346" s="2" t="s">
        <v>9</v>
      </c>
      <c r="B1346" s="2" t="str">
        <f>"10082751"</f>
        <v>10082751</v>
      </c>
      <c r="C1346" s="2" t="str">
        <f>"10082751"</f>
        <v>10082751</v>
      </c>
      <c r="D1346" s="2" t="s">
        <v>1200</v>
      </c>
      <c r="E1346" s="4">
        <v>3500</v>
      </c>
    </row>
    <row r="1347" spans="1:5" ht="26.25" x14ac:dyDescent="0.25">
      <c r="A1347" s="2" t="s">
        <v>20</v>
      </c>
      <c r="B1347" s="2" t="str">
        <f>"7858816085208"</f>
        <v>7858816085208</v>
      </c>
      <c r="C1347" s="2" t="str">
        <f>"87088520"</f>
        <v>87088520</v>
      </c>
      <c r="D1347" s="2" t="s">
        <v>1201</v>
      </c>
      <c r="E1347" s="4">
        <v>3500</v>
      </c>
    </row>
    <row r="1348" spans="1:5" ht="26.25" x14ac:dyDescent="0.25">
      <c r="A1348" s="2" t="s">
        <v>9</v>
      </c>
      <c r="B1348" s="2" t="str">
        <f>"10003576"</f>
        <v>10003576</v>
      </c>
      <c r="C1348" s="2" t="str">
        <f>"10003576"</f>
        <v>10003576</v>
      </c>
      <c r="D1348" s="2" t="s">
        <v>1202</v>
      </c>
      <c r="E1348" s="4">
        <v>3000</v>
      </c>
    </row>
    <row r="1349" spans="1:5" ht="26.25" x14ac:dyDescent="0.25">
      <c r="A1349" s="2" t="s">
        <v>9</v>
      </c>
      <c r="B1349" s="2" t="str">
        <f>"10080142"</f>
        <v>10080142</v>
      </c>
      <c r="C1349" s="2" t="str">
        <f>"10080142"</f>
        <v>10080142</v>
      </c>
      <c r="D1349" s="2" t="s">
        <v>1203</v>
      </c>
      <c r="E1349" s="4">
        <v>2500</v>
      </c>
    </row>
    <row r="1350" spans="1:5" ht="26.25" x14ac:dyDescent="0.25">
      <c r="A1350" s="2" t="s">
        <v>9</v>
      </c>
      <c r="B1350" s="2" t="str">
        <f>"9786988876066"</f>
        <v>9786988876066</v>
      </c>
      <c r="C1350" s="2" t="str">
        <f>"10000606"</f>
        <v>10000606</v>
      </c>
      <c r="D1350" s="2" t="s">
        <v>1204</v>
      </c>
      <c r="E1350" s="4">
        <v>3500</v>
      </c>
    </row>
    <row r="1351" spans="1:5" ht="26.25" x14ac:dyDescent="0.25">
      <c r="A1351" s="2" t="s">
        <v>9</v>
      </c>
      <c r="B1351" s="2" t="str">
        <f>"10000598"</f>
        <v>10000598</v>
      </c>
      <c r="C1351" s="2" t="str">
        <f>"10000598"</f>
        <v>10000598</v>
      </c>
      <c r="D1351" s="2" t="s">
        <v>1205</v>
      </c>
      <c r="E1351" s="4">
        <v>3000</v>
      </c>
    </row>
    <row r="1352" spans="1:5" ht="26.25" x14ac:dyDescent="0.25">
      <c r="A1352" s="2" t="s">
        <v>9</v>
      </c>
      <c r="B1352" s="2" t="str">
        <f>"5626890013576"</f>
        <v>5626890013576</v>
      </c>
      <c r="C1352" s="2" t="str">
        <f>"28081357"</f>
        <v>28081357</v>
      </c>
      <c r="D1352" s="2" t="s">
        <v>1206</v>
      </c>
      <c r="E1352" s="4">
        <v>2500</v>
      </c>
    </row>
    <row r="1353" spans="1:5" ht="26.25" x14ac:dyDescent="0.25">
      <c r="A1353" s="2" t="s">
        <v>20</v>
      </c>
      <c r="B1353" s="2" t="str">
        <f>"2020050060364"</f>
        <v>2020050060364</v>
      </c>
      <c r="C1353" s="2" t="str">
        <f>"18086036"</f>
        <v>18086036</v>
      </c>
      <c r="D1353" s="2" t="s">
        <v>1207</v>
      </c>
      <c r="E1353" s="4">
        <v>4500</v>
      </c>
    </row>
    <row r="1354" spans="1:5" ht="26.25" x14ac:dyDescent="0.25">
      <c r="A1354" s="2" t="s">
        <v>20</v>
      </c>
      <c r="B1354" s="2" t="str">
        <f>"2020050060371"</f>
        <v>2020050060371</v>
      </c>
      <c r="C1354" s="2" t="str">
        <f>"18086037"</f>
        <v>18086037</v>
      </c>
      <c r="D1354" s="2" t="s">
        <v>1208</v>
      </c>
      <c r="E1354" s="4">
        <v>4990</v>
      </c>
    </row>
    <row r="1355" spans="1:5" ht="26.25" x14ac:dyDescent="0.25">
      <c r="A1355" s="2" t="s">
        <v>20</v>
      </c>
      <c r="B1355" s="2" t="str">
        <f>"2020050061118"</f>
        <v>2020050061118</v>
      </c>
      <c r="C1355" s="2" t="str">
        <f>"18086111"</f>
        <v>18086111</v>
      </c>
      <c r="D1355" s="2" t="s">
        <v>1209</v>
      </c>
      <c r="E1355" s="4">
        <v>4000</v>
      </c>
    </row>
    <row r="1356" spans="1:5" ht="26.25" x14ac:dyDescent="0.25">
      <c r="A1356" s="2" t="s">
        <v>20</v>
      </c>
      <c r="B1356" s="2" t="str">
        <f>"2020050061125"</f>
        <v>2020050061125</v>
      </c>
      <c r="C1356" s="2" t="str">
        <f>"18086112"</f>
        <v>18086112</v>
      </c>
      <c r="D1356" s="2" t="s">
        <v>1210</v>
      </c>
      <c r="E1356" s="4">
        <v>4500</v>
      </c>
    </row>
    <row r="1357" spans="1:5" ht="26.25" x14ac:dyDescent="0.25">
      <c r="A1357" s="2" t="s">
        <v>20</v>
      </c>
      <c r="B1357" s="2" t="str">
        <f>"2020050061132"</f>
        <v>2020050061132</v>
      </c>
      <c r="C1357" s="2" t="str">
        <f>"18086113"</f>
        <v>18086113</v>
      </c>
      <c r="D1357" s="2" t="s">
        <v>1211</v>
      </c>
      <c r="E1357" s="4">
        <v>3500</v>
      </c>
    </row>
    <row r="1358" spans="1:5" ht="26.25" x14ac:dyDescent="0.25">
      <c r="A1358" s="2" t="s">
        <v>20</v>
      </c>
      <c r="B1358" s="2" t="str">
        <f>"2020050061156"</f>
        <v>2020050061156</v>
      </c>
      <c r="C1358" s="2" t="str">
        <f>"18086115"</f>
        <v>18086115</v>
      </c>
      <c r="D1358" s="2" t="s">
        <v>1212</v>
      </c>
      <c r="E1358" s="4">
        <v>3500</v>
      </c>
    </row>
    <row r="1359" spans="1:5" ht="26.25" x14ac:dyDescent="0.25">
      <c r="A1359" s="2" t="s">
        <v>20</v>
      </c>
      <c r="B1359" s="2" t="str">
        <f>"2020050061163"</f>
        <v>2020050061163</v>
      </c>
      <c r="C1359" s="2" t="str">
        <f>"18086116"</f>
        <v>18086116</v>
      </c>
      <c r="D1359" s="2" t="s">
        <v>1213</v>
      </c>
      <c r="E1359" s="4">
        <v>4500</v>
      </c>
    </row>
    <row r="1360" spans="1:5" ht="26.25" x14ac:dyDescent="0.25">
      <c r="A1360" s="2" t="s">
        <v>20</v>
      </c>
      <c r="B1360" s="2" t="str">
        <f>"2020050061170"</f>
        <v>2020050061170</v>
      </c>
      <c r="C1360" s="2" t="str">
        <f>"18086117"</f>
        <v>18086117</v>
      </c>
      <c r="D1360" s="2" t="s">
        <v>1214</v>
      </c>
      <c r="E1360" s="4">
        <v>4500</v>
      </c>
    </row>
    <row r="1361" spans="1:5" ht="26.25" x14ac:dyDescent="0.25">
      <c r="A1361" s="2" t="s">
        <v>20</v>
      </c>
      <c r="B1361" s="2" t="str">
        <f>"2020050061187"</f>
        <v>2020050061187</v>
      </c>
      <c r="C1361" s="2" t="str">
        <f>"18086118"</f>
        <v>18086118</v>
      </c>
      <c r="D1361" s="2" t="s">
        <v>1215</v>
      </c>
      <c r="E1361" s="4">
        <v>3500</v>
      </c>
    </row>
    <row r="1362" spans="1:5" ht="26.25" x14ac:dyDescent="0.25">
      <c r="A1362" s="2" t="s">
        <v>20</v>
      </c>
      <c r="B1362" s="2" t="str">
        <f>"2020050061194"</f>
        <v>2020050061194</v>
      </c>
      <c r="C1362" s="2" t="str">
        <f>"18086119"</f>
        <v>18086119</v>
      </c>
      <c r="D1362" s="2" t="s">
        <v>1216</v>
      </c>
      <c r="E1362" s="4">
        <v>3500</v>
      </c>
    </row>
    <row r="1363" spans="1:5" ht="26.25" x14ac:dyDescent="0.25">
      <c r="A1363" s="2" t="s">
        <v>20</v>
      </c>
      <c r="B1363" s="2" t="str">
        <f>"2020050061149"</f>
        <v>2020050061149</v>
      </c>
      <c r="C1363" s="2" t="str">
        <f>"18086114"</f>
        <v>18086114</v>
      </c>
      <c r="D1363" s="2" t="s">
        <v>1217</v>
      </c>
      <c r="E1363" s="4">
        <v>4500</v>
      </c>
    </row>
    <row r="1364" spans="1:5" ht="26.25" x14ac:dyDescent="0.25">
      <c r="A1364" s="2" t="s">
        <v>9</v>
      </c>
      <c r="B1364" s="2" t="str">
        <f>"10081109"</f>
        <v>10081109</v>
      </c>
      <c r="C1364" s="2" t="str">
        <f>"10081109"</f>
        <v>10081109</v>
      </c>
      <c r="D1364" s="2" t="s">
        <v>1218</v>
      </c>
      <c r="E1364" s="4">
        <v>3000</v>
      </c>
    </row>
    <row r="1365" spans="1:5" ht="26.25" x14ac:dyDescent="0.25">
      <c r="A1365" s="2" t="s">
        <v>20</v>
      </c>
      <c r="B1365" s="2" t="str">
        <f>"6999586966159"</f>
        <v>6999586966159</v>
      </c>
      <c r="C1365" s="2" t="str">
        <f>"10111660"</f>
        <v>10111660</v>
      </c>
      <c r="D1365" s="2" t="s">
        <v>1219</v>
      </c>
      <c r="E1365" s="4">
        <v>3500</v>
      </c>
    </row>
    <row r="1366" spans="1:5" ht="26.25" x14ac:dyDescent="0.25">
      <c r="A1366" s="2" t="s">
        <v>9</v>
      </c>
      <c r="B1366" s="2" t="str">
        <f>"10001562"</f>
        <v>10001562</v>
      </c>
      <c r="C1366" s="2" t="str">
        <f>"10001562"</f>
        <v>10001562</v>
      </c>
      <c r="D1366" s="2" t="s">
        <v>1220</v>
      </c>
      <c r="E1366" s="4">
        <v>3000</v>
      </c>
    </row>
    <row r="1367" spans="1:5" ht="26.25" x14ac:dyDescent="0.25">
      <c r="A1367" s="2" t="s">
        <v>20</v>
      </c>
      <c r="B1367" s="2" t="str">
        <f>"10001661"</f>
        <v>10001661</v>
      </c>
      <c r="C1367" s="2" t="str">
        <f>"10001661"</f>
        <v>10001661</v>
      </c>
      <c r="D1367" s="2" t="s">
        <v>1221</v>
      </c>
      <c r="E1367" s="4">
        <v>3000</v>
      </c>
    </row>
    <row r="1368" spans="1:5" ht="26.25" x14ac:dyDescent="0.25">
      <c r="A1368" s="2" t="s">
        <v>9</v>
      </c>
      <c r="B1368" s="2" t="str">
        <f>"10001701"</f>
        <v>10001701</v>
      </c>
      <c r="C1368" s="2" t="str">
        <f>"10001701"</f>
        <v>10001701</v>
      </c>
      <c r="D1368" s="2" t="s">
        <v>1222</v>
      </c>
      <c r="E1368" s="4">
        <v>3000</v>
      </c>
    </row>
    <row r="1369" spans="1:5" ht="26.25" x14ac:dyDescent="0.25">
      <c r="A1369" s="2" t="s">
        <v>20</v>
      </c>
      <c r="B1369" s="2" t="str">
        <f>"030878335720"</f>
        <v>030878335720</v>
      </c>
      <c r="C1369" s="2" t="str">
        <f>"10001710"</f>
        <v>10001710</v>
      </c>
      <c r="D1369" s="2" t="s">
        <v>1223</v>
      </c>
      <c r="E1369" s="4">
        <v>3990</v>
      </c>
    </row>
    <row r="1370" spans="1:5" ht="26.25" x14ac:dyDescent="0.25">
      <c r="A1370" s="2" t="s">
        <v>20</v>
      </c>
      <c r="B1370" s="2" t="str">
        <f>"10002335"</f>
        <v>10002335</v>
      </c>
      <c r="C1370" s="2" t="str">
        <f>"10002335"</f>
        <v>10002335</v>
      </c>
      <c r="D1370" s="2" t="s">
        <v>1224</v>
      </c>
      <c r="E1370" s="4">
        <v>3500</v>
      </c>
    </row>
    <row r="1371" spans="1:5" ht="26.25" x14ac:dyDescent="0.25">
      <c r="A1371" s="2" t="s">
        <v>20</v>
      </c>
      <c r="B1371" s="2" t="str">
        <f>"6999958569032"</f>
        <v>6999958569032</v>
      </c>
      <c r="C1371" s="2" t="str">
        <f>"10002591"</f>
        <v>10002591</v>
      </c>
      <c r="D1371" s="2" t="s">
        <v>1225</v>
      </c>
      <c r="E1371" s="4">
        <v>2990</v>
      </c>
    </row>
    <row r="1372" spans="1:5" ht="26.25" x14ac:dyDescent="0.25">
      <c r="A1372" s="2" t="s">
        <v>20</v>
      </c>
      <c r="B1372" s="2" t="str">
        <f>"10002688"</f>
        <v>10002688</v>
      </c>
      <c r="C1372" s="2" t="str">
        <f>"10002688"</f>
        <v>10002688</v>
      </c>
      <c r="D1372" s="2" t="s">
        <v>1226</v>
      </c>
      <c r="E1372" s="4">
        <v>4500</v>
      </c>
    </row>
    <row r="1373" spans="1:5" ht="26.25" x14ac:dyDescent="0.25">
      <c r="A1373" s="2" t="s">
        <v>20</v>
      </c>
      <c r="B1373" s="2" t="str">
        <f>"692436574257"</f>
        <v>692436574257</v>
      </c>
      <c r="C1373" s="2" t="str">
        <f>"10003689"</f>
        <v>10003689</v>
      </c>
      <c r="D1373" s="2" t="s">
        <v>1227</v>
      </c>
      <c r="E1373" s="4">
        <v>3990</v>
      </c>
    </row>
    <row r="1374" spans="1:5" ht="26.25" x14ac:dyDescent="0.25">
      <c r="A1374" s="2" t="s">
        <v>20</v>
      </c>
      <c r="B1374" s="2" t="str">
        <f>"6918888888563"</f>
        <v>6918888888563</v>
      </c>
      <c r="C1374" s="2" t="str">
        <f>"40080001"</f>
        <v>40080001</v>
      </c>
      <c r="D1374" s="2" t="s">
        <v>1228</v>
      </c>
      <c r="E1374" s="4">
        <v>4990</v>
      </c>
    </row>
    <row r="1375" spans="1:5" ht="26.25" x14ac:dyDescent="0.25">
      <c r="A1375" s="2" t="s">
        <v>9</v>
      </c>
      <c r="B1375" s="2" t="str">
        <f>"10003966"</f>
        <v>10003966</v>
      </c>
      <c r="C1375" s="2" t="str">
        <f>"10003966"</f>
        <v>10003966</v>
      </c>
      <c r="D1375" s="2" t="s">
        <v>1229</v>
      </c>
      <c r="E1375" s="4">
        <v>3000</v>
      </c>
    </row>
    <row r="1376" spans="1:5" ht="26.25" x14ac:dyDescent="0.25">
      <c r="A1376" s="2" t="s">
        <v>20</v>
      </c>
      <c r="B1376" s="2" t="str">
        <f>"680988391927"</f>
        <v>680988391927</v>
      </c>
      <c r="C1376" s="2" t="str">
        <f>"10001694"</f>
        <v>10001694</v>
      </c>
      <c r="D1376" s="2" t="s">
        <v>1230</v>
      </c>
      <c r="E1376" s="4">
        <v>4000</v>
      </c>
    </row>
    <row r="1377" spans="1:5" ht="26.25" x14ac:dyDescent="0.25">
      <c r="A1377" s="2" t="s">
        <v>20</v>
      </c>
      <c r="B1377" s="2" t="str">
        <f>"98081100"</f>
        <v>98081100</v>
      </c>
      <c r="C1377" s="2" t="str">
        <f>"98081100"</f>
        <v>98081100</v>
      </c>
      <c r="D1377" s="2" t="s">
        <v>1231</v>
      </c>
      <c r="E1377" s="4">
        <v>1500</v>
      </c>
    </row>
    <row r="1378" spans="1:5" ht="26.25" x14ac:dyDescent="0.25">
      <c r="A1378" s="2" t="s">
        <v>20</v>
      </c>
      <c r="B1378" s="2" t="str">
        <f>"7858816021206"</f>
        <v>7858816021206</v>
      </c>
      <c r="C1378" s="2" t="str">
        <f>"87082120"</f>
        <v>87082120</v>
      </c>
      <c r="D1378" s="2" t="s">
        <v>1232</v>
      </c>
      <c r="E1378" s="4">
        <v>2990</v>
      </c>
    </row>
    <row r="1379" spans="1:5" ht="26.25" x14ac:dyDescent="0.25">
      <c r="A1379" s="2" t="s">
        <v>20</v>
      </c>
      <c r="B1379" s="2" t="str">
        <f>"7858816048074"</f>
        <v>7858816048074</v>
      </c>
      <c r="C1379" s="2" t="str">
        <f>"87084807"</f>
        <v>87084807</v>
      </c>
      <c r="D1379" s="2" t="s">
        <v>1233</v>
      </c>
      <c r="E1379" s="4">
        <v>2990</v>
      </c>
    </row>
    <row r="1380" spans="1:5" ht="26.25" x14ac:dyDescent="0.25">
      <c r="A1380" s="2" t="s">
        <v>20</v>
      </c>
      <c r="B1380" s="2" t="str">
        <f>"7858816054273"</f>
        <v>7858816054273</v>
      </c>
      <c r="C1380" s="2" t="str">
        <f>"87085427"</f>
        <v>87085427</v>
      </c>
      <c r="D1380" s="2" t="s">
        <v>1234</v>
      </c>
      <c r="E1380" s="4">
        <v>2490</v>
      </c>
    </row>
    <row r="1381" spans="1:5" ht="26.25" x14ac:dyDescent="0.25">
      <c r="A1381" s="2" t="s">
        <v>20</v>
      </c>
      <c r="B1381" s="2" t="str">
        <f>"7858816065255"</f>
        <v>7858816065255</v>
      </c>
      <c r="C1381" s="2" t="str">
        <f>"87086525"</f>
        <v>87086525</v>
      </c>
      <c r="D1381" s="2" t="s">
        <v>1235</v>
      </c>
      <c r="E1381" s="4">
        <v>2990</v>
      </c>
    </row>
    <row r="1382" spans="1:5" ht="26.25" x14ac:dyDescent="0.25">
      <c r="A1382" s="2" t="s">
        <v>20</v>
      </c>
      <c r="B1382" s="2" t="str">
        <f>"7858816078026"</f>
        <v>7858816078026</v>
      </c>
      <c r="C1382" s="2" t="str">
        <f>"87087802"</f>
        <v>87087802</v>
      </c>
      <c r="D1382" s="2" t="s">
        <v>1236</v>
      </c>
      <c r="E1382" s="4">
        <v>3500</v>
      </c>
    </row>
    <row r="1383" spans="1:5" ht="26.25" x14ac:dyDescent="0.25">
      <c r="A1383" s="2" t="s">
        <v>9</v>
      </c>
      <c r="B1383" s="2" t="str">
        <f>"8518783725017"</f>
        <v>8518783725017</v>
      </c>
      <c r="C1383" s="2" t="str">
        <f>"10017015"</f>
        <v>10017015</v>
      </c>
      <c r="D1383" s="2" t="s">
        <v>1237</v>
      </c>
      <c r="E1383" s="4">
        <v>4000</v>
      </c>
    </row>
    <row r="1384" spans="1:5" ht="26.25" x14ac:dyDescent="0.25">
      <c r="A1384" s="2" t="s">
        <v>20</v>
      </c>
      <c r="B1384" s="2" t="str">
        <f>"4895185608808"</f>
        <v>4895185608808</v>
      </c>
      <c r="C1384" s="2" t="str">
        <f>"98081639"</f>
        <v>98081639</v>
      </c>
      <c r="D1384" s="2" t="s">
        <v>1238</v>
      </c>
      <c r="E1384" s="4">
        <v>3500</v>
      </c>
    </row>
    <row r="1385" spans="1:5" ht="26.25" x14ac:dyDescent="0.25">
      <c r="A1385" s="2" t="s">
        <v>9</v>
      </c>
      <c r="B1385" s="2" t="str">
        <f>"10006807"</f>
        <v>10006807</v>
      </c>
      <c r="C1385" s="2" t="str">
        <f>"10006807"</f>
        <v>10006807</v>
      </c>
      <c r="D1385" s="2" t="s">
        <v>1239</v>
      </c>
      <c r="E1385" s="4">
        <v>3000</v>
      </c>
    </row>
    <row r="1386" spans="1:5" ht="26.25" x14ac:dyDescent="0.25">
      <c r="A1386" s="2" t="s">
        <v>20</v>
      </c>
      <c r="B1386" s="2" t="str">
        <f>"10000045"</f>
        <v>10000045</v>
      </c>
      <c r="C1386" s="2" t="str">
        <f>"10000045"</f>
        <v>10000045</v>
      </c>
      <c r="D1386" s="2" t="s">
        <v>1240</v>
      </c>
      <c r="E1386" s="4">
        <v>3000</v>
      </c>
    </row>
    <row r="1387" spans="1:5" ht="26.25" x14ac:dyDescent="0.25">
      <c r="A1387" s="2" t="s">
        <v>20</v>
      </c>
      <c r="B1387" s="2" t="str">
        <f>"7867866111010"</f>
        <v>7867866111010</v>
      </c>
      <c r="C1387" s="2" t="str">
        <f>"2208017"</f>
        <v>2208017</v>
      </c>
      <c r="D1387" s="2" t="s">
        <v>1241</v>
      </c>
      <c r="E1387" s="4">
        <v>2500</v>
      </c>
    </row>
    <row r="1388" spans="1:5" ht="26.25" x14ac:dyDescent="0.25">
      <c r="A1388" s="2" t="s">
        <v>20</v>
      </c>
      <c r="B1388" s="2" t="str">
        <f>"7867866111027"</f>
        <v>7867866111027</v>
      </c>
      <c r="C1388" s="2" t="str">
        <f>"22080135"</f>
        <v>22080135</v>
      </c>
      <c r="D1388" s="2" t="s">
        <v>1242</v>
      </c>
      <c r="E1388" s="4">
        <v>3000</v>
      </c>
    </row>
    <row r="1389" spans="1:5" ht="26.25" x14ac:dyDescent="0.25">
      <c r="A1389" s="2" t="s">
        <v>20</v>
      </c>
      <c r="B1389" s="2" t="str">
        <f>"9789688874103"</f>
        <v>9789688874103</v>
      </c>
      <c r="C1389" s="2" t="str">
        <f>"10107810"</f>
        <v>10107810</v>
      </c>
      <c r="D1389" s="2" t="s">
        <v>1243</v>
      </c>
      <c r="E1389" s="4">
        <v>3000</v>
      </c>
    </row>
    <row r="1390" spans="1:5" ht="26.25" x14ac:dyDescent="0.25">
      <c r="A1390" s="2" t="s">
        <v>9</v>
      </c>
      <c r="B1390" s="2" t="str">
        <f>"4903013839833"</f>
        <v>4903013839833</v>
      </c>
      <c r="C1390" s="2" t="str">
        <f>"10001591"</f>
        <v>10001591</v>
      </c>
      <c r="D1390" s="2" t="s">
        <v>1244</v>
      </c>
      <c r="E1390" s="4">
        <v>3500</v>
      </c>
    </row>
    <row r="1391" spans="1:5" ht="26.25" x14ac:dyDescent="0.25">
      <c r="A1391" s="2" t="s">
        <v>20</v>
      </c>
      <c r="B1391" s="2" t="str">
        <f>"7867866051897"</f>
        <v>7867866051897</v>
      </c>
      <c r="C1391" s="2" t="str">
        <f>"22085189"</f>
        <v>22085189</v>
      </c>
      <c r="D1391" s="2" t="s">
        <v>1245</v>
      </c>
      <c r="E1391" s="4">
        <v>2500</v>
      </c>
    </row>
    <row r="1392" spans="1:5" ht="26.25" x14ac:dyDescent="0.25">
      <c r="A1392" s="2" t="s">
        <v>20</v>
      </c>
      <c r="B1392" s="2" t="str">
        <f>"7858816053887"</f>
        <v>7858816053887</v>
      </c>
      <c r="C1392" s="2" t="str">
        <f>"10113178"</f>
        <v>10113178</v>
      </c>
      <c r="D1392" s="2" t="s">
        <v>1246</v>
      </c>
      <c r="E1392" s="4">
        <v>3500</v>
      </c>
    </row>
    <row r="1393" spans="1:5" ht="26.25" x14ac:dyDescent="0.25">
      <c r="A1393" s="2" t="s">
        <v>9</v>
      </c>
      <c r="B1393" s="2" t="str">
        <f>"100800661"</f>
        <v>100800661</v>
      </c>
      <c r="C1393" s="2" t="str">
        <f>"100800661"</f>
        <v>100800661</v>
      </c>
      <c r="D1393" s="2" t="s">
        <v>1247</v>
      </c>
      <c r="E1393" s="4">
        <v>2000</v>
      </c>
    </row>
    <row r="1394" spans="1:5" ht="26.25" x14ac:dyDescent="0.25">
      <c r="A1394" s="2" t="s">
        <v>9</v>
      </c>
      <c r="B1394" s="2" t="str">
        <f>"87081738"</f>
        <v>87081738</v>
      </c>
      <c r="C1394" s="2" t="str">
        <f>"87081738"</f>
        <v>87081738</v>
      </c>
      <c r="D1394" s="2" t="s">
        <v>1248</v>
      </c>
      <c r="E1394" s="4">
        <v>4000</v>
      </c>
    </row>
    <row r="1395" spans="1:5" ht="26.25" x14ac:dyDescent="0.25">
      <c r="A1395" s="2" t="s">
        <v>9</v>
      </c>
      <c r="B1395" s="2" t="str">
        <f>"87001739"</f>
        <v>87001739</v>
      </c>
      <c r="C1395" s="2" t="str">
        <f>"87001739"</f>
        <v>87001739</v>
      </c>
      <c r="D1395" s="2" t="s">
        <v>1249</v>
      </c>
      <c r="E1395" s="4">
        <v>4500</v>
      </c>
    </row>
    <row r="1396" spans="1:5" ht="26.25" x14ac:dyDescent="0.25">
      <c r="A1396" s="2" t="s">
        <v>9</v>
      </c>
      <c r="B1396" s="2" t="str">
        <f>"87091408"</f>
        <v>87091408</v>
      </c>
      <c r="C1396" s="2" t="str">
        <f>"87091408"</f>
        <v>87091408</v>
      </c>
      <c r="D1396" s="2" t="s">
        <v>1250</v>
      </c>
      <c r="E1396" s="4">
        <v>4500</v>
      </c>
    </row>
    <row r="1397" spans="1:5" ht="26.25" x14ac:dyDescent="0.25">
      <c r="A1397" s="2" t="s">
        <v>9</v>
      </c>
      <c r="B1397" s="2" t="str">
        <f>"100801014"</f>
        <v>100801014</v>
      </c>
      <c r="C1397" s="2" t="str">
        <f>"100801014"</f>
        <v>100801014</v>
      </c>
      <c r="D1397" s="2" t="s">
        <v>1251</v>
      </c>
      <c r="E1397" s="4">
        <v>3500</v>
      </c>
    </row>
    <row r="1398" spans="1:5" ht="26.25" x14ac:dyDescent="0.25">
      <c r="A1398" s="2" t="s">
        <v>20</v>
      </c>
      <c r="B1398" s="2" t="str">
        <f>"10012241"</f>
        <v>10012241</v>
      </c>
      <c r="C1398" s="2" t="str">
        <f>"10012241"</f>
        <v>10012241</v>
      </c>
      <c r="D1398" s="2" t="s">
        <v>1252</v>
      </c>
      <c r="E1398" s="4">
        <v>2000</v>
      </c>
    </row>
    <row r="1399" spans="1:5" ht="26.25" x14ac:dyDescent="0.25">
      <c r="A1399" s="2" t="s">
        <v>20</v>
      </c>
      <c r="B1399" s="2" t="str">
        <f>"10087026"</f>
        <v>10087026</v>
      </c>
      <c r="C1399" s="2" t="str">
        <f>"10087026"</f>
        <v>10087026</v>
      </c>
      <c r="D1399" s="2" t="s">
        <v>1253</v>
      </c>
      <c r="E1399" s="4">
        <v>2500</v>
      </c>
    </row>
    <row r="1400" spans="1:5" ht="26.25" x14ac:dyDescent="0.25">
      <c r="A1400" s="2" t="s">
        <v>20</v>
      </c>
      <c r="B1400" s="2" t="str">
        <f>"6686996002323"</f>
        <v>6686996002323</v>
      </c>
      <c r="C1400" s="2" t="str">
        <f>"40082323"</f>
        <v>40082323</v>
      </c>
      <c r="D1400" s="2" t="s">
        <v>1254</v>
      </c>
      <c r="E1400" s="4">
        <v>2500</v>
      </c>
    </row>
    <row r="1401" spans="1:5" ht="26.25" x14ac:dyDescent="0.25">
      <c r="A1401" s="2" t="s">
        <v>20</v>
      </c>
      <c r="B1401" s="2" t="str">
        <f>"100812252"</f>
        <v>100812252</v>
      </c>
      <c r="C1401" s="2" t="str">
        <f>"10812252"</f>
        <v>10812252</v>
      </c>
      <c r="D1401" s="2" t="s">
        <v>1255</v>
      </c>
      <c r="E1401" s="4">
        <v>2500</v>
      </c>
    </row>
    <row r="1402" spans="1:5" ht="26.25" x14ac:dyDescent="0.25">
      <c r="A1402" s="2" t="s">
        <v>20</v>
      </c>
      <c r="B1402" s="2" t="str">
        <f>"7895725285893"</f>
        <v>7895725285893</v>
      </c>
      <c r="C1402" s="2" t="str">
        <f>"10001170"</f>
        <v>10001170</v>
      </c>
      <c r="D1402" s="2" t="s">
        <v>1256</v>
      </c>
      <c r="E1402" s="4">
        <v>2500</v>
      </c>
    </row>
    <row r="1403" spans="1:5" ht="26.25" x14ac:dyDescent="0.25">
      <c r="A1403" s="2" t="s">
        <v>20</v>
      </c>
      <c r="B1403" s="2" t="str">
        <f>"10000152"</f>
        <v>10000152</v>
      </c>
      <c r="C1403" s="2" t="str">
        <f>"10000152"</f>
        <v>10000152</v>
      </c>
      <c r="D1403" s="2" t="s">
        <v>1257</v>
      </c>
      <c r="E1403" s="4">
        <v>2500</v>
      </c>
    </row>
    <row r="1404" spans="1:5" ht="26.25" x14ac:dyDescent="0.25">
      <c r="A1404" s="2" t="s">
        <v>20</v>
      </c>
      <c r="B1404" s="2" t="str">
        <f>"5620000933341"</f>
        <v>5620000933341</v>
      </c>
      <c r="C1404" s="2" t="str">
        <f>"280893334"</f>
        <v>280893334</v>
      </c>
      <c r="D1404" s="2" t="s">
        <v>1257</v>
      </c>
      <c r="E1404" s="4">
        <v>3000</v>
      </c>
    </row>
    <row r="1405" spans="1:5" ht="26.25" x14ac:dyDescent="0.25">
      <c r="A1405" s="2" t="s">
        <v>20</v>
      </c>
      <c r="B1405" s="2" t="str">
        <f>"6686996002347"</f>
        <v>6686996002347</v>
      </c>
      <c r="C1405" s="2" t="str">
        <f>"40082347"</f>
        <v>40082347</v>
      </c>
      <c r="D1405" s="2" t="s">
        <v>1258</v>
      </c>
      <c r="E1405" s="4">
        <v>3000</v>
      </c>
    </row>
    <row r="1406" spans="1:5" ht="26.25" x14ac:dyDescent="0.25">
      <c r="A1406" s="2" t="s">
        <v>20</v>
      </c>
      <c r="B1406" s="2" t="str">
        <f>"10102167"</f>
        <v>10102167</v>
      </c>
      <c r="C1406" s="2" t="str">
        <f>"10102167"</f>
        <v>10102167</v>
      </c>
      <c r="D1406" s="2" t="s">
        <v>1259</v>
      </c>
      <c r="E1406" s="4">
        <v>3000</v>
      </c>
    </row>
    <row r="1407" spans="1:5" ht="26.25" x14ac:dyDescent="0.25">
      <c r="A1407" s="2" t="s">
        <v>20</v>
      </c>
      <c r="B1407" s="2" t="str">
        <f>"10008281"</f>
        <v>10008281</v>
      </c>
      <c r="C1407" s="2" t="str">
        <f>"10008281"</f>
        <v>10008281</v>
      </c>
      <c r="D1407" s="2" t="s">
        <v>1260</v>
      </c>
      <c r="E1407" s="4">
        <v>2000</v>
      </c>
    </row>
    <row r="1408" spans="1:5" ht="26.25" x14ac:dyDescent="0.25">
      <c r="A1408" s="2" t="s">
        <v>20</v>
      </c>
      <c r="B1408" s="2" t="str">
        <f>"7858816010965"</f>
        <v>7858816010965</v>
      </c>
      <c r="C1408" s="2" t="str">
        <f>"87081096"</f>
        <v>87081096</v>
      </c>
      <c r="D1408" s="2" t="s">
        <v>1261</v>
      </c>
      <c r="E1408" s="4">
        <v>2500</v>
      </c>
    </row>
    <row r="1409" spans="1:5" ht="26.25" x14ac:dyDescent="0.25">
      <c r="A1409" s="2" t="s">
        <v>9</v>
      </c>
      <c r="B1409" s="2" t="str">
        <f>"50000001"</f>
        <v>50000001</v>
      </c>
      <c r="C1409" s="2" t="str">
        <f>"50000001"</f>
        <v>50000001</v>
      </c>
      <c r="D1409" s="2" t="s">
        <v>1262</v>
      </c>
      <c r="E1409" s="4">
        <v>1000</v>
      </c>
    </row>
    <row r="1410" spans="1:5" ht="26.25" x14ac:dyDescent="0.25">
      <c r="A1410" s="2" t="s">
        <v>9</v>
      </c>
      <c r="B1410" s="2" t="str">
        <f>"10004301"</f>
        <v>10004301</v>
      </c>
      <c r="C1410" s="2" t="str">
        <f>"10004301"</f>
        <v>10004301</v>
      </c>
      <c r="D1410" s="2" t="s">
        <v>1263</v>
      </c>
      <c r="E1410" s="4">
        <v>4500</v>
      </c>
    </row>
    <row r="1411" spans="1:5" ht="26.25" x14ac:dyDescent="0.25">
      <c r="A1411" s="2" t="s">
        <v>20</v>
      </c>
      <c r="B1411" s="2" t="str">
        <f>"5620000930210"</f>
        <v>5620000930210</v>
      </c>
      <c r="C1411" s="2" t="str">
        <f>"28093021"</f>
        <v>28093021</v>
      </c>
      <c r="D1411" s="2" t="s">
        <v>1264</v>
      </c>
      <c r="E1411" s="4">
        <v>1050</v>
      </c>
    </row>
    <row r="1412" spans="1:5" ht="26.25" x14ac:dyDescent="0.25">
      <c r="A1412" s="2" t="s">
        <v>20</v>
      </c>
      <c r="B1412" s="2" t="str">
        <f>"110104003"</f>
        <v>110104003</v>
      </c>
      <c r="C1412" s="2" t="str">
        <f>"110104003"</f>
        <v>110104003</v>
      </c>
      <c r="D1412" s="2" t="s">
        <v>1265</v>
      </c>
      <c r="E1412" s="4">
        <v>3500</v>
      </c>
    </row>
    <row r="1413" spans="1:5" ht="26.25" x14ac:dyDescent="0.25">
      <c r="A1413" s="2" t="s">
        <v>9</v>
      </c>
      <c r="B1413" s="2" t="str">
        <f>"76301403"</f>
        <v>76301403</v>
      </c>
      <c r="C1413" s="2" t="str">
        <f>"76301403"</f>
        <v>76301403</v>
      </c>
      <c r="D1413" s="2" t="s">
        <v>1266</v>
      </c>
      <c r="E1413" s="4">
        <v>4500</v>
      </c>
    </row>
    <row r="1414" spans="1:5" ht="26.25" x14ac:dyDescent="0.25">
      <c r="A1414" s="2" t="s">
        <v>9</v>
      </c>
      <c r="B1414" s="2" t="str">
        <f>"8944870127837"</f>
        <v>8944870127837</v>
      </c>
      <c r="C1414" s="2" t="str">
        <f>"85082521"</f>
        <v>85082521</v>
      </c>
      <c r="D1414" s="2" t="s">
        <v>1267</v>
      </c>
      <c r="E1414" s="4">
        <v>5500</v>
      </c>
    </row>
    <row r="1415" spans="1:5" ht="26.25" x14ac:dyDescent="0.25">
      <c r="A1415" s="2" t="s">
        <v>9</v>
      </c>
      <c r="B1415" s="2" t="str">
        <f>"303010846"</f>
        <v>303010846</v>
      </c>
      <c r="C1415" s="2" t="str">
        <f>"303010846"</f>
        <v>303010846</v>
      </c>
      <c r="D1415" s="2" t="s">
        <v>1268</v>
      </c>
      <c r="E1415" s="4">
        <v>7500</v>
      </c>
    </row>
    <row r="1416" spans="1:5" ht="26.25" x14ac:dyDescent="0.25">
      <c r="A1416" s="2" t="s">
        <v>9</v>
      </c>
      <c r="B1416" s="2" t="str">
        <f>"7858816066382"</f>
        <v>7858816066382</v>
      </c>
      <c r="C1416" s="2" t="str">
        <f>"87086638"</f>
        <v>87086638</v>
      </c>
      <c r="D1416" s="2" t="s">
        <v>1269</v>
      </c>
      <c r="E1416" s="4">
        <v>3500</v>
      </c>
    </row>
    <row r="1417" spans="1:5" ht="26.25" x14ac:dyDescent="0.25">
      <c r="A1417" s="2" t="s">
        <v>20</v>
      </c>
      <c r="B1417" s="2" t="str">
        <f>"7858816016271"</f>
        <v>7858816016271</v>
      </c>
      <c r="C1417" s="2" t="str">
        <f>"87081627"</f>
        <v>87081627</v>
      </c>
      <c r="D1417" s="2" t="s">
        <v>1270</v>
      </c>
      <c r="E1417" s="4">
        <v>2000</v>
      </c>
    </row>
    <row r="1418" spans="1:5" ht="26.25" x14ac:dyDescent="0.25">
      <c r="A1418" s="2" t="s">
        <v>20</v>
      </c>
      <c r="B1418" s="2" t="str">
        <f>"10101265"</f>
        <v>10101265</v>
      </c>
      <c r="C1418" s="2" t="str">
        <f>"10101265"</f>
        <v>10101265</v>
      </c>
      <c r="D1418" s="2" t="s">
        <v>1271</v>
      </c>
      <c r="E1418" s="4">
        <v>2500</v>
      </c>
    </row>
    <row r="1419" spans="1:5" ht="26.25" x14ac:dyDescent="0.25">
      <c r="A1419" s="2" t="s">
        <v>20</v>
      </c>
      <c r="B1419" s="2" t="str">
        <f>"5626890043610"</f>
        <v>5626890043610</v>
      </c>
      <c r="C1419" s="2" t="str">
        <f>"280893060"</f>
        <v>280893060</v>
      </c>
      <c r="D1419" s="2" t="s">
        <v>1272</v>
      </c>
      <c r="E1419" s="4">
        <v>1500</v>
      </c>
    </row>
    <row r="1420" spans="1:5" ht="26.25" x14ac:dyDescent="0.25">
      <c r="A1420" s="2" t="s">
        <v>9</v>
      </c>
      <c r="B1420" s="2" t="str">
        <f>"6958154900506"</f>
        <v>6958154900506</v>
      </c>
      <c r="C1420" s="2" t="str">
        <f>"10082251"</f>
        <v>10082251</v>
      </c>
      <c r="D1420" s="2" t="s">
        <v>1273</v>
      </c>
      <c r="E1420" s="4">
        <v>2000</v>
      </c>
    </row>
    <row r="1421" spans="1:5" ht="26.25" x14ac:dyDescent="0.25">
      <c r="A1421" s="2" t="s">
        <v>20</v>
      </c>
      <c r="B1421" s="2" t="str">
        <f>"766623354318"</f>
        <v>766623354318</v>
      </c>
      <c r="C1421" s="2" t="str">
        <f>"56524318"</f>
        <v>56524318</v>
      </c>
      <c r="D1421" s="2" t="s">
        <v>1274</v>
      </c>
      <c r="E1421" s="4">
        <v>5990</v>
      </c>
    </row>
    <row r="1422" spans="1:5" ht="26.25" x14ac:dyDescent="0.25">
      <c r="A1422" s="2" t="s">
        <v>20</v>
      </c>
      <c r="B1422" s="2" t="str">
        <f>"6924494002484"</f>
        <v>6924494002484</v>
      </c>
      <c r="C1422" s="2" t="str">
        <f>"98082484"</f>
        <v>98082484</v>
      </c>
      <c r="D1422" s="2" t="s">
        <v>1275</v>
      </c>
      <c r="E1422" s="4">
        <v>6990</v>
      </c>
    </row>
    <row r="1423" spans="1:5" ht="26.25" x14ac:dyDescent="0.25">
      <c r="A1423" s="2" t="s">
        <v>20</v>
      </c>
      <c r="B1423" s="2" t="str">
        <f>"10001017"</f>
        <v>10001017</v>
      </c>
      <c r="C1423" s="2" t="str">
        <f>"10001017"</f>
        <v>10001017</v>
      </c>
      <c r="D1423" s="2" t="s">
        <v>1276</v>
      </c>
      <c r="E1423" s="4">
        <v>3000</v>
      </c>
    </row>
    <row r="1424" spans="1:5" ht="26.25" x14ac:dyDescent="0.25">
      <c r="A1424" s="2" t="s">
        <v>20</v>
      </c>
      <c r="B1424" s="2" t="str">
        <f>"10001165"</f>
        <v>10001165</v>
      </c>
      <c r="C1424" s="2" t="str">
        <f>"10001165"</f>
        <v>10001165</v>
      </c>
      <c r="D1424" s="2" t="s">
        <v>1277</v>
      </c>
      <c r="E1424" s="4">
        <v>4990</v>
      </c>
    </row>
    <row r="1425" spans="1:5" ht="26.25" x14ac:dyDescent="0.25">
      <c r="A1425" s="2" t="s">
        <v>20</v>
      </c>
      <c r="B1425" s="2" t="str">
        <f>"10001592"</f>
        <v>10001592</v>
      </c>
      <c r="C1425" s="2" t="str">
        <f>"10001592"</f>
        <v>10001592</v>
      </c>
      <c r="D1425" s="2" t="s">
        <v>1278</v>
      </c>
      <c r="E1425" s="4">
        <v>3500</v>
      </c>
    </row>
    <row r="1426" spans="1:5" ht="26.25" x14ac:dyDescent="0.25">
      <c r="A1426" s="2" t="s">
        <v>20</v>
      </c>
      <c r="B1426" s="2" t="str">
        <f>"766623322430"</f>
        <v>766623322430</v>
      </c>
      <c r="C1426" s="2" t="str">
        <f>"56082430"</f>
        <v>56082430</v>
      </c>
      <c r="D1426" s="2" t="s">
        <v>1279</v>
      </c>
      <c r="E1426" s="4">
        <v>5990</v>
      </c>
    </row>
    <row r="1427" spans="1:5" ht="26.25" x14ac:dyDescent="0.25">
      <c r="A1427" s="2" t="s">
        <v>9</v>
      </c>
      <c r="B1427" s="2" t="str">
        <f>"10000955"</f>
        <v>10000955</v>
      </c>
      <c r="C1427" s="2" t="str">
        <f>"10000955"</f>
        <v>10000955</v>
      </c>
      <c r="D1427" s="2" t="s">
        <v>1280</v>
      </c>
      <c r="E1427" s="4">
        <v>3000</v>
      </c>
    </row>
    <row r="1428" spans="1:5" ht="26.25" x14ac:dyDescent="0.25">
      <c r="A1428" s="2" t="s">
        <v>20</v>
      </c>
      <c r="B1428" s="2" t="str">
        <f>"10104021"</f>
        <v>10104021</v>
      </c>
      <c r="C1428" s="2" t="str">
        <f>"10104021"</f>
        <v>10104021</v>
      </c>
      <c r="D1428" s="2" t="s">
        <v>1281</v>
      </c>
      <c r="E1428" s="4">
        <v>2500</v>
      </c>
    </row>
    <row r="1429" spans="1:5" ht="26.25" x14ac:dyDescent="0.25">
      <c r="A1429" s="2" t="s">
        <v>9</v>
      </c>
      <c r="B1429" s="2" t="str">
        <f>"42214408"</f>
        <v>42214408</v>
      </c>
      <c r="C1429" s="2" t="str">
        <f>"42214408"</f>
        <v>42214408</v>
      </c>
      <c r="D1429" s="2" t="s">
        <v>1282</v>
      </c>
      <c r="E1429" s="4">
        <v>1635</v>
      </c>
    </row>
    <row r="1430" spans="1:5" ht="26.25" x14ac:dyDescent="0.25">
      <c r="A1430" s="2" t="s">
        <v>9</v>
      </c>
      <c r="B1430" s="2" t="str">
        <f>"10000660"</f>
        <v>10000660</v>
      </c>
      <c r="C1430" s="2" t="str">
        <f>"10000660"</f>
        <v>10000660</v>
      </c>
      <c r="D1430" s="2" t="s">
        <v>1283</v>
      </c>
      <c r="E1430" s="4">
        <v>2000</v>
      </c>
    </row>
    <row r="1431" spans="1:5" ht="26.25" x14ac:dyDescent="0.25">
      <c r="A1431" s="2" t="s">
        <v>9</v>
      </c>
      <c r="B1431" s="2" t="str">
        <f>"10002580"</f>
        <v>10002580</v>
      </c>
      <c r="C1431" s="2" t="str">
        <f>"10002580"</f>
        <v>10002580</v>
      </c>
      <c r="D1431" s="2" t="s">
        <v>1283</v>
      </c>
      <c r="E1431" s="4">
        <v>3000</v>
      </c>
    </row>
    <row r="1432" spans="1:5" ht="26.25" x14ac:dyDescent="0.25">
      <c r="A1432" s="2" t="s">
        <v>9</v>
      </c>
      <c r="B1432" s="2" t="str">
        <f>"10000569"</f>
        <v>10000569</v>
      </c>
      <c r="C1432" s="2" t="str">
        <f>"10000569"</f>
        <v>10000569</v>
      </c>
      <c r="D1432" s="2" t="s">
        <v>1284</v>
      </c>
      <c r="E1432" s="4">
        <v>2000</v>
      </c>
    </row>
    <row r="1433" spans="1:5" ht="26.25" x14ac:dyDescent="0.25">
      <c r="A1433" s="2" t="s">
        <v>20</v>
      </c>
      <c r="B1433" s="2" t="str">
        <f>"6924494001227"</f>
        <v>6924494001227</v>
      </c>
      <c r="C1433" s="2" t="str">
        <f>"98085522"</f>
        <v>98085522</v>
      </c>
      <c r="D1433" s="2" t="s">
        <v>1285</v>
      </c>
      <c r="E1433" s="4">
        <v>2500</v>
      </c>
    </row>
    <row r="1434" spans="1:5" ht="26.25" x14ac:dyDescent="0.25">
      <c r="A1434" s="2" t="s">
        <v>9</v>
      </c>
      <c r="B1434" s="2" t="str">
        <f>"10082471"</f>
        <v>10082471</v>
      </c>
      <c r="C1434" s="2" t="str">
        <f>"10082471"</f>
        <v>10082471</v>
      </c>
      <c r="D1434" s="2" t="s">
        <v>1286</v>
      </c>
      <c r="E1434" s="4">
        <v>2000</v>
      </c>
    </row>
    <row r="1435" spans="1:5" ht="26.25" x14ac:dyDescent="0.25">
      <c r="A1435" s="2" t="s">
        <v>9</v>
      </c>
      <c r="B1435" s="2" t="str">
        <f>"10013440"</f>
        <v>10013440</v>
      </c>
      <c r="C1435" s="2" t="str">
        <f>"10013440"</f>
        <v>10013440</v>
      </c>
      <c r="D1435" s="2" t="s">
        <v>1287</v>
      </c>
      <c r="E1435" s="4">
        <v>2500</v>
      </c>
    </row>
    <row r="1436" spans="1:5" ht="26.25" x14ac:dyDescent="0.25">
      <c r="A1436" s="2" t="s">
        <v>9</v>
      </c>
      <c r="B1436" s="2" t="str">
        <f>"10001712"</f>
        <v>10001712</v>
      </c>
      <c r="C1436" s="2" t="str">
        <f>"10001712"</f>
        <v>10001712</v>
      </c>
      <c r="D1436" s="2" t="s">
        <v>1288</v>
      </c>
      <c r="E1436" s="4">
        <v>3000</v>
      </c>
    </row>
    <row r="1437" spans="1:5" ht="26.25" x14ac:dyDescent="0.25">
      <c r="A1437" s="2" t="s">
        <v>20</v>
      </c>
      <c r="B1437" s="2" t="str">
        <f>"10009964"</f>
        <v>10009964</v>
      </c>
      <c r="C1437" s="2" t="str">
        <f>"10009964"</f>
        <v>10009964</v>
      </c>
      <c r="D1437" s="2" t="s">
        <v>1289</v>
      </c>
      <c r="E1437" s="4">
        <v>3500</v>
      </c>
    </row>
    <row r="1438" spans="1:5" ht="26.25" x14ac:dyDescent="0.25">
      <c r="A1438" s="2" t="s">
        <v>20</v>
      </c>
      <c r="B1438" s="2" t="str">
        <f>"7858816057991"</f>
        <v>7858816057991</v>
      </c>
      <c r="C1438" s="2" t="str">
        <f>"87085799"</f>
        <v>87085799</v>
      </c>
      <c r="D1438" s="2" t="s">
        <v>1290</v>
      </c>
      <c r="E1438" s="4">
        <v>1600</v>
      </c>
    </row>
    <row r="1439" spans="1:5" ht="26.25" x14ac:dyDescent="0.25">
      <c r="A1439" s="2" t="s">
        <v>9</v>
      </c>
      <c r="B1439" s="2" t="str">
        <f>"341707106"</f>
        <v>341707106</v>
      </c>
      <c r="C1439" s="2" t="str">
        <f>"341707106"</f>
        <v>341707106</v>
      </c>
      <c r="D1439" s="2" t="s">
        <v>1291</v>
      </c>
      <c r="E1439" s="4">
        <v>7000</v>
      </c>
    </row>
    <row r="1440" spans="1:5" ht="26.25" x14ac:dyDescent="0.25">
      <c r="A1440" s="2" t="s">
        <v>9</v>
      </c>
      <c r="B1440" s="2" t="str">
        <f>"34170716"</f>
        <v>34170716</v>
      </c>
      <c r="C1440" s="2" t="str">
        <f>"34170716"</f>
        <v>34170716</v>
      </c>
      <c r="D1440" s="2" t="s">
        <v>1292</v>
      </c>
      <c r="E1440" s="4">
        <v>5500</v>
      </c>
    </row>
    <row r="1441" spans="1:5" ht="26.25" x14ac:dyDescent="0.25">
      <c r="A1441" s="2" t="s">
        <v>9</v>
      </c>
      <c r="B1441" s="2" t="str">
        <f>"1004453"</f>
        <v>1004453</v>
      </c>
      <c r="C1441" s="2" t="str">
        <f>"1004453"</f>
        <v>1004453</v>
      </c>
      <c r="D1441" s="2" t="s">
        <v>1293</v>
      </c>
      <c r="E1441" s="4">
        <v>4000</v>
      </c>
    </row>
    <row r="1442" spans="1:5" ht="26.25" x14ac:dyDescent="0.25">
      <c r="A1442" s="2" t="s">
        <v>20</v>
      </c>
      <c r="B1442" s="2" t="str">
        <f>"10089975"</f>
        <v>10089975</v>
      </c>
      <c r="C1442" s="2" t="str">
        <f>"10089975"</f>
        <v>10089975</v>
      </c>
      <c r="D1442" s="2" t="s">
        <v>1294</v>
      </c>
      <c r="E1442" s="4">
        <v>2500</v>
      </c>
    </row>
    <row r="1443" spans="1:5" ht="26.25" x14ac:dyDescent="0.25">
      <c r="A1443" s="2" t="s">
        <v>20</v>
      </c>
      <c r="B1443" s="2" t="str">
        <f>"6686993155473"</f>
        <v>6686993155473</v>
      </c>
      <c r="C1443" s="2" t="str">
        <f>"4008092024"</f>
        <v>4008092024</v>
      </c>
      <c r="D1443" s="2" t="s">
        <v>1295</v>
      </c>
      <c r="E1443" s="4">
        <v>4500</v>
      </c>
    </row>
    <row r="1444" spans="1:5" ht="26.25" x14ac:dyDescent="0.25">
      <c r="A1444" s="2" t="s">
        <v>20</v>
      </c>
      <c r="B1444" s="2" t="str">
        <f>"6686993155459"</f>
        <v>6686993155459</v>
      </c>
      <c r="C1444" s="2" t="str">
        <f>"4008092025"</f>
        <v>4008092025</v>
      </c>
      <c r="D1444" s="2" t="s">
        <v>1296</v>
      </c>
      <c r="E1444" s="4">
        <v>6500</v>
      </c>
    </row>
    <row r="1445" spans="1:5" ht="26.25" x14ac:dyDescent="0.25">
      <c r="A1445" s="2" t="s">
        <v>20</v>
      </c>
      <c r="B1445" s="2" t="str">
        <f>"1000101078"</f>
        <v>1000101078</v>
      </c>
      <c r="C1445" s="2" t="str">
        <f>"1000101078"</f>
        <v>1000101078</v>
      </c>
      <c r="D1445" s="2" t="s">
        <v>1297</v>
      </c>
      <c r="E1445" s="4">
        <v>3990</v>
      </c>
    </row>
    <row r="1446" spans="1:5" ht="26.25" x14ac:dyDescent="0.25">
      <c r="A1446" s="2" t="s">
        <v>20</v>
      </c>
      <c r="B1446" s="2" t="str">
        <f>"798302167094"</f>
        <v>798302167094</v>
      </c>
      <c r="C1446" s="2" t="str">
        <f>"92080301"</f>
        <v>92080301</v>
      </c>
      <c r="D1446" s="2" t="s">
        <v>1298</v>
      </c>
      <c r="E1446" s="4">
        <v>3500</v>
      </c>
    </row>
    <row r="1447" spans="1:5" ht="26.25" x14ac:dyDescent="0.25">
      <c r="A1447" s="2" t="s">
        <v>20</v>
      </c>
      <c r="B1447" s="2" t="str">
        <f>"54080002"</f>
        <v>54080002</v>
      </c>
      <c r="C1447" s="2" t="str">
        <f>"54080002"</f>
        <v>54080002</v>
      </c>
      <c r="D1447" s="2" t="s">
        <v>1299</v>
      </c>
      <c r="E1447" s="4">
        <v>3000</v>
      </c>
    </row>
    <row r="1448" spans="1:5" ht="26.25" x14ac:dyDescent="0.25">
      <c r="A1448" s="2" t="s">
        <v>20</v>
      </c>
      <c r="B1448" s="2" t="str">
        <f>"6689950025475"</f>
        <v>6689950025475</v>
      </c>
      <c r="C1448" s="2" t="str">
        <f>"4008092026"</f>
        <v>4008092026</v>
      </c>
      <c r="D1448" s="2" t="s">
        <v>1300</v>
      </c>
      <c r="E1448" s="4">
        <v>4500</v>
      </c>
    </row>
    <row r="1449" spans="1:5" ht="26.25" x14ac:dyDescent="0.25">
      <c r="A1449" s="2" t="s">
        <v>20</v>
      </c>
      <c r="B1449" s="2" t="str">
        <f>"766623306089"</f>
        <v>766623306089</v>
      </c>
      <c r="C1449" s="2" t="str">
        <f>"56086089"</f>
        <v>56086089</v>
      </c>
      <c r="D1449" s="2" t="s">
        <v>1301</v>
      </c>
      <c r="E1449" s="4">
        <v>3500</v>
      </c>
    </row>
    <row r="1450" spans="1:5" ht="26.25" x14ac:dyDescent="0.25">
      <c r="A1450" s="2" t="s">
        <v>20</v>
      </c>
      <c r="B1450" s="2" t="str">
        <f>"6689950025482"</f>
        <v>6689950025482</v>
      </c>
      <c r="C1450" s="2" t="str">
        <f>"40085482"</f>
        <v>40085482</v>
      </c>
      <c r="D1450" s="2" t="s">
        <v>1302</v>
      </c>
      <c r="E1450" s="4">
        <v>6500</v>
      </c>
    </row>
    <row r="1451" spans="1:5" ht="26.25" x14ac:dyDescent="0.25">
      <c r="A1451" s="2" t="s">
        <v>20</v>
      </c>
      <c r="B1451" s="2" t="str">
        <f>"7858816048333"</f>
        <v>7858816048333</v>
      </c>
      <c r="C1451" s="2" t="str">
        <f>"87084833"</f>
        <v>87084833</v>
      </c>
      <c r="D1451" s="2" t="s">
        <v>1303</v>
      </c>
      <c r="E1451" s="4">
        <v>2000</v>
      </c>
    </row>
    <row r="1452" spans="1:5" ht="26.25" x14ac:dyDescent="0.25">
      <c r="A1452" s="2" t="s">
        <v>20</v>
      </c>
      <c r="B1452" s="2" t="str">
        <f>"7858816021367"</f>
        <v>7858816021367</v>
      </c>
      <c r="C1452" s="2" t="str">
        <f>"87082136"</f>
        <v>87082136</v>
      </c>
      <c r="D1452" s="2" t="s">
        <v>1304</v>
      </c>
      <c r="E1452" s="4">
        <v>2000</v>
      </c>
    </row>
    <row r="1453" spans="1:5" ht="26.25" x14ac:dyDescent="0.25">
      <c r="A1453" s="2" t="s">
        <v>20</v>
      </c>
      <c r="B1453" s="2" t="str">
        <f>"7858816060052"</f>
        <v>7858816060052</v>
      </c>
      <c r="C1453" s="2" t="str">
        <f>"87086005"</f>
        <v>87086005</v>
      </c>
      <c r="D1453" s="2" t="s">
        <v>1305</v>
      </c>
      <c r="E1453" s="4">
        <v>2500</v>
      </c>
    </row>
    <row r="1454" spans="1:5" ht="26.25" x14ac:dyDescent="0.25">
      <c r="A1454" s="2" t="s">
        <v>9</v>
      </c>
      <c r="B1454" s="2" t="str">
        <f>"17127241"</f>
        <v>17127241</v>
      </c>
      <c r="C1454" s="2" t="str">
        <f>"17127241"</f>
        <v>17127241</v>
      </c>
      <c r="D1454" s="2" t="s">
        <v>1306</v>
      </c>
      <c r="E1454" s="4">
        <v>8500</v>
      </c>
    </row>
    <row r="1455" spans="1:5" ht="26.25" x14ac:dyDescent="0.25">
      <c r="A1455" s="2" t="s">
        <v>9</v>
      </c>
      <c r="B1455" s="2" t="str">
        <f>"10084079"</f>
        <v>10084079</v>
      </c>
      <c r="C1455" s="2" t="str">
        <f>"10084079"</f>
        <v>10084079</v>
      </c>
      <c r="D1455" s="2" t="s">
        <v>1307</v>
      </c>
      <c r="E1455" s="4">
        <v>3000</v>
      </c>
    </row>
    <row r="1456" spans="1:5" ht="26.25" x14ac:dyDescent="0.25">
      <c r="A1456" s="2" t="s">
        <v>9</v>
      </c>
      <c r="B1456" s="2" t="str">
        <f>"10000398"</f>
        <v>10000398</v>
      </c>
      <c r="C1456" s="2" t="str">
        <f>"10000398"</f>
        <v>10000398</v>
      </c>
      <c r="D1456" s="2" t="s">
        <v>1308</v>
      </c>
      <c r="E1456" s="4">
        <v>3000</v>
      </c>
    </row>
    <row r="1457" spans="1:5" ht="26.25" x14ac:dyDescent="0.25">
      <c r="A1457" s="2" t="s">
        <v>9</v>
      </c>
      <c r="B1457" s="2" t="str">
        <f>"4710007733332"</f>
        <v>4710007733332</v>
      </c>
      <c r="C1457" s="2" t="str">
        <f>"65083332"</f>
        <v>65083332</v>
      </c>
      <c r="D1457" s="2" t="s">
        <v>1309</v>
      </c>
      <c r="E1457" s="4">
        <v>3000</v>
      </c>
    </row>
    <row r="1458" spans="1:5" ht="26.25" x14ac:dyDescent="0.25">
      <c r="A1458" s="2" t="s">
        <v>9</v>
      </c>
      <c r="B1458" s="2" t="str">
        <f>"4710007733356"</f>
        <v>4710007733356</v>
      </c>
      <c r="C1458" s="2" t="str">
        <f>"65083356"</f>
        <v>65083356</v>
      </c>
      <c r="D1458" s="2" t="s">
        <v>1310</v>
      </c>
      <c r="E1458" s="4">
        <v>3000</v>
      </c>
    </row>
    <row r="1459" spans="1:5" ht="26.25" x14ac:dyDescent="0.25">
      <c r="A1459" s="2" t="s">
        <v>9</v>
      </c>
      <c r="B1459" s="2" t="str">
        <f>"8435350752149"</f>
        <v>8435350752149</v>
      </c>
      <c r="C1459" s="2" t="str">
        <f>"30080281"</f>
        <v>30080281</v>
      </c>
      <c r="D1459" s="2" t="s">
        <v>1311</v>
      </c>
      <c r="E1459" s="4">
        <v>5500</v>
      </c>
    </row>
    <row r="1460" spans="1:5" ht="26.25" x14ac:dyDescent="0.25">
      <c r="A1460" s="2" t="s">
        <v>9</v>
      </c>
      <c r="B1460" s="2" t="str">
        <f>"4710007733363"</f>
        <v>4710007733363</v>
      </c>
      <c r="C1460" s="2" t="str">
        <f>"65083363"</f>
        <v>65083363</v>
      </c>
      <c r="D1460" s="2" t="s">
        <v>1312</v>
      </c>
      <c r="E1460" s="4">
        <v>3000</v>
      </c>
    </row>
    <row r="1461" spans="1:5" ht="26.25" x14ac:dyDescent="0.25">
      <c r="A1461" s="2" t="s">
        <v>9</v>
      </c>
      <c r="B1461" s="2" t="str">
        <f>"4710007733349"</f>
        <v>4710007733349</v>
      </c>
      <c r="C1461" s="2" t="str">
        <f>"65083349"</f>
        <v>65083349</v>
      </c>
      <c r="D1461" s="2" t="s">
        <v>1313</v>
      </c>
      <c r="E1461" s="4">
        <v>3000</v>
      </c>
    </row>
    <row r="1462" spans="1:5" ht="26.25" x14ac:dyDescent="0.25">
      <c r="A1462" s="2" t="s">
        <v>9</v>
      </c>
      <c r="B1462" s="2" t="str">
        <f>"4710007735749"</f>
        <v>4710007735749</v>
      </c>
      <c r="C1462" s="2" t="str">
        <f>"65085749"</f>
        <v>65085749</v>
      </c>
      <c r="D1462" s="2" t="s">
        <v>1314</v>
      </c>
      <c r="E1462" s="4">
        <v>3000</v>
      </c>
    </row>
    <row r="1463" spans="1:5" ht="26.25" x14ac:dyDescent="0.25">
      <c r="A1463" s="2" t="s">
        <v>9</v>
      </c>
      <c r="B1463" s="2" t="str">
        <f>"22084204"</f>
        <v>22084204</v>
      </c>
      <c r="C1463" s="2" t="str">
        <f>"22084204"</f>
        <v>22084204</v>
      </c>
      <c r="D1463" s="2" t="s">
        <v>1315</v>
      </c>
      <c r="E1463" s="4">
        <v>3000</v>
      </c>
    </row>
    <row r="1464" spans="1:5" ht="26.25" x14ac:dyDescent="0.25">
      <c r="A1464" s="2" t="s">
        <v>9</v>
      </c>
      <c r="B1464" s="2" t="str">
        <f>"22084242"</f>
        <v>22084242</v>
      </c>
      <c r="C1464" s="2" t="str">
        <f>"22084242"</f>
        <v>22084242</v>
      </c>
      <c r="D1464" s="2" t="s">
        <v>1316</v>
      </c>
      <c r="E1464" s="4">
        <v>3500</v>
      </c>
    </row>
    <row r="1465" spans="1:5" ht="26.25" x14ac:dyDescent="0.25">
      <c r="A1465" s="2" t="s">
        <v>9</v>
      </c>
      <c r="B1465" s="2" t="str">
        <f>"86080001"</f>
        <v>86080001</v>
      </c>
      <c r="C1465" s="2" t="str">
        <f>"86080001"</f>
        <v>86080001</v>
      </c>
      <c r="D1465" s="2" t="s">
        <v>1317</v>
      </c>
      <c r="E1465" s="4">
        <v>3000</v>
      </c>
    </row>
    <row r="1466" spans="1:5" ht="26.25" x14ac:dyDescent="0.25">
      <c r="A1466" s="2" t="s">
        <v>9</v>
      </c>
      <c r="B1466" s="2" t="str">
        <f>"86080000"</f>
        <v>86080000</v>
      </c>
      <c r="C1466" s="2" t="str">
        <f>"86080000"</f>
        <v>86080000</v>
      </c>
      <c r="D1466" s="2" t="s">
        <v>1318</v>
      </c>
      <c r="E1466" s="4">
        <v>3000</v>
      </c>
    </row>
    <row r="1467" spans="1:5" ht="26.25" x14ac:dyDescent="0.25">
      <c r="A1467" s="2" t="s">
        <v>9</v>
      </c>
      <c r="B1467" s="2" t="str">
        <f>"6995411220038"</f>
        <v>6995411220038</v>
      </c>
      <c r="C1467" s="2" t="str">
        <f>"76080038"</f>
        <v>76080038</v>
      </c>
      <c r="D1467" s="2" t="s">
        <v>1319</v>
      </c>
      <c r="E1467" s="4">
        <v>6990</v>
      </c>
    </row>
    <row r="1468" spans="1:5" ht="26.25" x14ac:dyDescent="0.25">
      <c r="A1468" s="2" t="s">
        <v>9</v>
      </c>
      <c r="B1468" s="2" t="str">
        <f>"6971393457037"</f>
        <v>6971393457037</v>
      </c>
      <c r="C1468" s="2" t="str">
        <f>"40087037"</f>
        <v>40087037</v>
      </c>
      <c r="D1468" s="2" t="s">
        <v>1320</v>
      </c>
      <c r="E1468" s="4">
        <v>3500</v>
      </c>
    </row>
    <row r="1469" spans="1:5" ht="26.25" x14ac:dyDescent="0.25">
      <c r="A1469" s="2" t="s">
        <v>9</v>
      </c>
      <c r="B1469" s="2" t="str">
        <f>"6925871643450"</f>
        <v>6925871643450</v>
      </c>
      <c r="C1469" s="2" t="str">
        <f>"22084345"</f>
        <v>22084345</v>
      </c>
      <c r="D1469" s="2" t="s">
        <v>1321</v>
      </c>
      <c r="E1469" s="4">
        <v>3500</v>
      </c>
    </row>
    <row r="1470" spans="1:5" ht="26.25" x14ac:dyDescent="0.25">
      <c r="A1470" s="2" t="s">
        <v>9</v>
      </c>
      <c r="B1470" s="2" t="str">
        <f>"6925871600170"</f>
        <v>6925871600170</v>
      </c>
      <c r="C1470" s="2" t="str">
        <f>"220804340"</f>
        <v>220804340</v>
      </c>
      <c r="D1470" s="2" t="s">
        <v>1322</v>
      </c>
      <c r="E1470" s="4">
        <v>3500</v>
      </c>
    </row>
    <row r="1471" spans="1:5" ht="26.25" x14ac:dyDescent="0.25">
      <c r="A1471" s="2" t="s">
        <v>9</v>
      </c>
      <c r="B1471" s="2" t="str">
        <f>"6925871643641"</f>
        <v>6925871643641</v>
      </c>
      <c r="C1471" s="2" t="str">
        <f>"22084364"</f>
        <v>22084364</v>
      </c>
      <c r="D1471" s="2" t="s">
        <v>1323</v>
      </c>
      <c r="E1471" s="4">
        <v>3500</v>
      </c>
    </row>
    <row r="1472" spans="1:5" ht="26.25" x14ac:dyDescent="0.25">
      <c r="A1472" s="2" t="s">
        <v>9</v>
      </c>
      <c r="B1472" s="2" t="str">
        <f>"6925871643689"</f>
        <v>6925871643689</v>
      </c>
      <c r="C1472" s="2" t="str">
        <f>"22084368"</f>
        <v>22084368</v>
      </c>
      <c r="D1472" s="2" t="s">
        <v>1324</v>
      </c>
      <c r="E1472" s="4">
        <v>3000</v>
      </c>
    </row>
    <row r="1473" spans="1:5" ht="26.25" x14ac:dyDescent="0.25">
      <c r="A1473" s="2" t="s">
        <v>9</v>
      </c>
      <c r="B1473" s="2" t="str">
        <f>"7858816041082"</f>
        <v>7858816041082</v>
      </c>
      <c r="C1473" s="2" t="str">
        <f>"87084108"</f>
        <v>87084108</v>
      </c>
      <c r="D1473" s="2" t="s">
        <v>1325</v>
      </c>
      <c r="E1473" s="4">
        <v>3500</v>
      </c>
    </row>
    <row r="1474" spans="1:5" ht="26.25" x14ac:dyDescent="0.25">
      <c r="A1474" s="2" t="s">
        <v>9</v>
      </c>
      <c r="B1474" s="2" t="str">
        <f>"7858816078194"</f>
        <v>7858816078194</v>
      </c>
      <c r="C1474" s="2" t="str">
        <f>"87087819"</f>
        <v>87087819</v>
      </c>
      <c r="D1474" s="2" t="s">
        <v>1326</v>
      </c>
      <c r="E1474" s="4">
        <v>2500</v>
      </c>
    </row>
    <row r="1475" spans="1:5" ht="26.25" x14ac:dyDescent="0.25">
      <c r="A1475" s="2" t="s">
        <v>9</v>
      </c>
      <c r="B1475" s="2" t="str">
        <f>"7858816083976"</f>
        <v>7858816083976</v>
      </c>
      <c r="C1475" s="2" t="str">
        <f>"87088397"</f>
        <v>87088397</v>
      </c>
      <c r="D1475" s="2" t="s">
        <v>1327</v>
      </c>
      <c r="E1475" s="4">
        <v>2500</v>
      </c>
    </row>
    <row r="1476" spans="1:5" ht="39" x14ac:dyDescent="0.25">
      <c r="A1476" s="2" t="s">
        <v>9</v>
      </c>
      <c r="B1476" s="2" t="str">
        <f>"6956116793555"</f>
        <v>6956116793555</v>
      </c>
      <c r="C1476" s="2" t="str">
        <f>"6956116793524"</f>
        <v>6956116793524</v>
      </c>
      <c r="D1476" s="2" t="s">
        <v>1328</v>
      </c>
      <c r="E1476" s="4">
        <v>3000</v>
      </c>
    </row>
    <row r="1477" spans="1:5" ht="26.25" x14ac:dyDescent="0.25">
      <c r="A1477" s="2" t="s">
        <v>9</v>
      </c>
      <c r="B1477" s="2" t="str">
        <f>"6954851261339"</f>
        <v>6954851261339</v>
      </c>
      <c r="C1477" s="2" t="str">
        <f>"13081339"</f>
        <v>13081339</v>
      </c>
      <c r="D1477" s="2" t="s">
        <v>1329</v>
      </c>
      <c r="E1477" s="4">
        <v>3000</v>
      </c>
    </row>
    <row r="1478" spans="1:5" ht="26.25" x14ac:dyDescent="0.25">
      <c r="A1478" s="2" t="s">
        <v>9</v>
      </c>
      <c r="B1478" s="2" t="str">
        <f>"6954851261360"</f>
        <v>6954851261360</v>
      </c>
      <c r="C1478" s="2" t="str">
        <f>"13081360"</f>
        <v>13081360</v>
      </c>
      <c r="D1478" s="2" t="s">
        <v>1330</v>
      </c>
      <c r="E1478" s="4">
        <v>3000</v>
      </c>
    </row>
    <row r="1479" spans="1:5" ht="39" x14ac:dyDescent="0.25">
      <c r="A1479" s="2" t="s">
        <v>9</v>
      </c>
      <c r="B1479" s="2" t="str">
        <f>"6972174153476"</f>
        <v>6972174153476</v>
      </c>
      <c r="C1479" s="2" t="str">
        <f>"6972174153469"</f>
        <v>6972174153469</v>
      </c>
      <c r="D1479" s="2" t="s">
        <v>1331</v>
      </c>
      <c r="E1479" s="4">
        <v>5500</v>
      </c>
    </row>
    <row r="1480" spans="1:5" ht="26.25" x14ac:dyDescent="0.25">
      <c r="A1480" s="2" t="s">
        <v>9</v>
      </c>
      <c r="B1480" s="2" t="str">
        <f>"76080001"</f>
        <v>76080001</v>
      </c>
      <c r="C1480" s="2" t="str">
        <f>"76080001"</f>
        <v>76080001</v>
      </c>
      <c r="D1480" s="2" t="s">
        <v>1332</v>
      </c>
      <c r="E1480" s="4">
        <v>5000</v>
      </c>
    </row>
    <row r="1481" spans="1:5" ht="26.25" x14ac:dyDescent="0.25">
      <c r="A1481" s="2" t="s">
        <v>9</v>
      </c>
      <c r="B1481" s="2" t="str">
        <f>"6746456795834"</f>
        <v>6746456795834</v>
      </c>
      <c r="C1481" s="2" t="str">
        <f>"40085834"</f>
        <v>40085834</v>
      </c>
      <c r="D1481" s="2" t="s">
        <v>1333</v>
      </c>
      <c r="E1481" s="4">
        <v>6000</v>
      </c>
    </row>
    <row r="1482" spans="1:5" ht="26.25" x14ac:dyDescent="0.25">
      <c r="A1482" s="2" t="s">
        <v>20</v>
      </c>
      <c r="B1482" s="2" t="str">
        <f>"639247745773"</f>
        <v>639247745773</v>
      </c>
      <c r="C1482" s="2" t="str">
        <f>"63080057"</f>
        <v>63080057</v>
      </c>
      <c r="D1482" s="2" t="s">
        <v>1334</v>
      </c>
      <c r="E1482" s="4">
        <v>13990</v>
      </c>
    </row>
    <row r="1483" spans="1:5" ht="26.25" x14ac:dyDescent="0.25">
      <c r="A1483" s="2" t="s">
        <v>9</v>
      </c>
      <c r="B1483" s="2" t="str">
        <f>"2019033557168"</f>
        <v>2019033557168</v>
      </c>
      <c r="C1483" s="2" t="str">
        <f>"18085716"</f>
        <v>18085716</v>
      </c>
      <c r="D1483" s="2" t="s">
        <v>1335</v>
      </c>
      <c r="E1483" s="4">
        <v>3500</v>
      </c>
    </row>
    <row r="1484" spans="1:5" ht="26.25" x14ac:dyDescent="0.25">
      <c r="A1484" s="2" t="s">
        <v>9</v>
      </c>
      <c r="B1484" s="2" t="str">
        <f>"2020050060401"</f>
        <v>2020050060401</v>
      </c>
      <c r="C1484" s="2" t="str">
        <f>"18086040"</f>
        <v>18086040</v>
      </c>
      <c r="D1484" s="2" t="s">
        <v>1336</v>
      </c>
      <c r="E1484" s="4">
        <v>4500</v>
      </c>
    </row>
    <row r="1485" spans="1:5" ht="26.25" x14ac:dyDescent="0.25">
      <c r="A1485" s="2" t="s">
        <v>9</v>
      </c>
      <c r="B1485" s="2" t="str">
        <f>"2020050061071"</f>
        <v>2020050061071</v>
      </c>
      <c r="C1485" s="2" t="str">
        <f>"18086107"</f>
        <v>18086107</v>
      </c>
      <c r="D1485" s="2" t="s">
        <v>1337</v>
      </c>
      <c r="E1485" s="4">
        <v>3500</v>
      </c>
    </row>
    <row r="1486" spans="1:5" ht="26.25" x14ac:dyDescent="0.25">
      <c r="A1486" s="2" t="s">
        <v>9</v>
      </c>
      <c r="B1486" s="2" t="str">
        <f>"8435350752156"</f>
        <v>8435350752156</v>
      </c>
      <c r="C1486" s="2" t="str">
        <f>"30080282"</f>
        <v>30080282</v>
      </c>
      <c r="D1486" s="2" t="s">
        <v>1338</v>
      </c>
      <c r="E1486" s="4">
        <v>5500</v>
      </c>
    </row>
    <row r="1487" spans="1:5" ht="26.25" x14ac:dyDescent="0.25">
      <c r="A1487" s="2" t="s">
        <v>9</v>
      </c>
      <c r="B1487" s="2" t="str">
        <f>"10111825"</f>
        <v>10111825</v>
      </c>
      <c r="C1487" s="2" t="str">
        <f>"10111825"</f>
        <v>10111825</v>
      </c>
      <c r="D1487" s="2" t="s">
        <v>1339</v>
      </c>
      <c r="E1487" s="4">
        <v>3990</v>
      </c>
    </row>
    <row r="1488" spans="1:5" ht="26.25" x14ac:dyDescent="0.25">
      <c r="A1488" s="2" t="s">
        <v>9</v>
      </c>
      <c r="B1488" s="2" t="str">
        <f>"10111847"</f>
        <v>10111847</v>
      </c>
      <c r="C1488" s="2" t="str">
        <f>"10111847"</f>
        <v>10111847</v>
      </c>
      <c r="D1488" s="2" t="s">
        <v>1340</v>
      </c>
      <c r="E1488" s="4">
        <v>3990</v>
      </c>
    </row>
    <row r="1489" spans="1:5" ht="26.25" x14ac:dyDescent="0.25">
      <c r="A1489" s="2" t="s">
        <v>9</v>
      </c>
      <c r="B1489" s="2" t="str">
        <f>"10011713"</f>
        <v>10011713</v>
      </c>
      <c r="C1489" s="2" t="str">
        <f>"10011713"</f>
        <v>10011713</v>
      </c>
      <c r="D1489" s="2" t="s">
        <v>1341</v>
      </c>
      <c r="E1489" s="4">
        <v>2000</v>
      </c>
    </row>
    <row r="1490" spans="1:5" ht="26.25" x14ac:dyDescent="0.25">
      <c r="A1490" s="2" t="s">
        <v>9</v>
      </c>
      <c r="B1490" s="2" t="str">
        <f>"2751531583279"</f>
        <v>2751531583279</v>
      </c>
      <c r="C1490" s="2" t="str">
        <f>"10012868"</f>
        <v>10012868</v>
      </c>
      <c r="D1490" s="2" t="s">
        <v>1342</v>
      </c>
      <c r="E1490" s="4">
        <v>3500</v>
      </c>
    </row>
    <row r="1491" spans="1:5" ht="26.25" x14ac:dyDescent="0.25">
      <c r="A1491" s="2" t="s">
        <v>9</v>
      </c>
      <c r="B1491" s="2" t="str">
        <f>"6971083491709"</f>
        <v>6971083491709</v>
      </c>
      <c r="C1491" s="2" t="str">
        <f>"10013132"</f>
        <v>10013132</v>
      </c>
      <c r="D1491" s="2" t="s">
        <v>1343</v>
      </c>
      <c r="E1491" s="4">
        <v>4500</v>
      </c>
    </row>
    <row r="1492" spans="1:5" ht="26.25" x14ac:dyDescent="0.25">
      <c r="A1492" s="2" t="s">
        <v>9</v>
      </c>
      <c r="B1492" s="2" t="str">
        <f>"10014298"</f>
        <v>10014298</v>
      </c>
      <c r="C1492" s="2" t="str">
        <f>"10014298"</f>
        <v>10014298</v>
      </c>
      <c r="D1492" s="2" t="s">
        <v>1344</v>
      </c>
      <c r="E1492" s="4">
        <v>4990</v>
      </c>
    </row>
    <row r="1493" spans="1:5" ht="26.25" x14ac:dyDescent="0.25">
      <c r="A1493" s="2" t="s">
        <v>9</v>
      </c>
      <c r="B1493" s="2" t="str">
        <f>"10014826"</f>
        <v>10014826</v>
      </c>
      <c r="C1493" s="2" t="str">
        <f>"10014826"</f>
        <v>10014826</v>
      </c>
      <c r="D1493" s="2" t="s">
        <v>1345</v>
      </c>
      <c r="E1493" s="4">
        <v>3500</v>
      </c>
    </row>
    <row r="1494" spans="1:5" ht="26.25" x14ac:dyDescent="0.25">
      <c r="A1494" s="2" t="s">
        <v>9</v>
      </c>
      <c r="B1494" s="2" t="str">
        <f>"6910803084449"</f>
        <v>6910803084449</v>
      </c>
      <c r="C1494" s="2" t="str">
        <f>"10081531"</f>
        <v>10081531</v>
      </c>
      <c r="D1494" s="2" t="s">
        <v>1346</v>
      </c>
      <c r="E1494" s="4">
        <v>3000</v>
      </c>
    </row>
    <row r="1495" spans="1:5" ht="26.25" x14ac:dyDescent="0.25">
      <c r="A1495" s="2" t="s">
        <v>9</v>
      </c>
      <c r="B1495" s="2" t="str">
        <f>"7815666663499"</f>
        <v>7815666663499</v>
      </c>
      <c r="C1495" s="2" t="str">
        <f>"10082867"</f>
        <v>10082867</v>
      </c>
      <c r="D1495" s="2" t="s">
        <v>1347</v>
      </c>
      <c r="E1495" s="4">
        <v>4500</v>
      </c>
    </row>
    <row r="1496" spans="1:5" ht="26.25" x14ac:dyDescent="0.25">
      <c r="A1496" s="2" t="s">
        <v>9</v>
      </c>
      <c r="B1496" s="2" t="str">
        <f>"6965468456681"</f>
        <v>6965468456681</v>
      </c>
      <c r="C1496" s="2" t="str">
        <f>"10003150"</f>
        <v>10003150</v>
      </c>
      <c r="D1496" s="2" t="s">
        <v>1348</v>
      </c>
      <c r="E1496" s="4">
        <v>3500</v>
      </c>
    </row>
    <row r="1497" spans="1:5" ht="26.25" x14ac:dyDescent="0.25">
      <c r="A1497" s="2" t="s">
        <v>9</v>
      </c>
      <c r="B1497" s="2" t="str">
        <f>"10004530"</f>
        <v>10004530</v>
      </c>
      <c r="C1497" s="2" t="str">
        <f>"10004530"</f>
        <v>10004530</v>
      </c>
      <c r="D1497" s="2" t="s">
        <v>1349</v>
      </c>
      <c r="E1497" s="4">
        <v>3990</v>
      </c>
    </row>
    <row r="1498" spans="1:5" ht="26.25" x14ac:dyDescent="0.25">
      <c r="A1498" s="2" t="s">
        <v>9</v>
      </c>
      <c r="B1498" s="2" t="str">
        <f>"6656325558760"</f>
        <v>6656325558760</v>
      </c>
      <c r="C1498" s="2" t="str">
        <f>"10009194"</f>
        <v>10009194</v>
      </c>
      <c r="D1498" s="2" t="s">
        <v>1350</v>
      </c>
      <c r="E1498" s="4">
        <v>4000</v>
      </c>
    </row>
    <row r="1499" spans="1:5" ht="26.25" x14ac:dyDescent="0.25">
      <c r="A1499" s="2" t="s">
        <v>9</v>
      </c>
      <c r="B1499" s="2" t="str">
        <f>"6546876788962"</f>
        <v>6546876788962</v>
      </c>
      <c r="C1499" s="2" t="str">
        <f>"10009414"</f>
        <v>10009414</v>
      </c>
      <c r="D1499" s="2" t="s">
        <v>1351</v>
      </c>
      <c r="E1499" s="4">
        <v>3990</v>
      </c>
    </row>
    <row r="1500" spans="1:5" ht="26.25" x14ac:dyDescent="0.25">
      <c r="A1500" s="2" t="s">
        <v>9</v>
      </c>
      <c r="B1500" s="2" t="str">
        <f>"6959033842191"</f>
        <v>6959033842191</v>
      </c>
      <c r="C1500" s="2" t="str">
        <f>"98082191"</f>
        <v>98082191</v>
      </c>
      <c r="D1500" s="2" t="s">
        <v>1352</v>
      </c>
      <c r="E1500" s="4">
        <v>7800</v>
      </c>
    </row>
    <row r="1501" spans="1:5" ht="26.25" x14ac:dyDescent="0.25">
      <c r="A1501" s="2" t="s">
        <v>9</v>
      </c>
      <c r="B1501" s="2" t="str">
        <f>"6910190442372"</f>
        <v>6910190442372</v>
      </c>
      <c r="C1501" s="2" t="str">
        <f>"22084237"</f>
        <v>22084237</v>
      </c>
      <c r="D1501" s="2" t="s">
        <v>1353</v>
      </c>
      <c r="E1501" s="4">
        <v>2500</v>
      </c>
    </row>
    <row r="1502" spans="1:5" ht="26.25" x14ac:dyDescent="0.25">
      <c r="A1502" s="2" t="s">
        <v>9</v>
      </c>
      <c r="B1502" s="2" t="str">
        <f>"6925871643443"</f>
        <v>6925871643443</v>
      </c>
      <c r="C1502" s="2" t="str">
        <f>"22084344"</f>
        <v>22084344</v>
      </c>
      <c r="D1502" s="2" t="s">
        <v>1354</v>
      </c>
      <c r="E1502" s="4">
        <v>3000</v>
      </c>
    </row>
    <row r="1503" spans="1:5" ht="26.25" x14ac:dyDescent="0.25">
      <c r="A1503" s="2" t="s">
        <v>9</v>
      </c>
      <c r="B1503" s="2" t="str">
        <f>"6925871643627"</f>
        <v>6925871643627</v>
      </c>
      <c r="C1503" s="2" t="str">
        <f>"22084362"</f>
        <v>22084362</v>
      </c>
      <c r="D1503" s="2" t="s">
        <v>1355</v>
      </c>
      <c r="E1503" s="4">
        <v>2500</v>
      </c>
    </row>
    <row r="1504" spans="1:5" ht="26.25" x14ac:dyDescent="0.25">
      <c r="A1504" s="2" t="s">
        <v>9</v>
      </c>
      <c r="B1504" s="2" t="str">
        <f>"98080406"</f>
        <v>98080406</v>
      </c>
      <c r="C1504" s="2" t="str">
        <f>"98080406"</f>
        <v>98080406</v>
      </c>
      <c r="D1504" s="2" t="s">
        <v>1356</v>
      </c>
      <c r="E1504" s="4">
        <v>2500</v>
      </c>
    </row>
    <row r="1505" spans="1:5" ht="26.25" x14ac:dyDescent="0.25">
      <c r="A1505" s="2" t="s">
        <v>9</v>
      </c>
      <c r="B1505" s="2" t="str">
        <f>"7804647680969"</f>
        <v>7804647680969</v>
      </c>
      <c r="C1505" s="2" t="str">
        <f>"92080291"</f>
        <v>92080291</v>
      </c>
      <c r="D1505" s="2" t="s">
        <v>1357</v>
      </c>
      <c r="E1505" s="4">
        <v>5000</v>
      </c>
    </row>
    <row r="1506" spans="1:5" ht="26.25" x14ac:dyDescent="0.25">
      <c r="A1506" s="2" t="s">
        <v>9</v>
      </c>
      <c r="B1506" s="2" t="str">
        <f>"6901443252428"</f>
        <v>6901443252428</v>
      </c>
      <c r="C1506" s="2" t="str">
        <f>"30080051"</f>
        <v>30080051</v>
      </c>
      <c r="D1506" s="2" t="s">
        <v>1358</v>
      </c>
      <c r="E1506" s="4">
        <v>9990</v>
      </c>
    </row>
    <row r="1507" spans="1:5" ht="26.25" x14ac:dyDescent="0.25">
      <c r="A1507" s="2" t="s">
        <v>9</v>
      </c>
      <c r="B1507" s="2" t="str">
        <f>"6901443252411"</f>
        <v>6901443252411</v>
      </c>
      <c r="C1507" s="2" t="str">
        <f>"79HUE0CP51"</f>
        <v>79HUE0CP51</v>
      </c>
      <c r="D1507" s="2" t="s">
        <v>1358</v>
      </c>
      <c r="E1507" s="4">
        <v>9990</v>
      </c>
    </row>
    <row r="1508" spans="1:5" ht="26.25" x14ac:dyDescent="0.25">
      <c r="A1508" s="2" t="s">
        <v>9</v>
      </c>
      <c r="B1508" s="2" t="str">
        <f>"6901443176649"</f>
        <v>6901443176649</v>
      </c>
      <c r="C1508" s="2" t="str">
        <f>"79HUE0AP71"</f>
        <v>79HUE0AP71</v>
      </c>
      <c r="D1508" s="2" t="s">
        <v>1358</v>
      </c>
      <c r="E1508" s="4">
        <v>11990</v>
      </c>
    </row>
    <row r="1509" spans="1:5" ht="26.25" x14ac:dyDescent="0.25">
      <c r="A1509" s="2" t="s">
        <v>9</v>
      </c>
      <c r="B1509" s="2" t="str">
        <f>"6901443176656"</f>
        <v>6901443176656</v>
      </c>
      <c r="C1509" s="2" t="str">
        <f>"92080001"</f>
        <v>92080001</v>
      </c>
      <c r="D1509" s="2" t="s">
        <v>1358</v>
      </c>
      <c r="E1509" s="4">
        <v>9990</v>
      </c>
    </row>
    <row r="1510" spans="1:5" ht="26.25" x14ac:dyDescent="0.25">
      <c r="A1510" s="2" t="s">
        <v>9</v>
      </c>
      <c r="B1510" s="2" t="str">
        <f>"8944870161107"</f>
        <v>8944870161107</v>
      </c>
      <c r="C1510" s="2" t="str">
        <f>"87081951"</f>
        <v>87081951</v>
      </c>
      <c r="D1510" s="2" t="s">
        <v>1359</v>
      </c>
      <c r="E1510" s="4">
        <v>2990</v>
      </c>
    </row>
    <row r="1511" spans="1:5" ht="26.25" x14ac:dyDescent="0.25">
      <c r="A1511" s="2" t="s">
        <v>9</v>
      </c>
      <c r="B1511" s="2" t="str">
        <f>"7858816021299"</f>
        <v>7858816021299</v>
      </c>
      <c r="C1511" s="2" t="str">
        <f>"87082129"</f>
        <v>87082129</v>
      </c>
      <c r="D1511" s="2" t="s">
        <v>1360</v>
      </c>
      <c r="E1511" s="4">
        <v>1500</v>
      </c>
    </row>
    <row r="1512" spans="1:5" ht="26.25" x14ac:dyDescent="0.25">
      <c r="A1512" s="2" t="s">
        <v>9</v>
      </c>
      <c r="B1512" s="2" t="str">
        <f>"7858816065279"</f>
        <v>7858816065279</v>
      </c>
      <c r="C1512" s="2" t="str">
        <f>"87086527"</f>
        <v>87086527</v>
      </c>
      <c r="D1512" s="2" t="s">
        <v>1361</v>
      </c>
      <c r="E1512" s="4">
        <v>2990</v>
      </c>
    </row>
    <row r="1513" spans="1:5" ht="26.25" x14ac:dyDescent="0.25">
      <c r="A1513" s="2" t="s">
        <v>9</v>
      </c>
      <c r="B1513" s="2" t="str">
        <f>"7858816078132"</f>
        <v>7858816078132</v>
      </c>
      <c r="C1513" s="2" t="str">
        <f>"87087813"</f>
        <v>87087813</v>
      </c>
      <c r="D1513" s="2" t="s">
        <v>1362</v>
      </c>
      <c r="E1513" s="4">
        <v>3000</v>
      </c>
    </row>
    <row r="1514" spans="1:5" ht="26.25" x14ac:dyDescent="0.25">
      <c r="A1514" s="2" t="s">
        <v>9</v>
      </c>
      <c r="B1514" s="2" t="str">
        <f>"8435350753764"</f>
        <v>8435350753764</v>
      </c>
      <c r="C1514" s="2" t="str">
        <f>"87080372"</f>
        <v>87080372</v>
      </c>
      <c r="D1514" s="2" t="s">
        <v>1363</v>
      </c>
      <c r="E1514" s="4">
        <v>3500</v>
      </c>
    </row>
    <row r="1515" spans="1:5" ht="39" x14ac:dyDescent="0.25">
      <c r="A1515" s="2" t="s">
        <v>9</v>
      </c>
      <c r="B1515" s="2" t="str">
        <f>"8944870161480"</f>
        <v>8944870161480</v>
      </c>
      <c r="C1515" s="2" t="str">
        <f>"8944870161107"</f>
        <v>8944870161107</v>
      </c>
      <c r="D1515" s="2" t="s">
        <v>1364</v>
      </c>
      <c r="E1515" s="4">
        <v>3000</v>
      </c>
    </row>
    <row r="1516" spans="1:5" ht="26.25" x14ac:dyDescent="0.25">
      <c r="A1516" s="2" t="s">
        <v>9</v>
      </c>
      <c r="B1516" s="2" t="str">
        <f>"6874588480134"</f>
        <v>6874588480134</v>
      </c>
      <c r="C1516" s="2" t="str">
        <f>"76080013"</f>
        <v>76080013</v>
      </c>
      <c r="D1516" s="2" t="s">
        <v>1365</v>
      </c>
      <c r="E1516" s="4">
        <v>3000</v>
      </c>
    </row>
    <row r="1517" spans="1:5" ht="26.25" x14ac:dyDescent="0.25">
      <c r="A1517" s="2" t="s">
        <v>9</v>
      </c>
      <c r="B1517" s="2" t="str">
        <f>"6995411220021"</f>
        <v>6995411220021</v>
      </c>
      <c r="C1517" s="2" t="str">
        <f>"76080031"</f>
        <v>76080031</v>
      </c>
      <c r="D1517" s="2" t="s">
        <v>1366</v>
      </c>
      <c r="E1517" s="4">
        <v>4500</v>
      </c>
    </row>
    <row r="1518" spans="1:5" ht="26.25" x14ac:dyDescent="0.25">
      <c r="A1518" s="2" t="s">
        <v>9</v>
      </c>
      <c r="B1518" s="2" t="str">
        <f>"6995411330027"</f>
        <v>6995411330027</v>
      </c>
      <c r="C1518" s="2" t="str">
        <f>"76080027"</f>
        <v>76080027</v>
      </c>
      <c r="D1518" s="2" t="s">
        <v>1367</v>
      </c>
      <c r="E1518" s="4">
        <v>5500</v>
      </c>
    </row>
    <row r="1519" spans="1:5" ht="26.25" x14ac:dyDescent="0.25">
      <c r="A1519" s="2" t="s">
        <v>9</v>
      </c>
      <c r="B1519" s="2" t="str">
        <f>"6901443115563"</f>
        <v>6901443115563</v>
      </c>
      <c r="C1519" s="2" t="str">
        <f>"30080500"</f>
        <v>30080500</v>
      </c>
      <c r="D1519" s="2" t="s">
        <v>1368</v>
      </c>
      <c r="E1519" s="4">
        <v>11990</v>
      </c>
    </row>
    <row r="1520" spans="1:5" ht="26.25" x14ac:dyDescent="0.25">
      <c r="A1520" s="2" t="s">
        <v>9</v>
      </c>
      <c r="B1520" s="2" t="str">
        <f>"6951613996393"</f>
        <v>6951613996393</v>
      </c>
      <c r="C1520" s="2" t="str">
        <f>"98081531"</f>
        <v>98081531</v>
      </c>
      <c r="D1520" s="2" t="s">
        <v>1369</v>
      </c>
      <c r="E1520" s="4">
        <v>4990</v>
      </c>
    </row>
    <row r="1521" spans="1:5" ht="26.25" x14ac:dyDescent="0.25">
      <c r="A1521" s="2" t="s">
        <v>9</v>
      </c>
      <c r="B1521" s="2" t="str">
        <f>"6922309824627"</f>
        <v>6922309824627</v>
      </c>
      <c r="C1521" s="2" t="str">
        <f>"79ORGTA200"</f>
        <v>79ORGTA200</v>
      </c>
      <c r="D1521" s="2" t="s">
        <v>1370</v>
      </c>
      <c r="E1521" s="4">
        <v>9990</v>
      </c>
    </row>
    <row r="1522" spans="1:5" ht="26.25" x14ac:dyDescent="0.25">
      <c r="A1522" s="2" t="s">
        <v>9</v>
      </c>
      <c r="B1522" s="2" t="str">
        <f>"54081000"</f>
        <v>54081000</v>
      </c>
      <c r="C1522" s="2" t="str">
        <f>"54081000"</f>
        <v>54081000</v>
      </c>
      <c r="D1522" s="2" t="s">
        <v>1371</v>
      </c>
      <c r="E1522" s="4">
        <v>3000</v>
      </c>
    </row>
    <row r="1523" spans="1:5" ht="26.25" x14ac:dyDescent="0.25">
      <c r="A1523" s="2" t="s">
        <v>9</v>
      </c>
      <c r="B1523" s="2" t="str">
        <f>"699988512181"</f>
        <v>699988512181</v>
      </c>
      <c r="C1523" s="2" t="str">
        <f>"54081040"</f>
        <v>54081040</v>
      </c>
      <c r="D1523" s="2" t="s">
        <v>1372</v>
      </c>
      <c r="E1523" s="4">
        <v>3990</v>
      </c>
    </row>
    <row r="1524" spans="1:5" ht="26.25" x14ac:dyDescent="0.25">
      <c r="A1524" s="2" t="s">
        <v>9</v>
      </c>
      <c r="B1524" s="2" t="str">
        <f>"54080700"</f>
        <v>54080700</v>
      </c>
      <c r="C1524" s="2" t="str">
        <f>"54080700"</f>
        <v>54080700</v>
      </c>
      <c r="D1524" s="2" t="s">
        <v>1373</v>
      </c>
      <c r="E1524" s="4">
        <v>4990</v>
      </c>
    </row>
    <row r="1525" spans="1:5" ht="26.25" x14ac:dyDescent="0.25">
      <c r="A1525" s="2" t="s">
        <v>9</v>
      </c>
      <c r="B1525" s="2" t="str">
        <f>"6971393457020"</f>
        <v>6971393457020</v>
      </c>
      <c r="C1525" s="2" t="str">
        <f>"40087020"</f>
        <v>40087020</v>
      </c>
      <c r="D1525" s="2" t="s">
        <v>1374</v>
      </c>
      <c r="E1525" s="4">
        <v>3500</v>
      </c>
    </row>
    <row r="1526" spans="1:5" ht="26.25" x14ac:dyDescent="0.25">
      <c r="A1526" s="2" t="s">
        <v>9</v>
      </c>
      <c r="B1526" s="2" t="str">
        <f>"10004010"</f>
        <v>10004010</v>
      </c>
      <c r="C1526" s="2" t="str">
        <f>"10004010"</f>
        <v>10004010</v>
      </c>
      <c r="D1526" s="2" t="s">
        <v>1375</v>
      </c>
      <c r="E1526" s="4">
        <v>3500</v>
      </c>
    </row>
    <row r="1527" spans="1:5" ht="26.25" x14ac:dyDescent="0.25">
      <c r="A1527" s="2" t="s">
        <v>9</v>
      </c>
      <c r="B1527" s="2" t="str">
        <f>"680988393143"</f>
        <v>680988393143</v>
      </c>
      <c r="C1527" s="2" t="str">
        <f>"98080711"</f>
        <v>98080711</v>
      </c>
      <c r="D1527" s="2" t="s">
        <v>1376</v>
      </c>
      <c r="E1527" s="4">
        <v>12990</v>
      </c>
    </row>
    <row r="1528" spans="1:5" ht="26.25" x14ac:dyDescent="0.25">
      <c r="A1528" s="2" t="s">
        <v>9</v>
      </c>
      <c r="B1528" s="2" t="str">
        <f>"7858816062254"</f>
        <v>7858816062254</v>
      </c>
      <c r="C1528" s="2" t="str">
        <f>"87086225"</f>
        <v>87086225</v>
      </c>
      <c r="D1528" s="2" t="s">
        <v>1377</v>
      </c>
      <c r="E1528" s="4">
        <v>3000</v>
      </c>
    </row>
    <row r="1529" spans="1:5" ht="26.25" x14ac:dyDescent="0.25">
      <c r="A1529" s="2" t="s">
        <v>9</v>
      </c>
      <c r="B1529" s="2" t="str">
        <f>"7858816078125"</f>
        <v>7858816078125</v>
      </c>
      <c r="C1529" s="2" t="str">
        <f>"87087812"</f>
        <v>87087812</v>
      </c>
      <c r="D1529" s="2" t="s">
        <v>1378</v>
      </c>
      <c r="E1529" s="4">
        <v>3000</v>
      </c>
    </row>
    <row r="1530" spans="1:5" ht="26.25" x14ac:dyDescent="0.25">
      <c r="A1530" s="2" t="s">
        <v>9</v>
      </c>
      <c r="B1530" s="2" t="str">
        <f>"7858816083754"</f>
        <v>7858816083754</v>
      </c>
      <c r="C1530" s="2" t="str">
        <f>"87088375"</f>
        <v>87088375</v>
      </c>
      <c r="D1530" s="2" t="s">
        <v>1379</v>
      </c>
      <c r="E1530" s="4">
        <v>3500</v>
      </c>
    </row>
    <row r="1531" spans="1:5" ht="26.25" x14ac:dyDescent="0.25">
      <c r="A1531" s="2" t="s">
        <v>9</v>
      </c>
      <c r="B1531" s="2" t="str">
        <f>"7858816083969"</f>
        <v>7858816083969</v>
      </c>
      <c r="C1531" s="2" t="str">
        <f>"87088396"</f>
        <v>87088396</v>
      </c>
      <c r="D1531" s="2" t="s">
        <v>1380</v>
      </c>
      <c r="E1531" s="4">
        <v>2500</v>
      </c>
    </row>
    <row r="1532" spans="1:5" ht="26.25" x14ac:dyDescent="0.25">
      <c r="A1532" s="2" t="s">
        <v>9</v>
      </c>
      <c r="B1532" s="2" t="str">
        <f>"6956116793449"</f>
        <v>6956116793449</v>
      </c>
      <c r="C1532" s="2" t="str">
        <f>"40083449"</f>
        <v>40083449</v>
      </c>
      <c r="D1532" s="2" t="s">
        <v>1381</v>
      </c>
      <c r="E1532" s="4">
        <v>3000</v>
      </c>
    </row>
    <row r="1533" spans="1:5" ht="26.25" x14ac:dyDescent="0.25">
      <c r="A1533" s="2" t="s">
        <v>9</v>
      </c>
      <c r="B1533" s="2" t="str">
        <f>"7808748510194"</f>
        <v>7808748510194</v>
      </c>
      <c r="C1533" s="2" t="str">
        <f>"98080194"</f>
        <v>98080194</v>
      </c>
      <c r="D1533" s="2" t="s">
        <v>1382</v>
      </c>
      <c r="E1533" s="4">
        <v>3500</v>
      </c>
    </row>
    <row r="1534" spans="1:5" ht="26.25" x14ac:dyDescent="0.25">
      <c r="A1534" s="2" t="s">
        <v>9</v>
      </c>
      <c r="B1534" s="2" t="str">
        <f>"6954851258605"</f>
        <v>6954851258605</v>
      </c>
      <c r="C1534" s="2" t="str">
        <f>"13088605"</f>
        <v>13088605</v>
      </c>
      <c r="D1534" s="2" t="s">
        <v>1383</v>
      </c>
      <c r="E1534" s="4">
        <v>3000</v>
      </c>
    </row>
    <row r="1535" spans="1:5" ht="26.25" x14ac:dyDescent="0.25">
      <c r="A1535" s="2" t="s">
        <v>9</v>
      </c>
      <c r="B1535" s="2" t="str">
        <f>"6954851258636"</f>
        <v>6954851258636</v>
      </c>
      <c r="C1535" s="2" t="str">
        <f>"13088636"</f>
        <v>13088636</v>
      </c>
      <c r="D1535" s="2" t="s">
        <v>1384</v>
      </c>
      <c r="E1535" s="4">
        <v>3000</v>
      </c>
    </row>
    <row r="1536" spans="1:5" ht="26.25" x14ac:dyDescent="0.25">
      <c r="A1536" s="2" t="s">
        <v>9</v>
      </c>
      <c r="B1536" s="2" t="str">
        <f>"6954851258612"</f>
        <v>6954851258612</v>
      </c>
      <c r="C1536" s="2" t="str">
        <f>"13088612"</f>
        <v>13088612</v>
      </c>
      <c r="D1536" s="2" t="s">
        <v>1385</v>
      </c>
      <c r="E1536" s="4">
        <v>3000</v>
      </c>
    </row>
    <row r="1537" spans="1:5" ht="39" x14ac:dyDescent="0.25">
      <c r="A1537" s="2" t="s">
        <v>9</v>
      </c>
      <c r="B1537" s="2" t="str">
        <f>"6972174151090"</f>
        <v>6972174151090</v>
      </c>
      <c r="C1537" s="2" t="str">
        <f>"6972174151106"</f>
        <v>6972174151106</v>
      </c>
      <c r="D1537" s="2" t="s">
        <v>1386</v>
      </c>
      <c r="E1537" s="4">
        <v>5500</v>
      </c>
    </row>
    <row r="1538" spans="1:5" ht="26.25" x14ac:dyDescent="0.25">
      <c r="A1538" s="2" t="s">
        <v>9</v>
      </c>
      <c r="B1538" s="2" t="str">
        <f>"6954851258629"</f>
        <v>6954851258629</v>
      </c>
      <c r="C1538" s="2" t="str">
        <f>"13088629"</f>
        <v>13088629</v>
      </c>
      <c r="D1538" s="2" t="s">
        <v>1387</v>
      </c>
      <c r="E1538" s="4">
        <v>3000</v>
      </c>
    </row>
    <row r="1539" spans="1:5" ht="26.25" x14ac:dyDescent="0.25">
      <c r="A1539" s="2" t="s">
        <v>9</v>
      </c>
      <c r="B1539" s="2" t="str">
        <f>"4547597815526"</f>
        <v>4547597815526</v>
      </c>
      <c r="C1539" s="2" t="str">
        <f>"41080701"</f>
        <v>41080701</v>
      </c>
      <c r="D1539" s="2" t="s">
        <v>1388</v>
      </c>
      <c r="E1539" s="4">
        <v>4500</v>
      </c>
    </row>
    <row r="1540" spans="1:5" ht="26.25" x14ac:dyDescent="0.25">
      <c r="A1540" s="2" t="s">
        <v>9</v>
      </c>
      <c r="B1540" s="2" t="str">
        <f>"885909627424"</f>
        <v>885909627424</v>
      </c>
      <c r="C1540" s="2" t="str">
        <f>"39080701"</f>
        <v>39080701</v>
      </c>
      <c r="D1540" s="2" t="s">
        <v>1388</v>
      </c>
      <c r="E1540" s="4">
        <v>4500</v>
      </c>
    </row>
    <row r="1541" spans="1:5" ht="26.25" x14ac:dyDescent="0.25">
      <c r="A1541" s="2" t="s">
        <v>9</v>
      </c>
      <c r="B1541" s="2" t="str">
        <f>"3006201600091"</f>
        <v>3006201600091</v>
      </c>
      <c r="C1541" s="2" t="str">
        <f>"10117501"</f>
        <v>10117501</v>
      </c>
      <c r="D1541" s="2" t="s">
        <v>1389</v>
      </c>
      <c r="E1541" s="4">
        <v>6990</v>
      </c>
    </row>
    <row r="1542" spans="1:5" ht="26.25" x14ac:dyDescent="0.25">
      <c r="A1542" s="2" t="s">
        <v>9</v>
      </c>
      <c r="B1542" s="2" t="str">
        <f>"7852379215188"</f>
        <v>7852379215188</v>
      </c>
      <c r="C1542" s="2" t="str">
        <f>"79ULM21518"</f>
        <v>79ULM21518</v>
      </c>
      <c r="D1542" s="2" t="s">
        <v>1390</v>
      </c>
      <c r="E1542" s="4">
        <v>4000</v>
      </c>
    </row>
    <row r="1543" spans="1:5" ht="26.25" x14ac:dyDescent="0.25">
      <c r="A1543" s="2" t="s">
        <v>9</v>
      </c>
      <c r="B1543" s="2" t="str">
        <f>"79DTC21528"</f>
        <v>79DTC21528</v>
      </c>
      <c r="C1543" s="2" t="str">
        <f>"79DTC21528"</f>
        <v>79DTC21528</v>
      </c>
      <c r="D1543" s="2" t="s">
        <v>1391</v>
      </c>
      <c r="E1543" s="4">
        <v>4990</v>
      </c>
    </row>
    <row r="1544" spans="1:5" ht="26.25" x14ac:dyDescent="0.25">
      <c r="A1544" s="2" t="s">
        <v>9</v>
      </c>
      <c r="B1544" s="2" t="str">
        <f>"885909627448"</f>
        <v>885909627448</v>
      </c>
      <c r="C1544" s="2" t="str">
        <f>"54080702"</f>
        <v>54080702</v>
      </c>
      <c r="D1544" s="2" t="s">
        <v>1392</v>
      </c>
      <c r="E1544" s="4">
        <v>5990</v>
      </c>
    </row>
    <row r="1545" spans="1:5" ht="26.25" x14ac:dyDescent="0.25">
      <c r="A1545" s="2" t="s">
        <v>9</v>
      </c>
      <c r="B1545" s="2" t="str">
        <f>"885909627417"</f>
        <v>885909627417</v>
      </c>
      <c r="C1545" s="2" t="str">
        <f>"40080802"</f>
        <v>40080802</v>
      </c>
      <c r="D1545" s="2" t="s">
        <v>1393</v>
      </c>
      <c r="E1545" s="4">
        <v>6000</v>
      </c>
    </row>
    <row r="1546" spans="1:5" ht="26.25" x14ac:dyDescent="0.25">
      <c r="A1546" s="2" t="s">
        <v>9</v>
      </c>
      <c r="B1546" s="2" t="str">
        <f>"4547597815533"</f>
        <v>4547597815533</v>
      </c>
      <c r="C1546" s="2" t="str">
        <f>"39080702"</f>
        <v>39080702</v>
      </c>
      <c r="D1546" s="2" t="s">
        <v>1393</v>
      </c>
      <c r="E1546" s="4">
        <v>6000</v>
      </c>
    </row>
    <row r="1547" spans="1:5" ht="26.25" x14ac:dyDescent="0.25">
      <c r="A1547" s="2" t="s">
        <v>9</v>
      </c>
      <c r="B1547" s="2" t="str">
        <f>"6746457112586"</f>
        <v>6746457112586</v>
      </c>
      <c r="C1547" s="2" t="str">
        <f>"40082586"</f>
        <v>40082586</v>
      </c>
      <c r="D1547" s="2" t="s">
        <v>1394</v>
      </c>
      <c r="E1547" s="4">
        <v>6000</v>
      </c>
    </row>
    <row r="1548" spans="1:5" ht="26.25" x14ac:dyDescent="0.25">
      <c r="A1548" s="2" t="s">
        <v>9</v>
      </c>
      <c r="B1548" s="2" t="str">
        <f>"7858816080753"</f>
        <v>7858816080753</v>
      </c>
      <c r="C1548" s="2" t="str">
        <f>"87088075"</f>
        <v>87088075</v>
      </c>
      <c r="D1548" s="2" t="s">
        <v>1395</v>
      </c>
      <c r="E1548" s="4">
        <v>5000</v>
      </c>
    </row>
    <row r="1549" spans="1:5" ht="26.25" x14ac:dyDescent="0.25">
      <c r="A1549" s="2" t="s">
        <v>9</v>
      </c>
      <c r="B1549" s="2" t="str">
        <f>"10080658"</f>
        <v>10080658</v>
      </c>
      <c r="C1549" s="2" t="str">
        <f>"10080658"</f>
        <v>10080658</v>
      </c>
      <c r="D1549" s="2" t="s">
        <v>1396</v>
      </c>
      <c r="E1549" s="4">
        <v>2000</v>
      </c>
    </row>
    <row r="1550" spans="1:5" ht="26.25" x14ac:dyDescent="0.25">
      <c r="A1550" s="2" t="s">
        <v>9</v>
      </c>
      <c r="B1550" s="2" t="str">
        <f>"885909219698"</f>
        <v>885909219698</v>
      </c>
      <c r="C1550" s="2" t="str">
        <f>"10088941"</f>
        <v>10088941</v>
      </c>
      <c r="D1550" s="2" t="s">
        <v>1397</v>
      </c>
      <c r="E1550" s="4">
        <v>3000</v>
      </c>
    </row>
    <row r="1551" spans="1:5" ht="26.25" x14ac:dyDescent="0.25">
      <c r="A1551" s="2" t="s">
        <v>9</v>
      </c>
      <c r="B1551" s="2" t="str">
        <f>"86080701"</f>
        <v>86080701</v>
      </c>
      <c r="C1551" s="2" t="str">
        <f>"86080701"</f>
        <v>86080701</v>
      </c>
      <c r="D1551" s="2" t="s">
        <v>1398</v>
      </c>
      <c r="E1551" s="4">
        <v>5000</v>
      </c>
    </row>
    <row r="1552" spans="1:5" ht="26.25" x14ac:dyDescent="0.25">
      <c r="A1552" s="2" t="s">
        <v>9</v>
      </c>
      <c r="B1552" s="2" t="str">
        <f>"766623393744"</f>
        <v>766623393744</v>
      </c>
      <c r="C1552" s="2" t="str">
        <f>"56083744"</f>
        <v>56083744</v>
      </c>
      <c r="D1552" s="2" t="s">
        <v>1399</v>
      </c>
      <c r="E1552" s="4">
        <v>14990</v>
      </c>
    </row>
    <row r="1553" spans="1:5" ht="26.25" x14ac:dyDescent="0.25">
      <c r="A1553" s="2" t="s">
        <v>9</v>
      </c>
      <c r="B1553" s="2" t="str">
        <f>"6926089314798"</f>
        <v>6926089314798</v>
      </c>
      <c r="C1553" s="2" t="str">
        <f>"30080701"</f>
        <v>30080701</v>
      </c>
      <c r="D1553" s="2" t="s">
        <v>1400</v>
      </c>
      <c r="E1553" s="4">
        <v>11990</v>
      </c>
    </row>
    <row r="1554" spans="1:5" ht="26.25" x14ac:dyDescent="0.25">
      <c r="A1554" s="2" t="s">
        <v>9</v>
      </c>
      <c r="B1554" s="2" t="str">
        <f>"5626890010759"</f>
        <v>5626890010759</v>
      </c>
      <c r="C1554" s="2" t="str">
        <f>"28081075"</f>
        <v>28081075</v>
      </c>
      <c r="D1554" s="2" t="s">
        <v>1401</v>
      </c>
      <c r="E1554" s="4">
        <v>3500</v>
      </c>
    </row>
    <row r="1555" spans="1:5" ht="26.25" x14ac:dyDescent="0.25">
      <c r="A1555" s="2" t="s">
        <v>9</v>
      </c>
      <c r="B1555" s="2" t="str">
        <f>"10012219"</f>
        <v>10012219</v>
      </c>
      <c r="C1555" s="2" t="str">
        <f>"10012219"</f>
        <v>10012219</v>
      </c>
      <c r="D1555" s="2" t="s">
        <v>1402</v>
      </c>
      <c r="E1555" s="4">
        <v>3500</v>
      </c>
    </row>
    <row r="1556" spans="1:5" ht="26.25" x14ac:dyDescent="0.25">
      <c r="A1556" s="2" t="s">
        <v>9</v>
      </c>
      <c r="B1556" s="2" t="str">
        <f>"6971083491693"</f>
        <v>6971083491693</v>
      </c>
      <c r="C1556" s="2" t="str">
        <f>"10012362"</f>
        <v>10012362</v>
      </c>
      <c r="D1556" s="2" t="s">
        <v>1403</v>
      </c>
      <c r="E1556" s="4">
        <v>4500</v>
      </c>
    </row>
    <row r="1557" spans="1:5" ht="26.25" x14ac:dyDescent="0.25">
      <c r="A1557" s="2" t="s">
        <v>9</v>
      </c>
      <c r="B1557" s="2" t="str">
        <f>"665632558757"</f>
        <v>665632558757</v>
      </c>
      <c r="C1557" s="2" t="str">
        <f>"10002337"</f>
        <v>10002337</v>
      </c>
      <c r="D1557" s="2" t="s">
        <v>1404</v>
      </c>
      <c r="E1557" s="4">
        <v>4990</v>
      </c>
    </row>
    <row r="1558" spans="1:5" ht="26.25" x14ac:dyDescent="0.25">
      <c r="A1558" s="2" t="s">
        <v>9</v>
      </c>
      <c r="B1558" s="2" t="str">
        <f>"10002501"</f>
        <v>10002501</v>
      </c>
      <c r="C1558" s="2" t="str">
        <f>"10002501"</f>
        <v>10002501</v>
      </c>
      <c r="D1558" s="2" t="s">
        <v>1405</v>
      </c>
      <c r="E1558" s="4">
        <v>3000</v>
      </c>
    </row>
    <row r="1559" spans="1:5" ht="26.25" x14ac:dyDescent="0.25">
      <c r="A1559" s="2" t="s">
        <v>9</v>
      </c>
      <c r="B1559" s="2" t="str">
        <f>"036000291452"</f>
        <v>036000291452</v>
      </c>
      <c r="C1559" s="2" t="str">
        <f>"10002607"</f>
        <v>10002607</v>
      </c>
      <c r="D1559" s="2" t="s">
        <v>1406</v>
      </c>
      <c r="E1559" s="4">
        <v>3500</v>
      </c>
    </row>
    <row r="1560" spans="1:5" ht="26.25" x14ac:dyDescent="0.25">
      <c r="A1560" s="2" t="s">
        <v>9</v>
      </c>
      <c r="B1560" s="2" t="str">
        <f>"10002620"</f>
        <v>10002620</v>
      </c>
      <c r="C1560" s="2" t="str">
        <f>"10002620"</f>
        <v>10002620</v>
      </c>
      <c r="D1560" s="2" t="s">
        <v>1407</v>
      </c>
      <c r="E1560" s="4">
        <v>2500</v>
      </c>
    </row>
    <row r="1561" spans="1:5" ht="26.25" x14ac:dyDescent="0.25">
      <c r="A1561" s="2" t="s">
        <v>9</v>
      </c>
      <c r="B1561" s="2" t="str">
        <f>"10004299"</f>
        <v>10004299</v>
      </c>
      <c r="C1561" s="2" t="str">
        <f>"10004299"</f>
        <v>10004299</v>
      </c>
      <c r="D1561" s="2" t="s">
        <v>1408</v>
      </c>
      <c r="E1561" s="4">
        <v>3500</v>
      </c>
    </row>
    <row r="1562" spans="1:5" ht="26.25" x14ac:dyDescent="0.25">
      <c r="A1562" s="2" t="s">
        <v>9</v>
      </c>
      <c r="B1562" s="2" t="str">
        <f>"10000679"</f>
        <v>10000679</v>
      </c>
      <c r="C1562" s="2" t="str">
        <f>"10000679"</f>
        <v>10000679</v>
      </c>
      <c r="D1562" s="2" t="s">
        <v>1409</v>
      </c>
      <c r="E1562" s="4">
        <v>2500</v>
      </c>
    </row>
    <row r="1563" spans="1:5" ht="26.25" x14ac:dyDescent="0.25">
      <c r="A1563" s="2" t="s">
        <v>9</v>
      </c>
      <c r="B1563" s="2" t="str">
        <f>"6925871641654"</f>
        <v>6925871641654</v>
      </c>
      <c r="C1563" s="2" t="str">
        <f>"22084165"</f>
        <v>22084165</v>
      </c>
      <c r="D1563" s="2" t="s">
        <v>1410</v>
      </c>
      <c r="E1563" s="4">
        <v>4000</v>
      </c>
    </row>
    <row r="1564" spans="1:5" ht="26.25" x14ac:dyDescent="0.25">
      <c r="A1564" s="2" t="s">
        <v>9</v>
      </c>
      <c r="B1564" s="2" t="str">
        <f>"6925871603034"</f>
        <v>6925871603034</v>
      </c>
      <c r="C1564" s="2" t="str">
        <f>"22084340"</f>
        <v>22084340</v>
      </c>
      <c r="D1564" s="2" t="s">
        <v>1411</v>
      </c>
      <c r="E1564" s="4">
        <v>3000</v>
      </c>
    </row>
    <row r="1565" spans="1:5" ht="26.25" x14ac:dyDescent="0.25">
      <c r="A1565" s="2" t="s">
        <v>9</v>
      </c>
      <c r="B1565" s="2" t="str">
        <f>"1100000341109"</f>
        <v>1100000341109</v>
      </c>
      <c r="C1565" s="2" t="str">
        <f>"92080700"</f>
        <v>92080700</v>
      </c>
      <c r="D1565" s="2" t="s">
        <v>1412</v>
      </c>
      <c r="E1565" s="4">
        <v>11500</v>
      </c>
    </row>
    <row r="1566" spans="1:5" ht="26.25" x14ac:dyDescent="0.25">
      <c r="A1566" s="2" t="s">
        <v>9</v>
      </c>
      <c r="B1566" s="2" t="str">
        <f>"7858816021152"</f>
        <v>7858816021152</v>
      </c>
      <c r="C1566" s="2" t="str">
        <f>"87082115"</f>
        <v>87082115</v>
      </c>
      <c r="D1566" s="2" t="s">
        <v>1413</v>
      </c>
      <c r="E1566" s="4">
        <v>2000</v>
      </c>
    </row>
    <row r="1567" spans="1:5" ht="26.25" x14ac:dyDescent="0.25">
      <c r="A1567" s="2" t="s">
        <v>9</v>
      </c>
      <c r="B1567" s="2" t="str">
        <f>"7858816041068"</f>
        <v>7858816041068</v>
      </c>
      <c r="C1567" s="2" t="str">
        <f>"87084106"</f>
        <v>87084106</v>
      </c>
      <c r="D1567" s="2" t="s">
        <v>1414</v>
      </c>
      <c r="E1567" s="4">
        <v>3500</v>
      </c>
    </row>
    <row r="1568" spans="1:5" ht="26.25" x14ac:dyDescent="0.25">
      <c r="A1568" s="2" t="s">
        <v>9</v>
      </c>
      <c r="B1568" s="2" t="str">
        <f>"7858816055324"</f>
        <v>7858816055324</v>
      </c>
      <c r="C1568" s="2" t="str">
        <f>"87085532"</f>
        <v>87085532</v>
      </c>
      <c r="D1568" s="2" t="s">
        <v>1415</v>
      </c>
      <c r="E1568" s="4">
        <v>3500</v>
      </c>
    </row>
    <row r="1569" spans="1:5" ht="26.25" x14ac:dyDescent="0.25">
      <c r="A1569" s="2" t="s">
        <v>9</v>
      </c>
      <c r="B1569" s="2" t="str">
        <f>"7858816065286"</f>
        <v>7858816065286</v>
      </c>
      <c r="C1569" s="2" t="str">
        <f>"87086528"</f>
        <v>87086528</v>
      </c>
      <c r="D1569" s="2" t="s">
        <v>1416</v>
      </c>
      <c r="E1569" s="4">
        <v>3000</v>
      </c>
    </row>
    <row r="1570" spans="1:5" ht="26.25" x14ac:dyDescent="0.25">
      <c r="A1570" s="2" t="s">
        <v>9</v>
      </c>
      <c r="B1570" s="2" t="str">
        <f>"7858816078187"</f>
        <v>7858816078187</v>
      </c>
      <c r="C1570" s="2" t="str">
        <f>"87087818"</f>
        <v>87087818</v>
      </c>
      <c r="D1570" s="2" t="s">
        <v>1417</v>
      </c>
      <c r="E1570" s="4">
        <v>3000</v>
      </c>
    </row>
    <row r="1571" spans="1:5" ht="26.25" x14ac:dyDescent="0.25">
      <c r="A1571" s="2" t="s">
        <v>9</v>
      </c>
      <c r="B1571" s="2" t="str">
        <f>"8944870161138"</f>
        <v>8944870161138</v>
      </c>
      <c r="C1571" s="2" t="str">
        <f>"87081962"</f>
        <v>87081962</v>
      </c>
      <c r="D1571" s="2" t="s">
        <v>1418</v>
      </c>
      <c r="E1571" s="4">
        <v>3000</v>
      </c>
    </row>
    <row r="1572" spans="1:5" ht="26.25" x14ac:dyDescent="0.25">
      <c r="A1572" s="2" t="s">
        <v>9</v>
      </c>
      <c r="B1572" s="2" t="str">
        <f>"6995411110117"</f>
        <v>6995411110117</v>
      </c>
      <c r="C1572" s="2" t="str">
        <f>"76080715"</f>
        <v>76080715</v>
      </c>
      <c r="D1572" s="2" t="s">
        <v>1419</v>
      </c>
      <c r="E1572" s="4">
        <v>3000</v>
      </c>
    </row>
    <row r="1573" spans="1:5" ht="26.25" x14ac:dyDescent="0.25">
      <c r="A1573" s="2" t="s">
        <v>9</v>
      </c>
      <c r="B1573" s="2" t="str">
        <f>"79080721"</f>
        <v>79080721</v>
      </c>
      <c r="C1573" s="2" t="str">
        <f>"79080721"</f>
        <v>79080721</v>
      </c>
      <c r="D1573" s="2" t="s">
        <v>1419</v>
      </c>
      <c r="E1573" s="4">
        <v>3000</v>
      </c>
    </row>
    <row r="1574" spans="1:5" ht="26.25" x14ac:dyDescent="0.25">
      <c r="A1574" s="2" t="s">
        <v>9</v>
      </c>
      <c r="B1574" s="2" t="str">
        <f>"6541255212328"</f>
        <v>6541255212328</v>
      </c>
      <c r="C1574" s="2" t="str">
        <f>"76082328"</f>
        <v>76082328</v>
      </c>
      <c r="D1574" s="2" t="s">
        <v>1419</v>
      </c>
      <c r="E1574" s="4">
        <v>3000</v>
      </c>
    </row>
    <row r="1575" spans="1:5" ht="26.25" x14ac:dyDescent="0.25">
      <c r="A1575" s="2" t="s">
        <v>9</v>
      </c>
      <c r="B1575" s="2" t="str">
        <f>"6995411220014"</f>
        <v>6995411220014</v>
      </c>
      <c r="C1575" s="2" t="str">
        <f>"76080702"</f>
        <v>76080702</v>
      </c>
      <c r="D1575" s="2" t="s">
        <v>1420</v>
      </c>
      <c r="E1575" s="4">
        <v>4500</v>
      </c>
    </row>
    <row r="1576" spans="1:5" ht="26.25" x14ac:dyDescent="0.25">
      <c r="A1576" s="2" t="s">
        <v>9</v>
      </c>
      <c r="B1576" s="2" t="str">
        <f>"78080014"</f>
        <v>78080014</v>
      </c>
      <c r="C1576" s="2" t="str">
        <f>"78080014"</f>
        <v>78080014</v>
      </c>
      <c r="D1576" s="2" t="s">
        <v>1420</v>
      </c>
      <c r="E1576" s="4">
        <v>4500</v>
      </c>
    </row>
    <row r="1577" spans="1:5" ht="26.25" x14ac:dyDescent="0.25">
      <c r="A1577" s="2" t="s">
        <v>9</v>
      </c>
      <c r="B1577" s="2" t="str">
        <f>"6995411330010"</f>
        <v>6995411330010</v>
      </c>
      <c r="C1577" s="2" t="str">
        <f>"76080703"</f>
        <v>76080703</v>
      </c>
      <c r="D1577" s="2" t="s">
        <v>1421</v>
      </c>
      <c r="E1577" s="4">
        <v>5500</v>
      </c>
    </row>
    <row r="1578" spans="1:5" ht="26.25" x14ac:dyDescent="0.25">
      <c r="A1578" s="2" t="s">
        <v>9</v>
      </c>
      <c r="B1578" s="2" t="str">
        <f>"40080700"</f>
        <v>40080700</v>
      </c>
      <c r="C1578" s="2" t="str">
        <f>"40080700"</f>
        <v>40080700</v>
      </c>
      <c r="D1578" s="2" t="s">
        <v>1422</v>
      </c>
      <c r="E1578" s="4">
        <v>16990</v>
      </c>
    </row>
    <row r="1579" spans="1:5" ht="26.25" x14ac:dyDescent="0.25">
      <c r="A1579" s="2" t="s">
        <v>9</v>
      </c>
      <c r="B1579" s="2" t="str">
        <f>"6951613980408"</f>
        <v>6951613980408</v>
      </c>
      <c r="C1579" s="2" t="str">
        <f>"98082508"</f>
        <v>98082508</v>
      </c>
      <c r="D1579" s="2" t="s">
        <v>1423</v>
      </c>
      <c r="E1579" s="4">
        <v>14990</v>
      </c>
    </row>
    <row r="1580" spans="1:5" ht="26.25" x14ac:dyDescent="0.25">
      <c r="A1580" s="2" t="s">
        <v>9</v>
      </c>
      <c r="B1580" s="2" t="str">
        <f>"7297279215287"</f>
        <v>7297279215287</v>
      </c>
      <c r="C1580" s="2" t="str">
        <f>"98080700"</f>
        <v>98080700</v>
      </c>
      <c r="D1580" s="2" t="s">
        <v>1424</v>
      </c>
      <c r="E1580" s="4">
        <v>5500</v>
      </c>
    </row>
    <row r="1581" spans="1:5" ht="26.25" x14ac:dyDescent="0.25">
      <c r="A1581" s="2" t="s">
        <v>20</v>
      </c>
      <c r="B1581" s="2" t="str">
        <f>"6924494001241"</f>
        <v>6924494001241</v>
      </c>
      <c r="C1581" s="2" t="str">
        <f>"29USB35524"</f>
        <v>29USB35524</v>
      </c>
      <c r="D1581" s="2" t="s">
        <v>1425</v>
      </c>
      <c r="E1581" s="4">
        <v>4500</v>
      </c>
    </row>
    <row r="1582" spans="1:5" ht="26.25" x14ac:dyDescent="0.25">
      <c r="A1582" s="2" t="s">
        <v>9</v>
      </c>
      <c r="B1582" s="2" t="str">
        <f>"5620000930814"</f>
        <v>5620000930814</v>
      </c>
      <c r="C1582" s="2" t="str">
        <f>"280893081"</f>
        <v>280893081</v>
      </c>
      <c r="D1582" s="2" t="s">
        <v>1426</v>
      </c>
      <c r="E1582" s="4">
        <v>2990</v>
      </c>
    </row>
    <row r="1583" spans="1:5" ht="26.25" x14ac:dyDescent="0.25">
      <c r="A1583" s="2" t="s">
        <v>20</v>
      </c>
      <c r="B1583" s="2" t="str">
        <f>"7858816056468"</f>
        <v>7858816056468</v>
      </c>
      <c r="C1583" s="2" t="str">
        <f>"87085646"</f>
        <v>87085646</v>
      </c>
      <c r="D1583" s="2" t="s">
        <v>1427</v>
      </c>
      <c r="E1583" s="4">
        <v>1500</v>
      </c>
    </row>
    <row r="1584" spans="1:5" ht="26.25" x14ac:dyDescent="0.25">
      <c r="A1584" s="2" t="s">
        <v>20</v>
      </c>
      <c r="B1584" s="2" t="str">
        <f>"7858816060458"</f>
        <v>7858816060458</v>
      </c>
      <c r="C1584" s="2" t="str">
        <f>"87086045"</f>
        <v>87086045</v>
      </c>
      <c r="D1584" s="2" t="s">
        <v>1428</v>
      </c>
      <c r="E1584" s="4">
        <v>1500</v>
      </c>
    </row>
    <row r="1585" spans="1:5" ht="26.25" x14ac:dyDescent="0.25">
      <c r="A1585" s="2" t="s">
        <v>9</v>
      </c>
      <c r="B1585" s="2" t="str">
        <f>"5620000932603"</f>
        <v>5620000932603</v>
      </c>
      <c r="C1585" s="2" t="str">
        <f>"280893260"</f>
        <v>280893260</v>
      </c>
      <c r="D1585" s="2" t="s">
        <v>1429</v>
      </c>
      <c r="E1585" s="4">
        <v>2500</v>
      </c>
    </row>
    <row r="1586" spans="1:5" ht="26.25" x14ac:dyDescent="0.25">
      <c r="A1586" s="2" t="s">
        <v>9</v>
      </c>
      <c r="B1586" s="2" t="str">
        <f>"78080038"</f>
        <v>78080038</v>
      </c>
      <c r="C1586" s="2" t="str">
        <f>"78080038"</f>
        <v>78080038</v>
      </c>
      <c r="D1586" s="2" t="s">
        <v>1430</v>
      </c>
      <c r="E1586" s="4">
        <v>4500</v>
      </c>
    </row>
    <row r="1587" spans="1:5" ht="26.25" x14ac:dyDescent="0.25">
      <c r="A1587" s="2" t="s">
        <v>20</v>
      </c>
      <c r="B1587" s="2" t="str">
        <f>"6686996002385"</f>
        <v>6686996002385</v>
      </c>
      <c r="C1587" s="2" t="str">
        <f>"400812129"</f>
        <v>400812129</v>
      </c>
      <c r="D1587" s="2" t="s">
        <v>1431</v>
      </c>
      <c r="E1587" s="4">
        <v>2000</v>
      </c>
    </row>
    <row r="1588" spans="1:5" ht="26.25" x14ac:dyDescent="0.25">
      <c r="A1588" s="2" t="s">
        <v>20</v>
      </c>
      <c r="B1588" s="2" t="str">
        <f>"7858816080364"</f>
        <v>7858816080364</v>
      </c>
      <c r="C1588" s="2" t="str">
        <f>"87088036"</f>
        <v>87088036</v>
      </c>
      <c r="D1588" s="2" t="s">
        <v>1432</v>
      </c>
      <c r="E1588" s="4">
        <v>3000</v>
      </c>
    </row>
    <row r="1589" spans="1:5" ht="26.25" x14ac:dyDescent="0.25">
      <c r="A1589" s="2" t="s">
        <v>20</v>
      </c>
      <c r="B1589" s="2" t="str">
        <f>"766623333412"</f>
        <v>766623333412</v>
      </c>
      <c r="C1589" s="2" t="str">
        <f>"56083412"</f>
        <v>56083412</v>
      </c>
      <c r="D1589" s="2" t="s">
        <v>1433</v>
      </c>
      <c r="E1589" s="4">
        <v>3000</v>
      </c>
    </row>
    <row r="1590" spans="1:5" ht="26.25" x14ac:dyDescent="0.25">
      <c r="A1590" s="2" t="s">
        <v>20</v>
      </c>
      <c r="B1590" s="2" t="str">
        <f>"6686996210995"</f>
        <v>6686996210995</v>
      </c>
      <c r="C1590" s="2" t="str">
        <f>"540821099"</f>
        <v>540821099</v>
      </c>
      <c r="D1590" s="2" t="s">
        <v>1434</v>
      </c>
      <c r="E1590" s="4">
        <v>3000</v>
      </c>
    </row>
    <row r="1591" spans="1:5" ht="26.25" x14ac:dyDescent="0.25">
      <c r="A1591" s="2" t="s">
        <v>20</v>
      </c>
      <c r="B1591" s="2" t="str">
        <f>"7862318245626"</f>
        <v>7862318245626</v>
      </c>
      <c r="C1591" s="2" t="str">
        <f>"98080825"</f>
        <v>98080825</v>
      </c>
      <c r="D1591" s="2" t="s">
        <v>1435</v>
      </c>
      <c r="E1591" s="4">
        <v>4990</v>
      </c>
    </row>
    <row r="1592" spans="1:5" ht="26.25" x14ac:dyDescent="0.25">
      <c r="A1592" s="2" t="s">
        <v>9</v>
      </c>
      <c r="B1592" s="2" t="str">
        <f>"22080150"</f>
        <v>22080150</v>
      </c>
      <c r="C1592" s="2" t="str">
        <f>"22080150"</f>
        <v>22080150</v>
      </c>
      <c r="D1592" s="2" t="s">
        <v>1436</v>
      </c>
      <c r="E1592" s="4">
        <v>1990</v>
      </c>
    </row>
    <row r="1593" spans="1:5" ht="26.25" x14ac:dyDescent="0.25">
      <c r="A1593" s="2" t="s">
        <v>9</v>
      </c>
      <c r="B1593" s="2" t="str">
        <f>"22080120"</f>
        <v>22080120</v>
      </c>
      <c r="C1593" s="2" t="str">
        <f>"22080120"</f>
        <v>22080120</v>
      </c>
      <c r="D1593" s="2" t="s">
        <v>1437</v>
      </c>
      <c r="E1593" s="4">
        <v>1500</v>
      </c>
    </row>
    <row r="1594" spans="1:5" ht="26.25" x14ac:dyDescent="0.25">
      <c r="A1594" s="2" t="s">
        <v>9</v>
      </c>
      <c r="B1594" s="2" t="str">
        <f>"6971393457013"</f>
        <v>6971393457013</v>
      </c>
      <c r="C1594" s="2" t="str">
        <f>"40087013"</f>
        <v>40087013</v>
      </c>
      <c r="D1594" s="2" t="s">
        <v>1438</v>
      </c>
      <c r="E1594" s="4">
        <v>3500</v>
      </c>
    </row>
    <row r="1595" spans="1:5" ht="26.25" x14ac:dyDescent="0.25">
      <c r="A1595" s="2" t="s">
        <v>9</v>
      </c>
      <c r="B1595" s="2" t="str">
        <f>"6925871643405"</f>
        <v>6925871643405</v>
      </c>
      <c r="C1595" s="2" t="str">
        <f>"22080340"</f>
        <v>22080340</v>
      </c>
      <c r="D1595" s="2" t="s">
        <v>1439</v>
      </c>
      <c r="E1595" s="4">
        <v>3500</v>
      </c>
    </row>
    <row r="1596" spans="1:5" ht="26.25" x14ac:dyDescent="0.25">
      <c r="A1596" s="2" t="s">
        <v>9</v>
      </c>
      <c r="B1596" s="2" t="str">
        <f>"6925871643658"</f>
        <v>6925871643658</v>
      </c>
      <c r="C1596" s="2" t="str">
        <f>"22084365"</f>
        <v>22084365</v>
      </c>
      <c r="D1596" s="2" t="s">
        <v>1440</v>
      </c>
      <c r="E1596" s="4">
        <v>3500</v>
      </c>
    </row>
    <row r="1597" spans="1:5" ht="26.25" x14ac:dyDescent="0.25">
      <c r="A1597" s="2" t="s">
        <v>9</v>
      </c>
      <c r="B1597" s="2" t="str">
        <f>"6925871643665"</f>
        <v>6925871643665</v>
      </c>
      <c r="C1597" s="2" t="str">
        <f>"22084366"</f>
        <v>22084366</v>
      </c>
      <c r="D1597" s="2" t="s">
        <v>1441</v>
      </c>
      <c r="E1597" s="4">
        <v>3000</v>
      </c>
    </row>
    <row r="1598" spans="1:5" ht="26.25" x14ac:dyDescent="0.25">
      <c r="A1598" s="2" t="s">
        <v>9</v>
      </c>
      <c r="B1598" s="2" t="str">
        <f>"6925871643696"</f>
        <v>6925871643696</v>
      </c>
      <c r="C1598" s="2" t="str">
        <f>"22084369"</f>
        <v>22084369</v>
      </c>
      <c r="D1598" s="2" t="s">
        <v>1442</v>
      </c>
      <c r="E1598" s="4">
        <v>3000</v>
      </c>
    </row>
    <row r="1599" spans="1:5" ht="26.25" x14ac:dyDescent="0.25">
      <c r="A1599" s="2" t="s">
        <v>9</v>
      </c>
      <c r="B1599" s="2" t="str">
        <f>"6925871643702"</f>
        <v>6925871643702</v>
      </c>
      <c r="C1599" s="2" t="str">
        <f>"22084370"</f>
        <v>22084370</v>
      </c>
      <c r="D1599" s="2" t="s">
        <v>1443</v>
      </c>
      <c r="E1599" s="4">
        <v>3000</v>
      </c>
    </row>
    <row r="1600" spans="1:5" ht="26.25" x14ac:dyDescent="0.25">
      <c r="A1600" s="2" t="s">
        <v>9</v>
      </c>
      <c r="B1600" s="2" t="str">
        <f>"7858816041075"</f>
        <v>7858816041075</v>
      </c>
      <c r="C1600" s="2" t="str">
        <f>"87084107"</f>
        <v>87084107</v>
      </c>
      <c r="D1600" s="2" t="s">
        <v>1444</v>
      </c>
      <c r="E1600" s="4">
        <v>3500</v>
      </c>
    </row>
    <row r="1601" spans="1:5" ht="26.25" x14ac:dyDescent="0.25">
      <c r="A1601" s="2" t="s">
        <v>9</v>
      </c>
      <c r="B1601" s="2" t="str">
        <f>"7858816062247"</f>
        <v>7858816062247</v>
      </c>
      <c r="C1601" s="2" t="str">
        <f>"87086224"</f>
        <v>87086224</v>
      </c>
      <c r="D1601" s="2" t="s">
        <v>1445</v>
      </c>
      <c r="E1601" s="4">
        <v>2500</v>
      </c>
    </row>
    <row r="1602" spans="1:5" ht="26.25" x14ac:dyDescent="0.25">
      <c r="A1602" s="2" t="s">
        <v>9</v>
      </c>
      <c r="B1602" s="2" t="str">
        <f>"7858816078118"</f>
        <v>7858816078118</v>
      </c>
      <c r="C1602" s="2" t="str">
        <f>"87087811"</f>
        <v>87087811</v>
      </c>
      <c r="D1602" s="2" t="s">
        <v>1446</v>
      </c>
      <c r="E1602" s="4">
        <v>3000</v>
      </c>
    </row>
    <row r="1603" spans="1:5" ht="26.25" x14ac:dyDescent="0.25">
      <c r="A1603" s="2" t="s">
        <v>9</v>
      </c>
      <c r="B1603" s="2" t="str">
        <f>"7858816078170"</f>
        <v>7858816078170</v>
      </c>
      <c r="C1603" s="2" t="str">
        <f>"87087817"</f>
        <v>87087817</v>
      </c>
      <c r="D1603" s="2" t="s">
        <v>1447</v>
      </c>
      <c r="E1603" s="4">
        <v>2500</v>
      </c>
    </row>
    <row r="1604" spans="1:5" ht="26.25" x14ac:dyDescent="0.25">
      <c r="A1604" s="2" t="s">
        <v>9</v>
      </c>
      <c r="B1604" s="2" t="str">
        <f>"7858816083761"</f>
        <v>7858816083761</v>
      </c>
      <c r="C1604" s="2" t="str">
        <f>"87088376"</f>
        <v>87088376</v>
      </c>
      <c r="D1604" s="2" t="s">
        <v>1448</v>
      </c>
      <c r="E1604" s="4">
        <v>3500</v>
      </c>
    </row>
    <row r="1605" spans="1:5" ht="26.25" x14ac:dyDescent="0.25">
      <c r="A1605" s="2" t="s">
        <v>9</v>
      </c>
      <c r="B1605" s="2" t="str">
        <f>"7858816083952"</f>
        <v>7858816083952</v>
      </c>
      <c r="C1605" s="2" t="str">
        <f>"87088395"</f>
        <v>87088395</v>
      </c>
      <c r="D1605" s="2" t="s">
        <v>1449</v>
      </c>
      <c r="E1605" s="4">
        <v>2500</v>
      </c>
    </row>
    <row r="1606" spans="1:5" ht="26.25" x14ac:dyDescent="0.25">
      <c r="A1606" s="2" t="s">
        <v>9</v>
      </c>
      <c r="B1606" s="2" t="str">
        <f>"6956116793487"</f>
        <v>6956116793487</v>
      </c>
      <c r="C1606" s="2" t="str">
        <f>"40080118"</f>
        <v>40080118</v>
      </c>
      <c r="D1606" s="2" t="s">
        <v>1450</v>
      </c>
      <c r="E1606" s="4">
        <v>3000</v>
      </c>
    </row>
    <row r="1607" spans="1:5" ht="26.25" x14ac:dyDescent="0.25">
      <c r="A1607" s="2" t="s">
        <v>9</v>
      </c>
      <c r="B1607" s="2" t="str">
        <f>"6954851258698"</f>
        <v>6954851258698</v>
      </c>
      <c r="C1607" s="2" t="str">
        <f>"13088698"</f>
        <v>13088698</v>
      </c>
      <c r="D1607" s="2" t="s">
        <v>1451</v>
      </c>
      <c r="E1607" s="4">
        <v>3000</v>
      </c>
    </row>
    <row r="1608" spans="1:5" ht="26.25" x14ac:dyDescent="0.25">
      <c r="A1608" s="2" t="s">
        <v>9</v>
      </c>
      <c r="B1608" s="2" t="str">
        <f>"6954851258674"</f>
        <v>6954851258674</v>
      </c>
      <c r="C1608" s="2" t="str">
        <f>"13088674"</f>
        <v>13088674</v>
      </c>
      <c r="D1608" s="2" t="s">
        <v>1452</v>
      </c>
      <c r="E1608" s="4">
        <v>3000</v>
      </c>
    </row>
    <row r="1609" spans="1:5" ht="26.25" x14ac:dyDescent="0.25">
      <c r="A1609" s="2" t="s">
        <v>9</v>
      </c>
      <c r="B1609" s="2" t="str">
        <f>"6954851258681"</f>
        <v>6954851258681</v>
      </c>
      <c r="C1609" s="2" t="str">
        <f>"13088681"</f>
        <v>13088681</v>
      </c>
      <c r="D1609" s="2" t="s">
        <v>1453</v>
      </c>
      <c r="E1609" s="4">
        <v>3000</v>
      </c>
    </row>
    <row r="1610" spans="1:5" ht="39" x14ac:dyDescent="0.25">
      <c r="A1610" s="2" t="s">
        <v>9</v>
      </c>
      <c r="B1610" s="2" t="str">
        <f>"6972174153490"</f>
        <v>6972174153490</v>
      </c>
      <c r="C1610" s="2" t="str">
        <f>"6972174153483"</f>
        <v>6972174153483</v>
      </c>
      <c r="D1610" s="2" t="s">
        <v>1454</v>
      </c>
      <c r="E1610" s="4">
        <v>5500</v>
      </c>
    </row>
    <row r="1611" spans="1:5" ht="26.25" x14ac:dyDescent="0.25">
      <c r="A1611" s="2" t="s">
        <v>9</v>
      </c>
      <c r="B1611" s="2" t="str">
        <f>"6954851258667"</f>
        <v>6954851258667</v>
      </c>
      <c r="C1611" s="2" t="str">
        <f>"13088667"</f>
        <v>13088667</v>
      </c>
      <c r="D1611" s="2" t="s">
        <v>1455</v>
      </c>
      <c r="E1611" s="4">
        <v>3000</v>
      </c>
    </row>
    <row r="1612" spans="1:5" ht="26.25" x14ac:dyDescent="0.25">
      <c r="A1612" s="2" t="s">
        <v>9</v>
      </c>
      <c r="B1612" s="2" t="str">
        <f>"87000796"</f>
        <v>87000796</v>
      </c>
      <c r="C1612" s="2" t="str">
        <f>"87000796"</f>
        <v>87000796</v>
      </c>
      <c r="D1612" s="2" t="s">
        <v>1456</v>
      </c>
      <c r="E1612" s="4">
        <v>2500</v>
      </c>
    </row>
    <row r="1613" spans="1:5" ht="26.25" x14ac:dyDescent="0.25">
      <c r="A1613" s="2" t="s">
        <v>9</v>
      </c>
      <c r="B1613" s="2" t="str">
        <f>"87000786"</f>
        <v>87000786</v>
      </c>
      <c r="C1613" s="2" t="str">
        <f>"87000786"</f>
        <v>87000786</v>
      </c>
      <c r="D1613" s="2" t="s">
        <v>1457</v>
      </c>
      <c r="E1613" s="4">
        <v>4000</v>
      </c>
    </row>
    <row r="1614" spans="1:5" ht="26.25" x14ac:dyDescent="0.25">
      <c r="A1614" s="2" t="s">
        <v>9</v>
      </c>
      <c r="B1614" s="2" t="str">
        <f>"6925871600224"</f>
        <v>6925871600224</v>
      </c>
      <c r="C1614" s="2" t="str">
        <f>"22084343"</f>
        <v>22084343</v>
      </c>
      <c r="D1614" s="2" t="s">
        <v>1458</v>
      </c>
      <c r="E1614" s="4">
        <v>3000</v>
      </c>
    </row>
    <row r="1615" spans="1:5" ht="26.25" x14ac:dyDescent="0.25">
      <c r="A1615" s="2" t="s">
        <v>9</v>
      </c>
      <c r="B1615" s="2" t="str">
        <f>"22080125"</f>
        <v>22080125</v>
      </c>
      <c r="C1615" s="2" t="str">
        <f>"22080125"</f>
        <v>22080125</v>
      </c>
      <c r="D1615" s="2" t="s">
        <v>1459</v>
      </c>
      <c r="E1615" s="4">
        <v>1500</v>
      </c>
    </row>
    <row r="1616" spans="1:5" ht="26.25" x14ac:dyDescent="0.25">
      <c r="A1616" s="2" t="s">
        <v>9</v>
      </c>
      <c r="B1616" s="2" t="str">
        <f>"6746456798699"</f>
        <v>6746456798699</v>
      </c>
      <c r="C1616" s="2" t="str">
        <f>"40088699"</f>
        <v>40088699</v>
      </c>
      <c r="D1616" s="2" t="s">
        <v>1460</v>
      </c>
      <c r="E1616" s="4">
        <v>6000</v>
      </c>
    </row>
    <row r="1617" spans="1:5" ht="26.25" x14ac:dyDescent="0.25">
      <c r="A1617" s="2" t="s">
        <v>9</v>
      </c>
      <c r="B1617" s="2" t="str">
        <f>"9780201379624"</f>
        <v>9780201379624</v>
      </c>
      <c r="C1617" s="2" t="str">
        <f>"10002339"</f>
        <v>10002339</v>
      </c>
      <c r="D1617" s="2" t="s">
        <v>1461</v>
      </c>
      <c r="E1617" s="4">
        <v>4500</v>
      </c>
    </row>
    <row r="1618" spans="1:5" ht="26.25" x14ac:dyDescent="0.25">
      <c r="A1618" s="2" t="s">
        <v>9</v>
      </c>
      <c r="B1618" s="2" t="str">
        <f>"220817871"</f>
        <v>220817871</v>
      </c>
      <c r="C1618" s="2" t="str">
        <f>"220817871"</f>
        <v>220817871</v>
      </c>
      <c r="D1618" s="2" t="s">
        <v>1462</v>
      </c>
      <c r="E1618" s="4">
        <v>3000</v>
      </c>
    </row>
    <row r="1619" spans="1:5" ht="26.25" x14ac:dyDescent="0.25">
      <c r="A1619" s="2" t="s">
        <v>9</v>
      </c>
      <c r="B1619" s="2" t="str">
        <f>"8435606751100"</f>
        <v>8435606751100</v>
      </c>
      <c r="C1619" s="2" t="str">
        <f>"870815248"</f>
        <v>870815248</v>
      </c>
      <c r="D1619" s="2" t="s">
        <v>1463</v>
      </c>
      <c r="E1619" s="4">
        <v>4500</v>
      </c>
    </row>
    <row r="1620" spans="1:5" ht="26.25" x14ac:dyDescent="0.25">
      <c r="A1620" s="2" t="s">
        <v>9</v>
      </c>
      <c r="B1620" s="2" t="str">
        <f>"7858816075315"</f>
        <v>7858816075315</v>
      </c>
      <c r="C1620" s="2" t="str">
        <f>"87087531"</f>
        <v>87087531</v>
      </c>
      <c r="D1620" s="2" t="s">
        <v>1464</v>
      </c>
      <c r="E1620" s="4">
        <v>4500</v>
      </c>
    </row>
    <row r="1621" spans="1:5" ht="26.25" x14ac:dyDescent="0.25">
      <c r="A1621" s="2" t="s">
        <v>9</v>
      </c>
      <c r="B1621" s="2" t="str">
        <f>"87082124"</f>
        <v>87082124</v>
      </c>
      <c r="C1621" s="2" t="str">
        <f>"87082124"</f>
        <v>87082124</v>
      </c>
      <c r="D1621" s="2" t="s">
        <v>1465</v>
      </c>
      <c r="E1621" s="4">
        <v>3500</v>
      </c>
    </row>
    <row r="1622" spans="1:5" ht="26.25" x14ac:dyDescent="0.25">
      <c r="A1622" s="2" t="s">
        <v>9</v>
      </c>
      <c r="B1622" s="2" t="str">
        <f>"2018103552539"</f>
        <v>2018103552539</v>
      </c>
      <c r="C1622" s="2" t="str">
        <f>"18085253"</f>
        <v>18085253</v>
      </c>
      <c r="D1622" s="2" t="s">
        <v>1466</v>
      </c>
      <c r="E1622" s="4">
        <v>2500</v>
      </c>
    </row>
    <row r="1623" spans="1:5" ht="26.25" x14ac:dyDescent="0.25">
      <c r="A1623" s="2" t="s">
        <v>9</v>
      </c>
      <c r="B1623" s="2" t="str">
        <f>"2020050060388"</f>
        <v>2020050060388</v>
      </c>
      <c r="C1623" s="2" t="str">
        <f>"18086038"</f>
        <v>18086038</v>
      </c>
      <c r="D1623" s="2" t="s">
        <v>1467</v>
      </c>
      <c r="E1623" s="4">
        <v>4500</v>
      </c>
    </row>
    <row r="1624" spans="1:5" ht="26.25" x14ac:dyDescent="0.25">
      <c r="A1624" s="2" t="s">
        <v>9</v>
      </c>
      <c r="B1624" s="2" t="str">
        <f>"2020050061057"</f>
        <v>2020050061057</v>
      </c>
      <c r="C1624" s="2" t="str">
        <f>"18086105"</f>
        <v>18086105</v>
      </c>
      <c r="D1624" s="2" t="s">
        <v>1468</v>
      </c>
      <c r="E1624" s="4">
        <v>3500</v>
      </c>
    </row>
    <row r="1625" spans="1:5" ht="26.25" x14ac:dyDescent="0.25">
      <c r="A1625" s="2" t="s">
        <v>9</v>
      </c>
      <c r="B1625" s="2" t="str">
        <f>"6925871642170"</f>
        <v>6925871642170</v>
      </c>
      <c r="C1625" s="2" t="str">
        <f>"22084217"</f>
        <v>22084217</v>
      </c>
      <c r="D1625" s="2" t="s">
        <v>1469</v>
      </c>
      <c r="E1625" s="4">
        <v>2990</v>
      </c>
    </row>
    <row r="1626" spans="1:5" ht="26.25" x14ac:dyDescent="0.25">
      <c r="A1626" s="2" t="s">
        <v>9</v>
      </c>
      <c r="B1626" s="2" t="str">
        <f>"6925871642538"</f>
        <v>6925871642538</v>
      </c>
      <c r="C1626" s="2" t="str">
        <f>"22084253"</f>
        <v>22084253</v>
      </c>
      <c r="D1626" s="2" t="s">
        <v>1470</v>
      </c>
      <c r="E1626" s="4">
        <v>3000</v>
      </c>
    </row>
    <row r="1627" spans="1:5" ht="26.25" x14ac:dyDescent="0.25">
      <c r="A1627" s="2" t="s">
        <v>9</v>
      </c>
      <c r="B1627" s="2" t="str">
        <f>"6925871642545"</f>
        <v>6925871642545</v>
      </c>
      <c r="C1627" s="2" t="str">
        <f>"22084254"</f>
        <v>22084254</v>
      </c>
      <c r="D1627" s="2" t="s">
        <v>1471</v>
      </c>
      <c r="E1627" s="4">
        <v>2500</v>
      </c>
    </row>
    <row r="1628" spans="1:5" ht="26.25" x14ac:dyDescent="0.25">
      <c r="A1628" s="2" t="s">
        <v>9</v>
      </c>
      <c r="B1628" s="2" t="str">
        <f>"6925871642569"</f>
        <v>6925871642569</v>
      </c>
      <c r="C1628" s="2" t="str">
        <f>"22084256"</f>
        <v>22084256</v>
      </c>
      <c r="D1628" s="2" t="s">
        <v>1472</v>
      </c>
      <c r="E1628" s="4">
        <v>2000</v>
      </c>
    </row>
    <row r="1629" spans="1:5" ht="26.25" x14ac:dyDescent="0.25">
      <c r="A1629" s="2" t="s">
        <v>9</v>
      </c>
      <c r="B1629" s="2" t="str">
        <f>"86081010"</f>
        <v>86081010</v>
      </c>
      <c r="C1629" s="2" t="str">
        <f>"86081010"</f>
        <v>86081010</v>
      </c>
      <c r="D1629" s="2" t="s">
        <v>1473</v>
      </c>
      <c r="E1629" s="4">
        <v>4500</v>
      </c>
    </row>
    <row r="1630" spans="1:5" ht="26.25" x14ac:dyDescent="0.25">
      <c r="A1630" s="2" t="s">
        <v>9</v>
      </c>
      <c r="B1630" s="2" t="str">
        <f>"7858816042867"</f>
        <v>7858816042867</v>
      </c>
      <c r="C1630" s="2" t="str">
        <f>"87084286"</f>
        <v>87084286</v>
      </c>
      <c r="D1630" s="2" t="s">
        <v>1474</v>
      </c>
      <c r="E1630" s="4">
        <v>3500</v>
      </c>
    </row>
    <row r="1631" spans="1:5" ht="26.25" x14ac:dyDescent="0.25">
      <c r="A1631" s="2" t="s">
        <v>9</v>
      </c>
      <c r="B1631" s="2" t="str">
        <f>"10111803"</f>
        <v>10111803</v>
      </c>
      <c r="C1631" s="2" t="str">
        <f>"10111803"</f>
        <v>10111803</v>
      </c>
      <c r="D1631" s="2" t="s">
        <v>1475</v>
      </c>
      <c r="E1631" s="4">
        <v>4000</v>
      </c>
    </row>
    <row r="1632" spans="1:5" ht="26.25" x14ac:dyDescent="0.25">
      <c r="A1632" s="2" t="s">
        <v>9</v>
      </c>
      <c r="B1632" s="2" t="str">
        <f>"6971083491686"</f>
        <v>6971083491686</v>
      </c>
      <c r="C1632" s="2" t="str">
        <f>"10011273"</f>
        <v>10011273</v>
      </c>
      <c r="D1632" s="2" t="s">
        <v>1476</v>
      </c>
      <c r="E1632" s="4">
        <v>4500</v>
      </c>
    </row>
    <row r="1633" spans="1:5" ht="26.25" x14ac:dyDescent="0.25">
      <c r="A1633" s="2" t="s">
        <v>9</v>
      </c>
      <c r="B1633" s="2" t="str">
        <f>"6999996231465"</f>
        <v>6999996231465</v>
      </c>
      <c r="C1633" s="2" t="str">
        <f>"10114234"</f>
        <v>10114234</v>
      </c>
      <c r="D1633" s="2" t="s">
        <v>1477</v>
      </c>
      <c r="E1633" s="4">
        <v>3500</v>
      </c>
    </row>
    <row r="1634" spans="1:5" ht="26.25" x14ac:dyDescent="0.25">
      <c r="A1634" s="2" t="s">
        <v>9</v>
      </c>
      <c r="B1634" s="2" t="str">
        <f>"6986591358567"</f>
        <v>6986591358567</v>
      </c>
      <c r="C1634" s="2" t="str">
        <f>"10116247"</f>
        <v>10116247</v>
      </c>
      <c r="D1634" s="2" t="s">
        <v>1478</v>
      </c>
      <c r="E1634" s="4">
        <v>3500</v>
      </c>
    </row>
    <row r="1635" spans="1:5" ht="26.25" x14ac:dyDescent="0.25">
      <c r="A1635" s="2" t="s">
        <v>9</v>
      </c>
      <c r="B1635" s="2" t="str">
        <f>"10011658"</f>
        <v>10011658</v>
      </c>
      <c r="C1635" s="2" t="str">
        <f>"10011658"</f>
        <v>10011658</v>
      </c>
      <c r="D1635" s="2" t="s">
        <v>1479</v>
      </c>
      <c r="E1635" s="4">
        <v>3990</v>
      </c>
    </row>
    <row r="1636" spans="1:5" ht="26.25" x14ac:dyDescent="0.25">
      <c r="A1636" s="2" t="s">
        <v>9</v>
      </c>
      <c r="B1636" s="2" t="str">
        <f>"10016245"</f>
        <v>10016245</v>
      </c>
      <c r="C1636" s="2" t="str">
        <f>"10016245"</f>
        <v>10016245</v>
      </c>
      <c r="D1636" s="2" t="s">
        <v>1480</v>
      </c>
      <c r="E1636" s="4">
        <v>3990</v>
      </c>
    </row>
    <row r="1637" spans="1:5" ht="26.25" x14ac:dyDescent="0.25">
      <c r="A1637" s="2" t="s">
        <v>9</v>
      </c>
      <c r="B1637" s="2" t="str">
        <f>"10002512"</f>
        <v>10002512</v>
      </c>
      <c r="C1637" s="2" t="str">
        <f>"10002512"</f>
        <v>10002512</v>
      </c>
      <c r="D1637" s="2" t="s">
        <v>1481</v>
      </c>
      <c r="E1637" s="4">
        <v>2990</v>
      </c>
    </row>
    <row r="1638" spans="1:5" ht="26.25" x14ac:dyDescent="0.25">
      <c r="A1638" s="2" t="s">
        <v>9</v>
      </c>
      <c r="B1638" s="2" t="str">
        <f>"680988393136"</f>
        <v>680988393136</v>
      </c>
      <c r="C1638" s="2" t="str">
        <f>"10002545"</f>
        <v>10002545</v>
      </c>
      <c r="D1638" s="2" t="s">
        <v>1482</v>
      </c>
      <c r="E1638" s="4">
        <v>4500</v>
      </c>
    </row>
    <row r="1639" spans="1:5" ht="26.25" x14ac:dyDescent="0.25">
      <c r="A1639" s="2" t="s">
        <v>9</v>
      </c>
      <c r="B1639" s="2" t="str">
        <f>"10002563"</f>
        <v>10002563</v>
      </c>
      <c r="C1639" s="2" t="str">
        <f>"10002563"</f>
        <v>10002563</v>
      </c>
      <c r="D1639" s="2" t="s">
        <v>1483</v>
      </c>
      <c r="E1639" s="4">
        <v>3000</v>
      </c>
    </row>
    <row r="1640" spans="1:5" ht="26.25" x14ac:dyDescent="0.25">
      <c r="A1640" s="2" t="s">
        <v>9</v>
      </c>
      <c r="B1640" s="2" t="str">
        <f>"10004106"</f>
        <v>10004106</v>
      </c>
      <c r="C1640" s="2" t="str">
        <f>"10004106"</f>
        <v>10004106</v>
      </c>
      <c r="D1640" s="2" t="s">
        <v>1484</v>
      </c>
      <c r="E1640" s="4">
        <v>3000</v>
      </c>
    </row>
    <row r="1641" spans="1:5" ht="26.25" x14ac:dyDescent="0.25">
      <c r="A1641" s="2" t="s">
        <v>9</v>
      </c>
      <c r="B1641" s="2" t="str">
        <f>"6656325558757"</f>
        <v>6656325558757</v>
      </c>
      <c r="C1641" s="2" t="str">
        <f>"10004143"</f>
        <v>10004143</v>
      </c>
      <c r="D1641" s="2" t="s">
        <v>1485</v>
      </c>
      <c r="E1641" s="4">
        <v>4000</v>
      </c>
    </row>
    <row r="1642" spans="1:5" ht="26.25" x14ac:dyDescent="0.25">
      <c r="A1642" s="2" t="s">
        <v>9</v>
      </c>
      <c r="B1642" s="2" t="str">
        <f>"10004212"</f>
        <v>10004212</v>
      </c>
      <c r="C1642" s="2" t="str">
        <f>"10004212"</f>
        <v>10004212</v>
      </c>
      <c r="D1642" s="2" t="s">
        <v>1486</v>
      </c>
      <c r="E1642" s="4">
        <v>3000</v>
      </c>
    </row>
    <row r="1643" spans="1:5" ht="26.25" x14ac:dyDescent="0.25">
      <c r="A1643" s="2" t="s">
        <v>9</v>
      </c>
      <c r="B1643" s="2" t="str">
        <f>"6970476549300"</f>
        <v>6970476549300</v>
      </c>
      <c r="C1643" s="2" t="str">
        <f>"10004248"</f>
        <v>10004248</v>
      </c>
      <c r="D1643" s="2" t="s">
        <v>1487</v>
      </c>
      <c r="E1643" s="4">
        <v>3000</v>
      </c>
    </row>
    <row r="1644" spans="1:5" ht="26.25" x14ac:dyDescent="0.25">
      <c r="A1644" s="2" t="s">
        <v>9</v>
      </c>
      <c r="B1644" s="2" t="str">
        <f>"10000488"</f>
        <v>10000488</v>
      </c>
      <c r="C1644" s="2" t="str">
        <f>"10000488"</f>
        <v>10000488</v>
      </c>
      <c r="D1644" s="2" t="s">
        <v>1488</v>
      </c>
      <c r="E1644" s="4">
        <v>2500</v>
      </c>
    </row>
    <row r="1645" spans="1:5" ht="26.25" x14ac:dyDescent="0.25">
      <c r="A1645" s="2" t="s">
        <v>9</v>
      </c>
      <c r="B1645" s="2" t="str">
        <f>"10000659"</f>
        <v>10000659</v>
      </c>
      <c r="C1645" s="2" t="str">
        <f>"10000659"</f>
        <v>10000659</v>
      </c>
      <c r="D1645" s="2" t="s">
        <v>1489</v>
      </c>
      <c r="E1645" s="4">
        <v>1000</v>
      </c>
    </row>
    <row r="1646" spans="1:5" ht="26.25" x14ac:dyDescent="0.25">
      <c r="A1646" s="2" t="s">
        <v>9</v>
      </c>
      <c r="B1646" s="2" t="str">
        <f>"1546896768666"</f>
        <v>1546896768666</v>
      </c>
      <c r="C1646" s="2" t="str">
        <f>"10007016"</f>
        <v>10007016</v>
      </c>
      <c r="D1646" s="2" t="s">
        <v>1490</v>
      </c>
      <c r="E1646" s="4">
        <v>3700</v>
      </c>
    </row>
    <row r="1647" spans="1:5" ht="26.25" x14ac:dyDescent="0.25">
      <c r="A1647" s="2" t="s">
        <v>9</v>
      </c>
      <c r="B1647" s="2" t="str">
        <f>"6959033842139"</f>
        <v>6959033842139</v>
      </c>
      <c r="C1647" s="2" t="str">
        <f>"98082528"</f>
        <v>98082528</v>
      </c>
      <c r="D1647" s="2" t="s">
        <v>1491</v>
      </c>
      <c r="E1647" s="4">
        <v>6000</v>
      </c>
    </row>
    <row r="1648" spans="1:5" ht="26.25" x14ac:dyDescent="0.25">
      <c r="A1648" s="2" t="s">
        <v>9</v>
      </c>
      <c r="B1648" s="2" t="str">
        <f>"6925871643375"</f>
        <v>6925871643375</v>
      </c>
      <c r="C1648" s="2" t="str">
        <f>"98080000"</f>
        <v>98080000</v>
      </c>
      <c r="D1648" s="2" t="s">
        <v>1492</v>
      </c>
      <c r="E1648" s="4">
        <v>2000</v>
      </c>
    </row>
    <row r="1649" spans="1:5" ht="26.25" x14ac:dyDescent="0.25">
      <c r="A1649" s="2" t="s">
        <v>9</v>
      </c>
      <c r="B1649" s="2" t="str">
        <f>"6925871643511"</f>
        <v>6925871643511</v>
      </c>
      <c r="C1649" s="2" t="str">
        <f>"98084351"</f>
        <v>98084351</v>
      </c>
      <c r="D1649" s="2" t="s">
        <v>1493</v>
      </c>
      <c r="E1649" s="4">
        <v>3000</v>
      </c>
    </row>
    <row r="1650" spans="1:5" ht="26.25" x14ac:dyDescent="0.25">
      <c r="A1650" s="2" t="s">
        <v>9</v>
      </c>
      <c r="B1650" s="2" t="str">
        <f>"22084516"</f>
        <v>22084516</v>
      </c>
      <c r="C1650" s="2" t="str">
        <f>"22084516"</f>
        <v>22084516</v>
      </c>
      <c r="D1650" s="2" t="s">
        <v>1494</v>
      </c>
      <c r="E1650" s="4">
        <v>3000</v>
      </c>
    </row>
    <row r="1651" spans="1:5" ht="26.25" x14ac:dyDescent="0.25">
      <c r="A1651" s="2" t="s">
        <v>9</v>
      </c>
      <c r="B1651" s="2" t="str">
        <f>"22084018"</f>
        <v>22084018</v>
      </c>
      <c r="C1651" s="2" t="str">
        <f>"22084018"</f>
        <v>22084018</v>
      </c>
      <c r="D1651" s="2" t="s">
        <v>1495</v>
      </c>
      <c r="E1651" s="4">
        <v>2500</v>
      </c>
    </row>
    <row r="1652" spans="1:5" ht="26.25" x14ac:dyDescent="0.25">
      <c r="A1652" s="2" t="s">
        <v>9</v>
      </c>
      <c r="B1652" s="2" t="str">
        <f>"22084019"</f>
        <v>22084019</v>
      </c>
      <c r="C1652" s="2" t="str">
        <f>"22084019"</f>
        <v>22084019</v>
      </c>
      <c r="D1652" s="2" t="s">
        <v>1496</v>
      </c>
      <c r="E1652" s="4">
        <v>2990</v>
      </c>
    </row>
    <row r="1653" spans="1:5" ht="26.25" x14ac:dyDescent="0.25">
      <c r="A1653" s="2" t="s">
        <v>9</v>
      </c>
      <c r="B1653" s="2" t="str">
        <f>"6925871641319"</f>
        <v>6925871641319</v>
      </c>
      <c r="C1653" s="2" t="str">
        <f>"22084131"</f>
        <v>22084131</v>
      </c>
      <c r="D1653" s="2" t="s">
        <v>1497</v>
      </c>
      <c r="E1653" s="4">
        <v>3500</v>
      </c>
    </row>
    <row r="1654" spans="1:5" ht="26.25" x14ac:dyDescent="0.25">
      <c r="A1654" s="2" t="s">
        <v>9</v>
      </c>
      <c r="B1654" s="2" t="str">
        <f>"6925871641470"</f>
        <v>6925871641470</v>
      </c>
      <c r="C1654" s="2" t="str">
        <f>"22084147"</f>
        <v>22084147</v>
      </c>
      <c r="D1654" s="2" t="s">
        <v>1498</v>
      </c>
      <c r="E1654" s="4">
        <v>3000</v>
      </c>
    </row>
    <row r="1655" spans="1:5" ht="26.25" x14ac:dyDescent="0.25">
      <c r="A1655" s="2" t="s">
        <v>9</v>
      </c>
      <c r="B1655" s="2" t="str">
        <f>"6925871641661"</f>
        <v>6925871641661</v>
      </c>
      <c r="C1655" s="2" t="str">
        <f>"22084166"</f>
        <v>22084166</v>
      </c>
      <c r="D1655" s="2" t="s">
        <v>1499</v>
      </c>
      <c r="E1655" s="4">
        <v>4500</v>
      </c>
    </row>
    <row r="1656" spans="1:5" ht="26.25" x14ac:dyDescent="0.25">
      <c r="A1656" s="2" t="s">
        <v>9</v>
      </c>
      <c r="B1656" s="2" t="str">
        <f>"6925871642385"</f>
        <v>6925871642385</v>
      </c>
      <c r="C1656" s="2" t="str">
        <f>"22084238"</f>
        <v>22084238</v>
      </c>
      <c r="D1656" s="2" t="s">
        <v>1500</v>
      </c>
      <c r="E1656" s="4">
        <v>3500</v>
      </c>
    </row>
    <row r="1657" spans="1:5" ht="26.25" x14ac:dyDescent="0.25">
      <c r="A1657" s="2" t="s">
        <v>9</v>
      </c>
      <c r="B1657" s="2" t="str">
        <f>"6925871643214"</f>
        <v>6925871643214</v>
      </c>
      <c r="C1657" s="2" t="str">
        <f>"22084321"</f>
        <v>22084321</v>
      </c>
      <c r="D1657" s="2" t="s">
        <v>1501</v>
      </c>
      <c r="E1657" s="4">
        <v>3000</v>
      </c>
    </row>
    <row r="1658" spans="1:5" ht="26.25" x14ac:dyDescent="0.25">
      <c r="A1658" s="2" t="s">
        <v>9</v>
      </c>
      <c r="B1658" s="2" t="str">
        <f>"6925871649247"</f>
        <v>6925871649247</v>
      </c>
      <c r="C1658" s="2" t="str">
        <f>"22084924"</f>
        <v>22084924</v>
      </c>
      <c r="D1658" s="2" t="s">
        <v>1502</v>
      </c>
      <c r="E1658" s="4">
        <v>1600</v>
      </c>
    </row>
    <row r="1659" spans="1:5" ht="26.25" x14ac:dyDescent="0.25">
      <c r="A1659" s="2" t="s">
        <v>9</v>
      </c>
      <c r="B1659" s="2" t="str">
        <f>"1100000342007"</f>
        <v>1100000342007</v>
      </c>
      <c r="C1659" s="2" t="str">
        <f>"92080374"</f>
        <v>92080374</v>
      </c>
      <c r="D1659" s="2" t="s">
        <v>1503</v>
      </c>
      <c r="E1659" s="4">
        <v>4990</v>
      </c>
    </row>
    <row r="1660" spans="1:5" ht="26.25" x14ac:dyDescent="0.25">
      <c r="A1660" s="2" t="s">
        <v>9</v>
      </c>
      <c r="B1660" s="2" t="str">
        <f>"86080500"</f>
        <v>86080500</v>
      </c>
      <c r="C1660" s="2" t="str">
        <f>"86080500"</f>
        <v>86080500</v>
      </c>
      <c r="D1660" s="2" t="s">
        <v>1504</v>
      </c>
      <c r="E1660" s="4">
        <v>2500</v>
      </c>
    </row>
    <row r="1661" spans="1:5" ht="26.25" x14ac:dyDescent="0.25">
      <c r="A1661" s="2" t="s">
        <v>9</v>
      </c>
      <c r="B1661" s="2" t="str">
        <f>"92080070"</f>
        <v>92080070</v>
      </c>
      <c r="C1661" s="2" t="str">
        <f>"92080070"</f>
        <v>92080070</v>
      </c>
      <c r="D1661" s="2" t="s">
        <v>1505</v>
      </c>
      <c r="E1661" s="4">
        <v>6990</v>
      </c>
    </row>
    <row r="1662" spans="1:5" ht="26.25" x14ac:dyDescent="0.25">
      <c r="A1662" s="2" t="s">
        <v>9</v>
      </c>
      <c r="B1662" s="2" t="str">
        <f>"6901443225903"</f>
        <v>6901443225903</v>
      </c>
      <c r="C1662" s="2" t="str">
        <f>"63080570"</f>
        <v>63080570</v>
      </c>
      <c r="D1662" s="2" t="s">
        <v>1505</v>
      </c>
      <c r="E1662" s="4">
        <v>6500</v>
      </c>
    </row>
    <row r="1663" spans="1:5" ht="26.25" x14ac:dyDescent="0.25">
      <c r="A1663" s="2" t="s">
        <v>9</v>
      </c>
      <c r="B1663" s="2" t="str">
        <f>"6901443083718"</f>
        <v>6901443083718</v>
      </c>
      <c r="C1663" s="2" t="str">
        <f>"79HUE0AP70"</f>
        <v>79HUE0AP70</v>
      </c>
      <c r="D1663" s="2" t="s">
        <v>1505</v>
      </c>
      <c r="E1663" s="4">
        <v>5990</v>
      </c>
    </row>
    <row r="1664" spans="1:5" ht="26.25" x14ac:dyDescent="0.25">
      <c r="A1664" s="2" t="s">
        <v>9</v>
      </c>
      <c r="B1664" s="2" t="str">
        <f>"7858816053375"</f>
        <v>7858816053375</v>
      </c>
      <c r="C1664" s="2" t="str">
        <f>"87085337"</f>
        <v>87085337</v>
      </c>
      <c r="D1664" s="2" t="s">
        <v>1506</v>
      </c>
      <c r="E1664" s="4">
        <v>2990</v>
      </c>
    </row>
    <row r="1665" spans="1:5" ht="26.25" x14ac:dyDescent="0.25">
      <c r="A1665" s="2" t="s">
        <v>9</v>
      </c>
      <c r="B1665" s="2" t="str">
        <f>"7858816055317"</f>
        <v>7858816055317</v>
      </c>
      <c r="C1665" s="2" t="str">
        <f>"87085531"</f>
        <v>87085531</v>
      </c>
      <c r="D1665" s="2" t="s">
        <v>1507</v>
      </c>
      <c r="E1665" s="4">
        <v>3500</v>
      </c>
    </row>
    <row r="1666" spans="1:5" ht="26.25" x14ac:dyDescent="0.25">
      <c r="A1666" s="2" t="s">
        <v>9</v>
      </c>
      <c r="B1666" s="2" t="str">
        <f>"7858816056147"</f>
        <v>7858816056147</v>
      </c>
      <c r="C1666" s="2" t="str">
        <f>"87085614"</f>
        <v>87085614</v>
      </c>
      <c r="D1666" s="2" t="s">
        <v>1508</v>
      </c>
      <c r="E1666" s="4">
        <v>3000</v>
      </c>
    </row>
    <row r="1667" spans="1:5" ht="26.25" x14ac:dyDescent="0.25">
      <c r="A1667" s="2" t="s">
        <v>9</v>
      </c>
      <c r="B1667" s="2" t="str">
        <f>"7858816073816"</f>
        <v>7858816073816</v>
      </c>
      <c r="C1667" s="2" t="str">
        <f>"87087381"</f>
        <v>87087381</v>
      </c>
      <c r="D1667" s="2" t="s">
        <v>1509</v>
      </c>
      <c r="E1667" s="4">
        <v>2500</v>
      </c>
    </row>
    <row r="1668" spans="1:5" ht="26.25" x14ac:dyDescent="0.25">
      <c r="A1668" s="2" t="s">
        <v>9</v>
      </c>
      <c r="B1668" s="2" t="str">
        <f>"7858816021145"</f>
        <v>7858816021145</v>
      </c>
      <c r="C1668" s="2" t="str">
        <f>"87082114"</f>
        <v>87082114</v>
      </c>
      <c r="D1668" s="2" t="s">
        <v>1510</v>
      </c>
      <c r="E1668" s="4">
        <v>1500</v>
      </c>
    </row>
    <row r="1669" spans="1:5" ht="26.25" x14ac:dyDescent="0.25">
      <c r="A1669" s="2" t="s">
        <v>9</v>
      </c>
      <c r="B1669" s="2" t="str">
        <f>"6995411110070"</f>
        <v>6995411110070</v>
      </c>
      <c r="C1669" s="2" t="str">
        <f>"76080002"</f>
        <v>76080002</v>
      </c>
      <c r="D1669" s="2" t="s">
        <v>1511</v>
      </c>
      <c r="E1669" s="4">
        <v>3000</v>
      </c>
    </row>
    <row r="1670" spans="1:5" ht="26.25" x14ac:dyDescent="0.25">
      <c r="A1670" s="2" t="s">
        <v>9</v>
      </c>
      <c r="B1670" s="2" t="str">
        <f>"6995411120017"</f>
        <v>6995411120017</v>
      </c>
      <c r="C1670" s="2" t="str">
        <f>"76080017"</f>
        <v>76080017</v>
      </c>
      <c r="D1670" s="2" t="s">
        <v>1512</v>
      </c>
      <c r="E1670" s="4">
        <v>4500</v>
      </c>
    </row>
    <row r="1671" spans="1:5" ht="26.25" x14ac:dyDescent="0.25">
      <c r="A1671" s="2" t="s">
        <v>9</v>
      </c>
      <c r="B1671" s="2" t="str">
        <f>"6995411330034"</f>
        <v>6995411330034</v>
      </c>
      <c r="C1671" s="2" t="str">
        <f>"78080034"</f>
        <v>78080034</v>
      </c>
      <c r="D1671" s="2" t="s">
        <v>1513</v>
      </c>
      <c r="E1671" s="4">
        <v>5500</v>
      </c>
    </row>
    <row r="1672" spans="1:5" ht="26.25" x14ac:dyDescent="0.25">
      <c r="A1672" s="2" t="s">
        <v>9</v>
      </c>
      <c r="B1672" s="2" t="str">
        <f>"6951613996386"</f>
        <v>6951613996386</v>
      </c>
      <c r="C1672" s="2" t="str">
        <f>"98081530"</f>
        <v>98081530</v>
      </c>
      <c r="D1672" s="2" t="s">
        <v>1514</v>
      </c>
      <c r="E1672" s="4">
        <v>4990</v>
      </c>
    </row>
    <row r="1673" spans="1:5" ht="26.25" x14ac:dyDescent="0.25">
      <c r="A1673" s="2" t="s">
        <v>9</v>
      </c>
      <c r="B1673" s="2" t="str">
        <f>"22080200"</f>
        <v>22080200</v>
      </c>
      <c r="C1673" s="2" t="str">
        <f>"22080200"</f>
        <v>22080200</v>
      </c>
      <c r="D1673" s="2" t="s">
        <v>1515</v>
      </c>
      <c r="E1673" s="4">
        <v>2500</v>
      </c>
    </row>
    <row r="1674" spans="1:5" ht="39" x14ac:dyDescent="0.25">
      <c r="A1674" s="2" t="s">
        <v>9</v>
      </c>
      <c r="B1674" s="2" t="str">
        <f>"79ORGDU4AW"</f>
        <v>79ORGDU4AW</v>
      </c>
      <c r="C1674" s="2" t="str">
        <f>"79ORGDU4AW"</f>
        <v>79ORGDU4AW</v>
      </c>
      <c r="D1674" s="2" t="s">
        <v>1516</v>
      </c>
      <c r="E1674" s="4">
        <v>7990</v>
      </c>
    </row>
    <row r="1675" spans="1:5" ht="26.25" x14ac:dyDescent="0.25">
      <c r="A1675" s="2" t="s">
        <v>9</v>
      </c>
      <c r="B1675" s="2" t="str">
        <f>"86081401"</f>
        <v>86081401</v>
      </c>
      <c r="C1675" s="2" t="str">
        <f>"86081401"</f>
        <v>86081401</v>
      </c>
      <c r="D1675" s="2" t="s">
        <v>1517</v>
      </c>
      <c r="E1675" s="4">
        <v>1500</v>
      </c>
    </row>
    <row r="1676" spans="1:5" ht="26.25" x14ac:dyDescent="0.25">
      <c r="A1676" s="2" t="s">
        <v>9</v>
      </c>
      <c r="B1676" s="2" t="str">
        <f>"54081400"</f>
        <v>54081400</v>
      </c>
      <c r="C1676" s="2" t="str">
        <f>"54081400"</f>
        <v>54081400</v>
      </c>
      <c r="D1676" s="2" t="s">
        <v>1518</v>
      </c>
      <c r="E1676" s="4">
        <v>3000</v>
      </c>
    </row>
    <row r="1677" spans="1:5" ht="26.25" x14ac:dyDescent="0.25">
      <c r="A1677" s="2" t="s">
        <v>9</v>
      </c>
      <c r="B1677" s="2" t="str">
        <f>"8806088359502"</f>
        <v>8806088359502</v>
      </c>
      <c r="C1677" s="2" t="str">
        <f>"54081414"</f>
        <v>54081414</v>
      </c>
      <c r="D1677" s="2" t="s">
        <v>1518</v>
      </c>
      <c r="E1677" s="4">
        <v>3000</v>
      </c>
    </row>
    <row r="1678" spans="1:5" ht="26.25" x14ac:dyDescent="0.25">
      <c r="A1678" s="2" t="s">
        <v>9</v>
      </c>
      <c r="B1678" s="2" t="str">
        <f>"6995411220033"</f>
        <v>6995411220033</v>
      </c>
      <c r="C1678" s="2" t="str">
        <f>"76080033"</f>
        <v>76080033</v>
      </c>
      <c r="D1678" s="2" t="s">
        <v>1519</v>
      </c>
      <c r="E1678" s="4">
        <v>4990</v>
      </c>
    </row>
    <row r="1679" spans="1:5" ht="26.25" x14ac:dyDescent="0.25">
      <c r="A1679" s="2" t="s">
        <v>9</v>
      </c>
      <c r="B1679" s="2" t="str">
        <f>"6995411220032"</f>
        <v>6995411220032</v>
      </c>
      <c r="C1679" s="2" t="str">
        <f>"76080032"</f>
        <v>76080032</v>
      </c>
      <c r="D1679" s="2" t="s">
        <v>1520</v>
      </c>
      <c r="E1679" s="4">
        <v>4990</v>
      </c>
    </row>
    <row r="1680" spans="1:5" ht="26.25" x14ac:dyDescent="0.25">
      <c r="A1680" s="2" t="s">
        <v>9</v>
      </c>
      <c r="B1680" s="2" t="str">
        <f>"7858816077173"</f>
        <v>7858816077173</v>
      </c>
      <c r="C1680" s="2" t="str">
        <f>"87087717"</f>
        <v>87087717</v>
      </c>
      <c r="D1680" s="2" t="s">
        <v>1521</v>
      </c>
      <c r="E1680" s="4">
        <v>4500</v>
      </c>
    </row>
    <row r="1681" spans="1:5" ht="26.25" x14ac:dyDescent="0.25">
      <c r="A1681" s="2" t="s">
        <v>9</v>
      </c>
      <c r="B1681" s="2" t="str">
        <f>"7867866109086"</f>
        <v>7867866109086</v>
      </c>
      <c r="C1681" s="2" t="str">
        <f>"22080908"</f>
        <v>22080908</v>
      </c>
      <c r="D1681" s="2" t="s">
        <v>1522</v>
      </c>
      <c r="E1681" s="4">
        <v>4500</v>
      </c>
    </row>
    <row r="1682" spans="1:5" ht="26.25" x14ac:dyDescent="0.25">
      <c r="A1682" s="2" t="s">
        <v>9</v>
      </c>
      <c r="B1682" s="2" t="str">
        <f>"6925871642293"</f>
        <v>6925871642293</v>
      </c>
      <c r="C1682" s="2" t="str">
        <f>"22084229"</f>
        <v>22084229</v>
      </c>
      <c r="D1682" s="2" t="s">
        <v>1523</v>
      </c>
      <c r="E1682" s="4">
        <v>3500</v>
      </c>
    </row>
    <row r="1683" spans="1:5" ht="26.25" x14ac:dyDescent="0.25">
      <c r="A1683" s="2" t="s">
        <v>9</v>
      </c>
      <c r="B1683" s="2" t="str">
        <f>"6925871643412"</f>
        <v>6925871643412</v>
      </c>
      <c r="C1683" s="2" t="str">
        <f>"22084341"</f>
        <v>22084341</v>
      </c>
      <c r="D1683" s="2" t="s">
        <v>1524</v>
      </c>
      <c r="E1683" s="4">
        <v>3000</v>
      </c>
    </row>
    <row r="1684" spans="1:5" ht="26.25" x14ac:dyDescent="0.25">
      <c r="A1684" s="2" t="s">
        <v>9</v>
      </c>
      <c r="B1684" s="2" t="str">
        <f>"7858816081521"</f>
        <v>7858816081521</v>
      </c>
      <c r="C1684" s="2" t="str">
        <f>"87088152"</f>
        <v>87088152</v>
      </c>
      <c r="D1684" s="2" t="s">
        <v>1525</v>
      </c>
      <c r="E1684" s="4">
        <v>4500</v>
      </c>
    </row>
    <row r="1685" spans="1:5" ht="26.25" x14ac:dyDescent="0.25">
      <c r="A1685" s="2" t="s">
        <v>9</v>
      </c>
      <c r="B1685" s="2" t="str">
        <f>"1000001075303"</f>
        <v>1000001075303</v>
      </c>
      <c r="C1685" s="2" t="str">
        <f>"76087479"</f>
        <v>76087479</v>
      </c>
      <c r="D1685" s="2" t="s">
        <v>1526</v>
      </c>
      <c r="E1685" s="4">
        <v>2500</v>
      </c>
    </row>
    <row r="1686" spans="1:5" ht="26.25" x14ac:dyDescent="0.25">
      <c r="A1686" s="2" t="s">
        <v>9</v>
      </c>
      <c r="B1686" s="2" t="str">
        <f>"22084518"</f>
        <v>22084518</v>
      </c>
      <c r="C1686" s="2" t="str">
        <f>"22084518"</f>
        <v>22084518</v>
      </c>
      <c r="D1686" s="2" t="s">
        <v>1527</v>
      </c>
      <c r="E1686" s="4">
        <v>2000</v>
      </c>
    </row>
    <row r="1687" spans="1:5" ht="26.25" x14ac:dyDescent="0.25">
      <c r="A1687" s="2" t="s">
        <v>9</v>
      </c>
      <c r="B1687" s="2" t="str">
        <f>"6902130638242"</f>
        <v>6902130638242</v>
      </c>
      <c r="C1687" s="2" t="str">
        <f>"22080801"</f>
        <v>22080801</v>
      </c>
      <c r="D1687" s="2" t="s">
        <v>1528</v>
      </c>
      <c r="E1687" s="4">
        <v>2500</v>
      </c>
    </row>
    <row r="1688" spans="1:5" ht="26.25" x14ac:dyDescent="0.25">
      <c r="A1688" s="2" t="s">
        <v>9</v>
      </c>
      <c r="B1688" s="2" t="str">
        <f>"22084148"</f>
        <v>22084148</v>
      </c>
      <c r="C1688" s="2" t="str">
        <f>"22084148"</f>
        <v>22084148</v>
      </c>
      <c r="D1688" s="2" t="s">
        <v>1529</v>
      </c>
      <c r="E1688" s="4">
        <v>3000</v>
      </c>
    </row>
    <row r="1689" spans="1:5" ht="26.25" x14ac:dyDescent="0.25">
      <c r="A1689" s="2" t="s">
        <v>20</v>
      </c>
      <c r="B1689" s="2" t="str">
        <f>"10006697"</f>
        <v>10006697</v>
      </c>
      <c r="C1689" s="2" t="str">
        <f>"10006697"</f>
        <v>10006697</v>
      </c>
      <c r="D1689" s="2" t="s">
        <v>1530</v>
      </c>
      <c r="E1689" s="4">
        <v>2500</v>
      </c>
    </row>
    <row r="1690" spans="1:5" ht="26.25" x14ac:dyDescent="0.25">
      <c r="A1690" s="2" t="s">
        <v>9</v>
      </c>
      <c r="B1690" s="2" t="str">
        <f>"8435350768508"</f>
        <v>8435350768508</v>
      </c>
      <c r="C1690" s="2" t="str">
        <f>"85080108"</f>
        <v>85080108</v>
      </c>
      <c r="D1690" s="2" t="s">
        <v>1531</v>
      </c>
      <c r="E1690" s="4">
        <v>5500</v>
      </c>
    </row>
    <row r="1691" spans="1:5" ht="26.25" x14ac:dyDescent="0.25">
      <c r="A1691" s="2" t="s">
        <v>9</v>
      </c>
      <c r="B1691" s="2" t="str">
        <f>"86081400"</f>
        <v>86081400</v>
      </c>
      <c r="C1691" s="2" t="str">
        <f>"86081400"</f>
        <v>86081400</v>
      </c>
      <c r="D1691" s="2" t="s">
        <v>1532</v>
      </c>
      <c r="E1691" s="4">
        <v>3000</v>
      </c>
    </row>
    <row r="1692" spans="1:5" ht="26.25" x14ac:dyDescent="0.25">
      <c r="A1692" s="2" t="s">
        <v>9</v>
      </c>
      <c r="B1692" s="2" t="str">
        <f>"025215494994"</f>
        <v>025215494994</v>
      </c>
      <c r="C1692" s="2" t="str">
        <f>"60087445"</f>
        <v>60087445</v>
      </c>
      <c r="D1692" s="2" t="s">
        <v>1533</v>
      </c>
      <c r="E1692" s="4">
        <v>3500</v>
      </c>
    </row>
    <row r="1693" spans="1:5" ht="26.25" x14ac:dyDescent="0.25">
      <c r="A1693" s="2" t="s">
        <v>20</v>
      </c>
      <c r="B1693" s="2" t="str">
        <f>"42600070"</f>
        <v>42600070</v>
      </c>
      <c r="C1693" s="2" t="str">
        <f>"42600070"</f>
        <v>42600070</v>
      </c>
      <c r="D1693" s="2" t="s">
        <v>1534</v>
      </c>
      <c r="E1693" s="4">
        <v>4000</v>
      </c>
    </row>
    <row r="1694" spans="1:5" ht="26.25" x14ac:dyDescent="0.25">
      <c r="A1694" s="2" t="s">
        <v>20</v>
      </c>
      <c r="B1694" s="2" t="str">
        <f>"98080001"</f>
        <v>98080001</v>
      </c>
      <c r="C1694" s="2" t="str">
        <f>"98080001"</f>
        <v>98080001</v>
      </c>
      <c r="D1694" s="2" t="s">
        <v>1535</v>
      </c>
      <c r="E1694" s="4">
        <v>3000</v>
      </c>
    </row>
    <row r="1695" spans="1:5" ht="26.25" x14ac:dyDescent="0.25">
      <c r="A1695" s="2" t="s">
        <v>20</v>
      </c>
      <c r="B1695" s="2" t="str">
        <f>"6022299500447"</f>
        <v>6022299500447</v>
      </c>
      <c r="C1695" s="2" t="str">
        <f>"40080447"</f>
        <v>40080447</v>
      </c>
      <c r="D1695" s="2" t="s">
        <v>1536</v>
      </c>
      <c r="E1695" s="4">
        <v>3000</v>
      </c>
    </row>
    <row r="1696" spans="1:5" ht="26.25" x14ac:dyDescent="0.25">
      <c r="A1696" s="2" t="s">
        <v>20</v>
      </c>
      <c r="B1696" s="2" t="str">
        <f>"6686996002453"</f>
        <v>6686996002453</v>
      </c>
      <c r="C1696" s="2" t="str">
        <f>"40082453"</f>
        <v>40082453</v>
      </c>
      <c r="D1696" s="2" t="s">
        <v>1536</v>
      </c>
      <c r="E1696" s="4">
        <v>3000</v>
      </c>
    </row>
    <row r="1697" spans="1:5" ht="26.25" x14ac:dyDescent="0.25">
      <c r="A1697" s="2" t="s">
        <v>20</v>
      </c>
      <c r="B1697" s="2" t="str">
        <f>"29VGA50018"</f>
        <v>29VGA50018</v>
      </c>
      <c r="C1697" s="2" t="str">
        <f>"29VGA50018"</f>
        <v>29VGA50018</v>
      </c>
      <c r="D1697" s="2" t="s">
        <v>1537</v>
      </c>
      <c r="E1697" s="4">
        <v>3990</v>
      </c>
    </row>
    <row r="1698" spans="1:5" ht="26.25" x14ac:dyDescent="0.25">
      <c r="A1698" s="2" t="s">
        <v>20</v>
      </c>
      <c r="B1698" s="2" t="str">
        <f>"766623300735"</f>
        <v>766623300735</v>
      </c>
      <c r="C1698" s="2" t="str">
        <f>"56080735"</f>
        <v>56080735</v>
      </c>
      <c r="D1698" s="2" t="s">
        <v>1537</v>
      </c>
      <c r="E1698" s="4">
        <v>5500</v>
      </c>
    </row>
    <row r="1699" spans="1:5" ht="26.25" x14ac:dyDescent="0.25">
      <c r="A1699" s="2" t="s">
        <v>20</v>
      </c>
      <c r="B1699" s="2" t="str">
        <f>"10013286"</f>
        <v>10013286</v>
      </c>
      <c r="C1699" s="2" t="str">
        <f>"10013286"</f>
        <v>10013286</v>
      </c>
      <c r="D1699" s="2" t="s">
        <v>1538</v>
      </c>
      <c r="E1699" s="4">
        <v>3500</v>
      </c>
    </row>
    <row r="1700" spans="1:5" ht="26.25" x14ac:dyDescent="0.25">
      <c r="A1700" s="2" t="s">
        <v>20</v>
      </c>
      <c r="B1700" s="2" t="str">
        <f>"798302167162"</f>
        <v>798302167162</v>
      </c>
      <c r="C1700" s="2" t="str">
        <f>"92080308"</f>
        <v>92080308</v>
      </c>
      <c r="D1700" s="2" t="s">
        <v>1539</v>
      </c>
      <c r="E1700" s="4">
        <v>4500</v>
      </c>
    </row>
    <row r="1701" spans="1:5" ht="26.25" x14ac:dyDescent="0.25">
      <c r="A1701" s="2" t="s">
        <v>9</v>
      </c>
      <c r="B1701" s="2" t="str">
        <f>"1100000470007"</f>
        <v>1100000470007</v>
      </c>
      <c r="C1701" s="2" t="str">
        <f>"57081109"</f>
        <v>57081109</v>
      </c>
      <c r="D1701" s="2" t="s">
        <v>1540</v>
      </c>
      <c r="E1701" s="4">
        <v>11490</v>
      </c>
    </row>
    <row r="1702" spans="1:5" ht="26.25" x14ac:dyDescent="0.25">
      <c r="A1702" s="2" t="s">
        <v>21</v>
      </c>
      <c r="B1702" s="2" t="str">
        <f>"6925625440861"</f>
        <v>6925625440861</v>
      </c>
      <c r="C1702" s="2" t="str">
        <f>"22520185"</f>
        <v>22520185</v>
      </c>
      <c r="D1702" s="2" t="s">
        <v>1541</v>
      </c>
      <c r="E1702" s="4">
        <v>1500</v>
      </c>
    </row>
    <row r="1703" spans="1:5" ht="26.25" x14ac:dyDescent="0.25">
      <c r="A1703" s="2" t="s">
        <v>21</v>
      </c>
      <c r="B1703" s="2" t="str">
        <f>"4971850090663"</f>
        <v>4971850090663</v>
      </c>
      <c r="C1703" s="2" t="str">
        <f>"98520350"</f>
        <v>98520350</v>
      </c>
      <c r="D1703" s="2" t="s">
        <v>1542</v>
      </c>
      <c r="E1703" s="4">
        <v>11990</v>
      </c>
    </row>
    <row r="1704" spans="1:5" ht="26.25" x14ac:dyDescent="0.25">
      <c r="A1704" s="2" t="s">
        <v>21</v>
      </c>
      <c r="B1704" s="2" t="str">
        <f>"4971850090687"</f>
        <v>4971850090687</v>
      </c>
      <c r="C1704" s="2" t="str">
        <f>"98520570"</f>
        <v>98520570</v>
      </c>
      <c r="D1704" s="2" t="s">
        <v>1543</v>
      </c>
      <c r="E1704" s="4">
        <v>19990</v>
      </c>
    </row>
    <row r="1705" spans="1:5" ht="26.25" x14ac:dyDescent="0.25">
      <c r="A1705" s="2" t="s">
        <v>21</v>
      </c>
      <c r="B1705" s="2" t="str">
        <f>"4971850090328"</f>
        <v>4971850090328</v>
      </c>
      <c r="C1705" s="2" t="str">
        <f>"98520082"</f>
        <v>98520082</v>
      </c>
      <c r="D1705" s="2" t="s">
        <v>1544</v>
      </c>
      <c r="E1705" s="4">
        <v>10490</v>
      </c>
    </row>
    <row r="1706" spans="1:5" ht="26.25" x14ac:dyDescent="0.25">
      <c r="A1706" s="2" t="s">
        <v>21</v>
      </c>
      <c r="B1706" s="2" t="str">
        <f>"6925871603508"</f>
        <v>6925871603508</v>
      </c>
      <c r="C1706" s="2" t="str">
        <f>"22520350"</f>
        <v>22520350</v>
      </c>
      <c r="D1706" s="2" t="s">
        <v>1545</v>
      </c>
      <c r="E1706" s="4">
        <v>3500</v>
      </c>
    </row>
    <row r="1707" spans="1:5" ht="26.25" x14ac:dyDescent="0.25">
      <c r="A1707" s="2" t="s">
        <v>21</v>
      </c>
      <c r="B1707" s="2" t="str">
        <f>"22523500"</f>
        <v>22523500</v>
      </c>
      <c r="C1707" s="2" t="str">
        <f>"22523500"</f>
        <v>22523500</v>
      </c>
      <c r="D1707" s="2" t="s">
        <v>1546</v>
      </c>
      <c r="E1707" s="4">
        <v>2890</v>
      </c>
    </row>
    <row r="1708" spans="1:5" ht="26.25" x14ac:dyDescent="0.25">
      <c r="A1708" s="2" t="s">
        <v>21</v>
      </c>
      <c r="B1708" s="2" t="str">
        <f>"6953889023506"</f>
        <v>6953889023506</v>
      </c>
      <c r="C1708" s="2" t="str">
        <f>"98523506"</f>
        <v>98523506</v>
      </c>
      <c r="D1708" s="2" t="s">
        <v>1546</v>
      </c>
      <c r="E1708" s="4">
        <v>3500</v>
      </c>
    </row>
    <row r="1709" spans="1:5" ht="26.25" x14ac:dyDescent="0.25">
      <c r="A1709" s="2" t="s">
        <v>21</v>
      </c>
      <c r="B1709" s="2" t="str">
        <f>"6925871605700"</f>
        <v>6925871605700</v>
      </c>
      <c r="C1709" s="2" t="str">
        <f>"22520570"</f>
        <v>22520570</v>
      </c>
      <c r="D1709" s="2" t="s">
        <v>1547</v>
      </c>
      <c r="E1709" s="4">
        <v>5000</v>
      </c>
    </row>
    <row r="1710" spans="1:5" ht="26.25" x14ac:dyDescent="0.25">
      <c r="A1710" s="2" t="s">
        <v>21</v>
      </c>
      <c r="B1710" s="2" t="str">
        <f>"6953889001825"</f>
        <v>6953889001825</v>
      </c>
      <c r="C1710" s="2" t="str">
        <f>"22520082"</f>
        <v>22520082</v>
      </c>
      <c r="D1710" s="2" t="s">
        <v>1548</v>
      </c>
      <c r="E1710" s="4">
        <v>2500</v>
      </c>
    </row>
    <row r="1711" spans="1:5" ht="26.25" x14ac:dyDescent="0.25">
      <c r="A1711" s="2" t="s">
        <v>21</v>
      </c>
      <c r="B1711" s="2" t="str">
        <f>"6932177474053"</f>
        <v>6932177474053</v>
      </c>
      <c r="C1711" s="2" t="str">
        <f>"10002155"</f>
        <v>10002155</v>
      </c>
      <c r="D1711" s="2" t="s">
        <v>1549</v>
      </c>
      <c r="E1711" s="4">
        <v>3990</v>
      </c>
    </row>
    <row r="1712" spans="1:5" ht="26.25" x14ac:dyDescent="0.25">
      <c r="A1712" s="2" t="s">
        <v>21</v>
      </c>
      <c r="B1712" s="2" t="str">
        <f>"6953048612008"</f>
        <v>6953048612008</v>
      </c>
      <c r="C1712" s="2" t="str">
        <f>"76521200"</f>
        <v>76521200</v>
      </c>
      <c r="D1712" s="2" t="s">
        <v>1550</v>
      </c>
      <c r="E1712" s="4">
        <v>2990</v>
      </c>
    </row>
    <row r="1713" spans="1:5" ht="26.25" x14ac:dyDescent="0.25">
      <c r="A1713" s="2" t="s">
        <v>21</v>
      </c>
      <c r="B1713" s="2" t="str">
        <f>"6925871605106"</f>
        <v>6925871605106</v>
      </c>
      <c r="C1713" s="2" t="str">
        <f>"22520510"</f>
        <v>22520510</v>
      </c>
      <c r="D1713" s="2" t="s">
        <v>1551</v>
      </c>
      <c r="E1713" s="4">
        <v>1000</v>
      </c>
    </row>
    <row r="1714" spans="1:5" ht="26.25" x14ac:dyDescent="0.25">
      <c r="A1714" s="2" t="s">
        <v>21</v>
      </c>
      <c r="B1714" s="2" t="str">
        <f>"10002430"</f>
        <v>10002430</v>
      </c>
      <c r="C1714" s="2" t="str">
        <f>"10002430"</f>
        <v>10002430</v>
      </c>
      <c r="D1714" s="2" t="s">
        <v>1552</v>
      </c>
      <c r="E1714" s="4">
        <v>40800</v>
      </c>
    </row>
    <row r="1715" spans="1:5" ht="26.25" x14ac:dyDescent="0.25">
      <c r="A1715" s="2" t="s">
        <v>21</v>
      </c>
      <c r="B1715" s="2" t="str">
        <f>"6917668648038"</f>
        <v>6917668648038</v>
      </c>
      <c r="C1715" s="2" t="str">
        <f>"96048038"</f>
        <v>96048038</v>
      </c>
      <c r="D1715" s="2" t="s">
        <v>1553</v>
      </c>
      <c r="E1715" s="4">
        <v>22990</v>
      </c>
    </row>
    <row r="1716" spans="1:5" ht="26.25" x14ac:dyDescent="0.25">
      <c r="A1716" s="2" t="s">
        <v>21</v>
      </c>
      <c r="B1716" s="2" t="str">
        <f>"76830001"</f>
        <v>76830001</v>
      </c>
      <c r="C1716" s="2" t="str">
        <f>"76830001"</f>
        <v>76830001</v>
      </c>
      <c r="D1716" s="2" t="s">
        <v>1554</v>
      </c>
      <c r="E1716" s="4">
        <v>17990</v>
      </c>
    </row>
    <row r="1717" spans="1:5" ht="26.25" x14ac:dyDescent="0.25">
      <c r="A1717" s="2" t="s">
        <v>21</v>
      </c>
      <c r="B1717" s="2" t="str">
        <f>"7858816012631"</f>
        <v>7858816012631</v>
      </c>
      <c r="C1717" s="2" t="str">
        <f>"87831263"</f>
        <v>87831263</v>
      </c>
      <c r="D1717" s="2" t="s">
        <v>1555</v>
      </c>
      <c r="E1717" s="4">
        <v>24900</v>
      </c>
    </row>
    <row r="1718" spans="1:5" ht="26.25" x14ac:dyDescent="0.25">
      <c r="A1718" s="2" t="s">
        <v>21</v>
      </c>
      <c r="B1718" s="2" t="str">
        <f>"7858816012648"</f>
        <v>7858816012648</v>
      </c>
      <c r="C1718" s="2" t="str">
        <f>"87831264"</f>
        <v>87831264</v>
      </c>
      <c r="D1718" s="2" t="s">
        <v>1555</v>
      </c>
      <c r="E1718" s="4">
        <v>32900</v>
      </c>
    </row>
    <row r="1719" spans="1:5" ht="26.25" x14ac:dyDescent="0.25">
      <c r="A1719" s="2" t="s">
        <v>154</v>
      </c>
      <c r="B1719" s="2" t="str">
        <f>"816479016004"</f>
        <v>816479016004</v>
      </c>
      <c r="C1719" s="2" t="str">
        <f>"10004321"</f>
        <v>10004321</v>
      </c>
      <c r="D1719" s="2" t="s">
        <v>1556</v>
      </c>
      <c r="E1719" s="4">
        <v>41990</v>
      </c>
    </row>
    <row r="1720" spans="1:5" ht="26.25" x14ac:dyDescent="0.25">
      <c r="A1720" s="2" t="s">
        <v>21</v>
      </c>
      <c r="B1720" s="2" t="str">
        <f>"10101609"</f>
        <v>10101609</v>
      </c>
      <c r="C1720" s="2" t="str">
        <f>"10101609"</f>
        <v>10101609</v>
      </c>
      <c r="D1720" s="2" t="s">
        <v>1557</v>
      </c>
      <c r="E1720" s="4">
        <v>39900</v>
      </c>
    </row>
    <row r="1721" spans="1:5" ht="26.25" x14ac:dyDescent="0.25">
      <c r="A1721" s="2" t="s">
        <v>21</v>
      </c>
      <c r="B1721" s="2" t="str">
        <f>"108300719"</f>
        <v>108300719</v>
      </c>
      <c r="C1721" s="2" t="str">
        <f>"108300719"</f>
        <v>108300719</v>
      </c>
      <c r="D1721" s="2" t="s">
        <v>1558</v>
      </c>
      <c r="E1721" s="4">
        <v>24900</v>
      </c>
    </row>
    <row r="1722" spans="1:5" ht="26.25" x14ac:dyDescent="0.25">
      <c r="A1722" s="2" t="s">
        <v>21</v>
      </c>
      <c r="B1722" s="2" t="str">
        <f>"96830000"</f>
        <v>96830000</v>
      </c>
      <c r="C1722" s="2" t="str">
        <f>"96830000"</f>
        <v>96830000</v>
      </c>
      <c r="D1722" s="2" t="s">
        <v>1559</v>
      </c>
      <c r="E1722" s="4">
        <v>29900</v>
      </c>
    </row>
    <row r="1723" spans="1:5" ht="26.25" x14ac:dyDescent="0.25">
      <c r="A1723" s="2" t="s">
        <v>21</v>
      </c>
      <c r="B1723" s="2" t="str">
        <f>"5620000025398"</f>
        <v>5620000025398</v>
      </c>
      <c r="C1723" s="2" t="str">
        <f>"28522539"</f>
        <v>28522539</v>
      </c>
      <c r="D1723" s="2" t="s">
        <v>1560</v>
      </c>
      <c r="E1723" s="2">
        <v>1</v>
      </c>
    </row>
    <row r="1724" spans="1:5" ht="26.25" x14ac:dyDescent="0.25">
      <c r="A1724" s="2" t="s">
        <v>21</v>
      </c>
      <c r="B1724" s="2" t="str">
        <f>"10005278"</f>
        <v>10005278</v>
      </c>
      <c r="C1724" s="2" t="str">
        <f>"10005278"</f>
        <v>10005278</v>
      </c>
      <c r="D1724" s="2" t="s">
        <v>1561</v>
      </c>
      <c r="E1724" s="4">
        <v>29990</v>
      </c>
    </row>
    <row r="1725" spans="1:5" ht="26.25" x14ac:dyDescent="0.25">
      <c r="A1725" s="2" t="s">
        <v>154</v>
      </c>
      <c r="B1725" s="2" t="str">
        <f>"10000298"</f>
        <v>10000298</v>
      </c>
      <c r="C1725" s="2" t="str">
        <f>"10000298"</f>
        <v>10000298</v>
      </c>
      <c r="D1725" s="2" t="s">
        <v>1562</v>
      </c>
      <c r="E1725" s="4">
        <v>1550</v>
      </c>
    </row>
    <row r="1726" spans="1:5" ht="26.25" x14ac:dyDescent="0.25">
      <c r="A1726" s="2" t="s">
        <v>21</v>
      </c>
      <c r="B1726" s="2" t="str">
        <f>"10002368"</f>
        <v>10002368</v>
      </c>
      <c r="C1726" s="2" t="str">
        <f>"10000729"</f>
        <v>10000729</v>
      </c>
      <c r="D1726" s="2" t="s">
        <v>1563</v>
      </c>
      <c r="E1726" s="4">
        <v>19990</v>
      </c>
    </row>
    <row r="1727" spans="1:5" ht="26.25" x14ac:dyDescent="0.25">
      <c r="A1727" s="2" t="s">
        <v>21</v>
      </c>
      <c r="B1727" s="2" t="str">
        <f>"10109119"</f>
        <v>10109119</v>
      </c>
      <c r="C1727" s="2" t="str">
        <f>"10109119"</f>
        <v>10109119</v>
      </c>
      <c r="D1727" s="2" t="s">
        <v>1564</v>
      </c>
      <c r="E1727" s="4">
        <v>13990</v>
      </c>
    </row>
    <row r="1728" spans="1:5" ht="26.25" x14ac:dyDescent="0.25">
      <c r="A1728" s="2" t="s">
        <v>154</v>
      </c>
      <c r="B1728" s="2" t="str">
        <f>"7858816019142"</f>
        <v>7858816019142</v>
      </c>
      <c r="C1728" s="2" t="str">
        <f>"87211914"</f>
        <v>87211914</v>
      </c>
      <c r="D1728" s="2" t="s">
        <v>1565</v>
      </c>
      <c r="E1728" s="4">
        <v>14990</v>
      </c>
    </row>
    <row r="1729" spans="1:5" ht="26.25" x14ac:dyDescent="0.25">
      <c r="A1729" s="2" t="s">
        <v>154</v>
      </c>
      <c r="B1729" s="2" t="str">
        <f>"7258816018679"</f>
        <v>7258816018679</v>
      </c>
      <c r="C1729" s="2" t="str">
        <f>"87211861"</f>
        <v>87211861</v>
      </c>
      <c r="D1729" s="2" t="s">
        <v>1566</v>
      </c>
      <c r="E1729" s="4">
        <v>18990</v>
      </c>
    </row>
    <row r="1730" spans="1:5" ht="26.25" x14ac:dyDescent="0.25">
      <c r="A1730" s="2" t="s">
        <v>21</v>
      </c>
      <c r="B1730" s="2" t="str">
        <f>"10832923"</f>
        <v>10832923</v>
      </c>
      <c r="C1730" s="2" t="str">
        <f>"10832923"</f>
        <v>10832923</v>
      </c>
      <c r="D1730" s="2" t="s">
        <v>1567</v>
      </c>
      <c r="E1730" s="4">
        <v>27990</v>
      </c>
    </row>
    <row r="1731" spans="1:5" ht="26.25" x14ac:dyDescent="0.25">
      <c r="A1731" s="2" t="s">
        <v>21</v>
      </c>
      <c r="B1731" s="2" t="str">
        <f>"10002923"</f>
        <v>10002923</v>
      </c>
      <c r="C1731" s="2" t="str">
        <f>"10002923"</f>
        <v>10002923</v>
      </c>
      <c r="D1731" s="2" t="s">
        <v>1567</v>
      </c>
      <c r="E1731" s="4">
        <v>34990</v>
      </c>
    </row>
    <row r="1732" spans="1:5" ht="26.25" x14ac:dyDescent="0.25">
      <c r="A1732" s="2" t="s">
        <v>21</v>
      </c>
      <c r="B1732" s="2" t="str">
        <f>"10000719"</f>
        <v>10000719</v>
      </c>
      <c r="C1732" s="2" t="str">
        <f>"10000719"</f>
        <v>10000719</v>
      </c>
      <c r="D1732" s="2" t="s">
        <v>1568</v>
      </c>
      <c r="E1732" s="4">
        <v>29900</v>
      </c>
    </row>
    <row r="1733" spans="1:5" ht="26.25" x14ac:dyDescent="0.25">
      <c r="A1733" s="2" t="s">
        <v>154</v>
      </c>
      <c r="B1733" s="2" t="str">
        <f>"7858816007835"</f>
        <v>7858816007835</v>
      </c>
      <c r="C1733" s="2" t="str">
        <f>"87217835"</f>
        <v>87217835</v>
      </c>
      <c r="D1733" s="2" t="s">
        <v>1569</v>
      </c>
      <c r="E1733" s="4">
        <v>14800</v>
      </c>
    </row>
    <row r="1734" spans="1:5" ht="26.25" x14ac:dyDescent="0.25">
      <c r="A1734" s="2" t="s">
        <v>154</v>
      </c>
      <c r="B1734" s="2" t="str">
        <f>"1891271648348"</f>
        <v>1891271648348</v>
      </c>
      <c r="C1734" s="2" t="str">
        <f>"96064834"</f>
        <v>96064834</v>
      </c>
      <c r="D1734" s="2" t="s">
        <v>1570</v>
      </c>
      <c r="E1734" s="4">
        <v>18990</v>
      </c>
    </row>
    <row r="1735" spans="1:5" ht="26.25" x14ac:dyDescent="0.25">
      <c r="A1735" s="2" t="s">
        <v>154</v>
      </c>
      <c r="B1735" s="2" t="str">
        <f>"10112705"</f>
        <v>10112705</v>
      </c>
      <c r="C1735" s="2" t="str">
        <f>"10112705"</f>
        <v>10112705</v>
      </c>
      <c r="D1735" s="2" t="s">
        <v>1571</v>
      </c>
      <c r="E1735" s="4">
        <v>9500</v>
      </c>
    </row>
    <row r="1736" spans="1:5" ht="26.25" x14ac:dyDescent="0.25">
      <c r="A1736" s="2" t="s">
        <v>21</v>
      </c>
      <c r="B1736" s="2" t="str">
        <f>"10001157"</f>
        <v>10001157</v>
      </c>
      <c r="C1736" s="2" t="str">
        <f>"10001157"</f>
        <v>10001157</v>
      </c>
      <c r="D1736" s="2" t="s">
        <v>1572</v>
      </c>
      <c r="E1736" s="4">
        <v>41990</v>
      </c>
    </row>
    <row r="1737" spans="1:5" ht="26.25" x14ac:dyDescent="0.25">
      <c r="A1737" s="2" t="s">
        <v>21</v>
      </c>
      <c r="B1737" s="2" t="str">
        <f>"3682"</f>
        <v>3682</v>
      </c>
      <c r="C1737" s="2" t="str">
        <f>"10117182"</f>
        <v>10117182</v>
      </c>
      <c r="D1737" s="2" t="s">
        <v>1573</v>
      </c>
      <c r="E1737" s="4">
        <v>20990</v>
      </c>
    </row>
    <row r="1738" spans="1:5" ht="26.25" x14ac:dyDescent="0.25">
      <c r="A1738" s="2" t="s">
        <v>21</v>
      </c>
      <c r="B1738" s="2" t="str">
        <f>"66000454"</f>
        <v>66000454</v>
      </c>
      <c r="C1738" s="2" t="str">
        <f>"66000454"</f>
        <v>66000454</v>
      </c>
      <c r="D1738" s="2" t="s">
        <v>1574</v>
      </c>
      <c r="E1738" s="4">
        <v>29900</v>
      </c>
    </row>
    <row r="1739" spans="1:5" ht="26.25" x14ac:dyDescent="0.25">
      <c r="A1739" s="2" t="s">
        <v>21</v>
      </c>
      <c r="B1739" s="2" t="str">
        <f>"87524000"</f>
        <v>87524000</v>
      </c>
      <c r="C1739" s="2" t="str">
        <f>"87524000"</f>
        <v>87524000</v>
      </c>
      <c r="D1739" s="2" t="s">
        <v>1574</v>
      </c>
      <c r="E1739" s="4">
        <v>35990</v>
      </c>
    </row>
    <row r="1740" spans="1:5" ht="26.25" x14ac:dyDescent="0.25">
      <c r="A1740" s="2" t="s">
        <v>21</v>
      </c>
      <c r="B1740" s="2" t="str">
        <f>"10002449"</f>
        <v>10002449</v>
      </c>
      <c r="C1740" s="2" t="str">
        <f>"10002449"</f>
        <v>10002449</v>
      </c>
      <c r="D1740" s="2" t="s">
        <v>1575</v>
      </c>
      <c r="E1740" s="4">
        <v>27990</v>
      </c>
    </row>
    <row r="1741" spans="1:5" ht="26.25" x14ac:dyDescent="0.25">
      <c r="A1741" s="2" t="s">
        <v>21</v>
      </c>
      <c r="B1741" s="2" t="str">
        <f>"7858816055119"</f>
        <v>7858816055119</v>
      </c>
      <c r="C1741" s="2" t="str">
        <f>"87525511"</f>
        <v>87525511</v>
      </c>
      <c r="D1741" s="2" t="s">
        <v>1576</v>
      </c>
      <c r="E1741" s="4">
        <v>24990</v>
      </c>
    </row>
    <row r="1742" spans="1:5" ht="26.25" x14ac:dyDescent="0.25">
      <c r="A1742" s="2" t="s">
        <v>154</v>
      </c>
      <c r="B1742" s="2" t="str">
        <f>"10523430"</f>
        <v>10523430</v>
      </c>
      <c r="C1742" s="2" t="str">
        <f>"10523430"</f>
        <v>10523430</v>
      </c>
      <c r="D1742" s="2" t="s">
        <v>1577</v>
      </c>
      <c r="E1742" s="4">
        <v>15000</v>
      </c>
    </row>
    <row r="1743" spans="1:5" ht="26.25" x14ac:dyDescent="0.25">
      <c r="A1743" s="2" t="s">
        <v>154</v>
      </c>
      <c r="B1743" s="2" t="str">
        <f>"4710007724651"</f>
        <v>4710007724651</v>
      </c>
      <c r="C1743" s="2" t="str">
        <f>"65834651"</f>
        <v>65834651</v>
      </c>
      <c r="D1743" s="2" t="s">
        <v>1578</v>
      </c>
      <c r="E1743" s="4">
        <v>16800</v>
      </c>
    </row>
    <row r="1744" spans="1:5" ht="26.25" x14ac:dyDescent="0.25">
      <c r="A1744" s="2" t="s">
        <v>154</v>
      </c>
      <c r="B1744" s="2" t="str">
        <f>"4710007732342"</f>
        <v>4710007732342</v>
      </c>
      <c r="C1744" s="2" t="str">
        <f>"65832342"</f>
        <v>65832342</v>
      </c>
      <c r="D1744" s="2" t="s">
        <v>1579</v>
      </c>
      <c r="E1744" s="4">
        <v>15950</v>
      </c>
    </row>
    <row r="1745" spans="1:5" ht="26.25" x14ac:dyDescent="0.25">
      <c r="A1745" s="2" t="s">
        <v>21</v>
      </c>
      <c r="B1745" s="2" t="str">
        <f>"10521589"</f>
        <v>10521589</v>
      </c>
      <c r="C1745" s="2" t="str">
        <f>"10521589"</f>
        <v>10521589</v>
      </c>
      <c r="D1745" s="2" t="s">
        <v>1580</v>
      </c>
      <c r="E1745" s="4">
        <v>36900</v>
      </c>
    </row>
    <row r="1746" spans="1:5" ht="26.25" x14ac:dyDescent="0.25">
      <c r="A1746" s="2" t="s">
        <v>21</v>
      </c>
      <c r="B1746" s="2" t="str">
        <f>"5210000"</f>
        <v>5210000</v>
      </c>
      <c r="C1746" s="2" t="str">
        <f>"5210000"</f>
        <v>5210000</v>
      </c>
      <c r="D1746" s="2" t="s">
        <v>1581</v>
      </c>
      <c r="E1746" s="4">
        <v>20000</v>
      </c>
    </row>
    <row r="1747" spans="1:5" ht="26.25" x14ac:dyDescent="0.25">
      <c r="A1747" s="2" t="s">
        <v>49</v>
      </c>
      <c r="B1747" s="2" t="str">
        <f>"1456875263788"</f>
        <v>1456875263788</v>
      </c>
      <c r="C1747" s="2" t="str">
        <f>"40930003"</f>
        <v>40930003</v>
      </c>
      <c r="D1747" s="2" t="s">
        <v>1582</v>
      </c>
      <c r="E1747" s="4">
        <v>25990</v>
      </c>
    </row>
    <row r="1748" spans="1:5" ht="26.25" x14ac:dyDescent="0.25">
      <c r="A1748" s="2" t="s">
        <v>49</v>
      </c>
      <c r="B1748" s="2" t="str">
        <f>"98930640"</f>
        <v>98930640</v>
      </c>
      <c r="C1748" s="2" t="str">
        <f>"98930640"</f>
        <v>98930640</v>
      </c>
      <c r="D1748" s="2" t="s">
        <v>1583</v>
      </c>
      <c r="E1748" s="4">
        <v>11990</v>
      </c>
    </row>
    <row r="1749" spans="1:5" ht="26.25" x14ac:dyDescent="0.25">
      <c r="A1749" s="2" t="s">
        <v>49</v>
      </c>
      <c r="B1749" s="2" t="str">
        <f>"6917709020052"</f>
        <v>6917709020052</v>
      </c>
      <c r="C1749" s="2" t="str">
        <f>"39932005"</f>
        <v>39932005</v>
      </c>
      <c r="D1749" s="2" t="s">
        <v>1584</v>
      </c>
      <c r="E1749" s="4">
        <v>15990</v>
      </c>
    </row>
    <row r="1750" spans="1:5" ht="26.25" x14ac:dyDescent="0.25">
      <c r="A1750" s="2" t="s">
        <v>49</v>
      </c>
      <c r="B1750" s="2" t="str">
        <f>"6917709020069"</f>
        <v>6917709020069</v>
      </c>
      <c r="C1750" s="2" t="str">
        <f>"39932006"</f>
        <v>39932006</v>
      </c>
      <c r="D1750" s="2" t="s">
        <v>1585</v>
      </c>
      <c r="E1750" s="4">
        <v>14990</v>
      </c>
    </row>
    <row r="1751" spans="1:5" ht="26.25" x14ac:dyDescent="0.25">
      <c r="A1751" s="2" t="s">
        <v>21</v>
      </c>
      <c r="B1751" s="2" t="str">
        <f>"10007874"</f>
        <v>10007874</v>
      </c>
      <c r="C1751" s="2" t="str">
        <f>"10007874"</f>
        <v>10007874</v>
      </c>
      <c r="D1751" s="2" t="s">
        <v>1586</v>
      </c>
      <c r="E1751" s="4">
        <v>3990</v>
      </c>
    </row>
    <row r="1752" spans="1:5" ht="26.25" x14ac:dyDescent="0.25">
      <c r="A1752" s="2" t="s">
        <v>21</v>
      </c>
      <c r="B1752" s="2" t="str">
        <f>"4710007713358"</f>
        <v>4710007713358</v>
      </c>
      <c r="C1752" s="2" t="str">
        <f>"65523358"</f>
        <v>65523358</v>
      </c>
      <c r="D1752" s="2" t="s">
        <v>1587</v>
      </c>
      <c r="E1752" s="4">
        <v>3500</v>
      </c>
    </row>
    <row r="1753" spans="1:5" ht="26.25" x14ac:dyDescent="0.25">
      <c r="A1753" s="2" t="s">
        <v>49</v>
      </c>
      <c r="B1753" s="2" t="str">
        <f>"6989120533015"</f>
        <v>6989120533015</v>
      </c>
      <c r="C1753" s="2" t="str">
        <f>"4093315"</f>
        <v>4093315</v>
      </c>
      <c r="D1753" s="2" t="s">
        <v>1588</v>
      </c>
      <c r="E1753" s="4">
        <v>21990</v>
      </c>
    </row>
    <row r="1754" spans="1:5" ht="26.25" x14ac:dyDescent="0.25">
      <c r="A1754" s="2" t="s">
        <v>21</v>
      </c>
      <c r="B1754" s="2" t="str">
        <f>"6025102900007"</f>
        <v>6025102900007</v>
      </c>
      <c r="C1754" s="2" t="str">
        <f>"10120856"</f>
        <v>10120856</v>
      </c>
      <c r="D1754" s="2" t="s">
        <v>1589</v>
      </c>
      <c r="E1754" s="4">
        <v>19990</v>
      </c>
    </row>
    <row r="1755" spans="1:5" ht="26.25" x14ac:dyDescent="0.25">
      <c r="A1755" s="2" t="s">
        <v>1590</v>
      </c>
      <c r="B1755" s="2" t="str">
        <f>"17790715"</f>
        <v>17790715</v>
      </c>
      <c r="C1755" s="2" t="str">
        <f>"17790715"</f>
        <v>17790715</v>
      </c>
      <c r="D1755" s="2" t="s">
        <v>1591</v>
      </c>
      <c r="E1755" s="4">
        <v>8800</v>
      </c>
    </row>
    <row r="1756" spans="1:5" ht="26.25" x14ac:dyDescent="0.25">
      <c r="A1756" s="2" t="s">
        <v>1590</v>
      </c>
      <c r="B1756" s="2" t="str">
        <f>"177914283"</f>
        <v>177914283</v>
      </c>
      <c r="C1756" s="2" t="str">
        <f>"177914283"</f>
        <v>177914283</v>
      </c>
      <c r="D1756" s="2" t="s">
        <v>1592</v>
      </c>
      <c r="E1756" s="4">
        <v>8800</v>
      </c>
    </row>
    <row r="1757" spans="1:5" ht="26.25" x14ac:dyDescent="0.25">
      <c r="A1757" s="2" t="s">
        <v>1590</v>
      </c>
      <c r="B1757" s="2" t="str">
        <f>"177914126"</f>
        <v>177914126</v>
      </c>
      <c r="C1757" s="2" t="str">
        <f>"177914126"</f>
        <v>177914126</v>
      </c>
      <c r="D1757" s="2" t="s">
        <v>1593</v>
      </c>
      <c r="E1757" s="4">
        <v>8800</v>
      </c>
    </row>
    <row r="1758" spans="1:5" ht="26.25" x14ac:dyDescent="0.25">
      <c r="A1758" s="2" t="s">
        <v>1590</v>
      </c>
      <c r="B1758" s="2" t="str">
        <f>"17791447"</f>
        <v>17791447</v>
      </c>
      <c r="C1758" s="2" t="str">
        <f>"17791447"</f>
        <v>17791447</v>
      </c>
      <c r="D1758" s="2" t="s">
        <v>1594</v>
      </c>
      <c r="E1758" s="4">
        <v>8800</v>
      </c>
    </row>
    <row r="1759" spans="1:5" ht="26.25" x14ac:dyDescent="0.25">
      <c r="A1759" s="2" t="s">
        <v>1590</v>
      </c>
      <c r="B1759" s="2" t="str">
        <f>"177914266"</f>
        <v>177914266</v>
      </c>
      <c r="C1759" s="2" t="str">
        <f>"177914266"</f>
        <v>177914266</v>
      </c>
      <c r="D1759" s="2" t="s">
        <v>1595</v>
      </c>
      <c r="E1759" s="4">
        <v>8800</v>
      </c>
    </row>
    <row r="1760" spans="1:5" ht="26.25" x14ac:dyDescent="0.25">
      <c r="A1760" s="2" t="s">
        <v>1596</v>
      </c>
      <c r="B1760" s="2" t="str">
        <f>"66790016"</f>
        <v>66790016</v>
      </c>
      <c r="C1760" s="2" t="str">
        <f>"66790016"</f>
        <v>66790016</v>
      </c>
      <c r="D1760" s="2" t="s">
        <v>1597</v>
      </c>
      <c r="E1760" s="4">
        <v>9500</v>
      </c>
    </row>
    <row r="1761" spans="1:5" ht="26.25" x14ac:dyDescent="0.25">
      <c r="A1761" s="2" t="s">
        <v>1596</v>
      </c>
      <c r="B1761" s="2" t="str">
        <f>"10107832"</f>
        <v>10107832</v>
      </c>
      <c r="C1761" s="2" t="str">
        <f>"10107832"</f>
        <v>10107832</v>
      </c>
      <c r="D1761" s="2" t="s">
        <v>1598</v>
      </c>
      <c r="E1761" s="4">
        <v>3000</v>
      </c>
    </row>
    <row r="1762" spans="1:5" ht="26.25" x14ac:dyDescent="0.25">
      <c r="A1762" s="2" t="s">
        <v>1596</v>
      </c>
      <c r="B1762" s="2" t="str">
        <f>"10000582"</f>
        <v>10000582</v>
      </c>
      <c r="C1762" s="2" t="str">
        <f>"10000582"</f>
        <v>10000582</v>
      </c>
      <c r="D1762" s="2" t="s">
        <v>1599</v>
      </c>
      <c r="E1762" s="4">
        <v>3500</v>
      </c>
    </row>
    <row r="1763" spans="1:5" ht="26.25" x14ac:dyDescent="0.25">
      <c r="A1763" s="2" t="s">
        <v>1596</v>
      </c>
      <c r="B1763" s="2" t="str">
        <f>"30111400"</f>
        <v>30111400</v>
      </c>
      <c r="C1763" s="2" t="str">
        <f>"30111400"</f>
        <v>30111400</v>
      </c>
      <c r="D1763" s="2" t="s">
        <v>1600</v>
      </c>
      <c r="E1763" s="4">
        <v>3000</v>
      </c>
    </row>
    <row r="1764" spans="1:5" ht="26.25" x14ac:dyDescent="0.25">
      <c r="A1764" s="2" t="s">
        <v>1596</v>
      </c>
      <c r="B1764" s="2" t="str">
        <f>"86113608"</f>
        <v>86113608</v>
      </c>
      <c r="C1764" s="2" t="str">
        <f>"86113608"</f>
        <v>86113608</v>
      </c>
      <c r="D1764" s="2" t="s">
        <v>1601</v>
      </c>
      <c r="E1764" s="4">
        <v>3000</v>
      </c>
    </row>
    <row r="1765" spans="1:5" ht="26.25" x14ac:dyDescent="0.25">
      <c r="A1765" s="2" t="s">
        <v>1602</v>
      </c>
      <c r="B1765" s="2" t="str">
        <f>"46120715"</f>
        <v>46120715</v>
      </c>
      <c r="C1765" s="2" t="str">
        <f>"46120715"</f>
        <v>46120715</v>
      </c>
      <c r="D1765" s="2" t="s">
        <v>1603</v>
      </c>
      <c r="E1765" s="4">
        <v>9500</v>
      </c>
    </row>
    <row r="1766" spans="1:5" ht="26.25" x14ac:dyDescent="0.25">
      <c r="A1766" s="2" t="s">
        <v>30</v>
      </c>
      <c r="B1766" s="2" t="str">
        <f>"87001220"</f>
        <v>87001220</v>
      </c>
      <c r="C1766" s="2" t="str">
        <f>"87001220"</f>
        <v>87001220</v>
      </c>
      <c r="D1766" s="2" t="s">
        <v>1604</v>
      </c>
      <c r="E1766" s="4">
        <v>3500</v>
      </c>
    </row>
    <row r="1767" spans="1:5" ht="26.25" x14ac:dyDescent="0.25">
      <c r="A1767" s="2" t="s">
        <v>1602</v>
      </c>
      <c r="B1767" s="2" t="str">
        <f>"10000677"</f>
        <v>10000677</v>
      </c>
      <c r="C1767" s="2" t="str">
        <f>"10000677"</f>
        <v>10000677</v>
      </c>
      <c r="D1767" s="2" t="s">
        <v>1605</v>
      </c>
      <c r="E1767" s="4">
        <v>3000</v>
      </c>
    </row>
    <row r="1768" spans="1:5" ht="26.25" x14ac:dyDescent="0.25">
      <c r="A1768" s="2" t="s">
        <v>1602</v>
      </c>
      <c r="B1768" s="2" t="str">
        <f>"461214106"</f>
        <v>461214106</v>
      </c>
      <c r="C1768" s="2" t="str">
        <f>"461214106"</f>
        <v>461214106</v>
      </c>
      <c r="D1768" s="2" t="s">
        <v>1606</v>
      </c>
      <c r="E1768" s="4">
        <v>6500</v>
      </c>
    </row>
    <row r="1769" spans="1:5" ht="26.25" x14ac:dyDescent="0.25">
      <c r="A1769" s="2" t="s">
        <v>1602</v>
      </c>
      <c r="B1769" s="2" t="str">
        <f>"33252015090068"</f>
        <v>33252015090068</v>
      </c>
      <c r="C1769" s="2" t="str">
        <f>"10126708"</f>
        <v>10126708</v>
      </c>
      <c r="D1769" s="2" t="s">
        <v>1607</v>
      </c>
      <c r="E1769" s="4">
        <v>3000</v>
      </c>
    </row>
    <row r="1770" spans="1:5" ht="26.25" x14ac:dyDescent="0.25">
      <c r="A1770" s="2" t="s">
        <v>1602</v>
      </c>
      <c r="B1770" s="2" t="str">
        <f>"17650713"</f>
        <v>17650713</v>
      </c>
      <c r="C1770" s="2" t="str">
        <f>"17650713"</f>
        <v>17650713</v>
      </c>
      <c r="D1770" s="2" t="s">
        <v>1608</v>
      </c>
      <c r="E1770" s="4">
        <v>4500</v>
      </c>
    </row>
    <row r="1771" spans="1:5" ht="26.25" x14ac:dyDescent="0.25">
      <c r="A1771" s="2" t="s">
        <v>1602</v>
      </c>
      <c r="B1771" s="2" t="str">
        <f>"106501349"</f>
        <v>106501349</v>
      </c>
      <c r="C1771" s="2" t="str">
        <f>"106501349"</f>
        <v>106501349</v>
      </c>
      <c r="D1771" s="2" t="s">
        <v>1609</v>
      </c>
      <c r="E1771" s="4">
        <v>4500</v>
      </c>
    </row>
    <row r="1772" spans="1:5" ht="26.25" x14ac:dyDescent="0.25">
      <c r="A1772" s="2" t="s">
        <v>1602</v>
      </c>
      <c r="B1772" s="2" t="str">
        <f>"46650000"</f>
        <v>46650000</v>
      </c>
      <c r="C1772" s="2" t="str">
        <f>"46650000"</f>
        <v>46650000</v>
      </c>
      <c r="D1772" s="2" t="s">
        <v>1610</v>
      </c>
      <c r="E1772" s="4">
        <v>6000</v>
      </c>
    </row>
    <row r="1773" spans="1:5" ht="26.25" x14ac:dyDescent="0.25">
      <c r="A1773" s="2" t="s">
        <v>30</v>
      </c>
      <c r="B1773" s="2" t="str">
        <f>"10003731"</f>
        <v>10003731</v>
      </c>
      <c r="C1773" s="2" t="str">
        <f>"10003731"</f>
        <v>10003731</v>
      </c>
      <c r="D1773" s="2" t="s">
        <v>1611</v>
      </c>
      <c r="E1773" s="4">
        <v>4500</v>
      </c>
    </row>
    <row r="1774" spans="1:5" ht="26.25" x14ac:dyDescent="0.25">
      <c r="A1774" s="2" t="s">
        <v>1602</v>
      </c>
      <c r="B1774" s="2" t="str">
        <f>"12171700"</f>
        <v>12171700</v>
      </c>
      <c r="C1774" s="2" t="str">
        <f>"12171700"</f>
        <v>12171700</v>
      </c>
      <c r="D1774" s="2" t="s">
        <v>1612</v>
      </c>
      <c r="E1774" s="4">
        <v>5000</v>
      </c>
    </row>
    <row r="1775" spans="1:5" ht="26.25" x14ac:dyDescent="0.25">
      <c r="A1775" s="2" t="s">
        <v>1602</v>
      </c>
      <c r="B1775" s="2" t="str">
        <f>"17660716"</f>
        <v>17660716</v>
      </c>
      <c r="C1775" s="2" t="str">
        <f>"17660716"</f>
        <v>17660716</v>
      </c>
      <c r="D1775" s="2" t="s">
        <v>1613</v>
      </c>
      <c r="E1775" s="4">
        <v>5500</v>
      </c>
    </row>
    <row r="1776" spans="1:5" ht="26.25" x14ac:dyDescent="0.25">
      <c r="A1776" s="2" t="s">
        <v>1602</v>
      </c>
      <c r="B1776" s="2" t="str">
        <f>"6935634675949"</f>
        <v>6935634675949</v>
      </c>
      <c r="C1776" s="2" t="str">
        <f>"25127594"</f>
        <v>25127594</v>
      </c>
      <c r="D1776" s="2" t="s">
        <v>1614</v>
      </c>
      <c r="E1776" s="4">
        <v>3000</v>
      </c>
    </row>
    <row r="1777" spans="1:5" ht="26.25" x14ac:dyDescent="0.25">
      <c r="A1777" s="2" t="s">
        <v>1602</v>
      </c>
      <c r="B1777" s="2" t="str">
        <f>"1000001075105"</f>
        <v>1000001075105</v>
      </c>
      <c r="C1777" s="2" t="str">
        <f>"76125105"</f>
        <v>76125105</v>
      </c>
      <c r="D1777" s="2" t="s">
        <v>1615</v>
      </c>
      <c r="E1777" s="4">
        <v>4900</v>
      </c>
    </row>
    <row r="1778" spans="1:5" ht="26.25" x14ac:dyDescent="0.25">
      <c r="A1778" s="2" t="s">
        <v>1602</v>
      </c>
      <c r="B1778" s="2" t="str">
        <f>"6941237105707"</f>
        <v>6941237105707</v>
      </c>
      <c r="C1778" s="2" t="str">
        <f>"40120001"</f>
        <v>40120001</v>
      </c>
      <c r="D1778" s="2" t="s">
        <v>1616</v>
      </c>
      <c r="E1778" s="4">
        <v>17990</v>
      </c>
    </row>
    <row r="1779" spans="1:5" ht="26.25" x14ac:dyDescent="0.25">
      <c r="A1779" s="2" t="s">
        <v>1602</v>
      </c>
      <c r="B1779" s="2" t="str">
        <f>"6942449780034"</f>
        <v>6942449780034</v>
      </c>
      <c r="C1779" s="2" t="str">
        <f>"42BAT71253"</f>
        <v>42BAT71253</v>
      </c>
      <c r="D1779" s="2" t="s">
        <v>1617</v>
      </c>
      <c r="E1779" s="4">
        <v>4990</v>
      </c>
    </row>
    <row r="1780" spans="1:5" ht="26.25" x14ac:dyDescent="0.25">
      <c r="A1780" s="2" t="s">
        <v>1602</v>
      </c>
      <c r="B1780" s="2" t="str">
        <f>"10012470"</f>
        <v>10012470</v>
      </c>
      <c r="C1780" s="2" t="str">
        <f>"10012470"</f>
        <v>10012470</v>
      </c>
      <c r="D1780" s="2" t="s">
        <v>1618</v>
      </c>
      <c r="E1780" s="4">
        <v>3000</v>
      </c>
    </row>
    <row r="1781" spans="1:5" ht="26.25" x14ac:dyDescent="0.25">
      <c r="A1781" s="2" t="s">
        <v>1602</v>
      </c>
      <c r="B1781" s="2" t="str">
        <f>"10101202"</f>
        <v>10101202</v>
      </c>
      <c r="C1781" s="2" t="str">
        <f>"10101202"</f>
        <v>10101202</v>
      </c>
      <c r="D1781" s="2" t="s">
        <v>1619</v>
      </c>
      <c r="E1781" s="4">
        <v>3000</v>
      </c>
    </row>
    <row r="1782" spans="1:5" ht="26.25" x14ac:dyDescent="0.25">
      <c r="A1782" s="2" t="s">
        <v>1602</v>
      </c>
      <c r="B1782" s="2" t="str">
        <f>"6925871660907"</f>
        <v>6925871660907</v>
      </c>
      <c r="C1782" s="2" t="str">
        <f>"22126090"</f>
        <v>22126090</v>
      </c>
      <c r="D1782" s="2" t="s">
        <v>1620</v>
      </c>
      <c r="E1782" s="4">
        <v>3000</v>
      </c>
    </row>
    <row r="1783" spans="1:5" ht="26.25" x14ac:dyDescent="0.25">
      <c r="A1783" s="2" t="s">
        <v>21</v>
      </c>
      <c r="B1783" s="2" t="str">
        <f>"7858816015328"</f>
        <v>7858816015328</v>
      </c>
      <c r="C1783" s="2" t="str">
        <f>"87121532"</f>
        <v>87121532</v>
      </c>
      <c r="D1783" s="2" t="s">
        <v>1621</v>
      </c>
      <c r="E1783" s="4">
        <v>3500</v>
      </c>
    </row>
    <row r="1784" spans="1:5" ht="26.25" x14ac:dyDescent="0.25">
      <c r="A1784" s="2" t="s">
        <v>1602</v>
      </c>
      <c r="B1784" s="2" t="str">
        <f>"1234567890128"</f>
        <v>1234567890128</v>
      </c>
      <c r="C1784" s="2" t="str">
        <f>"10002470"</f>
        <v>10002470</v>
      </c>
      <c r="D1784" s="2" t="s">
        <v>1622</v>
      </c>
      <c r="E1784" s="4">
        <v>3000</v>
      </c>
    </row>
    <row r="1785" spans="1:5" ht="26.25" x14ac:dyDescent="0.25">
      <c r="A1785" s="2" t="s">
        <v>1596</v>
      </c>
      <c r="B1785" s="2" t="str">
        <f>"66798000"</f>
        <v>66798000</v>
      </c>
      <c r="C1785" s="2" t="str">
        <f>"66798000"</f>
        <v>66798000</v>
      </c>
      <c r="D1785" s="2" t="s">
        <v>1623</v>
      </c>
      <c r="E1785" s="4">
        <v>8990</v>
      </c>
    </row>
    <row r="1786" spans="1:5" ht="26.25" x14ac:dyDescent="0.25">
      <c r="A1786" s="2" t="s">
        <v>1596</v>
      </c>
      <c r="B1786" s="2" t="str">
        <f>"100207832"</f>
        <v>100207832</v>
      </c>
      <c r="C1786" s="2" t="str">
        <f>"100207832"</f>
        <v>100207832</v>
      </c>
      <c r="D1786" s="2" t="s">
        <v>1624</v>
      </c>
      <c r="E1786" s="4">
        <v>3000</v>
      </c>
    </row>
    <row r="1787" spans="1:5" ht="26.25" x14ac:dyDescent="0.25">
      <c r="A1787" s="2" t="s">
        <v>1596</v>
      </c>
      <c r="B1787" s="2" t="str">
        <f>"10001581"</f>
        <v>10001581</v>
      </c>
      <c r="C1787" s="2" t="str">
        <f>"10001581"</f>
        <v>10001581</v>
      </c>
      <c r="D1787" s="2" t="s">
        <v>1625</v>
      </c>
      <c r="E1787" s="4">
        <v>3990</v>
      </c>
    </row>
    <row r="1788" spans="1:5" ht="26.25" x14ac:dyDescent="0.25">
      <c r="A1788" s="2" t="s">
        <v>1596</v>
      </c>
      <c r="B1788" s="2" t="str">
        <f>"6970463501113"</f>
        <v>6970463501113</v>
      </c>
      <c r="C1788" s="2" t="str">
        <f>"76110024"</f>
        <v>76110024</v>
      </c>
      <c r="D1788" s="2" t="s">
        <v>1626</v>
      </c>
      <c r="E1788" s="4">
        <v>8000</v>
      </c>
    </row>
    <row r="1789" spans="1:5" ht="26.25" x14ac:dyDescent="0.25">
      <c r="A1789" s="2" t="s">
        <v>1596</v>
      </c>
      <c r="B1789" s="2" t="str">
        <f>"1000001075273"</f>
        <v>1000001075273</v>
      </c>
      <c r="C1789" s="2" t="str">
        <f>"76110001"</f>
        <v>76110001</v>
      </c>
      <c r="D1789" s="2" t="s">
        <v>1627</v>
      </c>
      <c r="E1789" s="4">
        <v>4900</v>
      </c>
    </row>
    <row r="1790" spans="1:5" ht="26.25" x14ac:dyDescent="0.25">
      <c r="A1790" s="2" t="s">
        <v>1596</v>
      </c>
      <c r="B1790" s="2" t="str">
        <f>"6970463501199"</f>
        <v>6970463501199</v>
      </c>
      <c r="C1790" s="2" t="str">
        <f>"10006059"</f>
        <v>10006059</v>
      </c>
      <c r="D1790" s="2" t="s">
        <v>1628</v>
      </c>
      <c r="E1790" s="4">
        <v>9990</v>
      </c>
    </row>
    <row r="1791" spans="1:5" ht="26.25" x14ac:dyDescent="0.25">
      <c r="A1791" s="2" t="s">
        <v>1596</v>
      </c>
      <c r="B1791" s="2" t="str">
        <f>"1000001075150"</f>
        <v>1000001075150</v>
      </c>
      <c r="C1791" s="2" t="str">
        <f>"76110020"</f>
        <v>76110020</v>
      </c>
      <c r="D1791" s="2" t="s">
        <v>1629</v>
      </c>
      <c r="E1791" s="4">
        <v>6000</v>
      </c>
    </row>
    <row r="1792" spans="1:5" ht="26.25" x14ac:dyDescent="0.25">
      <c r="A1792" s="2" t="s">
        <v>1596</v>
      </c>
      <c r="B1792" s="2" t="str">
        <f>"10002494"</f>
        <v>10002494</v>
      </c>
      <c r="C1792" s="2" t="str">
        <f>"10002494"</f>
        <v>10002494</v>
      </c>
      <c r="D1792" s="2" t="s">
        <v>1630</v>
      </c>
      <c r="E1792" s="4">
        <v>4990</v>
      </c>
    </row>
    <row r="1793" spans="1:5" ht="26.25" x14ac:dyDescent="0.25">
      <c r="A1793" s="2" t="s">
        <v>1596</v>
      </c>
      <c r="B1793" s="2" t="str">
        <f>"506446211227"</f>
        <v>506446211227</v>
      </c>
      <c r="C1793" s="2" t="str">
        <f>"76111227"</f>
        <v>76111227</v>
      </c>
      <c r="D1793" s="2" t="s">
        <v>1631</v>
      </c>
      <c r="E1793" s="4">
        <v>3900</v>
      </c>
    </row>
    <row r="1794" spans="1:5" ht="26.25" x14ac:dyDescent="0.25">
      <c r="A1794" s="2" t="s">
        <v>1596</v>
      </c>
      <c r="B1794" s="2" t="str">
        <f>"885909627455"</f>
        <v>885909627455</v>
      </c>
      <c r="C1794" s="2" t="str">
        <f>"76117455"</f>
        <v>76117455</v>
      </c>
      <c r="D1794" s="2" t="s">
        <v>1632</v>
      </c>
      <c r="E1794" s="4">
        <v>4800</v>
      </c>
    </row>
    <row r="1795" spans="1:5" ht="26.25" x14ac:dyDescent="0.25">
      <c r="A1795" s="2" t="s">
        <v>1596</v>
      </c>
      <c r="B1795" s="2" t="str">
        <f>"8669885029296"</f>
        <v>8669885029296</v>
      </c>
      <c r="C1795" s="2" t="str">
        <f>"66212929"</f>
        <v>66212929</v>
      </c>
      <c r="D1795" s="2" t="s">
        <v>1633</v>
      </c>
      <c r="E1795" s="4">
        <v>8000</v>
      </c>
    </row>
    <row r="1796" spans="1:5" ht="26.25" x14ac:dyDescent="0.25">
      <c r="A1796" s="2" t="s">
        <v>1596</v>
      </c>
      <c r="B1796" s="2" t="str">
        <f>"1000001075242"</f>
        <v>1000001075242</v>
      </c>
      <c r="C1796" s="2" t="str">
        <f>"76115242"</f>
        <v>76115242</v>
      </c>
      <c r="D1796" s="2" t="s">
        <v>1634</v>
      </c>
      <c r="E1796" s="4">
        <v>14500</v>
      </c>
    </row>
    <row r="1797" spans="1:5" ht="26.25" x14ac:dyDescent="0.25">
      <c r="A1797" s="2" t="s">
        <v>1596</v>
      </c>
      <c r="B1797" s="2" t="str">
        <f>"6933138615027"</f>
        <v>6933138615027</v>
      </c>
      <c r="C1797" s="2" t="str">
        <f>"76115027"</f>
        <v>76115027</v>
      </c>
      <c r="D1797" s="2" t="s">
        <v>1635</v>
      </c>
      <c r="E1797" s="4">
        <v>7500</v>
      </c>
    </row>
    <row r="1798" spans="1:5" ht="26.25" x14ac:dyDescent="0.25">
      <c r="A1798" s="2" t="s">
        <v>1596</v>
      </c>
      <c r="B1798" s="2" t="str">
        <f>"6999584885896"</f>
        <v>6999584885896</v>
      </c>
      <c r="C1798" s="2" t="str">
        <f>"34110036"</f>
        <v>34110036</v>
      </c>
      <c r="D1798" s="2" t="s">
        <v>1636</v>
      </c>
      <c r="E1798" s="4">
        <v>13500</v>
      </c>
    </row>
    <row r="1799" spans="1:5" ht="26.25" x14ac:dyDescent="0.25">
      <c r="A1799" s="2" t="s">
        <v>1596</v>
      </c>
      <c r="B1799" s="2" t="str">
        <f>"6970280945015"</f>
        <v>6970280945015</v>
      </c>
      <c r="C1799" s="2" t="str">
        <f>"17110501"</f>
        <v>17110501</v>
      </c>
      <c r="D1799" s="2" t="s">
        <v>1637</v>
      </c>
      <c r="E1799" s="4">
        <v>4990</v>
      </c>
    </row>
    <row r="1800" spans="1:5" ht="26.25" x14ac:dyDescent="0.25">
      <c r="A1800" s="2" t="s">
        <v>1596</v>
      </c>
      <c r="B1800" s="2" t="str">
        <f>"6970463501304"</f>
        <v>6970463501304</v>
      </c>
      <c r="C1800" s="2" t="str">
        <f>"76110030"</f>
        <v>76110030</v>
      </c>
      <c r="D1800" s="2" t="s">
        <v>1638</v>
      </c>
      <c r="E1800" s="4">
        <v>5500</v>
      </c>
    </row>
    <row r="1801" spans="1:5" ht="26.25" x14ac:dyDescent="0.25">
      <c r="A1801" s="2" t="s">
        <v>1596</v>
      </c>
      <c r="B1801" s="2" t="str">
        <f>"680988520112"</f>
        <v>680988520112</v>
      </c>
      <c r="C1801" s="2" t="str">
        <f>"10001062"</f>
        <v>10001062</v>
      </c>
      <c r="D1801" s="2" t="s">
        <v>1639</v>
      </c>
      <c r="E1801" s="4">
        <v>4990</v>
      </c>
    </row>
    <row r="1802" spans="1:5" ht="26.25" x14ac:dyDescent="0.25">
      <c r="A1802" s="2" t="s">
        <v>1596</v>
      </c>
      <c r="B1802" s="2" t="str">
        <f>"818801033475"</f>
        <v>818801033475</v>
      </c>
      <c r="C1802" s="2" t="str">
        <f>"22111347"</f>
        <v>22111347</v>
      </c>
      <c r="D1802" s="2" t="s">
        <v>1640</v>
      </c>
      <c r="E1802" s="4">
        <v>3000</v>
      </c>
    </row>
    <row r="1803" spans="1:5" ht="26.25" x14ac:dyDescent="0.25">
      <c r="A1803" s="2" t="s">
        <v>1596</v>
      </c>
      <c r="B1803" s="2" t="str">
        <f>"10003364"</f>
        <v>10003364</v>
      </c>
      <c r="C1803" s="2" t="str">
        <f>"10003364"</f>
        <v>10003364</v>
      </c>
      <c r="D1803" s="2" t="s">
        <v>1641</v>
      </c>
      <c r="E1803" s="4">
        <v>1500</v>
      </c>
    </row>
    <row r="1804" spans="1:5" ht="26.25" x14ac:dyDescent="0.25">
      <c r="A1804" s="2" t="s">
        <v>1596</v>
      </c>
      <c r="B1804" s="2" t="str">
        <f>"6925871601160"</f>
        <v>6925871601160</v>
      </c>
      <c r="C1804" s="2" t="str">
        <f>"22110116"</f>
        <v>22110116</v>
      </c>
      <c r="D1804" s="2" t="s">
        <v>1642</v>
      </c>
      <c r="E1804" s="4">
        <v>3500</v>
      </c>
    </row>
    <row r="1805" spans="1:5" ht="26.25" x14ac:dyDescent="0.25">
      <c r="A1805" s="2" t="s">
        <v>1596</v>
      </c>
      <c r="B1805" s="2" t="str">
        <f>"6925871602754"</f>
        <v>6925871602754</v>
      </c>
      <c r="C1805" s="2" t="str">
        <f>"22120275"</f>
        <v>22120275</v>
      </c>
      <c r="D1805" s="2" t="s">
        <v>1643</v>
      </c>
      <c r="E1805" s="4">
        <v>2500</v>
      </c>
    </row>
    <row r="1806" spans="1:5" ht="26.25" x14ac:dyDescent="0.25">
      <c r="A1806" s="2" t="s">
        <v>1596</v>
      </c>
      <c r="B1806" s="2" t="str">
        <f>"6925871603218"</f>
        <v>6925871603218</v>
      </c>
      <c r="C1806" s="2" t="str">
        <f>"98110321"</f>
        <v>98110321</v>
      </c>
      <c r="D1806" s="2" t="s">
        <v>1644</v>
      </c>
      <c r="E1806" s="4">
        <v>4990</v>
      </c>
    </row>
    <row r="1807" spans="1:5" ht="26.25" x14ac:dyDescent="0.25">
      <c r="A1807" s="2" t="s">
        <v>1596</v>
      </c>
      <c r="B1807" s="2" t="str">
        <f>"6933584885836"</f>
        <v>6933584885836</v>
      </c>
      <c r="C1807" s="2" t="str">
        <f>"34110700"</f>
        <v>34110700</v>
      </c>
      <c r="D1807" s="2" t="s">
        <v>1645</v>
      </c>
      <c r="E1807" s="4">
        <v>5500</v>
      </c>
    </row>
    <row r="1808" spans="1:5" ht="26.25" x14ac:dyDescent="0.25">
      <c r="A1808" s="2" t="s">
        <v>1596</v>
      </c>
      <c r="B1808" s="2" t="str">
        <f>"7858816041259"</f>
        <v>7858816041259</v>
      </c>
      <c r="C1808" s="2" t="str">
        <f>"87114125"</f>
        <v>87114125</v>
      </c>
      <c r="D1808" s="2" t="s">
        <v>1646</v>
      </c>
      <c r="E1808" s="4">
        <v>3500</v>
      </c>
    </row>
    <row r="1809" spans="1:5" ht="26.25" x14ac:dyDescent="0.25">
      <c r="A1809" s="2" t="s">
        <v>1596</v>
      </c>
      <c r="B1809" s="2" t="str">
        <f>"7858816059766"</f>
        <v>7858816059766</v>
      </c>
      <c r="C1809" s="2" t="str">
        <f>"87115976"</f>
        <v>87115976</v>
      </c>
      <c r="D1809" s="2" t="s">
        <v>1647</v>
      </c>
      <c r="E1809" s="4">
        <v>3500</v>
      </c>
    </row>
    <row r="1810" spans="1:5" ht="26.25" x14ac:dyDescent="0.25">
      <c r="A1810" s="2" t="s">
        <v>1596</v>
      </c>
      <c r="B1810" s="2" t="str">
        <f>"7858816063213"</f>
        <v>7858816063213</v>
      </c>
      <c r="C1810" s="2" t="str">
        <f>"87116321"</f>
        <v>87116321</v>
      </c>
      <c r="D1810" s="2" t="s">
        <v>1648</v>
      </c>
      <c r="E1810" s="4">
        <v>4990</v>
      </c>
    </row>
    <row r="1811" spans="1:5" ht="26.25" x14ac:dyDescent="0.25">
      <c r="A1811" s="2" t="s">
        <v>1596</v>
      </c>
      <c r="B1811" s="2" t="str">
        <f>"7858816077968"</f>
        <v>7858816077968</v>
      </c>
      <c r="C1811" s="2" t="str">
        <f>"87117796"</f>
        <v>87117796</v>
      </c>
      <c r="D1811" s="2" t="s">
        <v>1649</v>
      </c>
      <c r="E1811" s="4">
        <v>6990</v>
      </c>
    </row>
    <row r="1812" spans="1:5" ht="26.25" x14ac:dyDescent="0.25">
      <c r="A1812" s="2" t="s">
        <v>1596</v>
      </c>
      <c r="B1812" s="2" t="str">
        <f>"7858816085581"</f>
        <v>7858816085581</v>
      </c>
      <c r="C1812" s="2" t="str">
        <f>"87118558"</f>
        <v>87118558</v>
      </c>
      <c r="D1812" s="2" t="s">
        <v>1650</v>
      </c>
      <c r="E1812" s="4">
        <v>6990</v>
      </c>
    </row>
    <row r="1813" spans="1:5" ht="26.25" x14ac:dyDescent="0.25">
      <c r="A1813" s="2" t="s">
        <v>1596</v>
      </c>
      <c r="B1813" s="2" t="str">
        <f>"7858816085598"</f>
        <v>7858816085598</v>
      </c>
      <c r="C1813" s="2" t="str">
        <f>"87118559"</f>
        <v>87118559</v>
      </c>
      <c r="D1813" s="2" t="s">
        <v>1651</v>
      </c>
      <c r="E1813" s="4">
        <v>6990</v>
      </c>
    </row>
    <row r="1814" spans="1:5" ht="39" x14ac:dyDescent="0.25">
      <c r="A1814" s="2" t="s">
        <v>1596</v>
      </c>
      <c r="B1814" s="2" t="str">
        <f>"8944870147194"</f>
        <v>8944870147194</v>
      </c>
      <c r="C1814" s="2" t="str">
        <f>"8944870147200"</f>
        <v>8944870147200</v>
      </c>
      <c r="D1814" s="2" t="s">
        <v>1652</v>
      </c>
      <c r="E1814" s="4">
        <v>5500</v>
      </c>
    </row>
    <row r="1815" spans="1:5" ht="39" x14ac:dyDescent="0.25">
      <c r="A1815" s="2" t="s">
        <v>1596</v>
      </c>
      <c r="B1815" s="2" t="str">
        <f>"8944870157902"</f>
        <v>8944870157902</v>
      </c>
      <c r="C1815" s="2" t="str">
        <f>"8944870157896"</f>
        <v>8944870157896</v>
      </c>
      <c r="D1815" s="2" t="s">
        <v>1653</v>
      </c>
      <c r="E1815" s="4">
        <v>3500</v>
      </c>
    </row>
    <row r="1816" spans="1:5" ht="26.25" x14ac:dyDescent="0.25">
      <c r="A1816" s="2" t="s">
        <v>1596</v>
      </c>
      <c r="B1816" s="2" t="str">
        <f>"6874588480110"</f>
        <v>6874588480110</v>
      </c>
      <c r="C1816" s="2" t="str">
        <f>"76110011"</f>
        <v>76110011</v>
      </c>
      <c r="D1816" s="2" t="s">
        <v>1654</v>
      </c>
      <c r="E1816" s="4">
        <v>4900</v>
      </c>
    </row>
    <row r="1817" spans="1:5" ht="26.25" x14ac:dyDescent="0.25">
      <c r="A1817" s="2" t="s">
        <v>1596</v>
      </c>
      <c r="B1817" s="2" t="str">
        <f>"1000001075341"</f>
        <v>1000001075341</v>
      </c>
      <c r="C1817" s="2" t="str">
        <f>"76117486"</f>
        <v>76117486</v>
      </c>
      <c r="D1817" s="2" t="s">
        <v>1655</v>
      </c>
      <c r="E1817" s="4">
        <v>7900</v>
      </c>
    </row>
    <row r="1818" spans="1:5" ht="26.25" x14ac:dyDescent="0.25">
      <c r="A1818" s="2" t="s">
        <v>1596</v>
      </c>
      <c r="B1818" s="2" t="str">
        <f>"11000616"</f>
        <v>11000616</v>
      </c>
      <c r="C1818" s="2" t="str">
        <f>"11000616"</f>
        <v>11000616</v>
      </c>
      <c r="D1818" s="2" t="s">
        <v>1656</v>
      </c>
      <c r="E1818" s="4">
        <v>3000</v>
      </c>
    </row>
    <row r="1819" spans="1:5" ht="26.25" x14ac:dyDescent="0.25">
      <c r="A1819" s="2" t="s">
        <v>1596</v>
      </c>
      <c r="B1819" s="2" t="str">
        <f>"76110133"</f>
        <v>76110133</v>
      </c>
      <c r="C1819" s="2" t="str">
        <f>"76110133"</f>
        <v>76110133</v>
      </c>
      <c r="D1819" s="2" t="s">
        <v>1657</v>
      </c>
      <c r="E1819" s="4">
        <v>5900</v>
      </c>
    </row>
    <row r="1820" spans="1:5" ht="26.25" x14ac:dyDescent="0.25">
      <c r="A1820" s="2" t="s">
        <v>1596</v>
      </c>
      <c r="B1820" s="2" t="str">
        <f>"004438"</f>
        <v>004438</v>
      </c>
      <c r="C1820" s="2" t="str">
        <f>"33111400"</f>
        <v>33111400</v>
      </c>
      <c r="D1820" s="2" t="s">
        <v>1658</v>
      </c>
      <c r="E1820" s="4">
        <v>6490</v>
      </c>
    </row>
    <row r="1821" spans="1:5" ht="26.25" x14ac:dyDescent="0.25">
      <c r="A1821" s="2" t="s">
        <v>1596</v>
      </c>
      <c r="B1821" s="2" t="str">
        <f>"8806086785563"</f>
        <v>8806086785563</v>
      </c>
      <c r="C1821" s="2" t="str">
        <f>"30111402"</f>
        <v>30111402</v>
      </c>
      <c r="D1821" s="2" t="s">
        <v>1659</v>
      </c>
      <c r="E1821" s="4">
        <v>15990</v>
      </c>
    </row>
    <row r="1822" spans="1:5" ht="26.25" x14ac:dyDescent="0.25">
      <c r="A1822" s="2" t="s">
        <v>1596</v>
      </c>
      <c r="B1822" s="2" t="str">
        <f>"6999011856420"</f>
        <v>6999011856420</v>
      </c>
      <c r="C1822" s="2" t="str">
        <f>"34110013"</f>
        <v>34110013</v>
      </c>
      <c r="D1822" s="2" t="s">
        <v>1660</v>
      </c>
      <c r="E1822" s="4">
        <v>7200</v>
      </c>
    </row>
    <row r="1823" spans="1:5" ht="26.25" x14ac:dyDescent="0.25">
      <c r="A1823" s="2" t="s">
        <v>1596</v>
      </c>
      <c r="B1823" s="2" t="str">
        <f>"6995890117737"</f>
        <v>6995890117737</v>
      </c>
      <c r="C1823" s="2" t="str">
        <f>"34110028"</f>
        <v>34110028</v>
      </c>
      <c r="D1823" s="2" t="s">
        <v>1661</v>
      </c>
      <c r="E1823" s="4">
        <v>9900</v>
      </c>
    </row>
    <row r="1824" spans="1:5" ht="26.25" x14ac:dyDescent="0.25">
      <c r="A1824" s="2" t="s">
        <v>1596</v>
      </c>
      <c r="B1824" s="2" t="str">
        <f>"56014721245"</f>
        <v>56014721245</v>
      </c>
      <c r="C1824" s="2" t="str">
        <f>"30111000"</f>
        <v>30111000</v>
      </c>
      <c r="D1824" s="2" t="s">
        <v>1662</v>
      </c>
      <c r="E1824" s="4">
        <v>19900</v>
      </c>
    </row>
    <row r="1825" spans="1:5" ht="26.25" x14ac:dyDescent="0.25">
      <c r="A1825" s="2" t="s">
        <v>1596</v>
      </c>
      <c r="B1825" s="2" t="str">
        <f>"6921002674904"</f>
        <v>6921002674904</v>
      </c>
      <c r="C1825" s="2" t="str">
        <f>"34117490"</f>
        <v>34117490</v>
      </c>
      <c r="D1825" s="2" t="s">
        <v>1663</v>
      </c>
      <c r="E1825" s="4">
        <v>9990</v>
      </c>
    </row>
    <row r="1826" spans="1:5" ht="26.25" x14ac:dyDescent="0.25">
      <c r="A1826" s="2" t="s">
        <v>1596</v>
      </c>
      <c r="B1826" s="2" t="str">
        <f>"34111400"</f>
        <v>34111400</v>
      </c>
      <c r="C1826" s="2" t="str">
        <f>"34111400"</f>
        <v>34111400</v>
      </c>
      <c r="D1826" s="2" t="s">
        <v>1664</v>
      </c>
      <c r="E1826" s="4">
        <v>3500</v>
      </c>
    </row>
    <row r="1827" spans="1:5" ht="26.25" x14ac:dyDescent="0.25">
      <c r="A1827" s="2" t="s">
        <v>1596</v>
      </c>
      <c r="B1827" s="2" t="str">
        <f>"6999011856413"</f>
        <v>6999011856413</v>
      </c>
      <c r="C1827" s="2" t="str">
        <f>"34111300"</f>
        <v>34111300</v>
      </c>
      <c r="D1827" s="2" t="s">
        <v>1665</v>
      </c>
      <c r="E1827" s="4">
        <v>6000</v>
      </c>
    </row>
    <row r="1828" spans="1:5" ht="26.25" x14ac:dyDescent="0.25">
      <c r="A1828" s="2" t="s">
        <v>21</v>
      </c>
      <c r="B1828" s="2" t="str">
        <f>"10002522"</f>
        <v>10002522</v>
      </c>
      <c r="C1828" s="2" t="str">
        <f>"10002522"</f>
        <v>10002522</v>
      </c>
      <c r="D1828" s="2" t="s">
        <v>1666</v>
      </c>
      <c r="E1828" s="4">
        <v>5500</v>
      </c>
    </row>
    <row r="1829" spans="1:5" ht="26.25" x14ac:dyDescent="0.25">
      <c r="A1829" s="2" t="s">
        <v>1602</v>
      </c>
      <c r="B1829" s="2" t="str">
        <f>"110103935"</f>
        <v>110103935</v>
      </c>
      <c r="C1829" s="2" t="str">
        <f>"110103935"</f>
        <v>110103935</v>
      </c>
      <c r="D1829" s="2" t="s">
        <v>1667</v>
      </c>
      <c r="E1829" s="4">
        <v>5500</v>
      </c>
    </row>
    <row r="1830" spans="1:5" ht="26.25" x14ac:dyDescent="0.25">
      <c r="A1830" s="2" t="s">
        <v>1602</v>
      </c>
      <c r="B1830" s="2" t="str">
        <f>"6970280942014"</f>
        <v>6970280942014</v>
      </c>
      <c r="C1830" s="2" t="str">
        <f>"17120201"</f>
        <v>17120201</v>
      </c>
      <c r="D1830" s="2" t="s">
        <v>1668</v>
      </c>
      <c r="E1830" s="4">
        <v>8800</v>
      </c>
    </row>
    <row r="1831" spans="1:5" ht="26.25" x14ac:dyDescent="0.25">
      <c r="A1831" s="2" t="s">
        <v>1602</v>
      </c>
      <c r="B1831" s="2" t="str">
        <f>"76651401"</f>
        <v>76651401</v>
      </c>
      <c r="C1831" s="2" t="str">
        <f>"76651401"</f>
        <v>76651401</v>
      </c>
      <c r="D1831" s="2" t="s">
        <v>1669</v>
      </c>
      <c r="E1831" s="4">
        <v>3900</v>
      </c>
    </row>
    <row r="1832" spans="1:5" ht="26.25" x14ac:dyDescent="0.25">
      <c r="A1832" s="2" t="s">
        <v>1602</v>
      </c>
      <c r="B1832" s="2" t="str">
        <f>"76651402"</f>
        <v>76651402</v>
      </c>
      <c r="C1832" s="2" t="str">
        <f>"76651402"</f>
        <v>76651402</v>
      </c>
      <c r="D1832" s="2" t="s">
        <v>1670</v>
      </c>
      <c r="E1832" s="4">
        <v>4500</v>
      </c>
    </row>
    <row r="1833" spans="1:5" ht="26.25" x14ac:dyDescent="0.25">
      <c r="A1833" s="2" t="s">
        <v>1602</v>
      </c>
      <c r="B1833" s="2" t="str">
        <f>"10003260"</f>
        <v>10003260</v>
      </c>
      <c r="C1833" s="2" t="str">
        <f>"10003260"</f>
        <v>10003260</v>
      </c>
      <c r="D1833" s="2" t="s">
        <v>1671</v>
      </c>
      <c r="E1833" s="4">
        <v>4500</v>
      </c>
    </row>
    <row r="1834" spans="1:5" ht="26.25" x14ac:dyDescent="0.25">
      <c r="A1834" s="2" t="s">
        <v>1602</v>
      </c>
      <c r="B1834" s="2" t="str">
        <f>"76121408"</f>
        <v>76121408</v>
      </c>
      <c r="C1834" s="2" t="str">
        <f>"76121408"</f>
        <v>76121408</v>
      </c>
      <c r="D1834" s="2" t="s">
        <v>1672</v>
      </c>
      <c r="E1834" s="4">
        <v>3000</v>
      </c>
    </row>
    <row r="1835" spans="1:5" ht="26.25" x14ac:dyDescent="0.25">
      <c r="A1835" s="2" t="s">
        <v>1602</v>
      </c>
      <c r="B1835" s="2" t="str">
        <f>"10000934"</f>
        <v>10000934</v>
      </c>
      <c r="C1835" s="2" t="str">
        <f>"10000934"</f>
        <v>10000934</v>
      </c>
      <c r="D1835" s="2" t="s">
        <v>1673</v>
      </c>
      <c r="E1835" s="4">
        <v>3990</v>
      </c>
    </row>
    <row r="1836" spans="1:5" ht="26.25" x14ac:dyDescent="0.25">
      <c r="A1836" s="2" t="s">
        <v>1602</v>
      </c>
      <c r="B1836" s="2" t="str">
        <f>"34121111"</f>
        <v>34121111</v>
      </c>
      <c r="C1836" s="2" t="str">
        <f>"34121111"</f>
        <v>34121111</v>
      </c>
      <c r="D1836" s="2" t="s">
        <v>1674</v>
      </c>
      <c r="E1836" s="4">
        <v>2500</v>
      </c>
    </row>
    <row r="1837" spans="1:5" ht="26.25" x14ac:dyDescent="0.25">
      <c r="A1837" s="2" t="s">
        <v>1602</v>
      </c>
      <c r="B1837" s="2" t="str">
        <f>"7858816066467"</f>
        <v>7858816066467</v>
      </c>
      <c r="C1837" s="2" t="str">
        <f>"87126646"</f>
        <v>87126646</v>
      </c>
      <c r="D1837" s="2" t="s">
        <v>1675</v>
      </c>
      <c r="E1837" s="4">
        <v>2000</v>
      </c>
    </row>
    <row r="1838" spans="1:5" ht="26.25" x14ac:dyDescent="0.25">
      <c r="A1838" s="2" t="s">
        <v>1602</v>
      </c>
      <c r="B1838" s="2" t="str">
        <f>"885909627349"</f>
        <v>885909627349</v>
      </c>
      <c r="C1838" s="2" t="str">
        <f>"54020813"</f>
        <v>54020813</v>
      </c>
      <c r="D1838" s="2" t="s">
        <v>1676</v>
      </c>
      <c r="E1838" s="4">
        <v>5000</v>
      </c>
    </row>
    <row r="1839" spans="1:5" ht="26.25" x14ac:dyDescent="0.25">
      <c r="A1839" s="2" t="s">
        <v>1602</v>
      </c>
      <c r="B1839" s="2" t="str">
        <f>"87120813"</f>
        <v>87120813</v>
      </c>
      <c r="C1839" s="2" t="str">
        <f>"87120813"</f>
        <v>87120813</v>
      </c>
      <c r="D1839" s="2" t="s">
        <v>1676</v>
      </c>
      <c r="E1839" s="4">
        <v>5000</v>
      </c>
    </row>
    <row r="1840" spans="1:5" ht="26.25" x14ac:dyDescent="0.25">
      <c r="A1840" s="2" t="s">
        <v>1602</v>
      </c>
      <c r="B1840" s="2" t="str">
        <f>"6933138633052"</f>
        <v>6933138633052</v>
      </c>
      <c r="C1840" s="2" t="str">
        <f>"76123305"</f>
        <v>76123305</v>
      </c>
      <c r="D1840" s="2" t="s">
        <v>1677</v>
      </c>
      <c r="E1840" s="4">
        <v>7500</v>
      </c>
    </row>
    <row r="1841" spans="1:5" ht="26.25" x14ac:dyDescent="0.25">
      <c r="A1841" s="2" t="s">
        <v>1602</v>
      </c>
      <c r="B1841" s="2" t="str">
        <f>"6925871699693"</f>
        <v>6925871699693</v>
      </c>
      <c r="C1841" s="2" t="str">
        <f>"22120256"</f>
        <v>22120256</v>
      </c>
      <c r="D1841" s="2" t="s">
        <v>1678</v>
      </c>
      <c r="E1841" s="4">
        <v>9990</v>
      </c>
    </row>
    <row r="1842" spans="1:5" ht="26.25" x14ac:dyDescent="0.25">
      <c r="A1842" s="2" t="s">
        <v>1602</v>
      </c>
      <c r="B1842" s="2" t="str">
        <f>"7858816086007"</f>
        <v>7858816086007</v>
      </c>
      <c r="C1842" s="2" t="str">
        <f>"87128600"</f>
        <v>87128600</v>
      </c>
      <c r="D1842" s="2" t="s">
        <v>1679</v>
      </c>
      <c r="E1842" s="4">
        <v>9990</v>
      </c>
    </row>
    <row r="1843" spans="1:5" ht="26.25" x14ac:dyDescent="0.25">
      <c r="A1843" s="2" t="s">
        <v>1602</v>
      </c>
      <c r="B1843" s="2" t="str">
        <f>"6925871662567"</f>
        <v>6925871662567</v>
      </c>
      <c r="C1843" s="2" t="str">
        <f>"22126356"</f>
        <v>22126356</v>
      </c>
      <c r="D1843" s="2" t="s">
        <v>1680</v>
      </c>
      <c r="E1843" s="4">
        <v>9990</v>
      </c>
    </row>
    <row r="1844" spans="1:5" ht="26.25" x14ac:dyDescent="0.25">
      <c r="A1844" s="2" t="s">
        <v>1602</v>
      </c>
      <c r="B1844" s="2" t="str">
        <f>"190198889973"</f>
        <v>190198889973</v>
      </c>
      <c r="C1844" s="2" t="str">
        <f>"54129973"</f>
        <v>54129973</v>
      </c>
      <c r="D1844" s="2" t="s">
        <v>1681</v>
      </c>
      <c r="E1844" s="4">
        <v>18990</v>
      </c>
    </row>
    <row r="1845" spans="1:5" ht="26.25" x14ac:dyDescent="0.25">
      <c r="A1845" s="2" t="s">
        <v>1602</v>
      </c>
      <c r="B1845" s="2" t="str">
        <f>"7237558983322"</f>
        <v>7237558983322</v>
      </c>
      <c r="C1845" s="2" t="str">
        <f>"87128983"</f>
        <v>87128983</v>
      </c>
      <c r="D1845" s="2" t="s">
        <v>1682</v>
      </c>
      <c r="E1845" s="4">
        <v>6990</v>
      </c>
    </row>
    <row r="1846" spans="1:5" ht="26.25" x14ac:dyDescent="0.25">
      <c r="A1846" s="2" t="s">
        <v>1602</v>
      </c>
      <c r="B1846" s="2" t="str">
        <f>"6925871600385"</f>
        <v>6925871600385</v>
      </c>
      <c r="C1846" s="2" t="str">
        <f>"22126120"</f>
        <v>22126120</v>
      </c>
      <c r="D1846" s="2" t="s">
        <v>1683</v>
      </c>
      <c r="E1846" s="4">
        <v>4990</v>
      </c>
    </row>
    <row r="1847" spans="1:5" ht="26.25" x14ac:dyDescent="0.25">
      <c r="A1847" s="2" t="s">
        <v>1602</v>
      </c>
      <c r="B1847" s="2" t="str">
        <f>"7268279027996"</f>
        <v>7268279027996</v>
      </c>
      <c r="C1847" s="2" t="str">
        <f>"79HUE0AP99"</f>
        <v>79HUE0AP99</v>
      </c>
      <c r="D1847" s="2" t="s">
        <v>1684</v>
      </c>
      <c r="E1847" s="4">
        <v>14990</v>
      </c>
    </row>
    <row r="1848" spans="1:5" ht="26.25" x14ac:dyDescent="0.25">
      <c r="A1848" s="2" t="s">
        <v>1602</v>
      </c>
      <c r="B1848" s="2" t="str">
        <f>"6972453166067"</f>
        <v>6972453166067</v>
      </c>
      <c r="C1848" s="2" t="str">
        <f>"92120501"</f>
        <v>92120501</v>
      </c>
      <c r="D1848" s="2" t="s">
        <v>1684</v>
      </c>
      <c r="E1848" s="4">
        <v>21990</v>
      </c>
    </row>
    <row r="1849" spans="1:5" ht="26.25" x14ac:dyDescent="0.25">
      <c r="A1849" s="2" t="s">
        <v>1602</v>
      </c>
      <c r="B1849" s="2" t="str">
        <f>"7858816061844"</f>
        <v>7858816061844</v>
      </c>
      <c r="C1849" s="2" t="str">
        <f>"87126148"</f>
        <v>87126148</v>
      </c>
      <c r="D1849" s="2" t="s">
        <v>1685</v>
      </c>
      <c r="E1849" s="4">
        <v>4990</v>
      </c>
    </row>
    <row r="1850" spans="1:5" ht="26.25" x14ac:dyDescent="0.25">
      <c r="A1850" s="2" t="s">
        <v>1602</v>
      </c>
      <c r="B1850" s="2" t="str">
        <f>"17551480"</f>
        <v>17551480</v>
      </c>
      <c r="C1850" s="2" t="str">
        <f>"17551480"</f>
        <v>17551480</v>
      </c>
      <c r="D1850" s="2" t="s">
        <v>1686</v>
      </c>
      <c r="E1850" s="4">
        <v>6000</v>
      </c>
    </row>
    <row r="1851" spans="1:5" ht="26.25" x14ac:dyDescent="0.25">
      <c r="A1851" s="2" t="s">
        <v>1602</v>
      </c>
      <c r="B1851" s="2" t="str">
        <f>"7858816073755"</f>
        <v>7858816073755</v>
      </c>
      <c r="C1851" s="2" t="str">
        <f>"87127375"</f>
        <v>87127375</v>
      </c>
      <c r="D1851" s="2" t="s">
        <v>1687</v>
      </c>
      <c r="E1851" s="4">
        <v>5990</v>
      </c>
    </row>
    <row r="1852" spans="1:5" ht="26.25" x14ac:dyDescent="0.25">
      <c r="A1852" s="2" t="s">
        <v>1602</v>
      </c>
      <c r="B1852" s="2" t="str">
        <f>"7858816081781"</f>
        <v>7858816081781</v>
      </c>
      <c r="C1852" s="2" t="str">
        <f>"8128178"</f>
        <v>8128178</v>
      </c>
      <c r="D1852" s="2" t="s">
        <v>1688</v>
      </c>
      <c r="E1852" s="4">
        <v>9990</v>
      </c>
    </row>
    <row r="1853" spans="1:5" ht="26.25" x14ac:dyDescent="0.25">
      <c r="A1853" s="2" t="s">
        <v>1602</v>
      </c>
      <c r="B1853" s="2" t="str">
        <f>"7858816086359"</f>
        <v>7858816086359</v>
      </c>
      <c r="C1853" s="2" t="str">
        <f>"87128635"</f>
        <v>87128635</v>
      </c>
      <c r="D1853" s="2" t="s">
        <v>1689</v>
      </c>
      <c r="E1853" s="4">
        <v>5000</v>
      </c>
    </row>
    <row r="1854" spans="1:5" ht="26.25" x14ac:dyDescent="0.25">
      <c r="A1854" s="2" t="s">
        <v>1602</v>
      </c>
      <c r="B1854" s="2" t="str">
        <f>"8944870155458"</f>
        <v>8944870155458</v>
      </c>
      <c r="C1854" s="2" t="str">
        <f>"87121702"</f>
        <v>87121702</v>
      </c>
      <c r="D1854" s="2" t="s">
        <v>1690</v>
      </c>
      <c r="E1854" s="4">
        <v>7500</v>
      </c>
    </row>
    <row r="1855" spans="1:5" ht="39" x14ac:dyDescent="0.25">
      <c r="A1855" s="2" t="s">
        <v>1602</v>
      </c>
      <c r="B1855" s="2" t="str">
        <f>"8944870161770"</f>
        <v>8944870161770</v>
      </c>
      <c r="C1855" s="2" t="str">
        <f>"8944870161787"</f>
        <v>8944870161787</v>
      </c>
      <c r="D1855" s="2" t="s">
        <v>1691</v>
      </c>
      <c r="E1855" s="4">
        <v>5500</v>
      </c>
    </row>
    <row r="1856" spans="1:5" ht="26.25" x14ac:dyDescent="0.25">
      <c r="A1856" s="2" t="s">
        <v>1602</v>
      </c>
      <c r="B1856" s="2" t="str">
        <f>"8944870162012"</f>
        <v>8944870162012</v>
      </c>
      <c r="C1856" s="2" t="str">
        <f>"87122151"</f>
        <v>87122151</v>
      </c>
      <c r="D1856" s="2" t="s">
        <v>1692</v>
      </c>
      <c r="E1856" s="4">
        <v>5990</v>
      </c>
    </row>
    <row r="1857" spans="1:5" ht="26.25" x14ac:dyDescent="0.25">
      <c r="A1857" s="2" t="s">
        <v>1602</v>
      </c>
      <c r="B1857" s="2" t="str">
        <f>"7858816077258"</f>
        <v>7858816077258</v>
      </c>
      <c r="C1857" s="2" t="str">
        <f>"87127725"</f>
        <v>87127725</v>
      </c>
      <c r="D1857" s="2" t="s">
        <v>1693</v>
      </c>
      <c r="E1857" s="4">
        <v>7500</v>
      </c>
    </row>
    <row r="1858" spans="1:5" ht="26.25" x14ac:dyDescent="0.25">
      <c r="A1858" s="2" t="s">
        <v>1602</v>
      </c>
      <c r="B1858" s="2" t="str">
        <f>"79121010"</f>
        <v>79121010</v>
      </c>
      <c r="C1858" s="2" t="str">
        <f>"39121010"</f>
        <v>39121010</v>
      </c>
      <c r="D1858" s="2" t="s">
        <v>1694</v>
      </c>
      <c r="E1858" s="4">
        <v>8500</v>
      </c>
    </row>
    <row r="1859" spans="1:5" ht="26.25" x14ac:dyDescent="0.25">
      <c r="A1859" s="2" t="s">
        <v>1602</v>
      </c>
      <c r="B1859" s="2" t="str">
        <f>"8801643281656"</f>
        <v>8801643281656</v>
      </c>
      <c r="C1859" s="2" t="str">
        <f>"63120060"</f>
        <v>63120060</v>
      </c>
      <c r="D1859" s="2" t="s">
        <v>1694</v>
      </c>
      <c r="E1859" s="4">
        <v>11990</v>
      </c>
    </row>
    <row r="1860" spans="1:5" ht="26.25" x14ac:dyDescent="0.25">
      <c r="A1860" s="2" t="s">
        <v>1602</v>
      </c>
      <c r="B1860" s="2" t="str">
        <f>"760807106"</f>
        <v>760807106</v>
      </c>
      <c r="C1860" s="2" t="str">
        <f>"760807106"</f>
        <v>760807106</v>
      </c>
      <c r="D1860" s="2" t="s">
        <v>1695</v>
      </c>
      <c r="E1860" s="4">
        <v>8000</v>
      </c>
    </row>
    <row r="1861" spans="1:5" ht="26.25" x14ac:dyDescent="0.25">
      <c r="A1861" s="2" t="s">
        <v>1602</v>
      </c>
      <c r="B1861" s="2" t="str">
        <f>"34120714"</f>
        <v>34120714</v>
      </c>
      <c r="C1861" s="2" t="str">
        <f>"34120714"</f>
        <v>34120714</v>
      </c>
      <c r="D1861" s="2" t="s">
        <v>1696</v>
      </c>
      <c r="E1861" s="4">
        <v>3000</v>
      </c>
    </row>
    <row r="1862" spans="1:5" ht="26.25" x14ac:dyDescent="0.25">
      <c r="A1862" s="2" t="s">
        <v>1602</v>
      </c>
      <c r="B1862" s="2" t="str">
        <f>"7858816062124"</f>
        <v>7858816062124</v>
      </c>
      <c r="C1862" s="2" t="str">
        <f>"87126212"</f>
        <v>87126212</v>
      </c>
      <c r="D1862" s="2" t="s">
        <v>1697</v>
      </c>
      <c r="E1862" s="4">
        <v>5490</v>
      </c>
    </row>
    <row r="1863" spans="1:5" ht="26.25" x14ac:dyDescent="0.25">
      <c r="A1863" s="2" t="s">
        <v>1602</v>
      </c>
      <c r="B1863" s="2" t="str">
        <f>"7858816083419"</f>
        <v>7858816083419</v>
      </c>
      <c r="C1863" s="2" t="str">
        <f>"87127168"</f>
        <v>87127168</v>
      </c>
      <c r="D1863" s="2" t="s">
        <v>1698</v>
      </c>
      <c r="E1863" s="4">
        <v>7500</v>
      </c>
    </row>
    <row r="1864" spans="1:5" ht="26.25" x14ac:dyDescent="0.25">
      <c r="A1864" s="2" t="s">
        <v>1602</v>
      </c>
      <c r="B1864" s="2" t="str">
        <f>"7858816073762"</f>
        <v>7858816073762</v>
      </c>
      <c r="C1864" s="2" t="str">
        <f>"87127376"</f>
        <v>87127376</v>
      </c>
      <c r="D1864" s="2" t="s">
        <v>1699</v>
      </c>
      <c r="E1864" s="4">
        <v>6000</v>
      </c>
    </row>
    <row r="1865" spans="1:5" ht="26.25" x14ac:dyDescent="0.25">
      <c r="A1865" s="2" t="s">
        <v>1602</v>
      </c>
      <c r="B1865" s="2" t="str">
        <f>"7858816077227"</f>
        <v>7858816077227</v>
      </c>
      <c r="C1865" s="2" t="str">
        <f>"87127722"</f>
        <v>87127722</v>
      </c>
      <c r="D1865" s="2" t="s">
        <v>1700</v>
      </c>
      <c r="E1865" s="4">
        <v>7500</v>
      </c>
    </row>
    <row r="1866" spans="1:5" ht="26.25" x14ac:dyDescent="0.25">
      <c r="A1866" s="2" t="s">
        <v>1602</v>
      </c>
      <c r="B1866" s="2" t="str">
        <f>"8944870161756"</f>
        <v>8944870161756</v>
      </c>
      <c r="C1866" s="2" t="str">
        <f>"87122111"</f>
        <v>87122111</v>
      </c>
      <c r="D1866" s="2" t="s">
        <v>1701</v>
      </c>
      <c r="E1866" s="4">
        <v>5500</v>
      </c>
    </row>
    <row r="1867" spans="1:5" ht="39" x14ac:dyDescent="0.25">
      <c r="A1867" s="2" t="s">
        <v>1602</v>
      </c>
      <c r="B1867" s="2" t="str">
        <f>"8944870162005"</f>
        <v>8944870162005</v>
      </c>
      <c r="C1867" s="2" t="str">
        <f>"8944870161763"</f>
        <v>8944870161763</v>
      </c>
      <c r="D1867" s="2" t="s">
        <v>1702</v>
      </c>
      <c r="E1867" s="4">
        <v>5990</v>
      </c>
    </row>
    <row r="1868" spans="1:5" ht="26.25" x14ac:dyDescent="0.25">
      <c r="A1868" s="2" t="s">
        <v>1602</v>
      </c>
      <c r="B1868" s="2" t="str">
        <f>"34121400"</f>
        <v>34121400</v>
      </c>
      <c r="C1868" s="2" t="str">
        <f>"34121400"</f>
        <v>34121400</v>
      </c>
      <c r="D1868" s="2" t="s">
        <v>1703</v>
      </c>
      <c r="E1868" s="4">
        <v>3000</v>
      </c>
    </row>
    <row r="1869" spans="1:5" ht="26.25" x14ac:dyDescent="0.25">
      <c r="A1869" s="2" t="s">
        <v>1602</v>
      </c>
      <c r="B1869" s="2" t="str">
        <f>"34120001"</f>
        <v>34120001</v>
      </c>
      <c r="C1869" s="2" t="str">
        <f>"34120001"</f>
        <v>34120001</v>
      </c>
      <c r="D1869" s="2" t="s">
        <v>1703</v>
      </c>
      <c r="E1869" s="4">
        <v>2900</v>
      </c>
    </row>
    <row r="1870" spans="1:5" ht="26.25" x14ac:dyDescent="0.25">
      <c r="A1870" s="2" t="s">
        <v>1602</v>
      </c>
      <c r="B1870" s="2" t="str">
        <f>"87120003"</f>
        <v>87120003</v>
      </c>
      <c r="C1870" s="2" t="str">
        <f>"87120003"</f>
        <v>87120003</v>
      </c>
      <c r="D1870" s="2" t="s">
        <v>1703</v>
      </c>
      <c r="E1870" s="4">
        <v>3000</v>
      </c>
    </row>
    <row r="1871" spans="1:5" ht="26.25" x14ac:dyDescent="0.25">
      <c r="A1871" s="2" t="s">
        <v>1602</v>
      </c>
      <c r="B1871" s="2" t="str">
        <f>"34121000"</f>
        <v>34121000</v>
      </c>
      <c r="C1871" s="2" t="str">
        <f>"34121000"</f>
        <v>34121000</v>
      </c>
      <c r="D1871" s="2" t="s">
        <v>1703</v>
      </c>
      <c r="E1871" s="4">
        <v>3000</v>
      </c>
    </row>
    <row r="1872" spans="1:5" ht="26.25" x14ac:dyDescent="0.25">
      <c r="A1872" s="2" t="s">
        <v>1602</v>
      </c>
      <c r="B1872" s="2" t="str">
        <f>"10108844"</f>
        <v>10108844</v>
      </c>
      <c r="C1872" s="2" t="str">
        <f>"10108844"</f>
        <v>10108844</v>
      </c>
      <c r="D1872" s="2" t="s">
        <v>1704</v>
      </c>
      <c r="E1872" s="4">
        <v>6900</v>
      </c>
    </row>
    <row r="1873" spans="1:5" ht="26.25" x14ac:dyDescent="0.25">
      <c r="A1873" s="2" t="s">
        <v>1602</v>
      </c>
      <c r="B1873" s="2" t="str">
        <f>"34120101"</f>
        <v>34120101</v>
      </c>
      <c r="C1873" s="2" t="str">
        <f>"34120101"</f>
        <v>34120101</v>
      </c>
      <c r="D1873" s="2" t="s">
        <v>1705</v>
      </c>
      <c r="E1873" s="4">
        <v>3000</v>
      </c>
    </row>
    <row r="1874" spans="1:5" ht="26.25" x14ac:dyDescent="0.25">
      <c r="A1874" s="2" t="s">
        <v>1602</v>
      </c>
      <c r="B1874" s="2" t="str">
        <f>"88123608"</f>
        <v>88123608</v>
      </c>
      <c r="C1874" s="2" t="str">
        <f>"88123608"</f>
        <v>88123608</v>
      </c>
      <c r="D1874" s="2" t="s">
        <v>1706</v>
      </c>
      <c r="E1874" s="4">
        <v>3000</v>
      </c>
    </row>
    <row r="1875" spans="1:5" ht="26.25" x14ac:dyDescent="0.25">
      <c r="A1875" s="2" t="s">
        <v>1602</v>
      </c>
      <c r="B1875" s="2" t="str">
        <f>"76121402"</f>
        <v>76121402</v>
      </c>
      <c r="C1875" s="2" t="str">
        <f>"76121402"</f>
        <v>76121402</v>
      </c>
      <c r="D1875" s="2" t="s">
        <v>1707</v>
      </c>
      <c r="E1875" s="4">
        <v>3500</v>
      </c>
    </row>
    <row r="1876" spans="1:5" ht="26.25" x14ac:dyDescent="0.25">
      <c r="A1876" s="2" t="s">
        <v>1602</v>
      </c>
      <c r="B1876" s="2" t="str">
        <f>"8518797100039"</f>
        <v>8518797100039</v>
      </c>
      <c r="C1876" s="2" t="str">
        <f>"10000405"</f>
        <v>10000405</v>
      </c>
      <c r="D1876" s="2" t="s">
        <v>1708</v>
      </c>
      <c r="E1876" s="4">
        <v>4900</v>
      </c>
    </row>
    <row r="1877" spans="1:5" ht="26.25" x14ac:dyDescent="0.25">
      <c r="A1877" s="2" t="s">
        <v>1602</v>
      </c>
      <c r="B1877" s="2" t="str">
        <f>"10000471"</f>
        <v>10000471</v>
      </c>
      <c r="C1877" s="2" t="str">
        <f>"10000471"</f>
        <v>10000471</v>
      </c>
      <c r="D1877" s="2" t="s">
        <v>1709</v>
      </c>
      <c r="E1877" s="4">
        <v>3500</v>
      </c>
    </row>
    <row r="1878" spans="1:5" ht="26.25" x14ac:dyDescent="0.25">
      <c r="A1878" s="2" t="s">
        <v>1602</v>
      </c>
      <c r="B1878" s="2" t="str">
        <f>"17120035"</f>
        <v>17120035</v>
      </c>
      <c r="C1878" s="2" t="str">
        <f>"17120035"</f>
        <v>17120035</v>
      </c>
      <c r="D1878" s="2" t="s">
        <v>1710</v>
      </c>
      <c r="E1878" s="4">
        <v>4500</v>
      </c>
    </row>
    <row r="1879" spans="1:5" ht="26.25" x14ac:dyDescent="0.25">
      <c r="A1879" s="2" t="s">
        <v>1602</v>
      </c>
      <c r="B1879" s="2" t="str">
        <f>"2265252263520"</f>
        <v>2265252263520</v>
      </c>
      <c r="C1879" s="2" t="str">
        <f>"76123608"</f>
        <v>76123608</v>
      </c>
      <c r="D1879" s="2" t="s">
        <v>1711</v>
      </c>
      <c r="E1879" s="4">
        <v>3000</v>
      </c>
    </row>
    <row r="1880" spans="1:5" ht="26.25" x14ac:dyDescent="0.25">
      <c r="A1880" s="2" t="s">
        <v>1602</v>
      </c>
      <c r="B1880" s="2" t="str">
        <f>"8518783701288"</f>
        <v>8518783701288</v>
      </c>
      <c r="C1880" s="2" t="str">
        <f>"10001114"</f>
        <v>10001114</v>
      </c>
      <c r="D1880" s="2" t="s">
        <v>1712</v>
      </c>
      <c r="E1880" s="4">
        <v>1000</v>
      </c>
    </row>
    <row r="1881" spans="1:5" ht="26.25" x14ac:dyDescent="0.25">
      <c r="A1881" s="2" t="s">
        <v>1602</v>
      </c>
      <c r="B1881" s="2" t="str">
        <f>"87001146"</f>
        <v>87001146</v>
      </c>
      <c r="C1881" s="2" t="str">
        <f>"87001146"</f>
        <v>87001146</v>
      </c>
      <c r="D1881" s="2" t="s">
        <v>1713</v>
      </c>
      <c r="E1881" s="4">
        <v>3600</v>
      </c>
    </row>
    <row r="1882" spans="1:5" ht="26.25" x14ac:dyDescent="0.25">
      <c r="A1882" s="2" t="s">
        <v>1602</v>
      </c>
      <c r="B1882" s="2" t="str">
        <f>"6995845112435"</f>
        <v>6995845112435</v>
      </c>
      <c r="C1882" s="2" t="str">
        <f>"10001176"</f>
        <v>10001176</v>
      </c>
      <c r="D1882" s="2" t="s">
        <v>1714</v>
      </c>
      <c r="E1882" s="4">
        <v>4500</v>
      </c>
    </row>
    <row r="1883" spans="1:5" ht="26.25" x14ac:dyDescent="0.25">
      <c r="A1883" s="2" t="s">
        <v>1602</v>
      </c>
      <c r="B1883" s="2" t="str">
        <f>"22004235"</f>
        <v>22004235</v>
      </c>
      <c r="C1883" s="2" t="str">
        <f>"22004235"</f>
        <v>22004235</v>
      </c>
      <c r="D1883" s="2" t="s">
        <v>1715</v>
      </c>
      <c r="E1883" s="4">
        <v>2000</v>
      </c>
    </row>
    <row r="1884" spans="1:5" ht="26.25" x14ac:dyDescent="0.25">
      <c r="A1884" s="2" t="s">
        <v>1602</v>
      </c>
      <c r="B1884" s="2" t="str">
        <f>"6925871667128"</f>
        <v>6925871667128</v>
      </c>
      <c r="C1884" s="2" t="str">
        <f>"22126712"</f>
        <v>22126712</v>
      </c>
      <c r="D1884" s="2" t="s">
        <v>1716</v>
      </c>
      <c r="E1884" s="4">
        <v>3000</v>
      </c>
    </row>
    <row r="1885" spans="1:5" ht="26.25" x14ac:dyDescent="0.25">
      <c r="A1885" s="2" t="s">
        <v>1602</v>
      </c>
      <c r="B1885" s="2" t="str">
        <f>"22124235"</f>
        <v>22124235</v>
      </c>
      <c r="C1885" s="2" t="str">
        <f>"22124235"</f>
        <v>22124235</v>
      </c>
      <c r="D1885" s="2" t="s">
        <v>1717</v>
      </c>
      <c r="E1885" s="4">
        <v>1500</v>
      </c>
    </row>
    <row r="1886" spans="1:5" ht="26.25" x14ac:dyDescent="0.25">
      <c r="A1886" s="2" t="s">
        <v>1602</v>
      </c>
      <c r="B1886" s="2" t="str">
        <f>"6925871662543"</f>
        <v>6925871662543</v>
      </c>
      <c r="C1886" s="2" t="str">
        <f>"22126254"</f>
        <v>22126254</v>
      </c>
      <c r="D1886" s="2" t="s">
        <v>1718</v>
      </c>
      <c r="E1886" s="4">
        <v>5500</v>
      </c>
    </row>
    <row r="1887" spans="1:5" ht="26.25" x14ac:dyDescent="0.25">
      <c r="A1887" s="2" t="s">
        <v>1602</v>
      </c>
      <c r="B1887" s="2" t="str">
        <f>"6925871663281"</f>
        <v>6925871663281</v>
      </c>
      <c r="C1887" s="2" t="str">
        <f>"22126328"</f>
        <v>22126328</v>
      </c>
      <c r="D1887" s="2" t="s">
        <v>1719</v>
      </c>
      <c r="E1887" s="4">
        <v>3500</v>
      </c>
    </row>
    <row r="1888" spans="1:5" ht="26.25" x14ac:dyDescent="0.25">
      <c r="A1888" s="2" t="s">
        <v>1602</v>
      </c>
      <c r="B1888" s="2" t="str">
        <f>"6925871663342"</f>
        <v>6925871663342</v>
      </c>
      <c r="C1888" s="2" t="str">
        <f>"98126364"</f>
        <v>98126364</v>
      </c>
      <c r="D1888" s="2" t="s">
        <v>1720</v>
      </c>
      <c r="E1888" s="4">
        <v>6900</v>
      </c>
    </row>
    <row r="1889" spans="1:5" ht="26.25" x14ac:dyDescent="0.25">
      <c r="A1889" s="2" t="s">
        <v>1602</v>
      </c>
      <c r="B1889" s="2" t="str">
        <f>"6925871663632"</f>
        <v>6925871663632</v>
      </c>
      <c r="C1889" s="2" t="str">
        <f>"22126363"</f>
        <v>22126363</v>
      </c>
      <c r="D1889" s="2" t="s">
        <v>1721</v>
      </c>
      <c r="E1889" s="4">
        <v>3500</v>
      </c>
    </row>
    <row r="1890" spans="1:5" ht="26.25" x14ac:dyDescent="0.25">
      <c r="A1890" s="2" t="s">
        <v>1602</v>
      </c>
      <c r="B1890" s="2" t="str">
        <f>"6925871666121"</f>
        <v>6925871666121</v>
      </c>
      <c r="C1890" s="2" t="str">
        <f>"98126612"</f>
        <v>98126612</v>
      </c>
      <c r="D1890" s="2" t="s">
        <v>1722</v>
      </c>
      <c r="E1890" s="4">
        <v>3500</v>
      </c>
    </row>
    <row r="1891" spans="1:5" ht="26.25" x14ac:dyDescent="0.25">
      <c r="A1891" s="2" t="s">
        <v>1602</v>
      </c>
      <c r="B1891" s="2" t="str">
        <f>"6925871666442"</f>
        <v>6925871666442</v>
      </c>
      <c r="C1891" s="2" t="str">
        <f>"22126644"</f>
        <v>22126644</v>
      </c>
      <c r="D1891" s="2" t="s">
        <v>1723</v>
      </c>
      <c r="E1891" s="4">
        <v>5000</v>
      </c>
    </row>
    <row r="1892" spans="1:5" ht="26.25" x14ac:dyDescent="0.25">
      <c r="A1892" s="2" t="s">
        <v>1602</v>
      </c>
      <c r="B1892" s="2" t="str">
        <f>"6925871666572"</f>
        <v>6925871666572</v>
      </c>
      <c r="C1892" s="2" t="str">
        <f>"98126657"</f>
        <v>98126657</v>
      </c>
      <c r="D1892" s="2" t="s">
        <v>1724</v>
      </c>
      <c r="E1892" s="4">
        <v>5000</v>
      </c>
    </row>
    <row r="1893" spans="1:5" ht="26.25" x14ac:dyDescent="0.25">
      <c r="A1893" s="2" t="s">
        <v>1602</v>
      </c>
      <c r="B1893" s="2" t="str">
        <f>"6925871667180"</f>
        <v>6925871667180</v>
      </c>
      <c r="C1893" s="2" t="str">
        <f>"22126718"</f>
        <v>22126718</v>
      </c>
      <c r="D1893" s="2" t="s">
        <v>1725</v>
      </c>
      <c r="E1893" s="4">
        <v>4490</v>
      </c>
    </row>
    <row r="1894" spans="1:5" ht="26.25" x14ac:dyDescent="0.25">
      <c r="A1894" s="2" t="s">
        <v>1602</v>
      </c>
      <c r="B1894" s="2" t="str">
        <f>"6925871667166"</f>
        <v>6925871667166</v>
      </c>
      <c r="C1894" s="2" t="str">
        <f>"22126716"</f>
        <v>22126716</v>
      </c>
      <c r="D1894" s="2" t="s">
        <v>1726</v>
      </c>
      <c r="E1894" s="4">
        <v>2000</v>
      </c>
    </row>
    <row r="1895" spans="1:5" ht="26.25" x14ac:dyDescent="0.25">
      <c r="A1895" s="2" t="s">
        <v>1602</v>
      </c>
      <c r="B1895" s="2" t="str">
        <f>"6925871667401"</f>
        <v>6925871667401</v>
      </c>
      <c r="C1895" s="2" t="str">
        <f>"22126740"</f>
        <v>22126740</v>
      </c>
      <c r="D1895" s="2" t="s">
        <v>1727</v>
      </c>
      <c r="E1895" s="4">
        <v>8500</v>
      </c>
    </row>
    <row r="1896" spans="1:5" ht="26.25" x14ac:dyDescent="0.25">
      <c r="A1896" s="2" t="s">
        <v>1602</v>
      </c>
      <c r="B1896" s="2" t="str">
        <f>"98126743"</f>
        <v>98126743</v>
      </c>
      <c r="C1896" s="2" t="str">
        <f>"98126743"</f>
        <v>98126743</v>
      </c>
      <c r="D1896" s="2" t="s">
        <v>1728</v>
      </c>
      <c r="E1896" s="4">
        <v>4500</v>
      </c>
    </row>
    <row r="1897" spans="1:5" ht="26.25" x14ac:dyDescent="0.25">
      <c r="A1897" s="2" t="s">
        <v>1602</v>
      </c>
      <c r="B1897" s="2" t="str">
        <f>"6925871667562"</f>
        <v>6925871667562</v>
      </c>
      <c r="C1897" s="2" t="str">
        <f>"98126756"</f>
        <v>98126756</v>
      </c>
      <c r="D1897" s="2" t="s">
        <v>1729</v>
      </c>
      <c r="E1897" s="4">
        <v>4500</v>
      </c>
    </row>
    <row r="1898" spans="1:5" ht="26.25" x14ac:dyDescent="0.25">
      <c r="A1898" s="2" t="s">
        <v>1602</v>
      </c>
      <c r="B1898" s="2" t="str">
        <f>"5103920"</f>
        <v>5103920</v>
      </c>
      <c r="C1898" s="2" t="str">
        <f>"5103920"</f>
        <v>5103920</v>
      </c>
      <c r="D1898" s="2" t="s">
        <v>1730</v>
      </c>
      <c r="E1898" s="4">
        <v>3500</v>
      </c>
    </row>
    <row r="1899" spans="1:5" ht="26.25" x14ac:dyDescent="0.25">
      <c r="A1899" s="2" t="s">
        <v>1602</v>
      </c>
      <c r="B1899" s="2" t="str">
        <f>"7858816021312"</f>
        <v>7858816021312</v>
      </c>
      <c r="C1899" s="2" t="str">
        <f>"87122131"</f>
        <v>87122131</v>
      </c>
      <c r="D1899" s="2" t="s">
        <v>1731</v>
      </c>
      <c r="E1899" s="4">
        <v>3500</v>
      </c>
    </row>
    <row r="1900" spans="1:5" ht="26.25" x14ac:dyDescent="0.25">
      <c r="A1900" s="2" t="s">
        <v>1602</v>
      </c>
      <c r="B1900" s="2" t="str">
        <f>"7858816038600"</f>
        <v>7858816038600</v>
      </c>
      <c r="C1900" s="2" t="str">
        <f>"87123860"</f>
        <v>87123860</v>
      </c>
      <c r="D1900" s="2" t="s">
        <v>1732</v>
      </c>
      <c r="E1900" s="4">
        <v>3990</v>
      </c>
    </row>
    <row r="1901" spans="1:5" ht="26.25" x14ac:dyDescent="0.25">
      <c r="A1901" s="2" t="s">
        <v>1602</v>
      </c>
      <c r="B1901" s="2" t="str">
        <f>"7858816045363"</f>
        <v>7858816045363</v>
      </c>
      <c r="C1901" s="2" t="str">
        <f>"87124536"</f>
        <v>87124536</v>
      </c>
      <c r="D1901" s="2" t="s">
        <v>1733</v>
      </c>
      <c r="E1901" s="4">
        <v>5000</v>
      </c>
    </row>
    <row r="1902" spans="1:5" ht="26.25" x14ac:dyDescent="0.25">
      <c r="A1902" s="2" t="s">
        <v>1602</v>
      </c>
      <c r="B1902" s="2" t="str">
        <f>"7858816051562"</f>
        <v>7858816051562</v>
      </c>
      <c r="C1902" s="2" t="str">
        <f>"87125153"</f>
        <v>87125153</v>
      </c>
      <c r="D1902" s="2" t="s">
        <v>1734</v>
      </c>
      <c r="E1902" s="4">
        <v>3500</v>
      </c>
    </row>
    <row r="1903" spans="1:5" ht="26.25" x14ac:dyDescent="0.25">
      <c r="A1903" s="2" t="s">
        <v>1602</v>
      </c>
      <c r="B1903" s="2" t="str">
        <f>"7858816056192"</f>
        <v>7858816056192</v>
      </c>
      <c r="C1903" s="2" t="str">
        <f>"87125619"</f>
        <v>87125619</v>
      </c>
      <c r="D1903" s="2" t="s">
        <v>1735</v>
      </c>
      <c r="E1903" s="4">
        <v>5990</v>
      </c>
    </row>
    <row r="1904" spans="1:5" ht="26.25" x14ac:dyDescent="0.25">
      <c r="A1904" s="2" t="s">
        <v>1602</v>
      </c>
      <c r="B1904" s="2" t="str">
        <f>"7858816058752"</f>
        <v>7858816058752</v>
      </c>
      <c r="C1904" s="2" t="str">
        <f>"87125875"</f>
        <v>87125875</v>
      </c>
      <c r="D1904" s="2" t="s">
        <v>1736</v>
      </c>
      <c r="E1904" s="4">
        <v>4990</v>
      </c>
    </row>
    <row r="1905" spans="1:5" ht="26.25" x14ac:dyDescent="0.25">
      <c r="A1905" s="2" t="s">
        <v>1602</v>
      </c>
      <c r="B1905" s="2" t="str">
        <f>"7858816059797"</f>
        <v>7858816059797</v>
      </c>
      <c r="C1905" s="2" t="str">
        <f>"98125979"</f>
        <v>98125979</v>
      </c>
      <c r="D1905" s="2" t="s">
        <v>1737</v>
      </c>
      <c r="E1905" s="4">
        <v>3500</v>
      </c>
    </row>
    <row r="1906" spans="1:5" ht="26.25" x14ac:dyDescent="0.25">
      <c r="A1906" s="2" t="s">
        <v>1602</v>
      </c>
      <c r="B1906" s="2" t="str">
        <f>"7858816062209"</f>
        <v>7858816062209</v>
      </c>
      <c r="C1906" s="2" t="str">
        <f>"87126220"</f>
        <v>87126220</v>
      </c>
      <c r="D1906" s="2" t="s">
        <v>1738</v>
      </c>
      <c r="E1906" s="4">
        <v>5500</v>
      </c>
    </row>
    <row r="1907" spans="1:5" ht="26.25" x14ac:dyDescent="0.25">
      <c r="A1907" s="2" t="s">
        <v>1602</v>
      </c>
      <c r="B1907" s="2" t="str">
        <f>"7858816072314"</f>
        <v>7858816072314</v>
      </c>
      <c r="C1907" s="2" t="str">
        <f>"87127231"</f>
        <v>87127231</v>
      </c>
      <c r="D1907" s="2" t="s">
        <v>1739</v>
      </c>
      <c r="E1907" s="4">
        <v>4990</v>
      </c>
    </row>
    <row r="1908" spans="1:5" ht="26.25" x14ac:dyDescent="0.25">
      <c r="A1908" s="2" t="s">
        <v>1602</v>
      </c>
      <c r="B1908" s="2" t="str">
        <f>"7858816072338"</f>
        <v>7858816072338</v>
      </c>
      <c r="C1908" s="2" t="str">
        <f>"871207233"</f>
        <v>871207233</v>
      </c>
      <c r="D1908" s="2" t="s">
        <v>1740</v>
      </c>
      <c r="E1908" s="4">
        <v>4990</v>
      </c>
    </row>
    <row r="1909" spans="1:5" ht="26.25" x14ac:dyDescent="0.25">
      <c r="A1909" s="2" t="s">
        <v>1602</v>
      </c>
      <c r="B1909" s="2" t="str">
        <f>"7858816077234"</f>
        <v>7858816077234</v>
      </c>
      <c r="C1909" s="2" t="str">
        <f>"87127723"</f>
        <v>87127723</v>
      </c>
      <c r="D1909" s="2" t="s">
        <v>1741</v>
      </c>
      <c r="E1909" s="4">
        <v>6990</v>
      </c>
    </row>
    <row r="1910" spans="1:5" ht="26.25" x14ac:dyDescent="0.25">
      <c r="A1910" s="2" t="s">
        <v>1602</v>
      </c>
      <c r="B1910" s="2" t="str">
        <f>"8944870161749"</f>
        <v>8944870161749</v>
      </c>
      <c r="C1910" s="2" t="str">
        <f>"87122102"</f>
        <v>87122102</v>
      </c>
      <c r="D1910" s="2" t="s">
        <v>1742</v>
      </c>
      <c r="E1910" s="4">
        <v>4500</v>
      </c>
    </row>
    <row r="1911" spans="1:5" ht="39" x14ac:dyDescent="0.25">
      <c r="A1911" s="2" t="s">
        <v>1602</v>
      </c>
      <c r="B1911" s="2" t="str">
        <f>"8944870161985"</f>
        <v>8944870161985</v>
      </c>
      <c r="C1911" s="2" t="str">
        <f>"87122002132"</f>
        <v>87122002132</v>
      </c>
      <c r="D1911" s="2" t="s">
        <v>1743</v>
      </c>
      <c r="E1911" s="4">
        <v>4990</v>
      </c>
    </row>
    <row r="1912" spans="1:5" ht="26.25" x14ac:dyDescent="0.25">
      <c r="A1912" s="2" t="s">
        <v>1602</v>
      </c>
      <c r="B1912" s="2" t="str">
        <f>"8944870161732"</f>
        <v>8944870161732</v>
      </c>
      <c r="C1912" s="2" t="str">
        <f>"87122171"</f>
        <v>87122171</v>
      </c>
      <c r="D1912" s="2" t="s">
        <v>1744</v>
      </c>
      <c r="E1912" s="4">
        <v>4990</v>
      </c>
    </row>
    <row r="1913" spans="1:5" ht="26.25" x14ac:dyDescent="0.25">
      <c r="A1913" s="2" t="s">
        <v>1602</v>
      </c>
      <c r="B1913" s="2" t="str">
        <f>"7858816045318"</f>
        <v>7858816045318</v>
      </c>
      <c r="C1913" s="2" t="str">
        <f>"87084531"</f>
        <v>87084531</v>
      </c>
      <c r="D1913" s="2" t="s">
        <v>1745</v>
      </c>
      <c r="E1913" s="4">
        <v>3990</v>
      </c>
    </row>
    <row r="1914" spans="1:5" ht="26.25" x14ac:dyDescent="0.25">
      <c r="A1914" s="2" t="s">
        <v>1602</v>
      </c>
      <c r="B1914" s="2" t="str">
        <f>"3008021"</f>
        <v>3008021</v>
      </c>
      <c r="C1914" s="2" t="str">
        <f>"3008021"</f>
        <v>3008021</v>
      </c>
      <c r="D1914" s="2" t="s">
        <v>1746</v>
      </c>
      <c r="E1914" s="4">
        <v>11900</v>
      </c>
    </row>
    <row r="1915" spans="1:5" ht="26.25" x14ac:dyDescent="0.25">
      <c r="A1915" s="2" t="s">
        <v>1602</v>
      </c>
      <c r="B1915" s="2" t="str">
        <f>"6933138612040"</f>
        <v>6933138612040</v>
      </c>
      <c r="C1915" s="2" t="str">
        <f>"59121204"</f>
        <v>59121204</v>
      </c>
      <c r="D1915" s="2" t="s">
        <v>1747</v>
      </c>
      <c r="E1915" s="4">
        <v>11900</v>
      </c>
    </row>
    <row r="1916" spans="1:5" ht="26.25" x14ac:dyDescent="0.25">
      <c r="A1916" s="2" t="s">
        <v>1602</v>
      </c>
      <c r="B1916" s="2" t="str">
        <f>"39120900"</f>
        <v>39120900</v>
      </c>
      <c r="C1916" s="2" t="str">
        <f>"39120900"</f>
        <v>39120900</v>
      </c>
      <c r="D1916" s="2" t="s">
        <v>1748</v>
      </c>
      <c r="E1916" s="4">
        <v>7500</v>
      </c>
    </row>
    <row r="1917" spans="1:5" ht="26.25" x14ac:dyDescent="0.25">
      <c r="A1917" s="2" t="s">
        <v>1602</v>
      </c>
      <c r="B1917" s="2" t="str">
        <f>"54121400"</f>
        <v>54121400</v>
      </c>
      <c r="C1917" s="2" t="str">
        <f>"54121400"</f>
        <v>54121400</v>
      </c>
      <c r="D1917" s="2" t="s">
        <v>1749</v>
      </c>
      <c r="E1917" s="4">
        <v>7990</v>
      </c>
    </row>
    <row r="1918" spans="1:5" ht="26.25" x14ac:dyDescent="0.25">
      <c r="A1918" s="2" t="s">
        <v>1602</v>
      </c>
      <c r="B1918" s="2" t="str">
        <f>"54121414"</f>
        <v>54121414</v>
      </c>
      <c r="C1918" s="2" t="str">
        <f>"54121414"</f>
        <v>54121414</v>
      </c>
      <c r="D1918" s="2" t="s">
        <v>1749</v>
      </c>
      <c r="E1918" s="4">
        <v>7990</v>
      </c>
    </row>
    <row r="1919" spans="1:5" ht="26.25" x14ac:dyDescent="0.25">
      <c r="A1919" s="2" t="s">
        <v>1602</v>
      </c>
      <c r="B1919" s="2" t="str">
        <f>"6968992886863"</f>
        <v>6968992886863</v>
      </c>
      <c r="C1919" s="2" t="str">
        <f>"41120033"</f>
        <v>41120033</v>
      </c>
      <c r="D1919" s="2" t="s">
        <v>1750</v>
      </c>
      <c r="E1919" s="4">
        <v>7990</v>
      </c>
    </row>
    <row r="1920" spans="1:5" ht="26.25" x14ac:dyDescent="0.25">
      <c r="A1920" s="2" t="s">
        <v>1602</v>
      </c>
      <c r="B1920" s="2" t="str">
        <f>"6925871660297"</f>
        <v>6925871660297</v>
      </c>
      <c r="C1920" s="2" t="str">
        <f>"22126029"</f>
        <v>22126029</v>
      </c>
      <c r="D1920" s="2" t="s">
        <v>1751</v>
      </c>
      <c r="E1920" s="4">
        <v>6500</v>
      </c>
    </row>
    <row r="1921" spans="1:5" ht="26.25" x14ac:dyDescent="0.25">
      <c r="A1921" s="2" t="s">
        <v>1602</v>
      </c>
      <c r="B1921" s="2" t="str">
        <f>"92120032"</f>
        <v>92120032</v>
      </c>
      <c r="C1921" s="2" t="str">
        <f>"92120032"</f>
        <v>92120032</v>
      </c>
      <c r="D1921" s="2" t="s">
        <v>1752</v>
      </c>
      <c r="E1921" s="4">
        <v>11990</v>
      </c>
    </row>
    <row r="1922" spans="1:5" ht="26.25" x14ac:dyDescent="0.25">
      <c r="A1922" s="2" t="s">
        <v>1602</v>
      </c>
      <c r="B1922" s="2" t="str">
        <f>"6901443256433"</f>
        <v>6901443256433</v>
      </c>
      <c r="C1922" s="2" t="str">
        <f>"41120501"</f>
        <v>41120501</v>
      </c>
      <c r="D1922" s="2" t="s">
        <v>1752</v>
      </c>
      <c r="E1922" s="4">
        <v>8500</v>
      </c>
    </row>
    <row r="1923" spans="1:5" ht="26.25" x14ac:dyDescent="0.25">
      <c r="A1923" s="2" t="s">
        <v>1602</v>
      </c>
      <c r="B1923" s="2" t="str">
        <f>"39120500"</f>
        <v>39120500</v>
      </c>
      <c r="C1923" s="2" t="str">
        <f>"39120500"</f>
        <v>39120500</v>
      </c>
      <c r="D1923" s="2" t="s">
        <v>1752</v>
      </c>
      <c r="E1923" s="4">
        <v>8500</v>
      </c>
    </row>
    <row r="1924" spans="1:5" ht="26.25" x14ac:dyDescent="0.25">
      <c r="A1924" s="2" t="s">
        <v>1602</v>
      </c>
      <c r="B1924" s="2" t="str">
        <f>"8806086511162"</f>
        <v>8806086511162</v>
      </c>
      <c r="C1924" s="2" t="str">
        <f>"39121401"</f>
        <v>39121401</v>
      </c>
      <c r="D1924" s="2" t="s">
        <v>1753</v>
      </c>
      <c r="E1924" s="4">
        <v>8500</v>
      </c>
    </row>
    <row r="1925" spans="1:5" ht="26.25" x14ac:dyDescent="0.25">
      <c r="A1925" s="2" t="s">
        <v>1602</v>
      </c>
      <c r="B1925" s="2" t="str">
        <f>"8806071564876"</f>
        <v>8806071564876</v>
      </c>
      <c r="C1925" s="2" t="str">
        <f>"40121402"</f>
        <v>40121402</v>
      </c>
      <c r="D1925" s="2" t="s">
        <v>1753</v>
      </c>
      <c r="E1925" s="4">
        <v>3990</v>
      </c>
    </row>
    <row r="1926" spans="1:5" ht="26.25" x14ac:dyDescent="0.25">
      <c r="A1926" s="2" t="s">
        <v>1602</v>
      </c>
      <c r="B1926" s="2" t="str">
        <f>"1000004796700"</f>
        <v>1000004796700</v>
      </c>
      <c r="C1926" s="2" t="str">
        <f>"76120006"</f>
        <v>76120006</v>
      </c>
      <c r="D1926" s="2" t="s">
        <v>1754</v>
      </c>
      <c r="E1926" s="4">
        <v>6900</v>
      </c>
    </row>
    <row r="1927" spans="1:5" ht="26.25" x14ac:dyDescent="0.25">
      <c r="A1927" s="2" t="s">
        <v>1602</v>
      </c>
      <c r="B1927" s="2" t="str">
        <f>"6905631250050"</f>
        <v>6905631250050</v>
      </c>
      <c r="C1927" s="2" t="str">
        <f>"401225005"</f>
        <v>401225005</v>
      </c>
      <c r="D1927" s="2" t="s">
        <v>1755</v>
      </c>
      <c r="E1927" s="4">
        <v>2500</v>
      </c>
    </row>
    <row r="1928" spans="1:5" ht="26.25" x14ac:dyDescent="0.25">
      <c r="A1928" s="2" t="s">
        <v>1602</v>
      </c>
      <c r="B1928" s="2" t="str">
        <f>"101201114"</f>
        <v>101201114</v>
      </c>
      <c r="C1928" s="2" t="str">
        <f>"101201114"</f>
        <v>101201114</v>
      </c>
      <c r="D1928" s="2" t="s">
        <v>1756</v>
      </c>
      <c r="E1928" s="4">
        <v>3000</v>
      </c>
    </row>
    <row r="1929" spans="1:5" ht="26.25" x14ac:dyDescent="0.25">
      <c r="A1929" s="2" t="s">
        <v>1602</v>
      </c>
      <c r="B1929" s="2" t="str">
        <f>"6905631106135"</f>
        <v>6905631106135</v>
      </c>
      <c r="C1929" s="2" t="str">
        <f>"40120021"</f>
        <v>40120021</v>
      </c>
      <c r="D1929" s="2" t="s">
        <v>1757</v>
      </c>
      <c r="E1929" s="4">
        <v>9990</v>
      </c>
    </row>
    <row r="1930" spans="1:5" ht="26.25" x14ac:dyDescent="0.25">
      <c r="A1930" s="2" t="s">
        <v>1602</v>
      </c>
      <c r="B1930" s="2" t="str">
        <f>"34001146"</f>
        <v>34001146</v>
      </c>
      <c r="C1930" s="2" t="str">
        <f>"34001146"</f>
        <v>34001146</v>
      </c>
      <c r="D1930" s="2" t="s">
        <v>1758</v>
      </c>
      <c r="E1930" s="4">
        <v>3000</v>
      </c>
    </row>
    <row r="1931" spans="1:5" ht="26.25" x14ac:dyDescent="0.25">
      <c r="A1931" s="2" t="s">
        <v>1602</v>
      </c>
      <c r="B1931" s="2" t="str">
        <f>"1000001075709"</f>
        <v>1000001075709</v>
      </c>
      <c r="C1931" s="2" t="str">
        <f>"76120009"</f>
        <v>76120009</v>
      </c>
      <c r="D1931" s="2" t="s">
        <v>1759</v>
      </c>
      <c r="E1931" s="4">
        <v>9900</v>
      </c>
    </row>
    <row r="1932" spans="1:5" ht="26.25" x14ac:dyDescent="0.25">
      <c r="A1932" s="2" t="s">
        <v>1602</v>
      </c>
      <c r="B1932" s="2" t="str">
        <f>"86120501"</f>
        <v>86120501</v>
      </c>
      <c r="C1932" s="2" t="str">
        <f>"86120501"</f>
        <v>86120501</v>
      </c>
      <c r="D1932" s="2" t="s">
        <v>1760</v>
      </c>
      <c r="E1932" s="4">
        <v>2900</v>
      </c>
    </row>
    <row r="1933" spans="1:5" ht="26.25" x14ac:dyDescent="0.25">
      <c r="A1933" s="2" t="s">
        <v>1602</v>
      </c>
      <c r="B1933" s="2" t="str">
        <f>"86120500"</f>
        <v>86120500</v>
      </c>
      <c r="C1933" s="2" t="str">
        <f>"86120500"</f>
        <v>86120500</v>
      </c>
      <c r="D1933" s="2" t="s">
        <v>1760</v>
      </c>
      <c r="E1933" s="4">
        <v>2900</v>
      </c>
    </row>
    <row r="1934" spans="1:5" ht="26.25" x14ac:dyDescent="0.25">
      <c r="A1934" s="2" t="s">
        <v>1602</v>
      </c>
      <c r="B1934" s="2" t="str">
        <f>"6901443267446"</f>
        <v>6901443267446</v>
      </c>
      <c r="C1934" s="2" t="str">
        <f>"92120084"</f>
        <v>92120084</v>
      </c>
      <c r="D1934" s="2" t="s">
        <v>1761</v>
      </c>
      <c r="E1934" s="4">
        <v>19990</v>
      </c>
    </row>
    <row r="1935" spans="1:5" ht="26.25" x14ac:dyDescent="0.25">
      <c r="A1935" s="2" t="s">
        <v>1602</v>
      </c>
      <c r="B1935" s="2" t="str">
        <f>"6901443080274"</f>
        <v>6901443080274</v>
      </c>
      <c r="C1935" s="2" t="str">
        <f>"79HUE0AP32"</f>
        <v>79HUE0AP32</v>
      </c>
      <c r="D1935" s="2" t="s">
        <v>1762</v>
      </c>
      <c r="E1935" s="4">
        <v>17990</v>
      </c>
    </row>
    <row r="1936" spans="1:5" ht="26.25" x14ac:dyDescent="0.25">
      <c r="A1936" s="2" t="s">
        <v>1602</v>
      </c>
      <c r="B1936" s="2" t="str">
        <f>"6901143156719"</f>
        <v>6901143156719</v>
      </c>
      <c r="C1936" s="2" t="str">
        <f>"39121414"</f>
        <v>39121414</v>
      </c>
      <c r="D1936" s="2" t="s">
        <v>1763</v>
      </c>
      <c r="E1936" s="4">
        <v>8000</v>
      </c>
    </row>
    <row r="1937" spans="1:5" ht="26.25" x14ac:dyDescent="0.25">
      <c r="A1937" s="2" t="s">
        <v>1602</v>
      </c>
      <c r="B1937" s="2" t="str">
        <f>"6925871602587"</f>
        <v>6925871602587</v>
      </c>
      <c r="C1937" s="2" t="str">
        <f>"22120258"</f>
        <v>22120258</v>
      </c>
      <c r="D1937" s="2" t="s">
        <v>1764</v>
      </c>
      <c r="E1937" s="4">
        <v>5990</v>
      </c>
    </row>
    <row r="1938" spans="1:5" ht="26.25" x14ac:dyDescent="0.25">
      <c r="A1938" s="2" t="s">
        <v>1602</v>
      </c>
      <c r="B1938" s="2" t="str">
        <f>"6925871602594"</f>
        <v>6925871602594</v>
      </c>
      <c r="C1938" s="2" t="str">
        <f>"22120259"</f>
        <v>22120259</v>
      </c>
      <c r="D1938" s="2" t="s">
        <v>1765</v>
      </c>
      <c r="E1938" s="4">
        <v>6990</v>
      </c>
    </row>
    <row r="1939" spans="1:5" ht="26.25" x14ac:dyDescent="0.25">
      <c r="A1939" s="2" t="s">
        <v>1602</v>
      </c>
      <c r="B1939" s="2" t="str">
        <f>"7858816084287"</f>
        <v>7858816084287</v>
      </c>
      <c r="C1939" s="2" t="str">
        <f>"87128428"</f>
        <v>87128428</v>
      </c>
      <c r="D1939" s="2" t="s">
        <v>1766</v>
      </c>
      <c r="E1939" s="4">
        <v>14990</v>
      </c>
    </row>
    <row r="1940" spans="1:5" ht="39" x14ac:dyDescent="0.25">
      <c r="A1940" s="2" t="s">
        <v>1602</v>
      </c>
      <c r="B1940" s="2" t="str">
        <f>"6901004411707"</f>
        <v>6901004411707</v>
      </c>
      <c r="C1940" s="2" t="str">
        <f>"1588953936672"</f>
        <v>1588953936672</v>
      </c>
      <c r="D1940" s="2" t="s">
        <v>1767</v>
      </c>
      <c r="E1940" s="4">
        <v>7000</v>
      </c>
    </row>
    <row r="1941" spans="1:5" ht="39" x14ac:dyDescent="0.25">
      <c r="A1941" s="2" t="s">
        <v>1602</v>
      </c>
      <c r="B1941" s="2" t="str">
        <f>"6901004411509"</f>
        <v>6901004411509</v>
      </c>
      <c r="C1941" s="2" t="str">
        <f>"1588953896086"</f>
        <v>1588953896086</v>
      </c>
      <c r="D1941" s="2" t="s">
        <v>1768</v>
      </c>
      <c r="E1941" s="4">
        <v>7000</v>
      </c>
    </row>
    <row r="1942" spans="1:5" ht="39" x14ac:dyDescent="0.25">
      <c r="A1942" s="2" t="s">
        <v>1602</v>
      </c>
      <c r="B1942" s="2" t="str">
        <f>"6901004410618"</f>
        <v>6901004410618</v>
      </c>
      <c r="C1942" s="2" t="str">
        <f>"1588953576809"</f>
        <v>1588953576809</v>
      </c>
      <c r="D1942" s="2" t="s">
        <v>1769</v>
      </c>
      <c r="E1942" s="4">
        <v>5000</v>
      </c>
    </row>
    <row r="1943" spans="1:5" ht="39" x14ac:dyDescent="0.25">
      <c r="A1943" s="2" t="s">
        <v>1602</v>
      </c>
      <c r="B1943" s="2" t="str">
        <f>"6901004411462"</f>
        <v>6901004411462</v>
      </c>
      <c r="C1943" s="2" t="str">
        <f>"1588953759348"</f>
        <v>1588953759348</v>
      </c>
      <c r="D1943" s="2" t="s">
        <v>1770</v>
      </c>
      <c r="E1943" s="4">
        <v>5000</v>
      </c>
    </row>
    <row r="1944" spans="1:5" ht="39" x14ac:dyDescent="0.25">
      <c r="A1944" s="2" t="s">
        <v>1602</v>
      </c>
      <c r="B1944" s="2" t="str">
        <f>"6901004410038"</f>
        <v>6901004410038</v>
      </c>
      <c r="C1944" s="2" t="str">
        <f>"1588953665891"</f>
        <v>1588953665891</v>
      </c>
      <c r="D1944" s="2" t="s">
        <v>1771</v>
      </c>
      <c r="E1944" s="4">
        <v>5000</v>
      </c>
    </row>
    <row r="1945" spans="1:5" ht="26.25" x14ac:dyDescent="0.25">
      <c r="A1945" s="2" t="s">
        <v>1602</v>
      </c>
      <c r="B1945" s="2" t="str">
        <f>"10001349"</f>
        <v>10001349</v>
      </c>
      <c r="C1945" s="2" t="str">
        <f>"10001349"</f>
        <v>10001349</v>
      </c>
      <c r="D1945" s="2" t="s">
        <v>1772</v>
      </c>
      <c r="E1945" s="4">
        <v>3500</v>
      </c>
    </row>
    <row r="1946" spans="1:5" ht="26.25" x14ac:dyDescent="0.25">
      <c r="A1946" s="2" t="s">
        <v>1602</v>
      </c>
      <c r="B1946" s="2" t="str">
        <f>"76020510"</f>
        <v>76020510</v>
      </c>
      <c r="C1946" s="2" t="str">
        <f>"76020510"</f>
        <v>76020510</v>
      </c>
      <c r="D1946" s="2" t="s">
        <v>1773</v>
      </c>
      <c r="E1946" s="4">
        <v>3000</v>
      </c>
    </row>
    <row r="1947" spans="1:5" ht="26.25" x14ac:dyDescent="0.25">
      <c r="A1947" s="2" t="s">
        <v>1602</v>
      </c>
      <c r="B1947" s="2" t="str">
        <f>"34120715"</f>
        <v>34120715</v>
      </c>
      <c r="C1947" s="2" t="str">
        <f>"34120715"</f>
        <v>34120715</v>
      </c>
      <c r="D1947" s="2" t="s">
        <v>1774</v>
      </c>
      <c r="E1947" s="4">
        <v>4500</v>
      </c>
    </row>
    <row r="1948" spans="1:5" ht="26.25" x14ac:dyDescent="0.25">
      <c r="A1948" s="2" t="s">
        <v>1602</v>
      </c>
      <c r="B1948" s="2" t="str">
        <f>"41120701"</f>
        <v>41120701</v>
      </c>
      <c r="C1948" s="2" t="str">
        <f>"41120701"</f>
        <v>41120701</v>
      </c>
      <c r="D1948" s="2" t="s">
        <v>1775</v>
      </c>
      <c r="E1948" s="4">
        <v>14990</v>
      </c>
    </row>
    <row r="1949" spans="1:5" ht="26.25" x14ac:dyDescent="0.25">
      <c r="A1949" s="2" t="s">
        <v>1602</v>
      </c>
      <c r="B1949" s="2" t="str">
        <f>"885909627363"</f>
        <v>885909627363</v>
      </c>
      <c r="C1949" s="2" t="str">
        <f>"86120700"</f>
        <v>86120700</v>
      </c>
      <c r="D1949" s="2" t="s">
        <v>1776</v>
      </c>
      <c r="E1949" s="4">
        <v>3500</v>
      </c>
    </row>
    <row r="1950" spans="1:5" ht="26.25" x14ac:dyDescent="0.25">
      <c r="A1950" s="2" t="s">
        <v>1602</v>
      </c>
      <c r="B1950" s="2" t="str">
        <f>"6956116750978"</f>
        <v>6956116750978</v>
      </c>
      <c r="C1950" s="2" t="str">
        <f>"40120221"</f>
        <v>40120221</v>
      </c>
      <c r="D1950" s="2" t="s">
        <v>1777</v>
      </c>
      <c r="E1950" s="4">
        <v>7500</v>
      </c>
    </row>
    <row r="1951" spans="1:5" ht="26.25" x14ac:dyDescent="0.25">
      <c r="A1951" s="2" t="s">
        <v>1602</v>
      </c>
      <c r="B1951" s="2" t="str">
        <f>"6933138633045"</f>
        <v>6933138633045</v>
      </c>
      <c r="C1951" s="2" t="str">
        <f>"49120034"</f>
        <v>49120034</v>
      </c>
      <c r="D1951" s="2" t="s">
        <v>1778</v>
      </c>
      <c r="E1951" s="4">
        <v>10500</v>
      </c>
    </row>
    <row r="1952" spans="1:5" ht="26.25" x14ac:dyDescent="0.25">
      <c r="A1952" s="2" t="s">
        <v>1602</v>
      </c>
      <c r="B1952" s="2" t="str">
        <f>"49120700"</f>
        <v>49120700</v>
      </c>
      <c r="C1952" s="2" t="str">
        <f>"49120700"</f>
        <v>49120700</v>
      </c>
      <c r="D1952" s="2" t="s">
        <v>1779</v>
      </c>
      <c r="E1952" s="4">
        <v>11400</v>
      </c>
    </row>
    <row r="1953" spans="1:5" ht="26.25" x14ac:dyDescent="0.25">
      <c r="A1953" s="2" t="s">
        <v>1602</v>
      </c>
      <c r="B1953" s="2" t="str">
        <f>"49120001"</f>
        <v>49120001</v>
      </c>
      <c r="C1953" s="2" t="str">
        <f>"49120001"</f>
        <v>49120001</v>
      </c>
      <c r="D1953" s="2" t="s">
        <v>1780</v>
      </c>
      <c r="E1953" s="4">
        <v>11400</v>
      </c>
    </row>
    <row r="1954" spans="1:5" ht="39" x14ac:dyDescent="0.25">
      <c r="A1954" s="2" t="s">
        <v>1602</v>
      </c>
      <c r="B1954" s="2" t="str">
        <f>"6938981509226"</f>
        <v>6938981509226</v>
      </c>
      <c r="C1954" s="2" t="str">
        <f>"6938981509325"</f>
        <v>6938981509325</v>
      </c>
      <c r="D1954" s="2" t="s">
        <v>1781</v>
      </c>
      <c r="E1954" s="4">
        <v>3000</v>
      </c>
    </row>
    <row r="1955" spans="1:5" ht="26.25" x14ac:dyDescent="0.25">
      <c r="A1955" s="2" t="s">
        <v>1602</v>
      </c>
      <c r="B1955" s="2" t="str">
        <f>"6995411110100"</f>
        <v>6995411110100</v>
      </c>
      <c r="C1955" s="2" t="str">
        <f>"76120001"</f>
        <v>76120001</v>
      </c>
      <c r="D1955" s="2" t="s">
        <v>1782</v>
      </c>
      <c r="E1955" s="4">
        <v>5990</v>
      </c>
    </row>
    <row r="1956" spans="1:5" ht="26.25" x14ac:dyDescent="0.25">
      <c r="A1956" s="2" t="s">
        <v>1602</v>
      </c>
      <c r="B1956" s="2" t="str">
        <f>"76126000"</f>
        <v>76126000</v>
      </c>
      <c r="C1956" s="2" t="str">
        <f>"76126000"</f>
        <v>76126000</v>
      </c>
      <c r="D1956" s="2" t="s">
        <v>1783</v>
      </c>
      <c r="E1956" s="4">
        <v>5000</v>
      </c>
    </row>
    <row r="1957" spans="1:5" ht="26.25" x14ac:dyDescent="0.25">
      <c r="A1957" s="2" t="s">
        <v>1602</v>
      </c>
      <c r="B1957" s="2" t="str">
        <f>"6967850656181"</f>
        <v>6967850656181</v>
      </c>
      <c r="C1957" s="2" t="str">
        <f>"86121010"</f>
        <v>86121010</v>
      </c>
      <c r="D1957" s="2" t="s">
        <v>1784</v>
      </c>
      <c r="E1957" s="4">
        <v>6900</v>
      </c>
    </row>
    <row r="1958" spans="1:5" ht="26.25" x14ac:dyDescent="0.25">
      <c r="A1958" s="2" t="s">
        <v>1602</v>
      </c>
      <c r="B1958" s="2" t="str">
        <f>"5626890043924"</f>
        <v>5626890043924</v>
      </c>
      <c r="C1958" s="2" t="str">
        <f>"28124392"</f>
        <v>28124392</v>
      </c>
      <c r="D1958" s="2" t="s">
        <v>1785</v>
      </c>
      <c r="E1958" s="4">
        <v>3500</v>
      </c>
    </row>
    <row r="1959" spans="1:5" ht="26.25" x14ac:dyDescent="0.25">
      <c r="A1959" s="2" t="s">
        <v>1602</v>
      </c>
      <c r="B1959" s="2" t="str">
        <f>"005141"</f>
        <v>005141</v>
      </c>
      <c r="C1959" s="2" t="str">
        <f>"33121400"</f>
        <v>33121400</v>
      </c>
      <c r="D1959" s="2" t="s">
        <v>1786</v>
      </c>
      <c r="E1959" s="4">
        <v>15850</v>
      </c>
    </row>
    <row r="1960" spans="1:5" ht="26.25" x14ac:dyDescent="0.25">
      <c r="A1960" s="2" t="s">
        <v>1602</v>
      </c>
      <c r="B1960" s="2" t="str">
        <f>"138055651547"</f>
        <v>138055651547</v>
      </c>
      <c r="C1960" s="2" t="str">
        <f>"10110065"</f>
        <v>10110065</v>
      </c>
      <c r="D1960" s="2" t="s">
        <v>1787</v>
      </c>
      <c r="E1960" s="4">
        <v>5500</v>
      </c>
    </row>
    <row r="1961" spans="1:5" ht="26.25" x14ac:dyDescent="0.25">
      <c r="A1961" s="2" t="s">
        <v>1602</v>
      </c>
      <c r="B1961" s="2" t="str">
        <f>"76120715"</f>
        <v>76120715</v>
      </c>
      <c r="C1961" s="2" t="str">
        <f>"76120715"</f>
        <v>76120715</v>
      </c>
      <c r="D1961" s="2" t="s">
        <v>1788</v>
      </c>
      <c r="E1961" s="4">
        <v>2900</v>
      </c>
    </row>
    <row r="1962" spans="1:5" ht="26.25" x14ac:dyDescent="0.25">
      <c r="A1962" s="2" t="s">
        <v>1602</v>
      </c>
      <c r="B1962" s="2" t="str">
        <f>"6970463502226"</f>
        <v>6970463502226</v>
      </c>
      <c r="C1962" s="2" t="str">
        <f>"86121420"</f>
        <v>86121420</v>
      </c>
      <c r="D1962" s="2" t="s">
        <v>1789</v>
      </c>
      <c r="E1962" s="4">
        <v>6900</v>
      </c>
    </row>
    <row r="1963" spans="1:5" ht="26.25" x14ac:dyDescent="0.25">
      <c r="A1963" s="2" t="s">
        <v>1602</v>
      </c>
      <c r="B1963" s="2" t="str">
        <f>"79121414"</f>
        <v>79121414</v>
      </c>
      <c r="C1963" s="2" t="str">
        <f>"79121414"</f>
        <v>79121414</v>
      </c>
      <c r="D1963" s="2" t="s">
        <v>1790</v>
      </c>
      <c r="E1963" s="4">
        <v>24990</v>
      </c>
    </row>
    <row r="1964" spans="1:5" ht="26.25" x14ac:dyDescent="0.25">
      <c r="A1964" s="2" t="s">
        <v>1602</v>
      </c>
      <c r="B1964" s="2" t="str">
        <f>"8806071740836"</f>
        <v>8806071740836</v>
      </c>
      <c r="C1964" s="2" t="str">
        <f>"79ORG95221"</f>
        <v>79ORG95221</v>
      </c>
      <c r="D1964" s="2" t="s">
        <v>1790</v>
      </c>
      <c r="E1964" s="4">
        <v>16990</v>
      </c>
    </row>
    <row r="1965" spans="1:5" ht="26.25" x14ac:dyDescent="0.25">
      <c r="A1965" s="2" t="s">
        <v>1602</v>
      </c>
      <c r="B1965" s="2" t="str">
        <f>"8801643278960"</f>
        <v>8801643278960</v>
      </c>
      <c r="C1965" s="2" t="str">
        <f>"63121401"</f>
        <v>63121401</v>
      </c>
      <c r="D1965" s="2" t="s">
        <v>1791</v>
      </c>
      <c r="E1965" s="4">
        <v>21990</v>
      </c>
    </row>
    <row r="1966" spans="1:5" ht="26.25" x14ac:dyDescent="0.25">
      <c r="A1966" s="2" t="s">
        <v>1602</v>
      </c>
      <c r="B1966" s="2" t="str">
        <f>"87121265"</f>
        <v>87121265</v>
      </c>
      <c r="C1966" s="2" t="str">
        <f>"87121265"</f>
        <v>87121265</v>
      </c>
      <c r="D1966" s="2" t="s">
        <v>1792</v>
      </c>
      <c r="E1966" s="4">
        <v>2000</v>
      </c>
    </row>
    <row r="1967" spans="1:5" ht="26.25" x14ac:dyDescent="0.25">
      <c r="A1967" s="2" t="s">
        <v>1602</v>
      </c>
      <c r="B1967" s="2" t="str">
        <f>"92120502"</f>
        <v>92120502</v>
      </c>
      <c r="C1967" s="2" t="str">
        <f>"92120502"</f>
        <v>92120502</v>
      </c>
      <c r="D1967" s="2" t="s">
        <v>1793</v>
      </c>
      <c r="E1967" s="4">
        <v>15990</v>
      </c>
    </row>
    <row r="1968" spans="1:5" ht="26.25" x14ac:dyDescent="0.25">
      <c r="A1968" s="2" t="s">
        <v>1602</v>
      </c>
      <c r="B1968" s="2" t="str">
        <f>"6901443267439"</f>
        <v>6901443267439</v>
      </c>
      <c r="C1968" s="2" t="str">
        <f>"63120500"</f>
        <v>63120500</v>
      </c>
      <c r="D1968" s="2" t="s">
        <v>1793</v>
      </c>
      <c r="E1968" s="4">
        <v>16500</v>
      </c>
    </row>
    <row r="1969" spans="1:5" ht="26.25" x14ac:dyDescent="0.25">
      <c r="A1969" s="2" t="s">
        <v>1602</v>
      </c>
      <c r="B1969" s="2" t="str">
        <f>"6901443156689"</f>
        <v>6901443156689</v>
      </c>
      <c r="C1969" s="2" t="str">
        <f>"41121414"</f>
        <v>41121414</v>
      </c>
      <c r="D1969" s="2" t="s">
        <v>1794</v>
      </c>
      <c r="E1969" s="4">
        <v>4990</v>
      </c>
    </row>
    <row r="1970" spans="1:5" ht="26.25" x14ac:dyDescent="0.25">
      <c r="A1970" s="2" t="s">
        <v>1602</v>
      </c>
      <c r="B1970" s="2" t="str">
        <f>"6971083496254"</f>
        <v>6971083496254</v>
      </c>
      <c r="C1970" s="2" t="str">
        <f>"41126254"</f>
        <v>41126254</v>
      </c>
      <c r="D1970" s="2" t="s">
        <v>1795</v>
      </c>
      <c r="E1970" s="4">
        <v>8500</v>
      </c>
    </row>
    <row r="1971" spans="1:5" ht="26.25" x14ac:dyDescent="0.25">
      <c r="A1971" s="2" t="s">
        <v>1602</v>
      </c>
      <c r="B1971" s="2" t="str">
        <f>"10011460"</f>
        <v>10011460</v>
      </c>
      <c r="C1971" s="2" t="str">
        <f>"10011460"</f>
        <v>10011460</v>
      </c>
      <c r="D1971" s="2" t="s">
        <v>1796</v>
      </c>
      <c r="E1971" s="4">
        <v>6500</v>
      </c>
    </row>
    <row r="1972" spans="1:5" ht="26.25" x14ac:dyDescent="0.25">
      <c r="A1972" s="2" t="s">
        <v>1602</v>
      </c>
      <c r="B1972" s="2" t="str">
        <f>"7820099880801"</f>
        <v>7820099880801</v>
      </c>
      <c r="C1972" s="2" t="str">
        <f>"54120900"</f>
        <v>54120900</v>
      </c>
      <c r="D1972" s="2" t="s">
        <v>1797</v>
      </c>
      <c r="E1972" s="4">
        <v>6990</v>
      </c>
    </row>
    <row r="1973" spans="1:5" ht="39" x14ac:dyDescent="0.25">
      <c r="A1973" s="2" t="s">
        <v>1602</v>
      </c>
      <c r="B1973" s="2" t="str">
        <f>"7237558977413"</f>
        <v>7237558977413</v>
      </c>
      <c r="C1973" s="2" t="str">
        <f>"7237558977796"</f>
        <v>7237558977796</v>
      </c>
      <c r="D1973" s="2" t="s">
        <v>1798</v>
      </c>
      <c r="E1973" s="4">
        <v>9990</v>
      </c>
    </row>
    <row r="1974" spans="1:5" ht="26.25" x14ac:dyDescent="0.25">
      <c r="A1974" s="2" t="s">
        <v>1602</v>
      </c>
      <c r="B1974" s="2" t="str">
        <f>"7811158501799"</f>
        <v>7811158501799</v>
      </c>
      <c r="C1974" s="2" t="str">
        <f>"54121000"</f>
        <v>54121000</v>
      </c>
      <c r="D1974" s="2" t="s">
        <v>1799</v>
      </c>
      <c r="E1974" s="4">
        <v>8990</v>
      </c>
    </row>
    <row r="1975" spans="1:5" ht="26.25" x14ac:dyDescent="0.25">
      <c r="A1975" s="2" t="s">
        <v>1602</v>
      </c>
      <c r="B1975" s="2" t="str">
        <f>"745883636518"</f>
        <v>745883636518</v>
      </c>
      <c r="C1975" s="2" t="str">
        <f>"42121000"</f>
        <v>42121000</v>
      </c>
      <c r="D1975" s="2" t="s">
        <v>1800</v>
      </c>
      <c r="E1975" s="4">
        <v>7990</v>
      </c>
    </row>
    <row r="1976" spans="1:5" ht="26.25" x14ac:dyDescent="0.25">
      <c r="A1976" s="2" t="s">
        <v>1602</v>
      </c>
      <c r="B1976" s="2" t="str">
        <f>"3303201709732"</f>
        <v>3303201709732</v>
      </c>
      <c r="C1976" s="2" t="str">
        <f>"41120001"</f>
        <v>41120001</v>
      </c>
      <c r="D1976" s="2" t="s">
        <v>1801</v>
      </c>
      <c r="E1976" s="4">
        <v>4900</v>
      </c>
    </row>
    <row r="1977" spans="1:5" ht="26.25" x14ac:dyDescent="0.25">
      <c r="A1977" s="2" t="s">
        <v>1602</v>
      </c>
      <c r="B1977" s="2" t="str">
        <f>"6686996215136"</f>
        <v>6686996215136</v>
      </c>
      <c r="C1977" s="2" t="str">
        <f>"41120002"</f>
        <v>41120002</v>
      </c>
      <c r="D1977" s="2" t="s">
        <v>1801</v>
      </c>
      <c r="E1977" s="4">
        <v>4900</v>
      </c>
    </row>
    <row r="1978" spans="1:5" ht="26.25" x14ac:dyDescent="0.25">
      <c r="A1978" s="2" t="s">
        <v>1602</v>
      </c>
      <c r="B1978" s="2" t="str">
        <f>"6686996419862"</f>
        <v>6686996419862</v>
      </c>
      <c r="C1978" s="2" t="str">
        <f>"54121986"</f>
        <v>54121986</v>
      </c>
      <c r="D1978" s="2" t="s">
        <v>1802</v>
      </c>
      <c r="E1978" s="4">
        <v>15990</v>
      </c>
    </row>
    <row r="1979" spans="1:5" ht="26.25" x14ac:dyDescent="0.25">
      <c r="A1979" s="2" t="s">
        <v>1602</v>
      </c>
      <c r="B1979" s="2" t="str">
        <f>"6959633349946"</f>
        <v>6959633349946</v>
      </c>
      <c r="C1979" s="2" t="str">
        <f>"79129946"</f>
        <v>79129946</v>
      </c>
      <c r="D1979" s="2" t="s">
        <v>1803</v>
      </c>
      <c r="E1979" s="4">
        <v>14990</v>
      </c>
    </row>
    <row r="1980" spans="1:5" ht="26.25" x14ac:dyDescent="0.25">
      <c r="A1980" s="2" t="s">
        <v>1602</v>
      </c>
      <c r="B1980" s="2" t="str">
        <f>"190198886699"</f>
        <v>190198886699</v>
      </c>
      <c r="C1980" s="2" t="str">
        <f>"39120700"</f>
        <v>39120700</v>
      </c>
      <c r="D1980" s="2" t="s">
        <v>1804</v>
      </c>
      <c r="E1980" s="4">
        <v>14990</v>
      </c>
    </row>
    <row r="1981" spans="1:5" ht="26.25" x14ac:dyDescent="0.25">
      <c r="A1981" s="2" t="s">
        <v>1602</v>
      </c>
      <c r="B1981" s="2" t="str">
        <f>"86650715"</f>
        <v>86650715</v>
      </c>
      <c r="C1981" s="2" t="str">
        <f>"86650715"</f>
        <v>86650715</v>
      </c>
      <c r="D1981" s="2" t="s">
        <v>1805</v>
      </c>
      <c r="E1981" s="4">
        <v>4990</v>
      </c>
    </row>
    <row r="1982" spans="1:5" ht="26.25" x14ac:dyDescent="0.25">
      <c r="A1982" s="2" t="s">
        <v>1602</v>
      </c>
      <c r="B1982" s="2" t="str">
        <f>"7298229021651"</f>
        <v>7298229021651</v>
      </c>
      <c r="C1982" s="2" t="str">
        <f>"29TNBMC165"</f>
        <v>29TNBMC165</v>
      </c>
      <c r="D1982" s="2" t="s">
        <v>1806</v>
      </c>
      <c r="E1982" s="4">
        <v>23990</v>
      </c>
    </row>
    <row r="1983" spans="1:5" ht="26.25" x14ac:dyDescent="0.25">
      <c r="A1983" s="2" t="s">
        <v>1602</v>
      </c>
      <c r="B1983" s="2" t="str">
        <f>"6925871660235"</f>
        <v>6925871660235</v>
      </c>
      <c r="C1983" s="2" t="str">
        <f>"98126023"</f>
        <v>98126023</v>
      </c>
      <c r="D1983" s="2" t="s">
        <v>1807</v>
      </c>
      <c r="E1983" s="4">
        <v>4800</v>
      </c>
    </row>
    <row r="1984" spans="1:5" ht="26.25" x14ac:dyDescent="0.25">
      <c r="A1984" s="2" t="s">
        <v>21</v>
      </c>
      <c r="B1984" s="2" t="str">
        <f>"7858816047763"</f>
        <v>7858816047763</v>
      </c>
      <c r="C1984" s="2" t="str">
        <f>"87124776"</f>
        <v>87124776</v>
      </c>
      <c r="D1984" s="2" t="s">
        <v>1808</v>
      </c>
      <c r="E1984" s="4">
        <v>2990</v>
      </c>
    </row>
    <row r="1985" spans="1:5" ht="26.25" x14ac:dyDescent="0.25">
      <c r="A1985" s="2" t="s">
        <v>1602</v>
      </c>
      <c r="B1985" s="2" t="str">
        <f>"6950355170450"</f>
        <v>6950355170450</v>
      </c>
      <c r="C1985" s="2" t="str">
        <f>"10002377"</f>
        <v>10002377</v>
      </c>
      <c r="D1985" s="2" t="s">
        <v>1809</v>
      </c>
      <c r="E1985" s="4">
        <v>7990</v>
      </c>
    </row>
    <row r="1986" spans="1:5" ht="26.25" x14ac:dyDescent="0.25">
      <c r="A1986" s="2" t="s">
        <v>21</v>
      </c>
      <c r="B1986" s="2" t="str">
        <f>"6937170420083"</f>
        <v>6937170420083</v>
      </c>
      <c r="C1986" s="2" t="str">
        <f>"10002491"</f>
        <v>10002491</v>
      </c>
      <c r="D1986" s="2" t="s">
        <v>1810</v>
      </c>
      <c r="E1986" s="4">
        <v>8500</v>
      </c>
    </row>
    <row r="1987" spans="1:5" ht="26.25" x14ac:dyDescent="0.25">
      <c r="A1987" s="2" t="s">
        <v>916</v>
      </c>
      <c r="B1987" s="2" t="str">
        <f>"6931803160513"</f>
        <v>6931803160513</v>
      </c>
      <c r="C1987" s="2" t="str">
        <f>"42ULX9580J"</f>
        <v>42ULX9580J</v>
      </c>
      <c r="D1987" s="2" t="s">
        <v>1811</v>
      </c>
      <c r="E1987" s="4">
        <v>5990</v>
      </c>
    </row>
    <row r="1988" spans="1:5" ht="26.25" x14ac:dyDescent="0.25">
      <c r="A1988" s="2" t="s">
        <v>916</v>
      </c>
      <c r="B1988" s="2" t="str">
        <f>"6931803160483"</f>
        <v>6931803160483</v>
      </c>
      <c r="C1988" s="2" t="str">
        <f>"98129580"</f>
        <v>98129580</v>
      </c>
      <c r="D1988" s="2" t="s">
        <v>1812</v>
      </c>
      <c r="E1988" s="4">
        <v>5000</v>
      </c>
    </row>
    <row r="1989" spans="1:5" ht="26.25" x14ac:dyDescent="0.25">
      <c r="A1989" s="2" t="s">
        <v>1602</v>
      </c>
      <c r="B1989" s="2" t="str">
        <f>"7168292306712"</f>
        <v>7168292306712</v>
      </c>
      <c r="C1989" s="2" t="str">
        <f>"98929700"</f>
        <v>98929700</v>
      </c>
      <c r="D1989" s="2" t="s">
        <v>1813</v>
      </c>
      <c r="E1989" s="4">
        <v>7500</v>
      </c>
    </row>
    <row r="1990" spans="1:5" ht="26.25" x14ac:dyDescent="0.25">
      <c r="A1990" s="2" t="s">
        <v>916</v>
      </c>
      <c r="B1990" s="2" t="str">
        <f>"7168242985431"</f>
        <v>7168242985431</v>
      </c>
      <c r="C1990" s="2" t="str">
        <f>"98929854"</f>
        <v>98929854</v>
      </c>
      <c r="D1990" s="2" t="s">
        <v>1814</v>
      </c>
      <c r="E1990" s="4">
        <v>10990</v>
      </c>
    </row>
    <row r="1991" spans="1:5" ht="26.25" x14ac:dyDescent="0.25">
      <c r="A1991" s="2" t="s">
        <v>1602</v>
      </c>
      <c r="B1991" s="2" t="str">
        <f>"66007969"</f>
        <v>66007969</v>
      </c>
      <c r="C1991" s="2" t="str">
        <f>"66007969"</f>
        <v>66007969</v>
      </c>
      <c r="D1991" s="2" t="s">
        <v>1815</v>
      </c>
      <c r="E1991" s="4">
        <v>9000</v>
      </c>
    </row>
    <row r="1992" spans="1:5" ht="26.25" x14ac:dyDescent="0.25">
      <c r="A1992" s="2" t="s">
        <v>1602</v>
      </c>
      <c r="B1992" s="2" t="str">
        <f>"6925871660648"</f>
        <v>6925871660648</v>
      </c>
      <c r="C1992" s="2" t="str">
        <f>"22126064"</f>
        <v>22126064</v>
      </c>
      <c r="D1992" s="2" t="s">
        <v>1816</v>
      </c>
      <c r="E1992" s="4">
        <v>3000</v>
      </c>
    </row>
    <row r="1993" spans="1:5" ht="26.25" x14ac:dyDescent="0.25">
      <c r="A1993" s="2" t="s">
        <v>1602</v>
      </c>
      <c r="B1993" s="2" t="str">
        <f>"8806088757612"</f>
        <v>8806088757612</v>
      </c>
      <c r="C1993" s="2" t="str">
        <f>"34127612"</f>
        <v>34127612</v>
      </c>
      <c r="D1993" s="2" t="s">
        <v>1817</v>
      </c>
      <c r="E1993" s="4">
        <v>27990</v>
      </c>
    </row>
    <row r="1994" spans="1:5" ht="26.25" x14ac:dyDescent="0.25">
      <c r="A1994" s="2" t="s">
        <v>1602</v>
      </c>
      <c r="B1994" s="2" t="str">
        <f>"34120003"</f>
        <v>34120003</v>
      </c>
      <c r="C1994" s="2" t="str">
        <f>"34120003"</f>
        <v>34120003</v>
      </c>
      <c r="D1994" s="2" t="s">
        <v>1818</v>
      </c>
      <c r="E1994" s="4">
        <v>32990</v>
      </c>
    </row>
    <row r="1995" spans="1:5" ht="26.25" x14ac:dyDescent="0.25">
      <c r="A1995" s="2" t="s">
        <v>1602</v>
      </c>
      <c r="B1995" s="2" t="str">
        <f>"34120716"</f>
        <v>34120716</v>
      </c>
      <c r="C1995" s="2" t="str">
        <f>"34120716"</f>
        <v>34120716</v>
      </c>
      <c r="D1995" s="2" t="s">
        <v>1819</v>
      </c>
      <c r="E1995" s="4">
        <v>34990</v>
      </c>
    </row>
    <row r="1996" spans="1:5" ht="26.25" x14ac:dyDescent="0.25">
      <c r="A1996" s="2" t="s">
        <v>1602</v>
      </c>
      <c r="B1996" s="2" t="str">
        <f>"34120000"</f>
        <v>34120000</v>
      </c>
      <c r="C1996" s="2" t="str">
        <f>"34120000"</f>
        <v>34120000</v>
      </c>
      <c r="D1996" s="2" t="s">
        <v>1820</v>
      </c>
      <c r="E1996" s="4">
        <v>19500</v>
      </c>
    </row>
    <row r="1997" spans="1:5" ht="26.25" x14ac:dyDescent="0.25">
      <c r="A1997" s="2" t="s">
        <v>1602</v>
      </c>
      <c r="B1997" s="2" t="str">
        <f>"8806088689647"</f>
        <v>8806088689647</v>
      </c>
      <c r="C1997" s="2" t="str">
        <f>"34127755"</f>
        <v>34127755</v>
      </c>
      <c r="D1997" s="2" t="s">
        <v>1821</v>
      </c>
      <c r="E1997" s="4">
        <v>13990</v>
      </c>
    </row>
    <row r="1998" spans="1:5" ht="26.25" x14ac:dyDescent="0.25">
      <c r="A1998" s="2" t="s">
        <v>1602</v>
      </c>
      <c r="B1998" s="2" t="str">
        <f>"34121407"</f>
        <v>34121407</v>
      </c>
      <c r="C1998" s="2" t="str">
        <f>"34121407"</f>
        <v>34121407</v>
      </c>
      <c r="D1998" s="2" t="s">
        <v>1822</v>
      </c>
      <c r="E1998" s="4">
        <v>13990</v>
      </c>
    </row>
    <row r="1999" spans="1:5" ht="26.25" x14ac:dyDescent="0.25">
      <c r="A1999" s="2" t="s">
        <v>1602</v>
      </c>
      <c r="B1999" s="2" t="str">
        <f>"7895623050173"</f>
        <v>7895623050173</v>
      </c>
      <c r="C1999" s="2" t="str">
        <f>"66125017"</f>
        <v>66125017</v>
      </c>
      <c r="D1999" s="2" t="s">
        <v>1823</v>
      </c>
      <c r="E1999" s="4">
        <v>6500</v>
      </c>
    </row>
    <row r="2000" spans="1:5" ht="26.25" x14ac:dyDescent="0.25">
      <c r="A2000" s="2" t="s">
        <v>1602</v>
      </c>
      <c r="B2000" s="2" t="str">
        <f>"67200010"</f>
        <v>67200010</v>
      </c>
      <c r="C2000" s="2" t="str">
        <f>"67200010"</f>
        <v>67200010</v>
      </c>
      <c r="D2000" s="2" t="s">
        <v>1824</v>
      </c>
      <c r="E2000" s="4">
        <v>7500</v>
      </c>
    </row>
    <row r="2001" spans="1:5" ht="26.25" x14ac:dyDescent="0.25">
      <c r="A2001" s="2" t="s">
        <v>1602</v>
      </c>
      <c r="B2001" s="2" t="str">
        <f>"28093118"</f>
        <v>28093118</v>
      </c>
      <c r="C2001" s="2" t="str">
        <f>"28093118"</f>
        <v>28093118</v>
      </c>
      <c r="D2001" s="2" t="s">
        <v>1825</v>
      </c>
      <c r="E2001" s="4">
        <v>26990</v>
      </c>
    </row>
    <row r="2002" spans="1:5" ht="26.25" x14ac:dyDescent="0.25">
      <c r="A2002" s="2" t="s">
        <v>1602</v>
      </c>
      <c r="B2002" s="2" t="str">
        <f>"5626890051349"</f>
        <v>5626890051349</v>
      </c>
      <c r="C2002" s="2" t="str">
        <f>"28093133"</f>
        <v>28093133</v>
      </c>
      <c r="D2002" s="2" t="s">
        <v>1826</v>
      </c>
      <c r="E2002" s="4">
        <v>23990</v>
      </c>
    </row>
    <row r="2003" spans="1:5" ht="26.25" x14ac:dyDescent="0.25">
      <c r="A2003" s="2" t="s">
        <v>1602</v>
      </c>
      <c r="B2003" s="2" t="str">
        <f>"5620000931835"</f>
        <v>5620000931835</v>
      </c>
      <c r="C2003" s="2" t="str">
        <f>"28093183"</f>
        <v>28093183</v>
      </c>
      <c r="D2003" s="2" t="s">
        <v>1827</v>
      </c>
      <c r="E2003" s="4">
        <v>26990</v>
      </c>
    </row>
    <row r="2004" spans="1:5" ht="26.25" x14ac:dyDescent="0.25">
      <c r="A2004" s="2" t="s">
        <v>1602</v>
      </c>
      <c r="B2004" s="2" t="str">
        <f>"28093184"</f>
        <v>28093184</v>
      </c>
      <c r="C2004" s="2" t="str">
        <f>"28093184"</f>
        <v>28093184</v>
      </c>
      <c r="D2004" s="2" t="s">
        <v>1828</v>
      </c>
      <c r="E2004" s="4">
        <v>21990</v>
      </c>
    </row>
    <row r="2005" spans="1:5" ht="26.25" x14ac:dyDescent="0.25">
      <c r="A2005" s="2" t="s">
        <v>1602</v>
      </c>
      <c r="B2005" s="2" t="str">
        <f>"9146000568"</f>
        <v>9146000568</v>
      </c>
      <c r="C2005" s="2" t="str">
        <f>"98129146"</f>
        <v>98129146</v>
      </c>
      <c r="D2005" s="2" t="s">
        <v>1829</v>
      </c>
      <c r="E2005" s="4">
        <v>21990</v>
      </c>
    </row>
    <row r="2006" spans="1:5" ht="26.25" x14ac:dyDescent="0.25">
      <c r="A2006" s="2" t="s">
        <v>1602</v>
      </c>
      <c r="B2006" s="2" t="str">
        <f>"98129147"</f>
        <v>98129147</v>
      </c>
      <c r="C2006" s="2" t="str">
        <f>"98129147"</f>
        <v>98129147</v>
      </c>
      <c r="D2006" s="2" t="s">
        <v>1830</v>
      </c>
      <c r="E2006" s="4">
        <v>31990</v>
      </c>
    </row>
    <row r="2007" spans="1:5" ht="26.25" x14ac:dyDescent="0.25">
      <c r="A2007" s="2" t="s">
        <v>1602</v>
      </c>
      <c r="B2007" s="2" t="str">
        <f>"34120002"</f>
        <v>34120002</v>
      </c>
      <c r="C2007" s="2" t="str">
        <f>"34120002"</f>
        <v>34120002</v>
      </c>
      <c r="D2007" s="2" t="s">
        <v>1831</v>
      </c>
      <c r="E2007" s="4">
        <v>12500</v>
      </c>
    </row>
    <row r="2008" spans="1:5" ht="26.25" x14ac:dyDescent="0.25">
      <c r="A2008" s="2" t="s">
        <v>1602</v>
      </c>
      <c r="B2008" s="2" t="str">
        <f>"10006708"</f>
        <v>10006708</v>
      </c>
      <c r="C2008" s="2" t="str">
        <f>"10006708"</f>
        <v>10006708</v>
      </c>
      <c r="D2008" s="2" t="s">
        <v>1832</v>
      </c>
      <c r="E2008" s="4">
        <v>3500</v>
      </c>
    </row>
    <row r="2009" spans="1:5" ht="26.25" x14ac:dyDescent="0.25">
      <c r="A2009" s="2" t="s">
        <v>1602</v>
      </c>
      <c r="B2009" s="2" t="str">
        <f>"1000001080024"</f>
        <v>1000001080024</v>
      </c>
      <c r="C2009" s="2" t="str">
        <f>"76110000"</f>
        <v>76110000</v>
      </c>
      <c r="D2009" s="2" t="s">
        <v>1833</v>
      </c>
      <c r="E2009" s="4">
        <v>7900</v>
      </c>
    </row>
    <row r="2010" spans="1:5" ht="26.25" x14ac:dyDescent="0.25">
      <c r="A2010" s="2" t="s">
        <v>1602</v>
      </c>
      <c r="B2010" s="2" t="str">
        <f>"40121000"</f>
        <v>40121000</v>
      </c>
      <c r="C2010" s="2" t="str">
        <f>"40121000"</f>
        <v>40121000</v>
      </c>
      <c r="D2010" s="2" t="s">
        <v>1834</v>
      </c>
      <c r="E2010" s="4">
        <v>8500</v>
      </c>
    </row>
    <row r="2011" spans="1:5" ht="26.25" x14ac:dyDescent="0.25">
      <c r="A2011" s="2" t="s">
        <v>1602</v>
      </c>
      <c r="B2011" s="2" t="str">
        <f>"34001121"</f>
        <v>34001121</v>
      </c>
      <c r="C2011" s="2" t="str">
        <f>"34001121"</f>
        <v>34001121</v>
      </c>
      <c r="D2011" s="2" t="s">
        <v>1835</v>
      </c>
      <c r="E2011" s="4">
        <v>3000</v>
      </c>
    </row>
    <row r="2012" spans="1:5" ht="26.25" x14ac:dyDescent="0.25">
      <c r="A2012" s="2" t="s">
        <v>21</v>
      </c>
      <c r="B2012" s="2" t="str">
        <f>"10000718"</f>
        <v>10000718</v>
      </c>
      <c r="C2012" s="2" t="str">
        <f>"10000718"</f>
        <v>10000718</v>
      </c>
      <c r="D2012" s="2" t="s">
        <v>1836</v>
      </c>
      <c r="E2012" s="4">
        <v>14990</v>
      </c>
    </row>
    <row r="2013" spans="1:5" ht="26.25" x14ac:dyDescent="0.25">
      <c r="A2013" s="2" t="s">
        <v>49</v>
      </c>
      <c r="B2013" s="2" t="str">
        <f>"10009216"</f>
        <v>10009216</v>
      </c>
      <c r="C2013" s="2" t="str">
        <f>"10009216"</f>
        <v>10009216</v>
      </c>
      <c r="D2013" s="2" t="s">
        <v>1837</v>
      </c>
      <c r="E2013" s="4">
        <v>12990</v>
      </c>
    </row>
    <row r="2014" spans="1:5" ht="26.25" x14ac:dyDescent="0.25">
      <c r="A2014" s="2" t="s">
        <v>49</v>
      </c>
      <c r="B2014" s="2" t="str">
        <f>"7298229023334"</f>
        <v>7298229023334</v>
      </c>
      <c r="C2014" s="2" t="str">
        <f>"29TNBHP333"</f>
        <v>29TNBHP333</v>
      </c>
      <c r="D2014" s="2" t="s">
        <v>1838</v>
      </c>
      <c r="E2014" s="4">
        <v>17990</v>
      </c>
    </row>
    <row r="2015" spans="1:5" ht="26.25" x14ac:dyDescent="0.25">
      <c r="A2015" s="2" t="s">
        <v>21</v>
      </c>
      <c r="B2015" s="2" t="str">
        <f>"7858816000348"</f>
        <v>7858816000348</v>
      </c>
      <c r="C2015" s="2" t="str">
        <f>"87120034"</f>
        <v>87120034</v>
      </c>
      <c r="D2015" s="2" t="s">
        <v>1839</v>
      </c>
      <c r="E2015" s="4">
        <v>14990</v>
      </c>
    </row>
    <row r="2016" spans="1:5" ht="39" x14ac:dyDescent="0.25">
      <c r="A2016" s="2" t="s">
        <v>49</v>
      </c>
      <c r="B2016" s="2" t="str">
        <f>"7858816060373"</f>
        <v>7858816060373</v>
      </c>
      <c r="C2016" s="2" t="str">
        <f>"7858816011016"</f>
        <v>7858816011016</v>
      </c>
      <c r="D2016" s="2" t="s">
        <v>1840</v>
      </c>
      <c r="E2016" s="4">
        <v>15990</v>
      </c>
    </row>
    <row r="2017" spans="1:5" ht="26.25" x14ac:dyDescent="0.25">
      <c r="A2017" s="2" t="s">
        <v>49</v>
      </c>
      <c r="B2017" s="2" t="str">
        <f>"7298229023259"</f>
        <v>7298229023259</v>
      </c>
      <c r="C2017" s="2" t="str">
        <f>"29TNBLN325"</f>
        <v>29TNBLN325</v>
      </c>
      <c r="D2017" s="2" t="s">
        <v>1841</v>
      </c>
      <c r="E2017" s="4">
        <v>17990</v>
      </c>
    </row>
    <row r="2018" spans="1:5" ht="26.25" x14ac:dyDescent="0.25">
      <c r="A2018" s="2" t="s">
        <v>30</v>
      </c>
      <c r="B2018" s="2" t="str">
        <f>"6925871669269"</f>
        <v>6925871669269</v>
      </c>
      <c r="C2018" s="2" t="str">
        <f>"22086926"</f>
        <v>22086926</v>
      </c>
      <c r="D2018" s="2" t="s">
        <v>1842</v>
      </c>
      <c r="E2018" s="4">
        <v>11990</v>
      </c>
    </row>
    <row r="2019" spans="1:5" ht="26.25" x14ac:dyDescent="0.25">
      <c r="A2019" s="2" t="s">
        <v>1602</v>
      </c>
      <c r="B2019" s="2" t="str">
        <f>"98120700"</f>
        <v>98120700</v>
      </c>
      <c r="C2019" s="2" t="str">
        <f>"98120700"</f>
        <v>98120700</v>
      </c>
      <c r="D2019" s="2" t="s">
        <v>1843</v>
      </c>
      <c r="E2019" s="4">
        <v>24500</v>
      </c>
    </row>
    <row r="2020" spans="1:5" ht="26.25" x14ac:dyDescent="0.25">
      <c r="A2020" s="2" t="s">
        <v>49</v>
      </c>
      <c r="B2020" s="2" t="str">
        <f>"6931326001935"</f>
        <v>6931326001935</v>
      </c>
      <c r="C2020" s="2" t="str">
        <f>"40121935"</f>
        <v>40121935</v>
      </c>
      <c r="D2020" s="2" t="s">
        <v>1844</v>
      </c>
      <c r="E2020" s="4">
        <v>14990</v>
      </c>
    </row>
    <row r="2021" spans="1:5" ht="26.25" x14ac:dyDescent="0.25">
      <c r="A2021" s="2" t="s">
        <v>49</v>
      </c>
      <c r="B2021" s="2" t="str">
        <f>"6931328501938"</f>
        <v>6931328501938</v>
      </c>
      <c r="C2021" s="2" t="str">
        <f>"40121938"</f>
        <v>40121938</v>
      </c>
      <c r="D2021" s="2" t="s">
        <v>1845</v>
      </c>
      <c r="E2021" s="4">
        <v>14990</v>
      </c>
    </row>
    <row r="2022" spans="1:5" ht="26.25" x14ac:dyDescent="0.25">
      <c r="A2022" s="2" t="s">
        <v>1602</v>
      </c>
      <c r="B2022" s="2" t="str">
        <f>"110108844"</f>
        <v>110108844</v>
      </c>
      <c r="C2022" s="2" t="str">
        <f>"110108844"</f>
        <v>110108844</v>
      </c>
      <c r="D2022" s="2" t="s">
        <v>1846</v>
      </c>
      <c r="E2022" s="4">
        <v>8500</v>
      </c>
    </row>
    <row r="2023" spans="1:5" ht="26.25" x14ac:dyDescent="0.25">
      <c r="A2023" s="2" t="s">
        <v>1602</v>
      </c>
      <c r="B2023" s="2" t="str">
        <f>"76120714"</f>
        <v>76120714</v>
      </c>
      <c r="C2023" s="2" t="str">
        <f>"76120714"</f>
        <v>76120714</v>
      </c>
      <c r="D2023" s="2" t="s">
        <v>1847</v>
      </c>
      <c r="E2023" s="4">
        <v>5500</v>
      </c>
    </row>
    <row r="2024" spans="1:5" ht="26.25" x14ac:dyDescent="0.25">
      <c r="A2024" s="2" t="s">
        <v>1602</v>
      </c>
      <c r="B2024" s="2" t="str">
        <f>"52520002"</f>
        <v>52520002</v>
      </c>
      <c r="C2024" s="2" t="str">
        <f>"52520002"</f>
        <v>52520002</v>
      </c>
      <c r="D2024" s="2" t="s">
        <v>1848</v>
      </c>
      <c r="E2024" s="4">
        <v>3000</v>
      </c>
    </row>
    <row r="2025" spans="1:5" ht="26.25" x14ac:dyDescent="0.25">
      <c r="A2025" s="2" t="s">
        <v>1602</v>
      </c>
      <c r="B2025" s="2" t="str">
        <f>"34121402"</f>
        <v>34121402</v>
      </c>
      <c r="C2025" s="2" t="str">
        <f>"34121402"</f>
        <v>34121402</v>
      </c>
      <c r="D2025" s="2" t="s">
        <v>1849</v>
      </c>
      <c r="E2025" s="4">
        <v>9000</v>
      </c>
    </row>
    <row r="2026" spans="1:5" ht="26.25" x14ac:dyDescent="0.25">
      <c r="A2026" s="2" t="s">
        <v>1602</v>
      </c>
      <c r="B2026" s="2" t="str">
        <f>"40121414"</f>
        <v>40121414</v>
      </c>
      <c r="C2026" s="2" t="str">
        <f>"40121414"</f>
        <v>40121414</v>
      </c>
      <c r="D2026" s="2" t="s">
        <v>1850</v>
      </c>
      <c r="E2026" s="4">
        <v>4900</v>
      </c>
    </row>
    <row r="2027" spans="1:5" ht="26.25" x14ac:dyDescent="0.25">
      <c r="A2027" s="2" t="s">
        <v>919</v>
      </c>
      <c r="B2027" s="2" t="str">
        <f>"8669885004859"</f>
        <v>8669885004859</v>
      </c>
      <c r="C2027" s="2" t="str">
        <f>"665500485"</f>
        <v>665500485</v>
      </c>
      <c r="D2027" s="2" t="s">
        <v>1851</v>
      </c>
      <c r="E2027" s="4">
        <v>14900</v>
      </c>
    </row>
    <row r="2028" spans="1:5" ht="26.25" x14ac:dyDescent="0.25">
      <c r="A2028" s="2" t="s">
        <v>1602</v>
      </c>
      <c r="B2028" s="2" t="str">
        <f>"7820099880818"</f>
        <v>7820099880818</v>
      </c>
      <c r="C2028" s="2" t="str">
        <f>"40121500"</f>
        <v>40121500</v>
      </c>
      <c r="D2028" s="2" t="s">
        <v>1852</v>
      </c>
      <c r="E2028" s="4">
        <v>8500</v>
      </c>
    </row>
    <row r="2029" spans="1:5" ht="26.25" x14ac:dyDescent="0.25">
      <c r="A2029" s="2" t="s">
        <v>1602</v>
      </c>
      <c r="B2029" s="2" t="str">
        <f>"86121000"</f>
        <v>86121000</v>
      </c>
      <c r="C2029" s="2" t="str">
        <f>"86121000"</f>
        <v>86121000</v>
      </c>
      <c r="D2029" s="2" t="s">
        <v>1853</v>
      </c>
      <c r="E2029" s="4">
        <v>7900</v>
      </c>
    </row>
    <row r="2030" spans="1:5" ht="26.25" x14ac:dyDescent="0.25">
      <c r="A2030" s="2" t="s">
        <v>1602</v>
      </c>
      <c r="B2030" s="2" t="str">
        <f>"5713682578112"</f>
        <v>5713682578112</v>
      </c>
      <c r="C2030" s="2" t="str">
        <f>"40120688"</f>
        <v>40120688</v>
      </c>
      <c r="D2030" s="2" t="s">
        <v>1854</v>
      </c>
      <c r="E2030" s="4">
        <v>9990</v>
      </c>
    </row>
    <row r="2031" spans="1:5" ht="39" x14ac:dyDescent="0.25">
      <c r="A2031" s="2" t="s">
        <v>1602</v>
      </c>
      <c r="B2031" s="2" t="str">
        <f>"7298229029657"</f>
        <v>7298229029657</v>
      </c>
      <c r="C2031" s="2" t="str">
        <f>"29TNB65SLIM"</f>
        <v>29TNB65SLIM</v>
      </c>
      <c r="D2031" s="2" t="s">
        <v>1855</v>
      </c>
      <c r="E2031" s="4">
        <v>14990</v>
      </c>
    </row>
    <row r="2032" spans="1:5" ht="26.25" x14ac:dyDescent="0.25">
      <c r="A2032" s="2" t="s">
        <v>1602</v>
      </c>
      <c r="B2032" s="2" t="str">
        <f>"34009287"</f>
        <v>34009287</v>
      </c>
      <c r="C2032" s="2" t="str">
        <f>"34009287"</f>
        <v>34009287</v>
      </c>
      <c r="D2032" s="2" t="s">
        <v>1856</v>
      </c>
      <c r="E2032" s="4">
        <v>4000</v>
      </c>
    </row>
    <row r="2033" spans="1:5" ht="26.25" x14ac:dyDescent="0.25">
      <c r="A2033" s="2" t="s">
        <v>1602</v>
      </c>
      <c r="B2033" s="2" t="str">
        <f>"81219700"</f>
        <v>81219700</v>
      </c>
      <c r="C2033" s="2" t="str">
        <f>"81219700"</f>
        <v>81219700</v>
      </c>
      <c r="D2033" s="2" t="s">
        <v>1857</v>
      </c>
      <c r="E2033" s="4">
        <v>3500</v>
      </c>
    </row>
    <row r="2034" spans="1:5" ht="26.25" x14ac:dyDescent="0.25">
      <c r="A2034" s="2" t="s">
        <v>1602</v>
      </c>
      <c r="B2034" s="2" t="str">
        <f>"4710007720905"</f>
        <v>4710007720905</v>
      </c>
      <c r="C2034" s="2" t="str">
        <f>"65120010"</f>
        <v>65120010</v>
      </c>
      <c r="D2034" s="2" t="s">
        <v>1858</v>
      </c>
      <c r="E2034" s="4">
        <v>4000</v>
      </c>
    </row>
    <row r="2035" spans="1:5" ht="26.25" x14ac:dyDescent="0.25">
      <c r="A2035" s="2" t="s">
        <v>1602</v>
      </c>
      <c r="B2035" s="2" t="str">
        <f>"10003604"</f>
        <v>10003604</v>
      </c>
      <c r="C2035" s="2" t="str">
        <f>"10003604"</f>
        <v>10003604</v>
      </c>
      <c r="D2035" s="2" t="s">
        <v>1859</v>
      </c>
      <c r="E2035" s="4">
        <v>11900</v>
      </c>
    </row>
    <row r="2036" spans="1:5" ht="26.25" x14ac:dyDescent="0.25">
      <c r="A2036" s="2" t="s">
        <v>30</v>
      </c>
      <c r="B2036" s="2" t="str">
        <f>"6925871662253"</f>
        <v>6925871662253</v>
      </c>
      <c r="C2036" s="2" t="str">
        <f>"98126225"</f>
        <v>98126225</v>
      </c>
      <c r="D2036" s="2" t="s">
        <v>1860</v>
      </c>
      <c r="E2036" s="4">
        <v>8990</v>
      </c>
    </row>
    <row r="2037" spans="1:5" ht="26.25" x14ac:dyDescent="0.25">
      <c r="A2037" s="2" t="s">
        <v>21</v>
      </c>
      <c r="B2037" s="2" t="str">
        <f>"6925871666992"</f>
        <v>6925871666992</v>
      </c>
      <c r="C2037" s="2" t="str">
        <f>"22526699"</f>
        <v>22526699</v>
      </c>
      <c r="D2037" s="2" t="s">
        <v>1861</v>
      </c>
      <c r="E2037" s="4">
        <v>18500</v>
      </c>
    </row>
    <row r="2038" spans="1:5" ht="26.25" x14ac:dyDescent="0.25">
      <c r="A2038" s="2" t="s">
        <v>49</v>
      </c>
      <c r="B2038" s="2" t="str">
        <f>"001400000109"</f>
        <v>001400000109</v>
      </c>
      <c r="C2038" s="2" t="str">
        <f>"40120109"</f>
        <v>40120109</v>
      </c>
      <c r="D2038" s="2" t="s">
        <v>1862</v>
      </c>
      <c r="E2038" s="4">
        <v>15990</v>
      </c>
    </row>
    <row r="2039" spans="1:5" ht="26.25" x14ac:dyDescent="0.25">
      <c r="A2039" s="2" t="s">
        <v>49</v>
      </c>
      <c r="B2039" s="2" t="str">
        <f>"2019031040822"</f>
        <v>2019031040822</v>
      </c>
      <c r="C2039" s="2" t="str">
        <f>"18526067"</f>
        <v>18526067</v>
      </c>
      <c r="D2039" s="2" t="s">
        <v>1863</v>
      </c>
      <c r="E2039" s="4">
        <v>15990</v>
      </c>
    </row>
    <row r="2040" spans="1:5" ht="26.25" x14ac:dyDescent="0.25">
      <c r="A2040" s="2" t="s">
        <v>1602</v>
      </c>
      <c r="B2040" s="2" t="str">
        <f>"7796941037740"</f>
        <v>7796941037740</v>
      </c>
      <c r="C2040" s="2" t="str">
        <f>"42120500"</f>
        <v>42120500</v>
      </c>
      <c r="D2040" s="2" t="s">
        <v>1864</v>
      </c>
      <c r="E2040" s="4">
        <v>17900</v>
      </c>
    </row>
    <row r="2041" spans="1:5" ht="26.25" x14ac:dyDescent="0.25">
      <c r="A2041" s="2" t="s">
        <v>1602</v>
      </c>
      <c r="B2041" s="2" t="str">
        <f>"29TNBTC525"</f>
        <v>29TNBTC525</v>
      </c>
      <c r="C2041" s="2" t="str">
        <f>"29TNBTC525"</f>
        <v>29TNBTC525</v>
      </c>
      <c r="D2041" s="2" t="s">
        <v>1865</v>
      </c>
      <c r="E2041" s="4">
        <v>14990</v>
      </c>
    </row>
    <row r="2042" spans="1:5" ht="26.25" x14ac:dyDescent="0.25">
      <c r="A2042" s="2" t="s">
        <v>1602</v>
      </c>
      <c r="B2042" s="2" t="str">
        <f>"51103918"</f>
        <v>51103918</v>
      </c>
      <c r="C2042" s="2" t="str">
        <f>"51103918"</f>
        <v>51103918</v>
      </c>
      <c r="D2042" s="2" t="s">
        <v>1866</v>
      </c>
      <c r="E2042" s="4">
        <v>2000</v>
      </c>
    </row>
    <row r="2043" spans="1:5" ht="26.25" x14ac:dyDescent="0.25">
      <c r="A2043" s="2" t="s">
        <v>1596</v>
      </c>
      <c r="B2043" s="2" t="str">
        <f>"51103921"</f>
        <v>51103921</v>
      </c>
      <c r="C2043" s="2" t="str">
        <f>"51103921"</f>
        <v>51103921</v>
      </c>
      <c r="D2043" s="2" t="s">
        <v>1867</v>
      </c>
      <c r="E2043" s="4">
        <v>3500</v>
      </c>
    </row>
    <row r="2044" spans="1:5" ht="26.25" x14ac:dyDescent="0.25">
      <c r="A2044" s="2" t="s">
        <v>1602</v>
      </c>
      <c r="B2044" s="2" t="str">
        <f>"51103917"</f>
        <v>51103917</v>
      </c>
      <c r="C2044" s="2" t="str">
        <f>"51103917"</f>
        <v>51103917</v>
      </c>
      <c r="D2044" s="2" t="s">
        <v>1868</v>
      </c>
      <c r="E2044" s="4">
        <v>5000</v>
      </c>
    </row>
    <row r="2045" spans="1:5" ht="26.25" x14ac:dyDescent="0.25">
      <c r="A2045" s="2" t="s">
        <v>1602</v>
      </c>
      <c r="B2045" s="2" t="str">
        <f>"66121401"</f>
        <v>66121401</v>
      </c>
      <c r="C2045" s="2" t="str">
        <f>"66121401"</f>
        <v>66121401</v>
      </c>
      <c r="D2045" s="2" t="s">
        <v>1869</v>
      </c>
      <c r="E2045" s="4">
        <v>4000</v>
      </c>
    </row>
    <row r="2046" spans="1:5" ht="26.25" x14ac:dyDescent="0.25">
      <c r="A2046" s="2" t="s">
        <v>1602</v>
      </c>
      <c r="B2046" s="2" t="str">
        <f>"86123608"</f>
        <v>86123608</v>
      </c>
      <c r="C2046" s="2" t="str">
        <f>"86123608"</f>
        <v>86123608</v>
      </c>
      <c r="D2046" s="2" t="s">
        <v>1870</v>
      </c>
      <c r="E2046" s="4">
        <v>2000</v>
      </c>
    </row>
    <row r="2047" spans="1:5" ht="26.25" x14ac:dyDescent="0.25">
      <c r="A2047" s="2" t="s">
        <v>21</v>
      </c>
      <c r="B2047" s="2" t="str">
        <f>"10119052"</f>
        <v>10119052</v>
      </c>
      <c r="C2047" s="2" t="str">
        <f>"10119052"</f>
        <v>10119052</v>
      </c>
      <c r="D2047" s="2" t="s">
        <v>1871</v>
      </c>
      <c r="E2047" s="4">
        <v>13490</v>
      </c>
    </row>
    <row r="2048" spans="1:5" ht="26.25" x14ac:dyDescent="0.25">
      <c r="A2048" s="2" t="s">
        <v>21</v>
      </c>
      <c r="B2048" s="2" t="str">
        <f>"8819180260218"</f>
        <v>8819180260218</v>
      </c>
      <c r="C2048" s="2" t="str">
        <f>"405226021"</f>
        <v>405226021</v>
      </c>
      <c r="D2048" s="2" t="s">
        <v>1872</v>
      </c>
      <c r="E2048" s="4">
        <v>3990</v>
      </c>
    </row>
    <row r="2049" spans="1:5" ht="26.25" x14ac:dyDescent="0.25">
      <c r="A2049" s="2" t="s">
        <v>21</v>
      </c>
      <c r="B2049" s="2" t="str">
        <f>"28522473"</f>
        <v>28522473</v>
      </c>
      <c r="C2049" s="2" t="str">
        <f>"28522473"</f>
        <v>28522473</v>
      </c>
      <c r="D2049" s="2" t="s">
        <v>1873</v>
      </c>
      <c r="E2049" s="2">
        <v>1</v>
      </c>
    </row>
    <row r="2050" spans="1:5" ht="26.25" x14ac:dyDescent="0.25">
      <c r="A2050" s="2" t="s">
        <v>21</v>
      </c>
      <c r="B2050" s="2" t="str">
        <f>"28521884"</f>
        <v>28521884</v>
      </c>
      <c r="C2050" s="2" t="str">
        <f>"28521884"</f>
        <v>28521884</v>
      </c>
      <c r="D2050" s="2" t="s">
        <v>1874</v>
      </c>
      <c r="E2050" s="2">
        <v>1</v>
      </c>
    </row>
    <row r="2051" spans="1:5" ht="26.25" x14ac:dyDescent="0.25">
      <c r="A2051" s="2" t="s">
        <v>21</v>
      </c>
      <c r="B2051" s="2" t="str">
        <f>"7808748509822"</f>
        <v>7808748509822</v>
      </c>
      <c r="C2051" s="2" t="str">
        <f>"98520700"</f>
        <v>98520700</v>
      </c>
      <c r="D2051" s="2" t="s">
        <v>1875</v>
      </c>
      <c r="E2051" s="2">
        <v>400</v>
      </c>
    </row>
    <row r="2052" spans="1:5" ht="26.25" x14ac:dyDescent="0.25">
      <c r="A2052" s="2" t="s">
        <v>16</v>
      </c>
      <c r="B2052" s="2" t="str">
        <f>"4710007728093"</f>
        <v>4710007728093</v>
      </c>
      <c r="C2052" s="2" t="str">
        <f>"65138093"</f>
        <v>65138093</v>
      </c>
      <c r="D2052" s="2" t="s">
        <v>1876</v>
      </c>
      <c r="E2052" s="4">
        <v>23900</v>
      </c>
    </row>
    <row r="2053" spans="1:5" ht="26.25" x14ac:dyDescent="0.25">
      <c r="A2053" s="2" t="s">
        <v>16</v>
      </c>
      <c r="B2053" s="2" t="str">
        <f>"4710007736104"</f>
        <v>4710007736104</v>
      </c>
      <c r="C2053" s="2" t="str">
        <f>"65136104"</f>
        <v>65136104</v>
      </c>
      <c r="D2053" s="2" t="s">
        <v>1877</v>
      </c>
      <c r="E2053" s="4">
        <v>21900</v>
      </c>
    </row>
    <row r="2054" spans="1:5" ht="26.25" x14ac:dyDescent="0.25">
      <c r="A2054" s="2" t="s">
        <v>16</v>
      </c>
      <c r="B2054" s="2" t="str">
        <f>"4710007736128"</f>
        <v>4710007736128</v>
      </c>
      <c r="C2054" s="2" t="str">
        <f>"65136128"</f>
        <v>65136128</v>
      </c>
      <c r="D2054" s="2" t="s">
        <v>1878</v>
      </c>
      <c r="E2054" s="4">
        <v>19990</v>
      </c>
    </row>
    <row r="2055" spans="1:5" ht="26.25" x14ac:dyDescent="0.25">
      <c r="A2055" s="2" t="s">
        <v>16</v>
      </c>
      <c r="B2055" s="2" t="str">
        <f>"4710007736142"</f>
        <v>4710007736142</v>
      </c>
      <c r="C2055" s="2" t="str">
        <f>"65136142"</f>
        <v>65136142</v>
      </c>
      <c r="D2055" s="2" t="s">
        <v>1879</v>
      </c>
      <c r="E2055" s="4">
        <v>19990</v>
      </c>
    </row>
    <row r="2056" spans="1:5" ht="26.25" x14ac:dyDescent="0.25">
      <c r="A2056" s="2" t="s">
        <v>16</v>
      </c>
      <c r="B2056" s="2" t="str">
        <f>"4710007724446"</f>
        <v>4710007724446</v>
      </c>
      <c r="C2056" s="2" t="str">
        <f>"65134446"</f>
        <v>65134446</v>
      </c>
      <c r="D2056" s="2" t="s">
        <v>1880</v>
      </c>
      <c r="E2056" s="4">
        <v>22990</v>
      </c>
    </row>
    <row r="2057" spans="1:5" ht="26.25" x14ac:dyDescent="0.25">
      <c r="A2057" s="2" t="s">
        <v>16</v>
      </c>
      <c r="B2057" s="2" t="str">
        <f>"6925871618519"</f>
        <v>6925871618519</v>
      </c>
      <c r="C2057" s="2" t="str">
        <f>"22131375"</f>
        <v>22131375</v>
      </c>
      <c r="D2057" s="2" t="s">
        <v>1881</v>
      </c>
      <c r="E2057" s="4">
        <v>18990</v>
      </c>
    </row>
    <row r="2058" spans="1:5" ht="26.25" x14ac:dyDescent="0.25">
      <c r="A2058" s="2" t="s">
        <v>16</v>
      </c>
      <c r="B2058" s="2" t="str">
        <f>"848958030256"</f>
        <v>848958030256</v>
      </c>
      <c r="C2058" s="2" t="str">
        <f>"55130256"</f>
        <v>55130256</v>
      </c>
      <c r="D2058" s="2" t="s">
        <v>1882</v>
      </c>
      <c r="E2058" s="4">
        <v>79990</v>
      </c>
    </row>
    <row r="2059" spans="1:5" ht="26.25" x14ac:dyDescent="0.25">
      <c r="A2059" s="2" t="s">
        <v>16</v>
      </c>
      <c r="B2059" s="2" t="str">
        <f>"848958032199"</f>
        <v>848958032199</v>
      </c>
      <c r="C2059" s="2" t="str">
        <f>"55132199"</f>
        <v>55132199</v>
      </c>
      <c r="D2059" s="2" t="s">
        <v>1883</v>
      </c>
      <c r="E2059" s="4">
        <v>129990</v>
      </c>
    </row>
    <row r="2060" spans="1:5" ht="26.25" x14ac:dyDescent="0.25">
      <c r="A2060" s="2" t="s">
        <v>1884</v>
      </c>
      <c r="B2060" s="2" t="str">
        <f>"51140009"</f>
        <v>51140009</v>
      </c>
      <c r="C2060" s="2" t="str">
        <f>"51140009"</f>
        <v>51140009</v>
      </c>
      <c r="D2060" s="2" t="s">
        <v>1885</v>
      </c>
      <c r="E2060" s="4">
        <v>70000</v>
      </c>
    </row>
    <row r="2061" spans="1:5" ht="26.25" x14ac:dyDescent="0.25">
      <c r="A2061" s="2" t="s">
        <v>16</v>
      </c>
      <c r="B2061" s="2" t="str">
        <f>"7809596509224"</f>
        <v>7809596509224</v>
      </c>
      <c r="C2061" s="2" t="str">
        <f>"30433111"</f>
        <v>30433111</v>
      </c>
      <c r="D2061" s="2" t="s">
        <v>1886</v>
      </c>
      <c r="E2061" s="4">
        <v>74990</v>
      </c>
    </row>
    <row r="2062" spans="1:5" ht="26.25" x14ac:dyDescent="0.25">
      <c r="A2062" s="2" t="s">
        <v>16</v>
      </c>
      <c r="B2062" s="2" t="str">
        <f>"941305280"</f>
        <v>941305280</v>
      </c>
      <c r="C2062" s="2" t="str">
        <f>"941305280"</f>
        <v>941305280</v>
      </c>
      <c r="D2062" s="2" t="s">
        <v>1887</v>
      </c>
      <c r="E2062" s="4">
        <v>169000</v>
      </c>
    </row>
    <row r="2063" spans="1:5" ht="26.25" x14ac:dyDescent="0.25">
      <c r="A2063" s="2" t="s">
        <v>16</v>
      </c>
      <c r="B2063" s="2" t="str">
        <f>"7809596508050"</f>
        <v>7809596508050</v>
      </c>
      <c r="C2063" s="2" t="str">
        <f>"721305280"</f>
        <v>721305280</v>
      </c>
      <c r="D2063" s="2" t="s">
        <v>1888</v>
      </c>
      <c r="E2063" s="4">
        <v>144990</v>
      </c>
    </row>
    <row r="2064" spans="1:5" ht="26.25" x14ac:dyDescent="0.25">
      <c r="A2064" s="2" t="s">
        <v>16</v>
      </c>
      <c r="B2064" s="2" t="str">
        <f>"8002017233201"</f>
        <v>8002017233201</v>
      </c>
      <c r="C2064" s="2" t="str">
        <f>"18134001"</f>
        <v>18134001</v>
      </c>
      <c r="D2064" s="2" t="s">
        <v>1889</v>
      </c>
      <c r="E2064" s="4">
        <v>19990</v>
      </c>
    </row>
    <row r="2065" spans="1:5" ht="26.25" x14ac:dyDescent="0.25">
      <c r="A2065" s="2" t="s">
        <v>16</v>
      </c>
      <c r="B2065" s="2" t="str">
        <f>"8002017233203"</f>
        <v>8002017233203</v>
      </c>
      <c r="C2065" s="2" t="str">
        <f>"18134003"</f>
        <v>18134003</v>
      </c>
      <c r="D2065" s="2" t="s">
        <v>1890</v>
      </c>
      <c r="E2065" s="4">
        <v>29900</v>
      </c>
    </row>
    <row r="2066" spans="1:5" ht="26.25" x14ac:dyDescent="0.25">
      <c r="A2066" s="2" t="s">
        <v>16</v>
      </c>
      <c r="B2066" s="2" t="str">
        <f>"8002017233202"</f>
        <v>8002017233202</v>
      </c>
      <c r="C2066" s="2" t="str">
        <f>"18134002"</f>
        <v>18134002</v>
      </c>
      <c r="D2066" s="2" t="s">
        <v>1891</v>
      </c>
      <c r="E2066" s="4">
        <v>23900</v>
      </c>
    </row>
    <row r="2067" spans="1:5" ht="26.25" x14ac:dyDescent="0.25">
      <c r="A2067" s="2" t="s">
        <v>16</v>
      </c>
      <c r="B2067" s="2" t="str">
        <f>"51131035"</f>
        <v>51131035</v>
      </c>
      <c r="C2067" s="2" t="str">
        <f>"51131035"</f>
        <v>51131035</v>
      </c>
      <c r="D2067" s="2" t="s">
        <v>1892</v>
      </c>
      <c r="E2067" s="4">
        <v>17000</v>
      </c>
    </row>
    <row r="2068" spans="1:5" ht="26.25" x14ac:dyDescent="0.25">
      <c r="A2068" s="2" t="s">
        <v>16</v>
      </c>
      <c r="B2068" s="2" t="str">
        <f>"8806088808741"</f>
        <v>8806088808741</v>
      </c>
      <c r="C2068" s="2" t="str">
        <f>"811314266"</f>
        <v>811314266</v>
      </c>
      <c r="D2068" s="2" t="s">
        <v>1893</v>
      </c>
      <c r="E2068" s="4">
        <v>179990</v>
      </c>
    </row>
    <row r="2069" spans="1:5" ht="26.25" x14ac:dyDescent="0.25">
      <c r="A2069" s="2" t="s">
        <v>16</v>
      </c>
      <c r="B2069" s="2" t="str">
        <f>"181314200"</f>
        <v>181314200</v>
      </c>
      <c r="C2069" s="2" t="str">
        <f>"181314200"</f>
        <v>181314200</v>
      </c>
      <c r="D2069" s="2" t="s">
        <v>1894</v>
      </c>
      <c r="E2069" s="4">
        <v>150000</v>
      </c>
    </row>
    <row r="2070" spans="1:5" ht="26.25" x14ac:dyDescent="0.25">
      <c r="A2070" s="2" t="s">
        <v>1884</v>
      </c>
      <c r="B2070" s="2" t="str">
        <f>"52521414"</f>
        <v>52521414</v>
      </c>
      <c r="C2070" s="2" t="str">
        <f>"52521414"</f>
        <v>52521414</v>
      </c>
      <c r="D2070" s="2" t="s">
        <v>1895</v>
      </c>
      <c r="E2070" s="4">
        <v>25000</v>
      </c>
    </row>
    <row r="2071" spans="1:5" ht="26.25" x14ac:dyDescent="0.25">
      <c r="A2071" s="2" t="s">
        <v>16</v>
      </c>
      <c r="B2071" s="2" t="str">
        <f>"4710007745991"</f>
        <v>4710007745991</v>
      </c>
      <c r="C2071" s="2" t="str">
        <f>"65135991"</f>
        <v>65135991</v>
      </c>
      <c r="D2071" s="2" t="s">
        <v>1896</v>
      </c>
      <c r="E2071" s="4">
        <v>27990</v>
      </c>
    </row>
    <row r="2072" spans="1:5" ht="26.25" x14ac:dyDescent="0.25">
      <c r="A2072" s="2" t="s">
        <v>16</v>
      </c>
      <c r="B2072" s="2" t="str">
        <f>"4710007745984"</f>
        <v>4710007745984</v>
      </c>
      <c r="C2072" s="2" t="str">
        <f>"65135984"</f>
        <v>65135984</v>
      </c>
      <c r="D2072" s="2" t="s">
        <v>1897</v>
      </c>
      <c r="E2072" s="4">
        <v>27990</v>
      </c>
    </row>
    <row r="2073" spans="1:5" ht="26.25" x14ac:dyDescent="0.25">
      <c r="A2073" s="2" t="s">
        <v>16</v>
      </c>
      <c r="B2073" s="2" t="str">
        <f>"4710007746325"</f>
        <v>4710007746325</v>
      </c>
      <c r="C2073" s="2" t="str">
        <f>"65130016"</f>
        <v>65130016</v>
      </c>
      <c r="D2073" s="2" t="s">
        <v>1898</v>
      </c>
      <c r="E2073" s="4">
        <v>14990</v>
      </c>
    </row>
    <row r="2074" spans="1:5" ht="26.25" x14ac:dyDescent="0.25">
      <c r="A2074" s="2" t="s">
        <v>16</v>
      </c>
      <c r="B2074" s="2" t="str">
        <f>"4710007746318"</f>
        <v>4710007746318</v>
      </c>
      <c r="C2074" s="2" t="str">
        <f>"65131600"</f>
        <v>65131600</v>
      </c>
      <c r="D2074" s="2" t="s">
        <v>1899</v>
      </c>
      <c r="E2074" s="4">
        <v>14990</v>
      </c>
    </row>
    <row r="2075" spans="1:5" ht="26.25" x14ac:dyDescent="0.25">
      <c r="A2075" s="2" t="s">
        <v>16</v>
      </c>
      <c r="B2075" s="2" t="str">
        <f>"4710007747209"</f>
        <v>4710007747209</v>
      </c>
      <c r="C2075" s="2" t="str">
        <f>"65130018"</f>
        <v>65130018</v>
      </c>
      <c r="D2075" s="2" t="s">
        <v>1900</v>
      </c>
      <c r="E2075" s="4">
        <v>16900</v>
      </c>
    </row>
    <row r="2076" spans="1:5" ht="26.25" x14ac:dyDescent="0.25">
      <c r="A2076" s="2" t="s">
        <v>16</v>
      </c>
      <c r="B2076" s="2" t="str">
        <f>"9359000828"</f>
        <v>9359000828</v>
      </c>
      <c r="C2076" s="2" t="str">
        <f>"98139359"</f>
        <v>98139359</v>
      </c>
      <c r="D2076" s="2" t="s">
        <v>1901</v>
      </c>
      <c r="E2076" s="4">
        <v>17990</v>
      </c>
    </row>
    <row r="2077" spans="1:5" ht="26.25" x14ac:dyDescent="0.25">
      <c r="A2077" s="2" t="s">
        <v>16</v>
      </c>
      <c r="B2077" s="2" t="str">
        <f>"6927900073221"</f>
        <v>6927900073221</v>
      </c>
      <c r="C2077" s="2" t="str">
        <f>"91137322"</f>
        <v>91137322</v>
      </c>
      <c r="D2077" s="2" t="s">
        <v>1902</v>
      </c>
      <c r="E2077" s="4">
        <v>24900</v>
      </c>
    </row>
    <row r="2078" spans="1:5" ht="26.25" x14ac:dyDescent="0.25">
      <c r="A2078" s="2" t="s">
        <v>16</v>
      </c>
      <c r="B2078" s="2" t="str">
        <f>"6927900073238"</f>
        <v>6927900073238</v>
      </c>
      <c r="C2078" s="2" t="str">
        <f>"91137323"</f>
        <v>91137323</v>
      </c>
      <c r="D2078" s="2" t="s">
        <v>1903</v>
      </c>
      <c r="E2078" s="4">
        <v>26900</v>
      </c>
    </row>
    <row r="2079" spans="1:5" ht="26.25" x14ac:dyDescent="0.25">
      <c r="A2079" s="2" t="s">
        <v>30</v>
      </c>
      <c r="B2079" s="2" t="str">
        <f>"110101977"</f>
        <v>110101977</v>
      </c>
      <c r="C2079" s="2" t="str">
        <f>"110101977"</f>
        <v>110101977</v>
      </c>
      <c r="D2079" s="2" t="s">
        <v>1904</v>
      </c>
      <c r="E2079" s="4">
        <v>3000</v>
      </c>
    </row>
    <row r="2080" spans="1:5" ht="26.25" x14ac:dyDescent="0.25">
      <c r="A2080" s="2" t="s">
        <v>1905</v>
      </c>
      <c r="B2080" s="2" t="str">
        <f>"62150300"</f>
        <v>62150300</v>
      </c>
      <c r="C2080" s="2" t="str">
        <f>"62150300"</f>
        <v>62150300</v>
      </c>
      <c r="D2080" s="2" t="s">
        <v>1906</v>
      </c>
      <c r="E2080" s="4">
        <v>2500</v>
      </c>
    </row>
    <row r="2081" spans="1:5" ht="26.25" x14ac:dyDescent="0.25">
      <c r="A2081" s="2" t="s">
        <v>1905</v>
      </c>
      <c r="B2081" s="2" t="str">
        <f>"76002030"</f>
        <v>76002030</v>
      </c>
      <c r="C2081" s="2" t="str">
        <f>"76002030"</f>
        <v>76002030</v>
      </c>
      <c r="D2081" s="2" t="s">
        <v>1907</v>
      </c>
      <c r="E2081" s="4">
        <v>2500</v>
      </c>
    </row>
    <row r="2082" spans="1:5" ht="26.25" x14ac:dyDescent="0.25">
      <c r="A2082" s="2" t="s">
        <v>1905</v>
      </c>
      <c r="B2082" s="2" t="str">
        <f>"38002030"</f>
        <v>38002030</v>
      </c>
      <c r="C2082" s="2" t="str">
        <f>"38002030"</f>
        <v>38002030</v>
      </c>
      <c r="D2082" s="2" t="s">
        <v>1908</v>
      </c>
      <c r="E2082" s="4">
        <v>2500</v>
      </c>
    </row>
    <row r="2083" spans="1:5" ht="26.25" x14ac:dyDescent="0.25">
      <c r="A2083" s="2" t="s">
        <v>1905</v>
      </c>
      <c r="B2083" s="2" t="str">
        <f>"34343434"</f>
        <v>34343434</v>
      </c>
      <c r="C2083" s="2" t="str">
        <f>"34343434"</f>
        <v>34343434</v>
      </c>
      <c r="D2083" s="2" t="s">
        <v>1909</v>
      </c>
      <c r="E2083" s="4">
        <v>1000</v>
      </c>
    </row>
    <row r="2084" spans="1:5" ht="26.25" x14ac:dyDescent="0.25">
      <c r="A2084" s="2" t="s">
        <v>147</v>
      </c>
      <c r="B2084" s="2" t="str">
        <f>"7805080100021"</f>
        <v>7805080100021</v>
      </c>
      <c r="C2084" s="2" t="str">
        <f>"47880021"</f>
        <v>47880021</v>
      </c>
      <c r="D2084" s="2" t="s">
        <v>1910</v>
      </c>
      <c r="E2084" s="4">
        <v>1490</v>
      </c>
    </row>
    <row r="2085" spans="1:5" ht="26.25" x14ac:dyDescent="0.25">
      <c r="A2085" s="2" t="s">
        <v>147</v>
      </c>
      <c r="B2085" s="2" t="str">
        <f>"7805020001913"</f>
        <v>7805020001913</v>
      </c>
      <c r="C2085" s="2" t="str">
        <f>"47881913"</f>
        <v>47881913</v>
      </c>
      <c r="D2085" s="2" t="s">
        <v>1911</v>
      </c>
      <c r="E2085" s="4">
        <v>1190</v>
      </c>
    </row>
    <row r="2086" spans="1:5" ht="26.25" x14ac:dyDescent="0.25">
      <c r="A2086" s="2" t="s">
        <v>21</v>
      </c>
      <c r="B2086" s="2" t="str">
        <f>"5620000931323"</f>
        <v>5620000931323</v>
      </c>
      <c r="C2086" s="2" t="str">
        <f>"285293132"</f>
        <v>285293132</v>
      </c>
      <c r="D2086" s="2" t="s">
        <v>1912</v>
      </c>
      <c r="E2086" s="4">
        <v>5500</v>
      </c>
    </row>
    <row r="2087" spans="1:5" ht="26.25" x14ac:dyDescent="0.25">
      <c r="A2087" s="2" t="s">
        <v>21</v>
      </c>
      <c r="B2087" s="2" t="str">
        <f>"5620000931491"</f>
        <v>5620000931491</v>
      </c>
      <c r="C2087" s="2" t="str">
        <f>"285293149"</f>
        <v>285293149</v>
      </c>
      <c r="D2087" s="2" t="s">
        <v>1913</v>
      </c>
      <c r="E2087" s="4">
        <v>8990</v>
      </c>
    </row>
    <row r="2088" spans="1:5" ht="26.25" x14ac:dyDescent="0.25">
      <c r="A2088" s="2" t="s">
        <v>21</v>
      </c>
      <c r="B2088" s="2" t="str">
        <f>"29HDD25120"</f>
        <v>29HDD25120</v>
      </c>
      <c r="C2088" s="2" t="str">
        <f>"29HDD25120"</f>
        <v>29HDD25120</v>
      </c>
      <c r="D2088" s="2" t="s">
        <v>1914</v>
      </c>
      <c r="E2088" s="4">
        <v>11990</v>
      </c>
    </row>
    <row r="2089" spans="1:5" ht="26.25" x14ac:dyDescent="0.25">
      <c r="A2089" s="2" t="s">
        <v>21</v>
      </c>
      <c r="B2089" s="2" t="str">
        <f>"4534568324682"</f>
        <v>4534568324682</v>
      </c>
      <c r="C2089" s="2" t="str">
        <f>"29HDD00100"</f>
        <v>29HDD00100</v>
      </c>
      <c r="D2089" s="2" t="s">
        <v>1915</v>
      </c>
      <c r="E2089" s="4">
        <v>6990</v>
      </c>
    </row>
    <row r="2090" spans="1:5" ht="26.25" x14ac:dyDescent="0.25">
      <c r="A2090" s="2" t="s">
        <v>49</v>
      </c>
      <c r="B2090" s="2" t="str">
        <f>"7168229227400"</f>
        <v>7168229227400</v>
      </c>
      <c r="C2090" s="2" t="str">
        <f>"29HDDCAS40"</f>
        <v>29HDDCAS40</v>
      </c>
      <c r="D2090" s="2" t="s">
        <v>1916</v>
      </c>
      <c r="E2090" s="4">
        <v>9990</v>
      </c>
    </row>
    <row r="2091" spans="1:5" ht="26.25" x14ac:dyDescent="0.25">
      <c r="A2091" s="2" t="s">
        <v>49</v>
      </c>
      <c r="B2091" s="2" t="str">
        <f>"7268229227803"</f>
        <v>7268229227803</v>
      </c>
      <c r="C2091" s="2" t="str">
        <f>"29HDDCAS80"</f>
        <v>29HDDCAS80</v>
      </c>
      <c r="D2091" s="2" t="s">
        <v>1917</v>
      </c>
      <c r="E2091" s="4">
        <v>15990</v>
      </c>
    </row>
    <row r="2092" spans="1:5" ht="26.25" x14ac:dyDescent="0.25">
      <c r="A2092" s="2" t="s">
        <v>21</v>
      </c>
      <c r="B2092" s="2" t="str">
        <f>"10003928"</f>
        <v>10003928</v>
      </c>
      <c r="C2092" s="2" t="str">
        <f>"10003928"</f>
        <v>10003928</v>
      </c>
      <c r="D2092" s="2" t="s">
        <v>1918</v>
      </c>
      <c r="E2092" s="4">
        <v>7990</v>
      </c>
    </row>
    <row r="2093" spans="1:5" ht="26.25" x14ac:dyDescent="0.25">
      <c r="A2093" s="2" t="s">
        <v>49</v>
      </c>
      <c r="B2093" s="2" t="str">
        <f>"4260275511489"</f>
        <v>4260275511489</v>
      </c>
      <c r="C2093" s="2" t="str">
        <f>"40526027"</f>
        <v>40526027</v>
      </c>
      <c r="D2093" s="2" t="s">
        <v>1919</v>
      </c>
      <c r="E2093" s="4">
        <v>8990</v>
      </c>
    </row>
    <row r="2094" spans="1:5" ht="26.25" x14ac:dyDescent="0.25">
      <c r="A2094" s="2" t="s">
        <v>21</v>
      </c>
      <c r="B2094" s="2" t="str">
        <f>"10015156"</f>
        <v>10015156</v>
      </c>
      <c r="C2094" s="2" t="str">
        <f>"10015156"</f>
        <v>10015156</v>
      </c>
      <c r="D2094" s="2" t="s">
        <v>1920</v>
      </c>
      <c r="E2094" s="4">
        <v>2650</v>
      </c>
    </row>
    <row r="2095" spans="1:5" ht="26.25" x14ac:dyDescent="0.25">
      <c r="A2095" s="2" t="s">
        <v>9</v>
      </c>
      <c r="B2095" s="2" t="str">
        <f>"11003470"</f>
        <v>11003470</v>
      </c>
      <c r="C2095" s="2" t="str">
        <f>"11003470"</f>
        <v>11003470</v>
      </c>
      <c r="D2095" s="2" t="s">
        <v>1921</v>
      </c>
      <c r="E2095" s="4">
        <v>19900</v>
      </c>
    </row>
    <row r="2096" spans="1:5" ht="26.25" x14ac:dyDescent="0.25">
      <c r="A2096" s="2" t="s">
        <v>9</v>
      </c>
      <c r="B2096" s="2" t="str">
        <f>"11003472"</f>
        <v>11003472</v>
      </c>
      <c r="C2096" s="2" t="str">
        <f>"11003472"</f>
        <v>11003472</v>
      </c>
      <c r="D2096" s="2" t="s">
        <v>1922</v>
      </c>
      <c r="E2096" s="4">
        <v>9900</v>
      </c>
    </row>
    <row r="2097" spans="1:5" ht="26.25" x14ac:dyDescent="0.25">
      <c r="A2097" s="2" t="s">
        <v>30</v>
      </c>
      <c r="B2097" s="2" t="str">
        <f>"110103190"</f>
        <v>110103190</v>
      </c>
      <c r="C2097" s="2" t="str">
        <f>"110103190"</f>
        <v>110103190</v>
      </c>
      <c r="D2097" s="2" t="s">
        <v>1923</v>
      </c>
      <c r="E2097" s="4">
        <v>1800</v>
      </c>
    </row>
    <row r="2098" spans="1:5" ht="26.25" x14ac:dyDescent="0.25">
      <c r="A2098" s="2" t="s">
        <v>971</v>
      </c>
      <c r="B2098" s="2" t="str">
        <f>"6925871696272"</f>
        <v>6925871696272</v>
      </c>
      <c r="C2098" s="2" t="str">
        <f>"22289627"</f>
        <v>22289627</v>
      </c>
      <c r="D2098" s="2" t="s">
        <v>1924</v>
      </c>
      <c r="E2098" s="4">
        <v>14990</v>
      </c>
    </row>
    <row r="2099" spans="1:5" ht="26.25" x14ac:dyDescent="0.25">
      <c r="A2099" s="2" t="s">
        <v>201</v>
      </c>
      <c r="B2099" s="2" t="str">
        <f>"7858816080005"</f>
        <v>7858816080005</v>
      </c>
      <c r="C2099" s="2" t="str">
        <f>"87528000"</f>
        <v>87528000</v>
      </c>
      <c r="D2099" s="2" t="s">
        <v>1925</v>
      </c>
      <c r="E2099" s="4">
        <v>2500</v>
      </c>
    </row>
    <row r="2100" spans="1:5" ht="26.25" x14ac:dyDescent="0.25">
      <c r="A2100" s="2" t="s">
        <v>30</v>
      </c>
      <c r="B2100" s="2" t="str">
        <f>"10003294"</f>
        <v>10003294</v>
      </c>
      <c r="C2100" s="2" t="str">
        <f>"10003294"</f>
        <v>10003294</v>
      </c>
      <c r="D2100" s="2" t="s">
        <v>1926</v>
      </c>
      <c r="E2100" s="4">
        <v>9990</v>
      </c>
    </row>
    <row r="2101" spans="1:5" ht="26.25" x14ac:dyDescent="0.25">
      <c r="A2101" s="2" t="s">
        <v>21</v>
      </c>
      <c r="B2101" s="2" t="str">
        <f>"6686996002477"</f>
        <v>6686996002477</v>
      </c>
      <c r="C2101" s="2" t="str">
        <f>"40522477"</f>
        <v>40522477</v>
      </c>
      <c r="D2101" s="2" t="s">
        <v>1927</v>
      </c>
      <c r="E2101" s="4">
        <v>11990</v>
      </c>
    </row>
    <row r="2102" spans="1:5" ht="26.25" x14ac:dyDescent="0.25">
      <c r="A2102" s="2" t="s">
        <v>30</v>
      </c>
      <c r="B2102" s="2" t="str">
        <f>"7858816035333"</f>
        <v>7858816035333</v>
      </c>
      <c r="C2102" s="2" t="str">
        <f>"87023533"</f>
        <v>87023533</v>
      </c>
      <c r="D2102" s="2" t="s">
        <v>1928</v>
      </c>
      <c r="E2102" s="4">
        <v>8990</v>
      </c>
    </row>
    <row r="2103" spans="1:5" ht="26.25" x14ac:dyDescent="0.25">
      <c r="A2103" s="2" t="s">
        <v>30</v>
      </c>
      <c r="B2103" s="2" t="str">
        <f>"766623151993"</f>
        <v>766623151993</v>
      </c>
      <c r="C2103" s="2" t="str">
        <f>"56021993"</f>
        <v>56021993</v>
      </c>
      <c r="D2103" s="2" t="s">
        <v>1929</v>
      </c>
      <c r="E2103" s="4">
        <v>14990</v>
      </c>
    </row>
    <row r="2104" spans="1:5" ht="26.25" x14ac:dyDescent="0.25">
      <c r="A2104" s="2" t="s">
        <v>30</v>
      </c>
      <c r="B2104" s="2" t="str">
        <f>"766623151467"</f>
        <v>766623151467</v>
      </c>
      <c r="C2104" s="2" t="str">
        <f>"56021467"</f>
        <v>56021467</v>
      </c>
      <c r="D2104" s="2" t="s">
        <v>1930</v>
      </c>
      <c r="E2104" s="4">
        <v>18990</v>
      </c>
    </row>
    <row r="2105" spans="1:5" ht="26.25" x14ac:dyDescent="0.25">
      <c r="A2105" s="2" t="s">
        <v>30</v>
      </c>
      <c r="B2105" s="2" t="str">
        <f>"766623205146"</f>
        <v>766623205146</v>
      </c>
      <c r="C2105" s="2" t="str">
        <f>"56085146"</f>
        <v>56085146</v>
      </c>
      <c r="D2105" s="2" t="s">
        <v>1931</v>
      </c>
      <c r="E2105" s="4">
        <v>14990</v>
      </c>
    </row>
    <row r="2106" spans="1:5" ht="26.25" x14ac:dyDescent="0.25">
      <c r="A2106" s="2" t="s">
        <v>30</v>
      </c>
      <c r="B2106" s="2" t="str">
        <f>"8618080210374"</f>
        <v>8618080210374</v>
      </c>
      <c r="C2106" s="2" t="str">
        <f>"10001733"</f>
        <v>10001733</v>
      </c>
      <c r="D2106" s="2" t="s">
        <v>1932</v>
      </c>
      <c r="E2106" s="4">
        <v>20000</v>
      </c>
    </row>
    <row r="2107" spans="1:5" ht="26.25" x14ac:dyDescent="0.25">
      <c r="A2107" s="2" t="s">
        <v>9</v>
      </c>
      <c r="B2107" s="2" t="str">
        <f>"10081688"</f>
        <v>10081688</v>
      </c>
      <c r="C2107" s="2" t="str">
        <f>"10081688"</f>
        <v>10081688</v>
      </c>
      <c r="D2107" s="2" t="s">
        <v>1933</v>
      </c>
      <c r="E2107" s="4">
        <v>14500</v>
      </c>
    </row>
    <row r="2108" spans="1:5" ht="26.25" x14ac:dyDescent="0.25">
      <c r="A2108" s="2" t="s">
        <v>30</v>
      </c>
      <c r="B2108" s="2" t="str">
        <f>"10001813"</f>
        <v>10001813</v>
      </c>
      <c r="C2108" s="2" t="str">
        <f>"10001813"</f>
        <v>10001813</v>
      </c>
      <c r="D2108" s="2" t="s">
        <v>1934</v>
      </c>
      <c r="E2108" s="4">
        <v>14990</v>
      </c>
    </row>
    <row r="2109" spans="1:5" ht="26.25" x14ac:dyDescent="0.25">
      <c r="A2109" s="2" t="s">
        <v>30</v>
      </c>
      <c r="B2109" s="2" t="str">
        <f>"10000355"</f>
        <v>10000355</v>
      </c>
      <c r="C2109" s="2" t="str">
        <f>"10000355"</f>
        <v>10000355</v>
      </c>
      <c r="D2109" s="2" t="s">
        <v>1935</v>
      </c>
      <c r="E2109" s="4">
        <v>19990</v>
      </c>
    </row>
    <row r="2110" spans="1:5" ht="26.25" x14ac:dyDescent="0.25">
      <c r="A2110" s="2" t="s">
        <v>30</v>
      </c>
      <c r="B2110" s="2" t="str">
        <f>"2583345646464"</f>
        <v>2583345646464</v>
      </c>
      <c r="C2110" s="2" t="str">
        <f>"10001760"</f>
        <v>10001760</v>
      </c>
      <c r="D2110" s="2" t="s">
        <v>1936</v>
      </c>
      <c r="E2110" s="4">
        <v>10990</v>
      </c>
    </row>
    <row r="2111" spans="1:5" ht="26.25" x14ac:dyDescent="0.25">
      <c r="A2111" s="2" t="s">
        <v>30</v>
      </c>
      <c r="B2111" s="2" t="str">
        <f>"9286"</f>
        <v>9286</v>
      </c>
      <c r="C2111" s="2" t="str">
        <f>"98029286"</f>
        <v>98029286</v>
      </c>
      <c r="D2111" s="2" t="s">
        <v>1937</v>
      </c>
      <c r="E2111" s="4">
        <v>14990</v>
      </c>
    </row>
    <row r="2112" spans="1:5" ht="26.25" x14ac:dyDescent="0.25">
      <c r="A2112" s="2" t="s">
        <v>20</v>
      </c>
      <c r="B2112" s="2" t="str">
        <f>"10001691"</f>
        <v>10001691</v>
      </c>
      <c r="C2112" s="2" t="str">
        <f>"10001691"</f>
        <v>10001691</v>
      </c>
      <c r="D2112" s="2" t="s">
        <v>1938</v>
      </c>
      <c r="E2112" s="4">
        <v>9900</v>
      </c>
    </row>
    <row r="2113" spans="1:5" ht="26.25" x14ac:dyDescent="0.25">
      <c r="A2113" s="2" t="s">
        <v>30</v>
      </c>
      <c r="B2113" s="2" t="str">
        <f>"798302167414"</f>
        <v>798302167414</v>
      </c>
      <c r="C2113" s="2" t="str">
        <f>"92030333"</f>
        <v>92030333</v>
      </c>
      <c r="D2113" s="2" t="s">
        <v>1939</v>
      </c>
      <c r="E2113" s="4">
        <v>2990</v>
      </c>
    </row>
    <row r="2114" spans="1:5" ht="26.25" x14ac:dyDescent="0.25">
      <c r="A2114" s="2" t="s">
        <v>30</v>
      </c>
      <c r="B2114" s="2" t="str">
        <f>"10011405"</f>
        <v>10011405</v>
      </c>
      <c r="C2114" s="2" t="str">
        <f>"10011405"</f>
        <v>10011405</v>
      </c>
      <c r="D2114" s="2" t="s">
        <v>1940</v>
      </c>
      <c r="E2114" s="4">
        <v>1200</v>
      </c>
    </row>
    <row r="2115" spans="1:5" ht="26.25" x14ac:dyDescent="0.25">
      <c r="A2115" s="2" t="s">
        <v>21</v>
      </c>
      <c r="B2115" s="2" t="str">
        <f>"10000760"</f>
        <v>10000760</v>
      </c>
      <c r="C2115" s="2" t="str">
        <f>"10000760"</f>
        <v>10000760</v>
      </c>
      <c r="D2115" s="2" t="s">
        <v>1941</v>
      </c>
      <c r="E2115" s="4">
        <v>6000</v>
      </c>
    </row>
    <row r="2116" spans="1:5" x14ac:dyDescent="0.25">
      <c r="A2116" s="2" t="s">
        <v>1905</v>
      </c>
      <c r="B2116" s="2" t="str">
        <f>"90015"</f>
        <v>90015</v>
      </c>
      <c r="C2116" s="2" t="str">
        <f>"90015"</f>
        <v>90015</v>
      </c>
      <c r="D2116" s="2" t="s">
        <v>1942</v>
      </c>
      <c r="E2116" s="4">
        <v>1500</v>
      </c>
    </row>
    <row r="2117" spans="1:5" ht="26.25" x14ac:dyDescent="0.25">
      <c r="A2117" s="2" t="s">
        <v>21</v>
      </c>
      <c r="B2117" s="2" t="str">
        <f>"98529999"</f>
        <v>98529999</v>
      </c>
      <c r="C2117" s="2" t="str">
        <f>"98529999"</f>
        <v>98529999</v>
      </c>
      <c r="D2117" s="2" t="s">
        <v>1943</v>
      </c>
      <c r="E2117" s="4">
        <v>2500</v>
      </c>
    </row>
    <row r="2118" spans="1:5" ht="26.25" x14ac:dyDescent="0.25">
      <c r="A2118" s="2" t="s">
        <v>9</v>
      </c>
      <c r="B2118" s="2" t="str">
        <f>"87000506"</f>
        <v>87000506</v>
      </c>
      <c r="C2118" s="2" t="str">
        <f>"87000506"</f>
        <v>87000506</v>
      </c>
      <c r="D2118" s="2" t="s">
        <v>1944</v>
      </c>
      <c r="E2118" s="4">
        <v>2000</v>
      </c>
    </row>
    <row r="2119" spans="1:5" ht="26.25" x14ac:dyDescent="0.25">
      <c r="A2119" s="2" t="s">
        <v>9</v>
      </c>
      <c r="B2119" s="2" t="str">
        <f>"87000508"</f>
        <v>87000508</v>
      </c>
      <c r="C2119" s="2" t="str">
        <f>"87000508"</f>
        <v>87000508</v>
      </c>
      <c r="D2119" s="2" t="s">
        <v>1945</v>
      </c>
      <c r="E2119" s="4">
        <v>2000</v>
      </c>
    </row>
    <row r="2120" spans="1:5" ht="26.25" x14ac:dyDescent="0.25">
      <c r="A2120" s="2" t="s">
        <v>9</v>
      </c>
      <c r="B2120" s="2" t="str">
        <f>"86090716"</f>
        <v>86090716</v>
      </c>
      <c r="C2120" s="2" t="str">
        <f>"86090716"</f>
        <v>86090716</v>
      </c>
      <c r="D2120" s="2" t="s">
        <v>1946</v>
      </c>
      <c r="E2120" s="4">
        <v>4000</v>
      </c>
    </row>
    <row r="2121" spans="1:5" ht="26.25" x14ac:dyDescent="0.25">
      <c r="A2121" s="2" t="s">
        <v>9</v>
      </c>
      <c r="B2121" s="2" t="str">
        <f>"76170715"</f>
        <v>76170715</v>
      </c>
      <c r="C2121" s="2" t="str">
        <f>"76170715"</f>
        <v>76170715</v>
      </c>
      <c r="D2121" s="2" t="s">
        <v>1947</v>
      </c>
      <c r="E2121" s="4">
        <v>6000</v>
      </c>
    </row>
    <row r="2122" spans="1:5" ht="26.25" x14ac:dyDescent="0.25">
      <c r="A2122" s="2" t="s">
        <v>9</v>
      </c>
      <c r="B2122" s="2" t="str">
        <f>"87001226"</f>
        <v>87001226</v>
      </c>
      <c r="C2122" s="2" t="str">
        <f>"87001226"</f>
        <v>87001226</v>
      </c>
      <c r="D2122" s="2" t="s">
        <v>1948</v>
      </c>
      <c r="E2122" s="4">
        <v>2000</v>
      </c>
    </row>
    <row r="2123" spans="1:5" ht="26.25" x14ac:dyDescent="0.25">
      <c r="A2123" s="2" t="s">
        <v>147</v>
      </c>
      <c r="B2123" s="2" t="str">
        <f>"7805300052062"</f>
        <v>7805300052062</v>
      </c>
      <c r="C2123" s="2" t="str">
        <f>"47886544"</f>
        <v>47886544</v>
      </c>
      <c r="D2123" s="2" t="s">
        <v>1949</v>
      </c>
      <c r="E2123" s="4">
        <v>2490</v>
      </c>
    </row>
    <row r="2124" spans="1:5" ht="26.25" x14ac:dyDescent="0.25">
      <c r="A2124" s="2" t="s">
        <v>147</v>
      </c>
      <c r="B2124" s="2" t="str">
        <f>"7805040001016"</f>
        <v>7805040001016</v>
      </c>
      <c r="C2124" s="2" t="str">
        <f>"47881016"</f>
        <v>47881016</v>
      </c>
      <c r="D2124" s="2" t="s">
        <v>1950</v>
      </c>
      <c r="E2124" s="4">
        <v>2990</v>
      </c>
    </row>
    <row r="2125" spans="1:5" ht="26.25" x14ac:dyDescent="0.25">
      <c r="A2125" s="2" t="s">
        <v>147</v>
      </c>
      <c r="B2125" s="2" t="str">
        <f>"7805050583533"</f>
        <v>7805050583533</v>
      </c>
      <c r="C2125" s="2" t="str">
        <f>"47881111"</f>
        <v>47881111</v>
      </c>
      <c r="D2125" s="2" t="s">
        <v>1951</v>
      </c>
      <c r="E2125" s="4">
        <v>2990</v>
      </c>
    </row>
    <row r="2126" spans="1:5" ht="26.25" x14ac:dyDescent="0.25">
      <c r="A2126" s="2" t="s">
        <v>21</v>
      </c>
      <c r="B2126" s="2" t="str">
        <f>"10013671"</f>
        <v>10013671</v>
      </c>
      <c r="C2126" s="2" t="str">
        <f>"10013671"</f>
        <v>10013671</v>
      </c>
      <c r="D2126" s="2" t="s">
        <v>1952</v>
      </c>
      <c r="E2126" s="4">
        <v>3990</v>
      </c>
    </row>
    <row r="2127" spans="1:5" ht="26.25" x14ac:dyDescent="0.25">
      <c r="A2127" s="2" t="s">
        <v>21</v>
      </c>
      <c r="B2127" s="2" t="str">
        <f>"6302201602118"</f>
        <v>6302201602118</v>
      </c>
      <c r="C2127" s="2" t="str">
        <f>"10004607"</f>
        <v>10004607</v>
      </c>
      <c r="D2127" s="2" t="s">
        <v>1953</v>
      </c>
      <c r="E2127" s="4">
        <v>5500</v>
      </c>
    </row>
    <row r="2128" spans="1:5" ht="26.25" x14ac:dyDescent="0.25">
      <c r="A2128" s="2" t="s">
        <v>21</v>
      </c>
      <c r="B2128" s="2" t="str">
        <f>"10003827"</f>
        <v>10003827</v>
      </c>
      <c r="C2128" s="2" t="str">
        <f>"10003827"</f>
        <v>10003827</v>
      </c>
      <c r="D2128" s="2" t="s">
        <v>1954</v>
      </c>
      <c r="E2128" s="4">
        <v>4500</v>
      </c>
    </row>
    <row r="2129" spans="1:5" ht="26.25" x14ac:dyDescent="0.25">
      <c r="A2129" s="2" t="s">
        <v>21</v>
      </c>
      <c r="B2129" s="2" t="str">
        <f>"63520002"</f>
        <v>63520002</v>
      </c>
      <c r="C2129" s="2" t="str">
        <f>"63520002"</f>
        <v>63520002</v>
      </c>
      <c r="D2129" s="2" t="s">
        <v>1955</v>
      </c>
      <c r="E2129" s="2">
        <v>1</v>
      </c>
    </row>
    <row r="2130" spans="1:5" ht="26.25" x14ac:dyDescent="0.25">
      <c r="A2130" s="2" t="s">
        <v>21</v>
      </c>
      <c r="B2130" s="2" t="str">
        <f>"7858816062650"</f>
        <v>7858816062650</v>
      </c>
      <c r="C2130" s="2" t="str">
        <f>"87526265"</f>
        <v>87526265</v>
      </c>
      <c r="D2130" s="2" t="s">
        <v>1956</v>
      </c>
      <c r="E2130" s="4">
        <v>6500</v>
      </c>
    </row>
    <row r="2131" spans="1:5" ht="26.25" x14ac:dyDescent="0.25">
      <c r="A2131" s="2" t="s">
        <v>1602</v>
      </c>
      <c r="B2131" s="2" t="str">
        <f>"67121402"</f>
        <v>67121402</v>
      </c>
      <c r="C2131" s="2" t="str">
        <f>"67121402"</f>
        <v>67121402</v>
      </c>
      <c r="D2131" s="2" t="s">
        <v>1957</v>
      </c>
      <c r="E2131" s="4">
        <v>4000</v>
      </c>
    </row>
    <row r="2132" spans="1:5" ht="26.25" x14ac:dyDescent="0.25">
      <c r="A2132" s="2" t="s">
        <v>9</v>
      </c>
      <c r="B2132" s="2" t="str">
        <f>"10014221"</f>
        <v>10014221</v>
      </c>
      <c r="C2132" s="2" t="str">
        <f>"10014221"</f>
        <v>10014221</v>
      </c>
      <c r="D2132" s="2" t="s">
        <v>1958</v>
      </c>
      <c r="E2132" s="4">
        <v>4500</v>
      </c>
    </row>
    <row r="2133" spans="1:5" ht="26.25" x14ac:dyDescent="0.25">
      <c r="A2133" s="2" t="s">
        <v>9</v>
      </c>
      <c r="B2133" s="2" t="str">
        <f>"10013011"</f>
        <v>10013011</v>
      </c>
      <c r="C2133" s="2" t="str">
        <f>"10013011"</f>
        <v>10013011</v>
      </c>
      <c r="D2133" s="2" t="s">
        <v>1959</v>
      </c>
      <c r="E2133" s="4">
        <v>4500</v>
      </c>
    </row>
    <row r="2134" spans="1:5" ht="26.25" x14ac:dyDescent="0.25">
      <c r="A2134" s="2" t="s">
        <v>9</v>
      </c>
      <c r="B2134" s="2" t="str">
        <f>"10012967"</f>
        <v>10012967</v>
      </c>
      <c r="C2134" s="2" t="str">
        <f>"10012967"</f>
        <v>10012967</v>
      </c>
      <c r="D2134" s="2" t="s">
        <v>1960</v>
      </c>
      <c r="E2134" s="4">
        <v>3990</v>
      </c>
    </row>
    <row r="2135" spans="1:5" ht="26.25" x14ac:dyDescent="0.25">
      <c r="A2135" s="2" t="s">
        <v>1602</v>
      </c>
      <c r="B2135" s="2" t="str">
        <f>"67121403"</f>
        <v>67121403</v>
      </c>
      <c r="C2135" s="2" t="str">
        <f>"67121403"</f>
        <v>67121403</v>
      </c>
      <c r="D2135" s="2" t="s">
        <v>1961</v>
      </c>
      <c r="E2135" s="4">
        <v>7000</v>
      </c>
    </row>
    <row r="2136" spans="1:5" ht="26.25" x14ac:dyDescent="0.25">
      <c r="A2136" s="2" t="s">
        <v>21</v>
      </c>
      <c r="B2136" s="2" t="str">
        <f>"79790700"</f>
        <v>79790700</v>
      </c>
      <c r="C2136" s="2" t="str">
        <f>"79790700"</f>
        <v>79790700</v>
      </c>
      <c r="D2136" s="2" t="s">
        <v>1962</v>
      </c>
      <c r="E2136" s="4">
        <v>34000</v>
      </c>
    </row>
    <row r="2137" spans="1:5" ht="26.25" x14ac:dyDescent="0.25">
      <c r="A2137" s="2" t="s">
        <v>21</v>
      </c>
      <c r="B2137" s="2" t="str">
        <f>"8669885020095"</f>
        <v>8669885020095</v>
      </c>
      <c r="C2137" s="2" t="str">
        <f>"66522009"</f>
        <v>66522009</v>
      </c>
      <c r="D2137" s="2" t="s">
        <v>1963</v>
      </c>
      <c r="E2137" s="4">
        <v>26500</v>
      </c>
    </row>
    <row r="2138" spans="1:5" ht="26.25" x14ac:dyDescent="0.25">
      <c r="A2138" s="2" t="s">
        <v>21</v>
      </c>
      <c r="B2138" s="2" t="str">
        <f>"7858816014055"</f>
        <v>7858816014055</v>
      </c>
      <c r="C2138" s="2" t="str">
        <f>"87521405"</f>
        <v>87521405</v>
      </c>
      <c r="D2138" s="2" t="s">
        <v>1964</v>
      </c>
      <c r="E2138" s="4">
        <v>44900</v>
      </c>
    </row>
    <row r="2139" spans="1:5" ht="26.25" x14ac:dyDescent="0.25">
      <c r="A2139" s="2" t="s">
        <v>21</v>
      </c>
      <c r="B2139" s="2" t="str">
        <f>"023942979012"</f>
        <v>023942979012</v>
      </c>
      <c r="C2139" s="2" t="str">
        <f>"98520010"</f>
        <v>98520010</v>
      </c>
      <c r="D2139" s="2" t="s">
        <v>1965</v>
      </c>
      <c r="E2139" s="2">
        <v>500</v>
      </c>
    </row>
    <row r="2140" spans="1:5" ht="26.25" x14ac:dyDescent="0.25">
      <c r="A2140" s="2" t="s">
        <v>154</v>
      </c>
      <c r="B2140" s="2" t="str">
        <f>"10001339"</f>
        <v>10001339</v>
      </c>
      <c r="C2140" s="2" t="str">
        <f>"10001339"</f>
        <v>10001339</v>
      </c>
      <c r="D2140" s="2" t="s">
        <v>1966</v>
      </c>
      <c r="E2140" s="4">
        <v>29990</v>
      </c>
    </row>
    <row r="2141" spans="1:5" ht="26.25" x14ac:dyDescent="0.25">
      <c r="A2141" s="2" t="s">
        <v>21</v>
      </c>
      <c r="B2141" s="2" t="str">
        <f>"7298219785280"</f>
        <v>7298219785280</v>
      </c>
      <c r="C2141" s="2" t="str">
        <f>"10001505"</f>
        <v>10001505</v>
      </c>
      <c r="D2141" s="2" t="s">
        <v>1967</v>
      </c>
      <c r="E2141" s="4">
        <v>1590</v>
      </c>
    </row>
    <row r="2142" spans="1:5" ht="26.25" x14ac:dyDescent="0.25">
      <c r="A2142" s="2" t="s">
        <v>21</v>
      </c>
      <c r="B2142" s="2" t="str">
        <f>"66000714"</f>
        <v>66000714</v>
      </c>
      <c r="C2142" s="2" t="str">
        <f>"66000714"</f>
        <v>66000714</v>
      </c>
      <c r="D2142" s="2" t="s">
        <v>1968</v>
      </c>
      <c r="E2142" s="4">
        <v>2000</v>
      </c>
    </row>
    <row r="2143" spans="1:5" ht="26.25" x14ac:dyDescent="0.25">
      <c r="A2143" s="2" t="s">
        <v>21</v>
      </c>
      <c r="B2143" s="2" t="str">
        <f>"6985081029888"</f>
        <v>6985081029888</v>
      </c>
      <c r="C2143" s="2" t="str">
        <f>"10113200"</f>
        <v>10113200</v>
      </c>
      <c r="D2143" s="2" t="s">
        <v>1969</v>
      </c>
      <c r="E2143" s="4">
        <v>9990</v>
      </c>
    </row>
    <row r="2144" spans="1:5" ht="26.25" x14ac:dyDescent="0.25">
      <c r="A2144" s="2" t="s">
        <v>21</v>
      </c>
      <c r="B2144" s="2" t="str">
        <f>"7858816075643"</f>
        <v>7858816075643</v>
      </c>
      <c r="C2144" s="2" t="str">
        <f>"87527564"</f>
        <v>87527564</v>
      </c>
      <c r="D2144" s="2" t="s">
        <v>1970</v>
      </c>
      <c r="E2144" s="4">
        <v>11990</v>
      </c>
    </row>
    <row r="2145" spans="1:5" ht="26.25" x14ac:dyDescent="0.25">
      <c r="A2145" s="2" t="s">
        <v>21</v>
      </c>
      <c r="B2145" s="2" t="str">
        <f>"7858816080289"</f>
        <v>7858816080289</v>
      </c>
      <c r="C2145" s="2" t="str">
        <f>"87528028"</f>
        <v>87528028</v>
      </c>
      <c r="D2145" s="2" t="s">
        <v>1971</v>
      </c>
      <c r="E2145" s="4">
        <v>13990</v>
      </c>
    </row>
    <row r="2146" spans="1:5" ht="26.25" x14ac:dyDescent="0.25">
      <c r="A2146" s="2" t="s">
        <v>21</v>
      </c>
      <c r="B2146" s="2" t="str">
        <f>"7858816080852"</f>
        <v>7858816080852</v>
      </c>
      <c r="C2146" s="2" t="str">
        <f>"87528085"</f>
        <v>87528085</v>
      </c>
      <c r="D2146" s="2" t="s">
        <v>1972</v>
      </c>
      <c r="E2146" s="4">
        <v>6500</v>
      </c>
    </row>
    <row r="2147" spans="1:5" ht="26.25" x14ac:dyDescent="0.25">
      <c r="A2147" s="2" t="s">
        <v>21</v>
      </c>
      <c r="B2147" s="2" t="str">
        <f>"10119250"</f>
        <v>10119250</v>
      </c>
      <c r="C2147" s="2" t="str">
        <f>"10119250"</f>
        <v>10119250</v>
      </c>
      <c r="D2147" s="2" t="s">
        <v>1973</v>
      </c>
      <c r="E2147" s="4">
        <v>15990</v>
      </c>
    </row>
    <row r="2148" spans="1:5" ht="26.25" x14ac:dyDescent="0.25">
      <c r="A2148" s="2" t="s">
        <v>154</v>
      </c>
      <c r="B2148" s="2" t="str">
        <f>"10000255"</f>
        <v>10000255</v>
      </c>
      <c r="C2148" s="2" t="str">
        <f>"10000255"</f>
        <v>10000255</v>
      </c>
      <c r="D2148" s="2" t="s">
        <v>1974</v>
      </c>
      <c r="E2148" s="4">
        <v>21990</v>
      </c>
    </row>
    <row r="2149" spans="1:5" ht="26.25" x14ac:dyDescent="0.25">
      <c r="A2149" s="2" t="s">
        <v>154</v>
      </c>
      <c r="B2149" s="2" t="str">
        <f>"10003374"</f>
        <v>10003374</v>
      </c>
      <c r="C2149" s="2" t="str">
        <f>"10003374"</f>
        <v>10003374</v>
      </c>
      <c r="D2149" s="2" t="s">
        <v>1975</v>
      </c>
      <c r="E2149" s="4">
        <v>34990</v>
      </c>
    </row>
    <row r="2150" spans="1:5" ht="26.25" x14ac:dyDescent="0.25">
      <c r="A2150" s="2" t="s">
        <v>154</v>
      </c>
      <c r="B2150" s="2" t="str">
        <f>"1930371639457"</f>
        <v>1930371639457</v>
      </c>
      <c r="C2150" s="2" t="str">
        <f>"96063945"</f>
        <v>96063945</v>
      </c>
      <c r="D2150" s="2" t="s">
        <v>1976</v>
      </c>
      <c r="E2150" s="4">
        <v>22990</v>
      </c>
    </row>
    <row r="2151" spans="1:5" ht="26.25" x14ac:dyDescent="0.25">
      <c r="A2151" s="2" t="s">
        <v>154</v>
      </c>
      <c r="B2151" s="2" t="str">
        <f>"1930371639464"</f>
        <v>1930371639464</v>
      </c>
      <c r="C2151" s="2" t="str">
        <f>"96063946"</f>
        <v>96063946</v>
      </c>
      <c r="D2151" s="2" t="s">
        <v>1977</v>
      </c>
      <c r="E2151" s="4">
        <v>31990</v>
      </c>
    </row>
    <row r="2152" spans="1:5" ht="26.25" x14ac:dyDescent="0.25">
      <c r="A2152" s="2" t="s">
        <v>154</v>
      </c>
      <c r="B2152" s="2" t="str">
        <f>"10000549"</f>
        <v>10000549</v>
      </c>
      <c r="C2152" s="2" t="str">
        <f>"10000549"</f>
        <v>10000549</v>
      </c>
      <c r="D2152" s="2" t="s">
        <v>1978</v>
      </c>
      <c r="E2152" s="4">
        <v>18000</v>
      </c>
    </row>
    <row r="2153" spans="1:5" ht="26.25" x14ac:dyDescent="0.25">
      <c r="A2153" s="2" t="s">
        <v>21</v>
      </c>
      <c r="B2153" s="2" t="str">
        <f>"10001407"</f>
        <v>10001407</v>
      </c>
      <c r="C2153" s="2" t="str">
        <f>"10001407"</f>
        <v>10001407</v>
      </c>
      <c r="D2153" s="2" t="s">
        <v>1979</v>
      </c>
      <c r="E2153" s="4">
        <v>14990</v>
      </c>
    </row>
    <row r="2154" spans="1:5" ht="26.25" x14ac:dyDescent="0.25">
      <c r="A2154" s="2" t="s">
        <v>885</v>
      </c>
      <c r="B2154" s="2" t="str">
        <f>"8620130322906"</f>
        <v>8620130322906</v>
      </c>
      <c r="C2154" s="2" t="str">
        <f>"171900128"</f>
        <v>171900128</v>
      </c>
      <c r="D2154" s="2" t="s">
        <v>1980</v>
      </c>
      <c r="E2154" s="4">
        <v>3990</v>
      </c>
    </row>
    <row r="2155" spans="1:5" ht="26.25" x14ac:dyDescent="0.25">
      <c r="A2155" s="2" t="s">
        <v>1981</v>
      </c>
      <c r="B2155" s="2" t="str">
        <f>"10110395"</f>
        <v>10110395</v>
      </c>
      <c r="C2155" s="2" t="str">
        <f>"10110395"</f>
        <v>10110395</v>
      </c>
      <c r="D2155" s="2" t="s">
        <v>1982</v>
      </c>
      <c r="E2155" s="4">
        <v>5500</v>
      </c>
    </row>
    <row r="2156" spans="1:5" ht="26.25" x14ac:dyDescent="0.25">
      <c r="A2156" s="2" t="s">
        <v>1981</v>
      </c>
      <c r="B2156" s="2" t="str">
        <f>"10110406"</f>
        <v>10110406</v>
      </c>
      <c r="C2156" s="2" t="str">
        <f>"10110406"</f>
        <v>10110406</v>
      </c>
      <c r="D2156" s="2" t="s">
        <v>1983</v>
      </c>
      <c r="E2156" s="4">
        <v>5500</v>
      </c>
    </row>
    <row r="2157" spans="1:5" ht="26.25" x14ac:dyDescent="0.25">
      <c r="A2157" s="2" t="s">
        <v>1981</v>
      </c>
      <c r="B2157" s="2" t="str">
        <f>"10110496"</f>
        <v>10110496</v>
      </c>
      <c r="C2157" s="2" t="str">
        <f>"10110496"</f>
        <v>10110496</v>
      </c>
      <c r="D2157" s="2" t="s">
        <v>1984</v>
      </c>
      <c r="E2157" s="4">
        <v>5500</v>
      </c>
    </row>
    <row r="2158" spans="1:5" ht="26.25" x14ac:dyDescent="0.25">
      <c r="A2158" s="2" t="s">
        <v>1981</v>
      </c>
      <c r="B2158" s="2" t="str">
        <f>"8435350767976"</f>
        <v>8435350767976</v>
      </c>
      <c r="C2158" s="2" t="str">
        <f>"30195057"</f>
        <v>30195057</v>
      </c>
      <c r="D2158" s="2" t="s">
        <v>1985</v>
      </c>
      <c r="E2158" s="4">
        <v>5500</v>
      </c>
    </row>
    <row r="2159" spans="1:5" ht="26.25" x14ac:dyDescent="0.25">
      <c r="A2159" s="2" t="s">
        <v>885</v>
      </c>
      <c r="B2159" s="2" t="str">
        <f>"34190010"</f>
        <v>34190010</v>
      </c>
      <c r="C2159" s="2" t="str">
        <f>"34190010"</f>
        <v>34190010</v>
      </c>
      <c r="D2159" s="2" t="s">
        <v>1986</v>
      </c>
      <c r="E2159" s="4">
        <v>4900</v>
      </c>
    </row>
    <row r="2160" spans="1:5" ht="26.25" x14ac:dyDescent="0.25">
      <c r="A2160" s="2" t="s">
        <v>885</v>
      </c>
      <c r="B2160" s="2" t="str">
        <f>"34190011"</f>
        <v>34190011</v>
      </c>
      <c r="C2160" s="2" t="str">
        <f>"34190011"</f>
        <v>34190011</v>
      </c>
      <c r="D2160" s="2" t="s">
        <v>1987</v>
      </c>
      <c r="E2160" s="4">
        <v>5500</v>
      </c>
    </row>
    <row r="2161" spans="1:5" ht="26.25" x14ac:dyDescent="0.25">
      <c r="A2161" s="2" t="s">
        <v>885</v>
      </c>
      <c r="B2161" s="2" t="str">
        <f>"34190012"</f>
        <v>34190012</v>
      </c>
      <c r="C2161" s="2" t="str">
        <f>"34190012"</f>
        <v>34190012</v>
      </c>
      <c r="D2161" s="2" t="s">
        <v>1988</v>
      </c>
      <c r="E2161" s="4">
        <v>5500</v>
      </c>
    </row>
    <row r="2162" spans="1:5" ht="26.25" x14ac:dyDescent="0.25">
      <c r="A2162" s="2" t="s">
        <v>1981</v>
      </c>
      <c r="B2162" s="2" t="str">
        <f>"17190092"</f>
        <v>17190092</v>
      </c>
      <c r="C2162" s="2" t="str">
        <f>"17190092"</f>
        <v>17190092</v>
      </c>
      <c r="D2162" s="2" t="s">
        <v>1989</v>
      </c>
      <c r="E2162" s="4">
        <v>5000</v>
      </c>
    </row>
    <row r="2163" spans="1:5" ht="26.25" x14ac:dyDescent="0.25">
      <c r="A2163" s="2" t="s">
        <v>1981</v>
      </c>
      <c r="B2163" s="2" t="str">
        <f>"41007604"</f>
        <v>41007604</v>
      </c>
      <c r="C2163" s="2" t="str">
        <f>"41007604"</f>
        <v>41007604</v>
      </c>
      <c r="D2163" s="2" t="s">
        <v>1990</v>
      </c>
      <c r="E2163" s="4">
        <v>14000</v>
      </c>
    </row>
    <row r="2164" spans="1:5" ht="26.25" x14ac:dyDescent="0.25">
      <c r="A2164" s="2" t="s">
        <v>1981</v>
      </c>
      <c r="B2164" s="2" t="str">
        <f>"41007904"</f>
        <v>41007904</v>
      </c>
      <c r="C2164" s="2" t="str">
        <f>"41007904"</f>
        <v>41007904</v>
      </c>
      <c r="D2164" s="2" t="s">
        <v>1991</v>
      </c>
      <c r="E2164" s="4">
        <v>14000</v>
      </c>
    </row>
    <row r="2165" spans="1:5" ht="26.25" x14ac:dyDescent="0.25">
      <c r="A2165" s="2" t="s">
        <v>1981</v>
      </c>
      <c r="B2165" s="2" t="str">
        <f>"41007704"</f>
        <v>41007704</v>
      </c>
      <c r="C2165" s="2" t="str">
        <f>"41007704"</f>
        <v>41007704</v>
      </c>
      <c r="D2165" s="2" t="s">
        <v>1992</v>
      </c>
      <c r="E2165" s="4">
        <v>14000</v>
      </c>
    </row>
    <row r="2166" spans="1:5" ht="26.25" x14ac:dyDescent="0.25">
      <c r="A2166" s="2" t="s">
        <v>1981</v>
      </c>
      <c r="B2166" s="2" t="str">
        <f>"17190094"</f>
        <v>17190094</v>
      </c>
      <c r="C2166" s="2" t="str">
        <f>"17190094"</f>
        <v>17190094</v>
      </c>
      <c r="D2166" s="2" t="s">
        <v>1993</v>
      </c>
      <c r="E2166" s="4">
        <v>5000</v>
      </c>
    </row>
    <row r="2167" spans="1:5" ht="26.25" x14ac:dyDescent="0.25">
      <c r="A2167" s="2" t="s">
        <v>1981</v>
      </c>
      <c r="B2167" s="2" t="str">
        <f>"34190094"</f>
        <v>34190094</v>
      </c>
      <c r="C2167" s="2" t="str">
        <f>"34190094"</f>
        <v>34190094</v>
      </c>
      <c r="D2167" s="2" t="s">
        <v>1993</v>
      </c>
      <c r="E2167" s="4">
        <v>5500</v>
      </c>
    </row>
    <row r="2168" spans="1:5" ht="26.25" x14ac:dyDescent="0.25">
      <c r="A2168" s="2" t="s">
        <v>1981</v>
      </c>
      <c r="B2168" s="2" t="str">
        <f>"17190093"</f>
        <v>17190093</v>
      </c>
      <c r="C2168" s="2" t="str">
        <f>"17190093"</f>
        <v>17190093</v>
      </c>
      <c r="D2168" s="2" t="s">
        <v>1994</v>
      </c>
      <c r="E2168" s="4">
        <v>5000</v>
      </c>
    </row>
    <row r="2169" spans="1:5" ht="26.25" x14ac:dyDescent="0.25">
      <c r="A2169" s="2" t="s">
        <v>1981</v>
      </c>
      <c r="B2169" s="2" t="str">
        <f>"41001504"</f>
        <v>41001504</v>
      </c>
      <c r="C2169" s="2" t="str">
        <f>"41001504"</f>
        <v>41001504</v>
      </c>
      <c r="D2169" s="2" t="s">
        <v>1995</v>
      </c>
      <c r="E2169" s="4">
        <v>14000</v>
      </c>
    </row>
    <row r="2170" spans="1:5" ht="26.25" x14ac:dyDescent="0.25">
      <c r="A2170" s="2" t="s">
        <v>1981</v>
      </c>
      <c r="B2170" s="2" t="str">
        <f>"41007804"</f>
        <v>41007804</v>
      </c>
      <c r="C2170" s="2" t="str">
        <f>"41007804"</f>
        <v>41007804</v>
      </c>
      <c r="D2170" s="2" t="s">
        <v>1996</v>
      </c>
      <c r="E2170" s="4">
        <v>14000</v>
      </c>
    </row>
    <row r="2171" spans="1:5" ht="26.25" x14ac:dyDescent="0.25">
      <c r="A2171" s="2" t="s">
        <v>1981</v>
      </c>
      <c r="B2171" s="2" t="str">
        <f>"87000750"</f>
        <v>87000750</v>
      </c>
      <c r="C2171" s="2" t="str">
        <f>"87000750"</f>
        <v>87000750</v>
      </c>
      <c r="D2171" s="2" t="s">
        <v>1997</v>
      </c>
      <c r="E2171" s="4">
        <v>5900</v>
      </c>
    </row>
    <row r="2172" spans="1:5" ht="26.25" x14ac:dyDescent="0.25">
      <c r="A2172" s="2" t="s">
        <v>1981</v>
      </c>
      <c r="B2172" s="2" t="str">
        <f>"10001028"</f>
        <v>10001028</v>
      </c>
      <c r="C2172" s="2" t="str">
        <f>"10001028"</f>
        <v>10001028</v>
      </c>
      <c r="D2172" s="2" t="s">
        <v>1998</v>
      </c>
      <c r="E2172" s="4">
        <v>5900</v>
      </c>
    </row>
    <row r="2173" spans="1:5" ht="26.25" x14ac:dyDescent="0.25">
      <c r="A2173" s="2" t="s">
        <v>1981</v>
      </c>
      <c r="B2173" s="2" t="str">
        <f>"87000136"</f>
        <v>87000136</v>
      </c>
      <c r="C2173" s="2" t="str">
        <f>"87000136"</f>
        <v>87000136</v>
      </c>
      <c r="D2173" s="2" t="s">
        <v>1999</v>
      </c>
      <c r="E2173" s="4">
        <v>5900</v>
      </c>
    </row>
    <row r="2174" spans="1:5" ht="26.25" x14ac:dyDescent="0.25">
      <c r="A2174" s="2" t="s">
        <v>1981</v>
      </c>
      <c r="B2174" s="2" t="str">
        <f>"762022138"</f>
        <v>762022138</v>
      </c>
      <c r="C2174" s="2" t="str">
        <f>"762022138"</f>
        <v>762022138</v>
      </c>
      <c r="D2174" s="2" t="s">
        <v>2000</v>
      </c>
      <c r="E2174" s="4">
        <v>10500</v>
      </c>
    </row>
    <row r="2175" spans="1:5" ht="26.25" x14ac:dyDescent="0.25">
      <c r="A2175" s="2" t="s">
        <v>1981</v>
      </c>
      <c r="B2175" s="2" t="str">
        <f>"17200000"</f>
        <v>17200000</v>
      </c>
      <c r="C2175" s="2" t="str">
        <f>"17200000"</f>
        <v>17200000</v>
      </c>
      <c r="D2175" s="2" t="s">
        <v>2001</v>
      </c>
      <c r="E2175" s="4">
        <v>11500</v>
      </c>
    </row>
    <row r="2176" spans="1:5" ht="26.25" x14ac:dyDescent="0.25">
      <c r="A2176" s="2" t="s">
        <v>1981</v>
      </c>
      <c r="B2176" s="2" t="str">
        <f>"33190001"</f>
        <v>33190001</v>
      </c>
      <c r="C2176" s="2" t="str">
        <f>"33190001"</f>
        <v>33190001</v>
      </c>
      <c r="D2176" s="2" t="s">
        <v>2002</v>
      </c>
      <c r="E2176" s="4">
        <v>6500</v>
      </c>
    </row>
    <row r="2177" spans="1:5" ht="26.25" x14ac:dyDescent="0.25">
      <c r="A2177" s="2" t="s">
        <v>1981</v>
      </c>
      <c r="B2177" s="2" t="str">
        <f>"11073443"</f>
        <v>11073443</v>
      </c>
      <c r="C2177" s="2" t="str">
        <f>"11073443"</f>
        <v>11073443</v>
      </c>
      <c r="D2177" s="2" t="s">
        <v>2003</v>
      </c>
      <c r="E2177" s="4">
        <v>6000</v>
      </c>
    </row>
    <row r="2178" spans="1:5" ht="26.25" x14ac:dyDescent="0.25">
      <c r="A2178" s="2" t="s">
        <v>1981</v>
      </c>
      <c r="B2178" s="2" t="str">
        <f>"341900127"</f>
        <v>341900127</v>
      </c>
      <c r="C2178" s="2" t="str">
        <f>"341900127"</f>
        <v>341900127</v>
      </c>
      <c r="D2178" s="2" t="s">
        <v>2004</v>
      </c>
      <c r="E2178" s="4">
        <v>3000</v>
      </c>
    </row>
    <row r="2179" spans="1:5" ht="26.25" x14ac:dyDescent="0.25">
      <c r="A2179" s="2" t="s">
        <v>1981</v>
      </c>
      <c r="B2179" s="2" t="str">
        <f>"67200012"</f>
        <v>67200012</v>
      </c>
      <c r="C2179" s="2" t="str">
        <f>"67200012"</f>
        <v>67200012</v>
      </c>
      <c r="D2179" s="2" t="s">
        <v>2005</v>
      </c>
      <c r="E2179" s="4">
        <v>26900</v>
      </c>
    </row>
    <row r="2180" spans="1:5" ht="26.25" x14ac:dyDescent="0.25">
      <c r="A2180" s="2" t="s">
        <v>1981</v>
      </c>
      <c r="B2180" s="2" t="str">
        <f>"110340147"</f>
        <v>110340147</v>
      </c>
      <c r="C2180" s="2" t="str">
        <f>"110340147"</f>
        <v>110340147</v>
      </c>
      <c r="D2180" s="2" t="s">
        <v>2006</v>
      </c>
      <c r="E2180" s="4">
        <v>9900</v>
      </c>
    </row>
    <row r="2181" spans="1:5" ht="26.25" x14ac:dyDescent="0.25">
      <c r="A2181" s="2" t="s">
        <v>1981</v>
      </c>
      <c r="B2181" s="2" t="str">
        <f>"11003443"</f>
        <v>11003443</v>
      </c>
      <c r="C2181" s="2" t="str">
        <f>"11003443"</f>
        <v>11003443</v>
      </c>
      <c r="D2181" s="2" t="s">
        <v>2007</v>
      </c>
      <c r="E2181" s="4">
        <v>5900</v>
      </c>
    </row>
    <row r="2182" spans="1:5" ht="26.25" x14ac:dyDescent="0.25">
      <c r="A2182" s="2" t="s">
        <v>1981</v>
      </c>
      <c r="B2182" s="2" t="str">
        <f>"17200010"</f>
        <v>17200010</v>
      </c>
      <c r="C2182" s="2" t="str">
        <f>"17200010"</f>
        <v>17200010</v>
      </c>
      <c r="D2182" s="2" t="s">
        <v>2008</v>
      </c>
      <c r="E2182" s="4">
        <v>8500</v>
      </c>
    </row>
    <row r="2183" spans="1:5" ht="26.25" x14ac:dyDescent="0.25">
      <c r="A2183" s="2" t="s">
        <v>1981</v>
      </c>
      <c r="B2183" s="2" t="str">
        <f>"11003434"</f>
        <v>11003434</v>
      </c>
      <c r="C2183" s="2" t="str">
        <f>"11003434"</f>
        <v>11003434</v>
      </c>
      <c r="D2183" s="2" t="s">
        <v>2009</v>
      </c>
      <c r="E2183" s="4">
        <v>5400</v>
      </c>
    </row>
    <row r="2184" spans="1:5" ht="26.25" x14ac:dyDescent="0.25">
      <c r="A2184" s="2" t="s">
        <v>1981</v>
      </c>
      <c r="B2184" s="2" t="str">
        <f>"11200112"</f>
        <v>11200112</v>
      </c>
      <c r="C2184" s="2" t="str">
        <f>"11200112"</f>
        <v>11200112</v>
      </c>
      <c r="D2184" s="2" t="s">
        <v>2010</v>
      </c>
      <c r="E2184" s="4">
        <v>13500</v>
      </c>
    </row>
    <row r="2185" spans="1:5" ht="26.25" x14ac:dyDescent="0.25">
      <c r="A2185" s="2" t="s">
        <v>1981</v>
      </c>
      <c r="B2185" s="2" t="str">
        <f>"76202200"</f>
        <v>76202200</v>
      </c>
      <c r="C2185" s="2" t="str">
        <f>"76202200"</f>
        <v>76202200</v>
      </c>
      <c r="D2185" s="2" t="s">
        <v>2011</v>
      </c>
      <c r="E2185" s="4">
        <v>6990</v>
      </c>
    </row>
    <row r="2186" spans="1:5" ht="26.25" x14ac:dyDescent="0.25">
      <c r="A2186" s="2" t="s">
        <v>1981</v>
      </c>
      <c r="B2186" s="2" t="str">
        <f>"86190008"</f>
        <v>86190008</v>
      </c>
      <c r="C2186" s="2" t="str">
        <f>"86190008"</f>
        <v>86190008</v>
      </c>
      <c r="D2186" s="2" t="s">
        <v>2012</v>
      </c>
      <c r="E2186" s="4">
        <v>3500</v>
      </c>
    </row>
    <row r="2187" spans="1:5" ht="26.25" x14ac:dyDescent="0.25">
      <c r="A2187" s="2" t="s">
        <v>1981</v>
      </c>
      <c r="B2187" s="2" t="str">
        <f>"3551278"</f>
        <v>3551278</v>
      </c>
      <c r="C2187" s="2" t="str">
        <f>"3551278"</f>
        <v>3551278</v>
      </c>
      <c r="D2187" s="2" t="s">
        <v>2013</v>
      </c>
      <c r="E2187" s="4">
        <v>8000</v>
      </c>
    </row>
    <row r="2188" spans="1:5" ht="26.25" x14ac:dyDescent="0.25">
      <c r="A2188" s="2" t="s">
        <v>1981</v>
      </c>
      <c r="B2188" s="2" t="str">
        <f>"110172440"</f>
        <v>110172440</v>
      </c>
      <c r="C2188" s="2" t="str">
        <f>"110172440"</f>
        <v>110172440</v>
      </c>
      <c r="D2188" s="2" t="s">
        <v>2013</v>
      </c>
      <c r="E2188" s="4">
        <v>4900</v>
      </c>
    </row>
    <row r="2189" spans="1:5" ht="26.25" x14ac:dyDescent="0.25">
      <c r="A2189" s="2" t="s">
        <v>1981</v>
      </c>
      <c r="B2189" s="2" t="str">
        <f>"11202440"</f>
        <v>11202440</v>
      </c>
      <c r="C2189" s="2" t="str">
        <f>"11202440"</f>
        <v>11202440</v>
      </c>
      <c r="D2189" s="2" t="s">
        <v>2014</v>
      </c>
      <c r="E2189" s="4">
        <v>9500</v>
      </c>
    </row>
    <row r="2190" spans="1:5" ht="26.25" x14ac:dyDescent="0.25">
      <c r="A2190" s="2" t="s">
        <v>1981</v>
      </c>
      <c r="B2190" s="2" t="str">
        <f>"11200165"</f>
        <v>11200165</v>
      </c>
      <c r="C2190" s="2" t="str">
        <f>"11200165"</f>
        <v>11200165</v>
      </c>
      <c r="D2190" s="2" t="s">
        <v>2014</v>
      </c>
      <c r="E2190" s="4">
        <v>5000</v>
      </c>
    </row>
    <row r="2191" spans="1:5" ht="26.25" x14ac:dyDescent="0.25">
      <c r="A2191" s="2" t="s">
        <v>1981</v>
      </c>
      <c r="B2191" s="2" t="str">
        <f>"76200910"</f>
        <v>76200910</v>
      </c>
      <c r="C2191" s="2" t="str">
        <f>"76200910"</f>
        <v>76200910</v>
      </c>
      <c r="D2191" s="2" t="s">
        <v>2015</v>
      </c>
      <c r="E2191" s="4">
        <v>10500</v>
      </c>
    </row>
    <row r="2192" spans="1:5" ht="26.25" x14ac:dyDescent="0.25">
      <c r="A2192" s="2" t="s">
        <v>1981</v>
      </c>
      <c r="B2192" s="2" t="str">
        <f>"76200078"</f>
        <v>76200078</v>
      </c>
      <c r="C2192" s="2" t="str">
        <f>"76200078"</f>
        <v>76200078</v>
      </c>
      <c r="D2192" s="2" t="s">
        <v>2016</v>
      </c>
      <c r="E2192" s="4">
        <v>8000</v>
      </c>
    </row>
    <row r="2193" spans="1:5" ht="26.25" x14ac:dyDescent="0.25">
      <c r="A2193" s="2" t="s">
        <v>1981</v>
      </c>
      <c r="B2193" s="2" t="str">
        <f>"76201419"</f>
        <v>76201419</v>
      </c>
      <c r="C2193" s="2" t="str">
        <f>"76201419"</f>
        <v>76201419</v>
      </c>
      <c r="D2193" s="2" t="s">
        <v>2017</v>
      </c>
      <c r="E2193" s="4">
        <v>9900</v>
      </c>
    </row>
    <row r="2194" spans="1:5" ht="26.25" x14ac:dyDescent="0.25">
      <c r="A2194" s="2" t="s">
        <v>1981</v>
      </c>
      <c r="B2194" s="2" t="str">
        <f>"762022137"</f>
        <v>762022137</v>
      </c>
      <c r="C2194" s="2" t="str">
        <f>"762022137"</f>
        <v>762022137</v>
      </c>
      <c r="D2194" s="2" t="s">
        <v>2018</v>
      </c>
      <c r="E2194" s="4">
        <v>11800</v>
      </c>
    </row>
    <row r="2195" spans="1:5" ht="26.25" x14ac:dyDescent="0.25">
      <c r="A2195" s="2" t="s">
        <v>1981</v>
      </c>
      <c r="B2195" s="2" t="str">
        <f>"11200700"</f>
        <v>11200700</v>
      </c>
      <c r="C2195" s="2" t="str">
        <f>"11200700"</f>
        <v>11200700</v>
      </c>
      <c r="D2195" s="2" t="s">
        <v>2019</v>
      </c>
      <c r="E2195" s="4">
        <v>10000</v>
      </c>
    </row>
    <row r="2196" spans="1:5" ht="26.25" x14ac:dyDescent="0.25">
      <c r="A2196" s="2" t="s">
        <v>1981</v>
      </c>
      <c r="B2196" s="2" t="str">
        <f>"110171756"</f>
        <v>110171756</v>
      </c>
      <c r="C2196" s="2" t="str">
        <f>"110171756"</f>
        <v>110171756</v>
      </c>
      <c r="D2196" s="2" t="s">
        <v>2020</v>
      </c>
      <c r="E2196" s="4">
        <v>10500</v>
      </c>
    </row>
    <row r="2197" spans="1:5" ht="26.25" x14ac:dyDescent="0.25">
      <c r="A2197" s="2" t="s">
        <v>1981</v>
      </c>
      <c r="B2197" s="2" t="str">
        <f>"91196207"</f>
        <v>91196207</v>
      </c>
      <c r="C2197" s="2" t="str">
        <f>"91196207"</f>
        <v>91196207</v>
      </c>
      <c r="D2197" s="2" t="s">
        <v>2021</v>
      </c>
      <c r="E2197" s="4">
        <v>7900</v>
      </c>
    </row>
    <row r="2198" spans="1:5" ht="26.25" x14ac:dyDescent="0.25">
      <c r="A2198" s="2" t="s">
        <v>1981</v>
      </c>
      <c r="B2198" s="2" t="str">
        <f>"76201401"</f>
        <v>76201401</v>
      </c>
      <c r="C2198" s="2" t="str">
        <f>"76201401"</f>
        <v>76201401</v>
      </c>
      <c r="D2198" s="2" t="s">
        <v>2022</v>
      </c>
      <c r="E2198" s="4">
        <v>9900</v>
      </c>
    </row>
    <row r="2199" spans="1:5" ht="26.25" x14ac:dyDescent="0.25">
      <c r="A2199" s="2" t="s">
        <v>1981</v>
      </c>
      <c r="B2199" s="2" t="str">
        <f>"11200147"</f>
        <v>11200147</v>
      </c>
      <c r="C2199" s="2" t="str">
        <f>"11200147"</f>
        <v>11200147</v>
      </c>
      <c r="D2199" s="2" t="s">
        <v>2023</v>
      </c>
      <c r="E2199" s="4">
        <v>6500</v>
      </c>
    </row>
    <row r="2200" spans="1:5" ht="26.25" x14ac:dyDescent="0.25">
      <c r="A2200" s="2" t="s">
        <v>1981</v>
      </c>
      <c r="B2200" s="2" t="str">
        <f>"67200001"</f>
        <v>67200001</v>
      </c>
      <c r="C2200" s="2" t="str">
        <f>"67200001"</f>
        <v>67200001</v>
      </c>
      <c r="D2200" s="2" t="s">
        <v>2024</v>
      </c>
      <c r="E2200" s="4">
        <v>24900</v>
      </c>
    </row>
    <row r="2201" spans="1:5" ht="26.25" x14ac:dyDescent="0.25">
      <c r="A2201" s="2" t="s">
        <v>1981</v>
      </c>
      <c r="B2201" s="2" t="str">
        <f>"86200010"</f>
        <v>86200010</v>
      </c>
      <c r="C2201" s="2" t="str">
        <f>"86200010"</f>
        <v>86200010</v>
      </c>
      <c r="D2201" s="2" t="s">
        <v>2025</v>
      </c>
      <c r="E2201" s="4">
        <v>9900</v>
      </c>
    </row>
    <row r="2202" spans="1:5" ht="26.25" x14ac:dyDescent="0.25">
      <c r="A2202" s="2" t="s">
        <v>1981</v>
      </c>
      <c r="B2202" s="2" t="str">
        <f>"17200008"</f>
        <v>17200008</v>
      </c>
      <c r="C2202" s="2" t="str">
        <f>"17200008"</f>
        <v>17200008</v>
      </c>
      <c r="D2202" s="2" t="s">
        <v>2026</v>
      </c>
      <c r="E2202" s="4">
        <v>5500</v>
      </c>
    </row>
    <row r="2203" spans="1:5" ht="26.25" x14ac:dyDescent="0.25">
      <c r="A2203" s="2" t="s">
        <v>1981</v>
      </c>
      <c r="B2203" s="2" t="str">
        <f>"34200008"</f>
        <v>34200008</v>
      </c>
      <c r="C2203" s="2" t="str">
        <f>"34200008"</f>
        <v>34200008</v>
      </c>
      <c r="D2203" s="2" t="s">
        <v>2027</v>
      </c>
      <c r="E2203" s="4">
        <v>8000</v>
      </c>
    </row>
    <row r="2204" spans="1:5" ht="26.25" x14ac:dyDescent="0.25">
      <c r="A2204" s="2" t="s">
        <v>1981</v>
      </c>
      <c r="B2204" s="2" t="str">
        <f>"5626890010940"</f>
        <v>5626890010940</v>
      </c>
      <c r="C2204" s="2" t="str">
        <f>"28200008"</f>
        <v>28200008</v>
      </c>
      <c r="D2204" s="2" t="s">
        <v>2028</v>
      </c>
      <c r="E2204" s="4">
        <v>14900</v>
      </c>
    </row>
    <row r="2205" spans="1:5" ht="26.25" x14ac:dyDescent="0.25">
      <c r="A2205" s="2" t="s">
        <v>1981</v>
      </c>
      <c r="B2205" s="2" t="str">
        <f>"76200008"</f>
        <v>76200008</v>
      </c>
      <c r="C2205" s="2" t="str">
        <f>"76200008"</f>
        <v>76200008</v>
      </c>
      <c r="D2205" s="2" t="s">
        <v>2029</v>
      </c>
      <c r="E2205" s="4">
        <v>7000</v>
      </c>
    </row>
    <row r="2206" spans="1:5" ht="26.25" x14ac:dyDescent="0.25">
      <c r="A2206" s="2" t="s">
        <v>1981</v>
      </c>
      <c r="B2206" s="2" t="str">
        <f>"76200009"</f>
        <v>76200009</v>
      </c>
      <c r="C2206" s="2" t="str">
        <f>"76200009"</f>
        <v>76200009</v>
      </c>
      <c r="D2206" s="2" t="s">
        <v>2030</v>
      </c>
      <c r="E2206" s="4">
        <v>9000</v>
      </c>
    </row>
    <row r="2207" spans="1:5" ht="26.25" x14ac:dyDescent="0.25">
      <c r="A2207" s="2" t="s">
        <v>1981</v>
      </c>
      <c r="B2207" s="2" t="str">
        <f>"86200007"</f>
        <v>86200007</v>
      </c>
      <c r="C2207" s="2" t="str">
        <f>"86200007"</f>
        <v>86200007</v>
      </c>
      <c r="D2207" s="2" t="s">
        <v>2031</v>
      </c>
      <c r="E2207" s="4">
        <v>9900</v>
      </c>
    </row>
    <row r="2208" spans="1:5" ht="26.25" x14ac:dyDescent="0.25">
      <c r="A2208" s="2" t="s">
        <v>1981</v>
      </c>
      <c r="B2208" s="2" t="str">
        <f>"17200007"</f>
        <v>17200007</v>
      </c>
      <c r="C2208" s="2" t="str">
        <f>"17200007"</f>
        <v>17200007</v>
      </c>
      <c r="D2208" s="2" t="s">
        <v>2032</v>
      </c>
      <c r="E2208" s="4">
        <v>5000</v>
      </c>
    </row>
    <row r="2209" spans="1:5" ht="26.25" x14ac:dyDescent="0.25">
      <c r="A2209" s="2" t="s">
        <v>1981</v>
      </c>
      <c r="B2209" s="2" t="str">
        <f>"76200007"</f>
        <v>76200007</v>
      </c>
      <c r="C2209" s="2" t="str">
        <f>"76200007"</f>
        <v>76200007</v>
      </c>
      <c r="D2209" s="2" t="s">
        <v>2033</v>
      </c>
      <c r="E2209" s="4">
        <v>5000</v>
      </c>
    </row>
    <row r="2210" spans="1:5" ht="26.25" x14ac:dyDescent="0.25">
      <c r="A2210" s="2" t="s">
        <v>201</v>
      </c>
      <c r="B2210" s="2" t="str">
        <f>"10000965"</f>
        <v>10000965</v>
      </c>
      <c r="C2210" s="2" t="str">
        <f>"10000965"</f>
        <v>10000965</v>
      </c>
      <c r="D2210" s="2" t="s">
        <v>2034</v>
      </c>
      <c r="E2210" s="4">
        <v>4990</v>
      </c>
    </row>
    <row r="2211" spans="1:5" ht="26.25" x14ac:dyDescent="0.25">
      <c r="A2211" s="2" t="s">
        <v>201</v>
      </c>
      <c r="B2211" s="2" t="str">
        <f>"7858816078620"</f>
        <v>7858816078620</v>
      </c>
      <c r="C2211" s="2" t="str">
        <f>"87527862"</f>
        <v>87527862</v>
      </c>
      <c r="D2211" s="2" t="s">
        <v>2035</v>
      </c>
      <c r="E2211" s="4">
        <v>5000</v>
      </c>
    </row>
    <row r="2212" spans="1:5" ht="26.25" x14ac:dyDescent="0.25">
      <c r="A2212" s="2" t="s">
        <v>201</v>
      </c>
      <c r="B2212" s="2" t="str">
        <f>"61520000"</f>
        <v>61520000</v>
      </c>
      <c r="C2212" s="2" t="str">
        <f>"61520000"</f>
        <v>61520000</v>
      </c>
      <c r="D2212" s="2" t="s">
        <v>2036</v>
      </c>
      <c r="E2212" s="4">
        <v>3500</v>
      </c>
    </row>
    <row r="2213" spans="1:5" x14ac:dyDescent="0.25">
      <c r="A2213" s="2" t="s">
        <v>2037</v>
      </c>
      <c r="B2213" s="2" t="s">
        <v>2038</v>
      </c>
      <c r="C2213" s="2" t="s">
        <v>2038</v>
      </c>
      <c r="D2213" s="2" t="s">
        <v>2039</v>
      </c>
      <c r="E2213" s="4">
        <v>3000</v>
      </c>
    </row>
    <row r="2214" spans="1:5" x14ac:dyDescent="0.25">
      <c r="A2214" s="2" t="s">
        <v>2037</v>
      </c>
      <c r="B2214" s="2" t="s">
        <v>2040</v>
      </c>
      <c r="C2214" s="2" t="s">
        <v>2040</v>
      </c>
      <c r="D2214" s="2" t="s">
        <v>2041</v>
      </c>
      <c r="E2214" s="4">
        <v>4000</v>
      </c>
    </row>
    <row r="2215" spans="1:5" x14ac:dyDescent="0.25">
      <c r="A2215" s="2" t="s">
        <v>2037</v>
      </c>
      <c r="B2215" s="2" t="s">
        <v>2042</v>
      </c>
      <c r="C2215" s="2" t="s">
        <v>2042</v>
      </c>
      <c r="D2215" s="2" t="s">
        <v>2043</v>
      </c>
      <c r="E2215" s="2">
        <v>0</v>
      </c>
    </row>
    <row r="2216" spans="1:5" ht="26.25" x14ac:dyDescent="0.25">
      <c r="A2216" s="2" t="s">
        <v>2044</v>
      </c>
      <c r="B2216" s="2" t="str">
        <f>"762305321"</f>
        <v>762305321</v>
      </c>
      <c r="C2216" s="2" t="str">
        <f>"762305321"</f>
        <v>762305321</v>
      </c>
      <c r="D2216" s="2" t="s">
        <v>2045</v>
      </c>
      <c r="E2216" s="4">
        <v>5500</v>
      </c>
    </row>
    <row r="2217" spans="1:5" ht="26.25" x14ac:dyDescent="0.25">
      <c r="A2217" s="2" t="s">
        <v>2044</v>
      </c>
      <c r="B2217" s="2" t="str">
        <f>"762338260"</f>
        <v>762338260</v>
      </c>
      <c r="C2217" s="2" t="str">
        <f>"762338260"</f>
        <v>762338260</v>
      </c>
      <c r="D2217" s="2" t="s">
        <v>2046</v>
      </c>
      <c r="E2217" s="4">
        <v>5500</v>
      </c>
    </row>
    <row r="2218" spans="1:5" ht="26.25" x14ac:dyDescent="0.25">
      <c r="A2218" s="2" t="s">
        <v>2044</v>
      </c>
      <c r="B2218" s="2" t="str">
        <f>"76600136"</f>
        <v>76600136</v>
      </c>
      <c r="C2218" s="2" t="str">
        <f>"76600136"</f>
        <v>76600136</v>
      </c>
      <c r="D2218" s="2" t="s">
        <v>2047</v>
      </c>
      <c r="E2218" s="4">
        <v>5500</v>
      </c>
    </row>
    <row r="2219" spans="1:5" ht="26.25" x14ac:dyDescent="0.25">
      <c r="A2219" s="2" t="s">
        <v>2044</v>
      </c>
      <c r="B2219" s="2" t="str">
        <f>"76230105"</f>
        <v>76230105</v>
      </c>
      <c r="C2219" s="2" t="str">
        <f>"76230105"</f>
        <v>76230105</v>
      </c>
      <c r="D2219" s="2" t="s">
        <v>2048</v>
      </c>
      <c r="E2219" s="4">
        <v>5500</v>
      </c>
    </row>
    <row r="2220" spans="1:5" ht="26.25" x14ac:dyDescent="0.25">
      <c r="A2220" s="2" t="s">
        <v>2044</v>
      </c>
      <c r="B2220" s="2" t="str">
        <f>"76600105"</f>
        <v>76600105</v>
      </c>
      <c r="C2220" s="2" t="str">
        <f>"76600105"</f>
        <v>76600105</v>
      </c>
      <c r="D2220" s="2" t="s">
        <v>2048</v>
      </c>
      <c r="E2220" s="4">
        <v>5500</v>
      </c>
    </row>
    <row r="2221" spans="1:5" ht="26.25" x14ac:dyDescent="0.25">
      <c r="A2221" s="2" t="s">
        <v>2044</v>
      </c>
      <c r="B2221" s="2" t="str">
        <f>"110303005"</f>
        <v>110303005</v>
      </c>
      <c r="C2221" s="2" t="str">
        <f>"110303005"</f>
        <v>110303005</v>
      </c>
      <c r="D2221" s="2" t="s">
        <v>2048</v>
      </c>
      <c r="E2221" s="4">
        <v>8000</v>
      </c>
    </row>
    <row r="2222" spans="1:5" ht="26.25" x14ac:dyDescent="0.25">
      <c r="A2222" s="2" t="s">
        <v>2044</v>
      </c>
      <c r="B2222" s="2" t="str">
        <f>"76630105"</f>
        <v>76630105</v>
      </c>
      <c r="C2222" s="2" t="str">
        <f>"76630105"</f>
        <v>76630105</v>
      </c>
      <c r="D2222" s="2" t="s">
        <v>2048</v>
      </c>
      <c r="E2222" s="4">
        <v>5500</v>
      </c>
    </row>
    <row r="2223" spans="1:5" ht="26.25" x14ac:dyDescent="0.25">
      <c r="A2223" s="2" t="s">
        <v>2044</v>
      </c>
      <c r="B2223" s="2" t="str">
        <f>"76230111"</f>
        <v>76230111</v>
      </c>
      <c r="C2223" s="2" t="str">
        <f>"76230111"</f>
        <v>76230111</v>
      </c>
      <c r="D2223" s="2" t="s">
        <v>2049</v>
      </c>
      <c r="E2223" s="4">
        <v>5500</v>
      </c>
    </row>
    <row r="2224" spans="1:5" ht="26.25" x14ac:dyDescent="0.25">
      <c r="A2224" s="2" t="s">
        <v>2044</v>
      </c>
      <c r="B2224" s="2" t="str">
        <f>"76550111"</f>
        <v>76550111</v>
      </c>
      <c r="C2224" s="2" t="str">
        <f>"76550111"</f>
        <v>76550111</v>
      </c>
      <c r="D2224" s="2" t="s">
        <v>2049</v>
      </c>
      <c r="E2224" s="4">
        <v>6000</v>
      </c>
    </row>
    <row r="2225" spans="1:5" ht="26.25" x14ac:dyDescent="0.25">
      <c r="A2225" s="2" t="s">
        <v>2044</v>
      </c>
      <c r="B2225" s="2" t="str">
        <f>"76600111"</f>
        <v>76600111</v>
      </c>
      <c r="C2225" s="2" t="str">
        <f>"76600111"</f>
        <v>76600111</v>
      </c>
      <c r="D2225" s="2" t="s">
        <v>2049</v>
      </c>
      <c r="E2225" s="4">
        <v>5500</v>
      </c>
    </row>
    <row r="2226" spans="1:5" ht="26.25" x14ac:dyDescent="0.25">
      <c r="A2226" s="2" t="s">
        <v>2044</v>
      </c>
      <c r="B2226" s="2" t="str">
        <f>"76630111"</f>
        <v>76630111</v>
      </c>
      <c r="C2226" s="2" t="str">
        <f>"76630111"</f>
        <v>76630111</v>
      </c>
      <c r="D2226" s="2" t="s">
        <v>2049</v>
      </c>
      <c r="E2226" s="4">
        <v>5500</v>
      </c>
    </row>
    <row r="2227" spans="1:5" ht="26.25" x14ac:dyDescent="0.25">
      <c r="A2227" s="2" t="s">
        <v>2044</v>
      </c>
      <c r="B2227" s="2" t="str">
        <f>"76230112"</f>
        <v>76230112</v>
      </c>
      <c r="C2227" s="2" t="str">
        <f>"76230112"</f>
        <v>76230112</v>
      </c>
      <c r="D2227" s="2" t="s">
        <v>2050</v>
      </c>
      <c r="E2227" s="4">
        <v>5500</v>
      </c>
    </row>
    <row r="2228" spans="1:5" ht="26.25" x14ac:dyDescent="0.25">
      <c r="A2228" s="2" t="s">
        <v>2044</v>
      </c>
      <c r="B2228" s="2" t="str">
        <f>"76600112"</f>
        <v>76600112</v>
      </c>
      <c r="C2228" s="2" t="str">
        <f>"76600112"</f>
        <v>76600112</v>
      </c>
      <c r="D2228" s="2" t="s">
        <v>2050</v>
      </c>
      <c r="E2228" s="4">
        <v>5500</v>
      </c>
    </row>
    <row r="2229" spans="1:5" ht="26.25" x14ac:dyDescent="0.25">
      <c r="A2229" s="2" t="s">
        <v>2044</v>
      </c>
      <c r="B2229" s="2" t="str">
        <f>"110760009"</f>
        <v>110760009</v>
      </c>
      <c r="C2229" s="2" t="str">
        <f>"110760009"</f>
        <v>110760009</v>
      </c>
      <c r="D2229" s="2" t="s">
        <v>2050</v>
      </c>
      <c r="E2229" s="4">
        <v>7500</v>
      </c>
    </row>
    <row r="2230" spans="1:5" ht="26.25" x14ac:dyDescent="0.25">
      <c r="A2230" s="2" t="s">
        <v>2044</v>
      </c>
      <c r="B2230" s="2" t="str">
        <f>"76630112"</f>
        <v>76630112</v>
      </c>
      <c r="C2230" s="2" t="str">
        <f>"76630112"</f>
        <v>76630112</v>
      </c>
      <c r="D2230" s="2" t="s">
        <v>2050</v>
      </c>
      <c r="E2230" s="4">
        <v>5500</v>
      </c>
    </row>
    <row r="2231" spans="1:5" ht="26.25" x14ac:dyDescent="0.25">
      <c r="A2231" s="2" t="s">
        <v>2044</v>
      </c>
      <c r="B2231" s="2" t="str">
        <f>"172301285"</f>
        <v>172301285</v>
      </c>
      <c r="C2231" s="2" t="str">
        <f>"172301285"</f>
        <v>172301285</v>
      </c>
      <c r="D2231" s="2" t="s">
        <v>2051</v>
      </c>
      <c r="E2231" s="4">
        <v>5500</v>
      </c>
    </row>
    <row r="2232" spans="1:5" ht="26.25" x14ac:dyDescent="0.25">
      <c r="A2232" s="2" t="s">
        <v>2044</v>
      </c>
      <c r="B2232" s="2" t="str">
        <f>"17630178"</f>
        <v>17630178</v>
      </c>
      <c r="C2232" s="2" t="str">
        <f>"17630178"</f>
        <v>17630178</v>
      </c>
      <c r="D2232" s="2" t="s">
        <v>2052</v>
      </c>
      <c r="E2232" s="4">
        <v>5500</v>
      </c>
    </row>
    <row r="2233" spans="1:5" ht="26.25" x14ac:dyDescent="0.25">
      <c r="A2233" s="2" t="s">
        <v>2044</v>
      </c>
      <c r="B2233" s="2" t="str">
        <f>"762330112"</f>
        <v>762330112</v>
      </c>
      <c r="C2233" s="2" t="str">
        <f>"762330112"</f>
        <v>762330112</v>
      </c>
      <c r="D2233" s="2" t="s">
        <v>2053</v>
      </c>
      <c r="E2233" s="4">
        <v>5500</v>
      </c>
    </row>
    <row r="2234" spans="1:5" ht="26.25" x14ac:dyDescent="0.25">
      <c r="A2234" s="2" t="s">
        <v>2044</v>
      </c>
      <c r="B2234" s="2" t="str">
        <f>"172301108"</f>
        <v>172301108</v>
      </c>
      <c r="C2234" s="2" t="str">
        <f>"172301108"</f>
        <v>172301108</v>
      </c>
      <c r="D2234" s="2" t="s">
        <v>2054</v>
      </c>
      <c r="E2234" s="4">
        <v>5500</v>
      </c>
    </row>
    <row r="2235" spans="1:5" ht="26.25" x14ac:dyDescent="0.25">
      <c r="A2235" s="2" t="s">
        <v>2044</v>
      </c>
      <c r="B2235" s="2" t="str">
        <f>"176001108"</f>
        <v>176001108</v>
      </c>
      <c r="C2235" s="2" t="str">
        <f>"176001108"</f>
        <v>176001108</v>
      </c>
      <c r="D2235" s="2" t="s">
        <v>2054</v>
      </c>
      <c r="E2235" s="4">
        <v>5500</v>
      </c>
    </row>
    <row r="2236" spans="1:5" ht="26.25" x14ac:dyDescent="0.25">
      <c r="A2236" s="2" t="s">
        <v>2044</v>
      </c>
      <c r="B2236" s="2" t="str">
        <f>"346301108"</f>
        <v>346301108</v>
      </c>
      <c r="C2236" s="2" t="str">
        <f>"346301108"</f>
        <v>346301108</v>
      </c>
      <c r="D2236" s="2" t="s">
        <v>2054</v>
      </c>
      <c r="E2236" s="4">
        <v>5000</v>
      </c>
    </row>
    <row r="2237" spans="1:5" ht="26.25" x14ac:dyDescent="0.25">
      <c r="A2237" s="2" t="s">
        <v>2044</v>
      </c>
      <c r="B2237" s="2" t="str">
        <f>"172301162"</f>
        <v>172301162</v>
      </c>
      <c r="C2237" s="2" t="str">
        <f>"172301162"</f>
        <v>172301162</v>
      </c>
      <c r="D2237" s="2" t="s">
        <v>2055</v>
      </c>
      <c r="E2237" s="4">
        <v>5500</v>
      </c>
    </row>
    <row r="2238" spans="1:5" ht="26.25" x14ac:dyDescent="0.25">
      <c r="A2238" s="2" t="s">
        <v>2044</v>
      </c>
      <c r="B2238" s="2" t="str">
        <f>"766301115"</f>
        <v>766301115</v>
      </c>
      <c r="C2238" s="2" t="str">
        <f>"766301115"</f>
        <v>766301115</v>
      </c>
      <c r="D2238" s="2" t="s">
        <v>2055</v>
      </c>
      <c r="E2238" s="4">
        <v>5500</v>
      </c>
    </row>
    <row r="2239" spans="1:5" ht="26.25" x14ac:dyDescent="0.25">
      <c r="A2239" s="2" t="s">
        <v>2044</v>
      </c>
      <c r="B2239" s="2" t="str">
        <f>"346301115"</f>
        <v>346301115</v>
      </c>
      <c r="C2239" s="2" t="str">
        <f>"346301115"</f>
        <v>346301115</v>
      </c>
      <c r="D2239" s="2" t="s">
        <v>2055</v>
      </c>
      <c r="E2239" s="4">
        <v>5000</v>
      </c>
    </row>
    <row r="2240" spans="1:5" ht="26.25" x14ac:dyDescent="0.25">
      <c r="A2240" s="2" t="s">
        <v>2044</v>
      </c>
      <c r="B2240" s="2" t="str">
        <f>"762301112"</f>
        <v>762301112</v>
      </c>
      <c r="C2240" s="2" t="str">
        <f>"762301112"</f>
        <v>762301112</v>
      </c>
      <c r="D2240" s="2" t="s">
        <v>2056</v>
      </c>
      <c r="E2240" s="4">
        <v>5500</v>
      </c>
    </row>
    <row r="2241" spans="1:5" ht="26.25" x14ac:dyDescent="0.25">
      <c r="A2241" s="2" t="s">
        <v>2044</v>
      </c>
      <c r="B2241" s="2" t="str">
        <f>"76230175"</f>
        <v>76230175</v>
      </c>
      <c r="C2241" s="2" t="str">
        <f>"76230175"</f>
        <v>76230175</v>
      </c>
      <c r="D2241" s="2" t="s">
        <v>2057</v>
      </c>
      <c r="E2241" s="4">
        <v>6000</v>
      </c>
    </row>
    <row r="2242" spans="1:5" ht="26.25" x14ac:dyDescent="0.25">
      <c r="A2242" s="2" t="s">
        <v>2044</v>
      </c>
      <c r="B2242" s="2" t="str">
        <f>"766301124"</f>
        <v>766301124</v>
      </c>
      <c r="C2242" s="2" t="str">
        <f>"766301124"</f>
        <v>766301124</v>
      </c>
      <c r="D2242" s="2" t="s">
        <v>2058</v>
      </c>
      <c r="E2242" s="4">
        <v>5500</v>
      </c>
    </row>
    <row r="2243" spans="1:5" ht="26.25" x14ac:dyDescent="0.25">
      <c r="A2243" s="2" t="s">
        <v>2044</v>
      </c>
      <c r="B2243" s="2" t="str">
        <f>"172301211"</f>
        <v>172301211</v>
      </c>
      <c r="C2243" s="2" t="str">
        <f>"172301211"</f>
        <v>172301211</v>
      </c>
      <c r="D2243" s="2" t="s">
        <v>2059</v>
      </c>
      <c r="E2243" s="4">
        <v>5500</v>
      </c>
    </row>
    <row r="2244" spans="1:5" ht="26.25" x14ac:dyDescent="0.25">
      <c r="A2244" s="2" t="s">
        <v>2044</v>
      </c>
      <c r="B2244" s="2" t="str">
        <f>"172301129"</f>
        <v>172301129</v>
      </c>
      <c r="C2244" s="2" t="str">
        <f>"172301129"</f>
        <v>172301129</v>
      </c>
      <c r="D2244" s="2" t="s">
        <v>2060</v>
      </c>
      <c r="E2244" s="4">
        <v>5500</v>
      </c>
    </row>
    <row r="2245" spans="1:5" ht="26.25" x14ac:dyDescent="0.25">
      <c r="A2245" s="2" t="s">
        <v>2044</v>
      </c>
      <c r="B2245" s="2" t="str">
        <f>"762301129"</f>
        <v>762301129</v>
      </c>
      <c r="C2245" s="2" t="str">
        <f>"762301129"</f>
        <v>762301129</v>
      </c>
      <c r="D2245" s="2" t="s">
        <v>2060</v>
      </c>
      <c r="E2245" s="4">
        <v>5500</v>
      </c>
    </row>
    <row r="2246" spans="1:5" ht="26.25" x14ac:dyDescent="0.25">
      <c r="A2246" s="2" t="s">
        <v>2044</v>
      </c>
      <c r="B2246" s="2" t="str">
        <f>"176301129"</f>
        <v>176301129</v>
      </c>
      <c r="C2246" s="2" t="str">
        <f>"176301129"</f>
        <v>176301129</v>
      </c>
      <c r="D2246" s="2" t="s">
        <v>2061</v>
      </c>
      <c r="E2246" s="4">
        <v>5500</v>
      </c>
    </row>
    <row r="2247" spans="1:5" ht="26.25" x14ac:dyDescent="0.25">
      <c r="A2247" s="2" t="s">
        <v>2044</v>
      </c>
      <c r="B2247" s="2" t="str">
        <f>"762301209"</f>
        <v>762301209</v>
      </c>
      <c r="C2247" s="2" t="str">
        <f>"762301209"</f>
        <v>762301209</v>
      </c>
      <c r="D2247" s="2" t="s">
        <v>2062</v>
      </c>
      <c r="E2247" s="4">
        <v>5500</v>
      </c>
    </row>
    <row r="2248" spans="1:5" ht="26.25" x14ac:dyDescent="0.25">
      <c r="A2248" s="2" t="s">
        <v>2044</v>
      </c>
      <c r="B2248" s="2" t="str">
        <f>"172301240"</f>
        <v>172301240</v>
      </c>
      <c r="C2248" s="2" t="str">
        <f>"172301240"</f>
        <v>172301240</v>
      </c>
      <c r="D2248" s="2" t="s">
        <v>2063</v>
      </c>
      <c r="E2248" s="4">
        <v>5500</v>
      </c>
    </row>
    <row r="2249" spans="1:5" ht="26.25" x14ac:dyDescent="0.25">
      <c r="A2249" s="2" t="s">
        <v>2044</v>
      </c>
      <c r="B2249" s="2" t="str">
        <f>"176001240"</f>
        <v>176001240</v>
      </c>
      <c r="C2249" s="2" t="str">
        <f>"176001240"</f>
        <v>176001240</v>
      </c>
      <c r="D2249" s="2" t="s">
        <v>2063</v>
      </c>
      <c r="E2249" s="4">
        <v>5500</v>
      </c>
    </row>
    <row r="2250" spans="1:5" ht="26.25" x14ac:dyDescent="0.25">
      <c r="A2250" s="2" t="s">
        <v>2044</v>
      </c>
      <c r="B2250" s="2" t="str">
        <f>"766001240"</f>
        <v>766001240</v>
      </c>
      <c r="C2250" s="2" t="str">
        <f>"766001240"</f>
        <v>766001240</v>
      </c>
      <c r="D2250" s="2" t="s">
        <v>2063</v>
      </c>
      <c r="E2250" s="4">
        <v>5500</v>
      </c>
    </row>
    <row r="2251" spans="1:5" ht="26.25" x14ac:dyDescent="0.25">
      <c r="A2251" s="2" t="s">
        <v>2044</v>
      </c>
      <c r="B2251" s="2" t="str">
        <f>"172301236"</f>
        <v>172301236</v>
      </c>
      <c r="C2251" s="2" t="str">
        <f>"172301236"</f>
        <v>172301236</v>
      </c>
      <c r="D2251" s="2" t="s">
        <v>2064</v>
      </c>
      <c r="E2251" s="4">
        <v>5500</v>
      </c>
    </row>
    <row r="2252" spans="1:5" ht="26.25" x14ac:dyDescent="0.25">
      <c r="A2252" s="2" t="s">
        <v>2044</v>
      </c>
      <c r="B2252" s="2" t="str">
        <f>"766001236"</f>
        <v>766001236</v>
      </c>
      <c r="C2252" s="2" t="str">
        <f>"766001236"</f>
        <v>766001236</v>
      </c>
      <c r="D2252" s="2" t="s">
        <v>2064</v>
      </c>
      <c r="E2252" s="4">
        <v>5500</v>
      </c>
    </row>
    <row r="2253" spans="1:5" ht="26.25" x14ac:dyDescent="0.25">
      <c r="A2253" s="2" t="s">
        <v>2044</v>
      </c>
      <c r="B2253" s="2" t="str">
        <f>"172301237"</f>
        <v>172301237</v>
      </c>
      <c r="C2253" s="2" t="str">
        <f>"172301237"</f>
        <v>172301237</v>
      </c>
      <c r="D2253" s="2" t="s">
        <v>2065</v>
      </c>
      <c r="E2253" s="4">
        <v>5500</v>
      </c>
    </row>
    <row r="2254" spans="1:5" ht="26.25" x14ac:dyDescent="0.25">
      <c r="A2254" s="2" t="s">
        <v>2044</v>
      </c>
      <c r="B2254" s="2" t="str">
        <f>"17630111"</f>
        <v>17630111</v>
      </c>
      <c r="C2254" s="2" t="str">
        <f>"17630111"</f>
        <v>17630111</v>
      </c>
      <c r="D2254" s="2" t="s">
        <v>2066</v>
      </c>
      <c r="E2254" s="4">
        <v>5500</v>
      </c>
    </row>
    <row r="2255" spans="1:5" ht="26.25" x14ac:dyDescent="0.25">
      <c r="A2255" s="2" t="s">
        <v>2044</v>
      </c>
      <c r="B2255" s="2" t="str">
        <f>"68600111"</f>
        <v>68600111</v>
      </c>
      <c r="C2255" s="2" t="str">
        <f>"68600111"</f>
        <v>68600111</v>
      </c>
      <c r="D2255" s="2" t="s">
        <v>2066</v>
      </c>
      <c r="E2255" s="4">
        <v>5500</v>
      </c>
    </row>
    <row r="2256" spans="1:5" ht="26.25" x14ac:dyDescent="0.25">
      <c r="A2256" s="2" t="s">
        <v>2044</v>
      </c>
      <c r="B2256" s="2" t="str">
        <f>"686001198"</f>
        <v>686001198</v>
      </c>
      <c r="C2256" s="2" t="str">
        <f>"686001198"</f>
        <v>686001198</v>
      </c>
      <c r="D2256" s="2" t="s">
        <v>2066</v>
      </c>
      <c r="E2256" s="4">
        <v>5500</v>
      </c>
    </row>
    <row r="2257" spans="1:5" ht="26.25" x14ac:dyDescent="0.25">
      <c r="A2257" s="2" t="s">
        <v>2044</v>
      </c>
      <c r="B2257" s="2" t="str">
        <f>"76600193"</f>
        <v>76600193</v>
      </c>
      <c r="C2257" s="2" t="str">
        <f>"76600193"</f>
        <v>76600193</v>
      </c>
      <c r="D2257" s="2" t="s">
        <v>2066</v>
      </c>
      <c r="E2257" s="4">
        <v>5500</v>
      </c>
    </row>
    <row r="2258" spans="1:5" ht="26.25" x14ac:dyDescent="0.25">
      <c r="A2258" s="2" t="s">
        <v>2044</v>
      </c>
      <c r="B2258" s="2" t="str">
        <f>"172301198"</f>
        <v>172301198</v>
      </c>
      <c r="C2258" s="2" t="str">
        <f>"172301198"</f>
        <v>172301198</v>
      </c>
      <c r="D2258" s="2" t="s">
        <v>2066</v>
      </c>
      <c r="E2258" s="4">
        <v>5500</v>
      </c>
    </row>
    <row r="2259" spans="1:5" ht="26.25" x14ac:dyDescent="0.25">
      <c r="A2259" s="2" t="s">
        <v>2044</v>
      </c>
      <c r="B2259" s="2" t="str">
        <f>"766001198"</f>
        <v>766001198</v>
      </c>
      <c r="C2259" s="2" t="str">
        <f>"766001198"</f>
        <v>766001198</v>
      </c>
      <c r="D2259" s="2" t="s">
        <v>2066</v>
      </c>
      <c r="E2259" s="4">
        <v>5500</v>
      </c>
    </row>
    <row r="2260" spans="1:5" ht="26.25" x14ac:dyDescent="0.25">
      <c r="A2260" s="2" t="s">
        <v>2044</v>
      </c>
      <c r="B2260" s="2" t="str">
        <f>"76230192"</f>
        <v>76230192</v>
      </c>
      <c r="C2260" s="2" t="str">
        <f>"76230192"</f>
        <v>76230192</v>
      </c>
      <c r="D2260" s="2" t="s">
        <v>2067</v>
      </c>
      <c r="E2260" s="4">
        <v>5500</v>
      </c>
    </row>
    <row r="2261" spans="1:5" ht="26.25" x14ac:dyDescent="0.25">
      <c r="A2261" s="2" t="s">
        <v>2044</v>
      </c>
      <c r="B2261" s="2" t="str">
        <f>"172301212"</f>
        <v>172301212</v>
      </c>
      <c r="C2261" s="2" t="str">
        <f>"172301212"</f>
        <v>172301212</v>
      </c>
      <c r="D2261" s="2" t="s">
        <v>2068</v>
      </c>
      <c r="E2261" s="4">
        <v>5500</v>
      </c>
    </row>
    <row r="2262" spans="1:5" ht="26.25" x14ac:dyDescent="0.25">
      <c r="A2262" s="2" t="s">
        <v>2044</v>
      </c>
      <c r="B2262" s="2" t="str">
        <f>"17230192"</f>
        <v>17230192</v>
      </c>
      <c r="C2262" s="2" t="str">
        <f>"17230192"</f>
        <v>17230192</v>
      </c>
      <c r="D2262" s="2" t="s">
        <v>2069</v>
      </c>
      <c r="E2262" s="4">
        <v>5500</v>
      </c>
    </row>
    <row r="2263" spans="1:5" ht="26.25" x14ac:dyDescent="0.25">
      <c r="A2263" s="2" t="s">
        <v>2044</v>
      </c>
      <c r="B2263" s="2" t="str">
        <f>"762301237"</f>
        <v>762301237</v>
      </c>
      <c r="C2263" s="2" t="str">
        <f>"762301237"</f>
        <v>762301237</v>
      </c>
      <c r="D2263" s="2" t="s">
        <v>2065</v>
      </c>
      <c r="E2263" s="4">
        <v>5500</v>
      </c>
    </row>
    <row r="2264" spans="1:5" ht="26.25" x14ac:dyDescent="0.25">
      <c r="A2264" s="2" t="s">
        <v>2044</v>
      </c>
      <c r="B2264" s="2" t="str">
        <f>"766023116"</f>
        <v>766023116</v>
      </c>
      <c r="C2264" s="2" t="str">
        <f>"766023116"</f>
        <v>766023116</v>
      </c>
      <c r="D2264" s="2" t="s">
        <v>2070</v>
      </c>
      <c r="E2264" s="4">
        <v>5500</v>
      </c>
    </row>
    <row r="2265" spans="1:5" ht="26.25" x14ac:dyDescent="0.25">
      <c r="A2265" s="2" t="s">
        <v>2044</v>
      </c>
      <c r="B2265" s="2" t="str">
        <f>"766023140"</f>
        <v>766023140</v>
      </c>
      <c r="C2265" s="2" t="str">
        <f>"766023140"</f>
        <v>766023140</v>
      </c>
      <c r="D2265" s="2" t="s">
        <v>2071</v>
      </c>
      <c r="E2265" s="4">
        <v>5500</v>
      </c>
    </row>
    <row r="2266" spans="1:5" ht="26.25" x14ac:dyDescent="0.25">
      <c r="A2266" s="2" t="s">
        <v>2044</v>
      </c>
      <c r="B2266" s="2" t="str">
        <f>"766319132"</f>
        <v>766319132</v>
      </c>
      <c r="C2266" s="2" t="str">
        <f>"766319132"</f>
        <v>766319132</v>
      </c>
      <c r="D2266" s="2" t="s">
        <v>2072</v>
      </c>
      <c r="E2266" s="4">
        <v>5500</v>
      </c>
    </row>
    <row r="2267" spans="1:5" ht="26.25" x14ac:dyDescent="0.25">
      <c r="A2267" s="2" t="s">
        <v>2044</v>
      </c>
      <c r="B2267" s="2" t="str">
        <f>"762323132"</f>
        <v>762323132</v>
      </c>
      <c r="C2267" s="2" t="str">
        <f>"762323132"</f>
        <v>762323132</v>
      </c>
      <c r="D2267" s="2" t="s">
        <v>2073</v>
      </c>
      <c r="E2267" s="4">
        <v>5500</v>
      </c>
    </row>
    <row r="2268" spans="1:5" ht="26.25" x14ac:dyDescent="0.25">
      <c r="A2268" s="2" t="s">
        <v>2044</v>
      </c>
      <c r="B2268" s="2" t="str">
        <f>"766023188"</f>
        <v>766023188</v>
      </c>
      <c r="C2268" s="2" t="str">
        <f>"766023188"</f>
        <v>766023188</v>
      </c>
      <c r="D2268" s="2" t="s">
        <v>2074</v>
      </c>
      <c r="E2268" s="4">
        <v>5500</v>
      </c>
    </row>
    <row r="2269" spans="1:5" ht="26.25" x14ac:dyDescent="0.25">
      <c r="A2269" s="2" t="s">
        <v>2044</v>
      </c>
      <c r="B2269" s="2" t="str">
        <f>"766023232"</f>
        <v>766023232</v>
      </c>
      <c r="C2269" s="2" t="str">
        <f>"766023232"</f>
        <v>766023232</v>
      </c>
      <c r="D2269" s="2" t="s">
        <v>2075</v>
      </c>
      <c r="E2269" s="4">
        <v>5500</v>
      </c>
    </row>
    <row r="2270" spans="1:5" ht="26.25" x14ac:dyDescent="0.25">
      <c r="A2270" s="2" t="s">
        <v>2044</v>
      </c>
      <c r="B2270" s="2" t="str">
        <f>"766021160"</f>
        <v>766021160</v>
      </c>
      <c r="C2270" s="2" t="str">
        <f>"766021160"</f>
        <v>766021160</v>
      </c>
      <c r="D2270" s="2" t="s">
        <v>2076</v>
      </c>
      <c r="E2270" s="4">
        <v>5500</v>
      </c>
    </row>
    <row r="2271" spans="1:5" ht="26.25" x14ac:dyDescent="0.25">
      <c r="A2271" s="2" t="s">
        <v>2044</v>
      </c>
      <c r="B2271" s="2" t="str">
        <f>"762321160"</f>
        <v>762321160</v>
      </c>
      <c r="C2271" s="2" t="str">
        <f>"762321160"</f>
        <v>762321160</v>
      </c>
      <c r="D2271" s="2" t="s">
        <v>2076</v>
      </c>
      <c r="E2271" s="4">
        <v>5500</v>
      </c>
    </row>
    <row r="2272" spans="1:5" ht="26.25" x14ac:dyDescent="0.25">
      <c r="A2272" s="2" t="s">
        <v>2044</v>
      </c>
      <c r="B2272" s="2" t="str">
        <f>"762305196"</f>
        <v>762305196</v>
      </c>
      <c r="C2272" s="2" t="str">
        <f>"762305196"</f>
        <v>762305196</v>
      </c>
      <c r="D2272" s="2" t="s">
        <v>2077</v>
      </c>
      <c r="E2272" s="4">
        <v>5500</v>
      </c>
    </row>
    <row r="2273" spans="1:5" ht="26.25" x14ac:dyDescent="0.25">
      <c r="A2273" s="2" t="s">
        <v>2044</v>
      </c>
      <c r="B2273" s="2" t="str">
        <f>"17230568"</f>
        <v>17230568</v>
      </c>
      <c r="C2273" s="2" t="str">
        <f>"17230568"</f>
        <v>17230568</v>
      </c>
      <c r="D2273" s="2" t="s">
        <v>2078</v>
      </c>
      <c r="E2273" s="4">
        <v>5500</v>
      </c>
    </row>
    <row r="2274" spans="1:5" ht="26.25" x14ac:dyDescent="0.25">
      <c r="A2274" s="2" t="s">
        <v>2044</v>
      </c>
      <c r="B2274" s="2" t="str">
        <f>"76230568"</f>
        <v>76230568</v>
      </c>
      <c r="C2274" s="2" t="str">
        <f>"76230568"</f>
        <v>76230568</v>
      </c>
      <c r="D2274" s="2" t="s">
        <v>2078</v>
      </c>
      <c r="E2274" s="4">
        <v>3500</v>
      </c>
    </row>
    <row r="2275" spans="1:5" ht="26.25" x14ac:dyDescent="0.25">
      <c r="A2275" s="2" t="s">
        <v>2044</v>
      </c>
      <c r="B2275" s="2" t="str">
        <f>"76630568"</f>
        <v>76630568</v>
      </c>
      <c r="C2275" s="2" t="str">
        <f>"76630568"</f>
        <v>76630568</v>
      </c>
      <c r="D2275" s="2" t="s">
        <v>2078</v>
      </c>
      <c r="E2275" s="4">
        <v>5500</v>
      </c>
    </row>
    <row r="2276" spans="1:5" ht="26.25" x14ac:dyDescent="0.25">
      <c r="A2276" s="2" t="s">
        <v>2044</v>
      </c>
      <c r="B2276" s="2" t="str">
        <f>"34230969"</f>
        <v>34230969</v>
      </c>
      <c r="C2276" s="2" t="str">
        <f>"34230969"</f>
        <v>34230969</v>
      </c>
      <c r="D2276" s="2" t="s">
        <v>2079</v>
      </c>
      <c r="E2276" s="4">
        <v>5500</v>
      </c>
    </row>
    <row r="2277" spans="1:5" ht="26.25" x14ac:dyDescent="0.25">
      <c r="A2277" s="2" t="s">
        <v>2044</v>
      </c>
      <c r="B2277" s="2" t="str">
        <f>"76230569"</f>
        <v>76230569</v>
      </c>
      <c r="C2277" s="2" t="str">
        <f>"76230569"</f>
        <v>76230569</v>
      </c>
      <c r="D2277" s="2" t="s">
        <v>2079</v>
      </c>
      <c r="E2277" s="4">
        <v>5500</v>
      </c>
    </row>
    <row r="2278" spans="1:5" ht="26.25" x14ac:dyDescent="0.25">
      <c r="A2278" s="2" t="s">
        <v>2044</v>
      </c>
      <c r="B2278" s="2" t="str">
        <f>"76600569"</f>
        <v>76600569</v>
      </c>
      <c r="C2278" s="2" t="str">
        <f>"76600569"</f>
        <v>76600569</v>
      </c>
      <c r="D2278" s="2" t="s">
        <v>2079</v>
      </c>
      <c r="E2278" s="4">
        <v>5500</v>
      </c>
    </row>
    <row r="2279" spans="1:5" ht="26.25" x14ac:dyDescent="0.25">
      <c r="A2279" s="2" t="s">
        <v>2044</v>
      </c>
      <c r="B2279" s="2" t="str">
        <f>"76720569"</f>
        <v>76720569</v>
      </c>
      <c r="C2279" s="2" t="str">
        <f>"76720569"</f>
        <v>76720569</v>
      </c>
      <c r="D2279" s="2" t="s">
        <v>2079</v>
      </c>
      <c r="E2279" s="4">
        <v>5500</v>
      </c>
    </row>
    <row r="2280" spans="1:5" ht="26.25" x14ac:dyDescent="0.25">
      <c r="A2280" s="2" t="s">
        <v>2044</v>
      </c>
      <c r="B2280" s="2" t="str">
        <f>"76630569"</f>
        <v>76630569</v>
      </c>
      <c r="C2280" s="2" t="str">
        <f>"76630569"</f>
        <v>76630569</v>
      </c>
      <c r="D2280" s="2" t="s">
        <v>2079</v>
      </c>
      <c r="E2280" s="4">
        <v>5500</v>
      </c>
    </row>
    <row r="2281" spans="1:5" ht="26.25" x14ac:dyDescent="0.25">
      <c r="A2281" s="2" t="s">
        <v>2044</v>
      </c>
      <c r="B2281" s="2" t="str">
        <f>"76230570"</f>
        <v>76230570</v>
      </c>
      <c r="C2281" s="2" t="str">
        <f>"76230570"</f>
        <v>76230570</v>
      </c>
      <c r="D2281" s="2" t="s">
        <v>2080</v>
      </c>
      <c r="E2281" s="4">
        <v>5500</v>
      </c>
    </row>
    <row r="2282" spans="1:5" ht="26.25" x14ac:dyDescent="0.25">
      <c r="A2282" s="2" t="s">
        <v>2044</v>
      </c>
      <c r="B2282" s="2" t="str">
        <f>"76550570"</f>
        <v>76550570</v>
      </c>
      <c r="C2282" s="2" t="str">
        <f>"76550570"</f>
        <v>76550570</v>
      </c>
      <c r="D2282" s="2" t="s">
        <v>2080</v>
      </c>
      <c r="E2282" s="4">
        <v>6000</v>
      </c>
    </row>
    <row r="2283" spans="1:5" ht="26.25" x14ac:dyDescent="0.25">
      <c r="A2283" s="2" t="s">
        <v>2044</v>
      </c>
      <c r="B2283" s="2" t="str">
        <f>"76600568"</f>
        <v>76600568</v>
      </c>
      <c r="C2283" s="2" t="str">
        <f>"76600568"</f>
        <v>76600568</v>
      </c>
      <c r="D2283" s="2" t="s">
        <v>2080</v>
      </c>
      <c r="E2283" s="4">
        <v>5500</v>
      </c>
    </row>
    <row r="2284" spans="1:5" ht="26.25" x14ac:dyDescent="0.25">
      <c r="A2284" s="2" t="s">
        <v>2044</v>
      </c>
      <c r="B2284" s="2" t="str">
        <f>"76720570"</f>
        <v>76720570</v>
      </c>
      <c r="C2284" s="2" t="str">
        <f>"76720570"</f>
        <v>76720570</v>
      </c>
      <c r="D2284" s="2" t="s">
        <v>2080</v>
      </c>
      <c r="E2284" s="4">
        <v>6000</v>
      </c>
    </row>
    <row r="2285" spans="1:5" ht="26.25" x14ac:dyDescent="0.25">
      <c r="A2285" s="2" t="s">
        <v>2044</v>
      </c>
      <c r="B2285" s="2" t="str">
        <f>"76600570"</f>
        <v>76600570</v>
      </c>
      <c r="C2285" s="2" t="str">
        <f>"76600570"</f>
        <v>76600570</v>
      </c>
      <c r="D2285" s="2" t="s">
        <v>2080</v>
      </c>
      <c r="E2285" s="4">
        <v>5500</v>
      </c>
    </row>
    <row r="2286" spans="1:5" ht="26.25" x14ac:dyDescent="0.25">
      <c r="A2286" s="2" t="s">
        <v>2044</v>
      </c>
      <c r="B2286" s="2" t="str">
        <f>"76630570"</f>
        <v>76630570</v>
      </c>
      <c r="C2286" s="2" t="str">
        <f>"76630570"</f>
        <v>76630570</v>
      </c>
      <c r="D2286" s="2" t="s">
        <v>2080</v>
      </c>
      <c r="E2286" s="4">
        <v>2000</v>
      </c>
    </row>
    <row r="2287" spans="1:5" ht="26.25" x14ac:dyDescent="0.25">
      <c r="A2287" s="2" t="s">
        <v>2044</v>
      </c>
      <c r="B2287" s="2" t="str">
        <f>"76631450"</f>
        <v>76631450</v>
      </c>
      <c r="C2287" s="2" t="str">
        <f>"76631450"</f>
        <v>76631450</v>
      </c>
      <c r="D2287" s="2" t="s">
        <v>2081</v>
      </c>
      <c r="E2287" s="4">
        <v>6000</v>
      </c>
    </row>
    <row r="2288" spans="1:5" ht="26.25" x14ac:dyDescent="0.25">
      <c r="A2288" s="2" t="s">
        <v>2044</v>
      </c>
      <c r="B2288" s="2" t="str">
        <f>"172305216"</f>
        <v>172305216</v>
      </c>
      <c r="C2288" s="2" t="str">
        <f>"172305216"</f>
        <v>172305216</v>
      </c>
      <c r="D2288" s="2" t="s">
        <v>2082</v>
      </c>
      <c r="E2288" s="4">
        <v>5500</v>
      </c>
    </row>
    <row r="2289" spans="1:5" ht="26.25" x14ac:dyDescent="0.25">
      <c r="A2289" s="2" t="s">
        <v>2044</v>
      </c>
      <c r="B2289" s="2" t="str">
        <f>"346005216"</f>
        <v>346005216</v>
      </c>
      <c r="C2289" s="2" t="str">
        <f>"346005216"</f>
        <v>346005216</v>
      </c>
      <c r="D2289" s="2" t="s">
        <v>2082</v>
      </c>
      <c r="E2289" s="4">
        <v>5500</v>
      </c>
    </row>
    <row r="2290" spans="1:5" ht="26.25" x14ac:dyDescent="0.25">
      <c r="A2290" s="2" t="s">
        <v>2044</v>
      </c>
      <c r="B2290" s="2" t="str">
        <f>"762305216"</f>
        <v>762305216</v>
      </c>
      <c r="C2290" s="2" t="str">
        <f>"762305216"</f>
        <v>762305216</v>
      </c>
      <c r="D2290" s="2" t="s">
        <v>2082</v>
      </c>
      <c r="E2290" s="4">
        <v>5500</v>
      </c>
    </row>
    <row r="2291" spans="1:5" ht="26.25" x14ac:dyDescent="0.25">
      <c r="A2291" s="2" t="s">
        <v>2044</v>
      </c>
      <c r="B2291" s="2" t="str">
        <f>"766005216"</f>
        <v>766005216</v>
      </c>
      <c r="C2291" s="2" t="str">
        <f>"766005216"</f>
        <v>766005216</v>
      </c>
      <c r="D2291" s="2" t="s">
        <v>2082</v>
      </c>
      <c r="E2291" s="4">
        <v>5500</v>
      </c>
    </row>
    <row r="2292" spans="1:5" ht="26.25" x14ac:dyDescent="0.25">
      <c r="A2292" s="2" t="s">
        <v>2044</v>
      </c>
      <c r="B2292" s="2" t="str">
        <f>"172305196"</f>
        <v>172305196</v>
      </c>
      <c r="C2292" s="2" t="str">
        <f>"172305196"</f>
        <v>172305196</v>
      </c>
      <c r="D2292" s="2" t="s">
        <v>2077</v>
      </c>
      <c r="E2292" s="4">
        <v>2000</v>
      </c>
    </row>
    <row r="2293" spans="1:5" ht="26.25" x14ac:dyDescent="0.25">
      <c r="A2293" s="2" t="s">
        <v>2044</v>
      </c>
      <c r="B2293" s="2" t="str">
        <f>"766005196"</f>
        <v>766005196</v>
      </c>
      <c r="C2293" s="2" t="str">
        <f>"766005196"</f>
        <v>766005196</v>
      </c>
      <c r="D2293" s="2" t="s">
        <v>2077</v>
      </c>
      <c r="E2293" s="4">
        <v>5500</v>
      </c>
    </row>
    <row r="2294" spans="1:5" ht="26.25" x14ac:dyDescent="0.25">
      <c r="A2294" s="2" t="s">
        <v>2044</v>
      </c>
      <c r="B2294" s="2" t="str">
        <f>"862305321"</f>
        <v>862305321</v>
      </c>
      <c r="C2294" s="2" t="str">
        <f>"862305321"</f>
        <v>862305321</v>
      </c>
      <c r="D2294" s="2" t="s">
        <v>2083</v>
      </c>
      <c r="E2294" s="4">
        <v>9500</v>
      </c>
    </row>
    <row r="2295" spans="1:5" ht="26.25" x14ac:dyDescent="0.25">
      <c r="A2295" s="2" t="s">
        <v>2044</v>
      </c>
      <c r="B2295" s="2" t="str">
        <f>"616005321"</f>
        <v>616005321</v>
      </c>
      <c r="C2295" s="2" t="str">
        <f>"616005321"</f>
        <v>616005321</v>
      </c>
      <c r="D2295" s="2" t="s">
        <v>2083</v>
      </c>
      <c r="E2295" s="4">
        <v>5500</v>
      </c>
    </row>
    <row r="2296" spans="1:5" ht="26.25" x14ac:dyDescent="0.25">
      <c r="A2296" s="2" t="s">
        <v>2044</v>
      </c>
      <c r="B2296" s="2" t="str">
        <f>"672305321"</f>
        <v>672305321</v>
      </c>
      <c r="C2296" s="2" t="str">
        <f>"672305321"</f>
        <v>672305321</v>
      </c>
      <c r="D2296" s="2" t="s">
        <v>2083</v>
      </c>
      <c r="E2296" s="4">
        <v>5500</v>
      </c>
    </row>
    <row r="2297" spans="1:5" ht="26.25" x14ac:dyDescent="0.25">
      <c r="A2297" s="2" t="s">
        <v>2044</v>
      </c>
      <c r="B2297" s="2" t="str">
        <f>"672305307"</f>
        <v>672305307</v>
      </c>
      <c r="C2297" s="2" t="str">
        <f>"672305307"</f>
        <v>672305307</v>
      </c>
      <c r="D2297" s="2" t="s">
        <v>2084</v>
      </c>
      <c r="E2297" s="4">
        <v>5500</v>
      </c>
    </row>
    <row r="2298" spans="1:5" ht="26.25" x14ac:dyDescent="0.25">
      <c r="A2298" s="2" t="s">
        <v>2044</v>
      </c>
      <c r="B2298" s="2" t="str">
        <f>"762305307"</f>
        <v>762305307</v>
      </c>
      <c r="C2298" s="2" t="str">
        <f>"762305307"</f>
        <v>762305307</v>
      </c>
      <c r="D2298" s="2" t="s">
        <v>2084</v>
      </c>
      <c r="E2298" s="4">
        <v>5500</v>
      </c>
    </row>
    <row r="2299" spans="1:5" ht="26.25" x14ac:dyDescent="0.25">
      <c r="A2299" s="2" t="s">
        <v>2044</v>
      </c>
      <c r="B2299" s="2" t="str">
        <f>"110762163"</f>
        <v>110762163</v>
      </c>
      <c r="C2299" s="2" t="str">
        <f>"110762163"</f>
        <v>110762163</v>
      </c>
      <c r="D2299" s="2" t="s">
        <v>2085</v>
      </c>
      <c r="E2299" s="4">
        <v>7500</v>
      </c>
    </row>
    <row r="2300" spans="1:5" ht="26.25" x14ac:dyDescent="0.25">
      <c r="A2300" s="2" t="s">
        <v>2044</v>
      </c>
      <c r="B2300" s="2" t="str">
        <f>"76630529"</f>
        <v>76630529</v>
      </c>
      <c r="C2300" s="2" t="str">
        <f>"76630529"</f>
        <v>76630529</v>
      </c>
      <c r="D2300" s="2" t="s">
        <v>2085</v>
      </c>
      <c r="E2300" s="4">
        <v>5500</v>
      </c>
    </row>
    <row r="2301" spans="1:5" ht="26.25" x14ac:dyDescent="0.25">
      <c r="A2301" s="2" t="s">
        <v>2044</v>
      </c>
      <c r="B2301" s="2" t="str">
        <f>"172305210"</f>
        <v>172305210</v>
      </c>
      <c r="C2301" s="2" t="str">
        <f>"172305210"</f>
        <v>172305210</v>
      </c>
      <c r="D2301" s="2" t="s">
        <v>2086</v>
      </c>
      <c r="E2301" s="4">
        <v>5500</v>
      </c>
    </row>
    <row r="2302" spans="1:5" ht="26.25" x14ac:dyDescent="0.25">
      <c r="A2302" s="2" t="s">
        <v>2044</v>
      </c>
      <c r="B2302" s="2" t="str">
        <f>"346005210"</f>
        <v>346005210</v>
      </c>
      <c r="C2302" s="2" t="str">
        <f>"346005210"</f>
        <v>346005210</v>
      </c>
      <c r="D2302" s="2" t="s">
        <v>2086</v>
      </c>
      <c r="E2302" s="4">
        <v>5500</v>
      </c>
    </row>
    <row r="2303" spans="1:5" ht="26.25" x14ac:dyDescent="0.25">
      <c r="A2303" s="2" t="s">
        <v>2044</v>
      </c>
      <c r="B2303" s="2" t="str">
        <f>"766305294"</f>
        <v>766305294</v>
      </c>
      <c r="C2303" s="2" t="str">
        <f>"766305294"</f>
        <v>766305294</v>
      </c>
      <c r="D2303" s="2" t="s">
        <v>2087</v>
      </c>
      <c r="E2303" s="4">
        <v>5500</v>
      </c>
    </row>
    <row r="2304" spans="1:5" ht="26.25" x14ac:dyDescent="0.25">
      <c r="A2304" s="2" t="s">
        <v>2044</v>
      </c>
      <c r="B2304" s="2" t="str">
        <f>"762305294"</f>
        <v>762305294</v>
      </c>
      <c r="C2304" s="2" t="str">
        <f>"762305294"</f>
        <v>762305294</v>
      </c>
      <c r="D2304" s="2" t="s">
        <v>2087</v>
      </c>
      <c r="E2304" s="4">
        <v>5500</v>
      </c>
    </row>
    <row r="2305" spans="1:5" ht="26.25" x14ac:dyDescent="0.25">
      <c r="A2305" s="2" t="s">
        <v>2044</v>
      </c>
      <c r="B2305" s="2" t="str">
        <f>"762305295"</f>
        <v>762305295</v>
      </c>
      <c r="C2305" s="2" t="str">
        <f>"762305295"</f>
        <v>762305295</v>
      </c>
      <c r="D2305" s="2" t="s">
        <v>2088</v>
      </c>
      <c r="E2305" s="4">
        <v>5500</v>
      </c>
    </row>
    <row r="2306" spans="1:5" ht="26.25" x14ac:dyDescent="0.25">
      <c r="A2306" s="2" t="s">
        <v>2044</v>
      </c>
      <c r="B2306" s="2" t="str">
        <f>"766005295"</f>
        <v>766005295</v>
      </c>
      <c r="C2306" s="2" t="str">
        <f>"766005295"</f>
        <v>766005295</v>
      </c>
      <c r="D2306" s="2" t="s">
        <v>2088</v>
      </c>
      <c r="E2306" s="4">
        <v>5500</v>
      </c>
    </row>
    <row r="2307" spans="1:5" ht="26.25" x14ac:dyDescent="0.25">
      <c r="A2307" s="2" t="s">
        <v>2044</v>
      </c>
      <c r="B2307" s="2" t="str">
        <f>"176005295"</f>
        <v>176005295</v>
      </c>
      <c r="C2307" s="2" t="str">
        <f>"176005295"</f>
        <v>176005295</v>
      </c>
      <c r="D2307" s="2" t="s">
        <v>2088</v>
      </c>
      <c r="E2307" s="4">
        <v>5500</v>
      </c>
    </row>
    <row r="2308" spans="1:5" ht="26.25" x14ac:dyDescent="0.25">
      <c r="A2308" s="2" t="s">
        <v>2044</v>
      </c>
      <c r="B2308" s="2" t="str">
        <f>"766305295"</f>
        <v>766305295</v>
      </c>
      <c r="C2308" s="2" t="str">
        <f>"766305295"</f>
        <v>766305295</v>
      </c>
      <c r="D2308" s="2" t="s">
        <v>2088</v>
      </c>
      <c r="E2308" s="4">
        <v>5500</v>
      </c>
    </row>
    <row r="2309" spans="1:5" ht="26.25" x14ac:dyDescent="0.25">
      <c r="A2309" s="2" t="s">
        <v>2044</v>
      </c>
      <c r="B2309" s="2" t="str">
        <f>"172305297"</f>
        <v>172305297</v>
      </c>
      <c r="C2309" s="2" t="str">
        <f>"172305297"</f>
        <v>172305297</v>
      </c>
      <c r="D2309" s="2" t="s">
        <v>2089</v>
      </c>
      <c r="E2309" s="4">
        <v>5500</v>
      </c>
    </row>
    <row r="2310" spans="1:5" ht="26.25" x14ac:dyDescent="0.25">
      <c r="A2310" s="2" t="s">
        <v>2044</v>
      </c>
      <c r="B2310" s="2" t="str">
        <f>"172305298"</f>
        <v>172305298</v>
      </c>
      <c r="C2310" s="2" t="str">
        <f>"172305298"</f>
        <v>172305298</v>
      </c>
      <c r="D2310" s="2" t="s">
        <v>2090</v>
      </c>
      <c r="E2310" s="4">
        <v>5500</v>
      </c>
    </row>
    <row r="2311" spans="1:5" ht="26.25" x14ac:dyDescent="0.25">
      <c r="A2311" s="2" t="s">
        <v>2044</v>
      </c>
      <c r="B2311" s="2" t="str">
        <f>"866005300"</f>
        <v>866005300</v>
      </c>
      <c r="C2311" s="2" t="str">
        <f>"866005300"</f>
        <v>866005300</v>
      </c>
      <c r="D2311" s="2" t="s">
        <v>2091</v>
      </c>
      <c r="E2311" s="4">
        <v>9900</v>
      </c>
    </row>
    <row r="2312" spans="1:5" ht="26.25" x14ac:dyDescent="0.25">
      <c r="A2312" s="2" t="s">
        <v>2044</v>
      </c>
      <c r="B2312" s="2" t="str">
        <f>"762305303"</f>
        <v>762305303</v>
      </c>
      <c r="C2312" s="2" t="str">
        <f>"762305303"</f>
        <v>762305303</v>
      </c>
      <c r="D2312" s="2" t="s">
        <v>2092</v>
      </c>
      <c r="E2312" s="4">
        <v>5500</v>
      </c>
    </row>
    <row r="2313" spans="1:5" ht="26.25" x14ac:dyDescent="0.25">
      <c r="A2313" s="2" t="s">
        <v>2044</v>
      </c>
      <c r="B2313" s="2" t="str">
        <f>"612305303"</f>
        <v>612305303</v>
      </c>
      <c r="C2313" s="2" t="str">
        <f>"612305303"</f>
        <v>612305303</v>
      </c>
      <c r="D2313" s="2" t="s">
        <v>2092</v>
      </c>
      <c r="E2313" s="4">
        <v>5500</v>
      </c>
    </row>
    <row r="2314" spans="1:5" ht="26.25" x14ac:dyDescent="0.25">
      <c r="A2314" s="2" t="s">
        <v>2044</v>
      </c>
      <c r="B2314" s="2" t="str">
        <f>"766005303"</f>
        <v>766005303</v>
      </c>
      <c r="C2314" s="2" t="str">
        <f>"766005303"</f>
        <v>766005303</v>
      </c>
      <c r="D2314" s="2" t="s">
        <v>2092</v>
      </c>
      <c r="E2314" s="4">
        <v>5500</v>
      </c>
    </row>
    <row r="2315" spans="1:5" ht="26.25" x14ac:dyDescent="0.25">
      <c r="A2315" s="2" t="s">
        <v>2044</v>
      </c>
      <c r="B2315" s="2" t="str">
        <f>"672305303"</f>
        <v>672305303</v>
      </c>
      <c r="C2315" s="2" t="str">
        <f>"672305303"</f>
        <v>672305303</v>
      </c>
      <c r="D2315" s="2" t="s">
        <v>2092</v>
      </c>
      <c r="E2315" s="4">
        <v>5500</v>
      </c>
    </row>
    <row r="2316" spans="1:5" ht="26.25" x14ac:dyDescent="0.25">
      <c r="A2316" s="2" t="s">
        <v>2044</v>
      </c>
      <c r="B2316" s="2" t="str">
        <f>"992305305"</f>
        <v>992305305</v>
      </c>
      <c r="C2316" s="2" t="str">
        <f>"992305305"</f>
        <v>992305305</v>
      </c>
      <c r="D2316" s="2" t="s">
        <v>2093</v>
      </c>
      <c r="E2316" s="4">
        <v>5500</v>
      </c>
    </row>
    <row r="2317" spans="1:5" ht="26.25" x14ac:dyDescent="0.25">
      <c r="A2317" s="2" t="s">
        <v>2044</v>
      </c>
      <c r="B2317" s="2" t="str">
        <f>"866005305"</f>
        <v>866005305</v>
      </c>
      <c r="C2317" s="2" t="str">
        <f>"866005305"</f>
        <v>866005305</v>
      </c>
      <c r="D2317" s="2" t="s">
        <v>2093</v>
      </c>
      <c r="E2317" s="4">
        <v>9900</v>
      </c>
    </row>
    <row r="2318" spans="1:5" ht="26.25" x14ac:dyDescent="0.25">
      <c r="A2318" s="2" t="s">
        <v>2044</v>
      </c>
      <c r="B2318" s="2" t="str">
        <f>"7290112300171"</f>
        <v>7290112300171</v>
      </c>
      <c r="C2318" s="2" t="str">
        <f>"342305305"</f>
        <v>342305305</v>
      </c>
      <c r="D2318" s="2" t="s">
        <v>2093</v>
      </c>
      <c r="E2318" s="4">
        <v>6500</v>
      </c>
    </row>
    <row r="2319" spans="1:5" ht="26.25" x14ac:dyDescent="0.25">
      <c r="A2319" s="2" t="s">
        <v>2044</v>
      </c>
      <c r="B2319" s="2" t="str">
        <f>"612305316"</f>
        <v>612305316</v>
      </c>
      <c r="C2319" s="2" t="str">
        <f>"612305316"</f>
        <v>612305316</v>
      </c>
      <c r="D2319" s="2" t="s">
        <v>2094</v>
      </c>
      <c r="E2319" s="4">
        <v>5500</v>
      </c>
    </row>
    <row r="2320" spans="1:5" ht="26.25" x14ac:dyDescent="0.25">
      <c r="A2320" s="2" t="s">
        <v>2044</v>
      </c>
      <c r="B2320" s="2" t="str">
        <f>"612305328"</f>
        <v>612305328</v>
      </c>
      <c r="C2320" s="2" t="str">
        <f>"612305328"</f>
        <v>612305328</v>
      </c>
      <c r="D2320" s="2" t="s">
        <v>2095</v>
      </c>
      <c r="E2320" s="4">
        <v>5500</v>
      </c>
    </row>
    <row r="2321" spans="1:5" ht="26.25" x14ac:dyDescent="0.25">
      <c r="A2321" s="2" t="s">
        <v>2044</v>
      </c>
      <c r="B2321" s="2" t="str">
        <f>"17230598"</f>
        <v>17230598</v>
      </c>
      <c r="C2321" s="2" t="str">
        <f>"17230598"</f>
        <v>17230598</v>
      </c>
      <c r="D2321" s="2" t="s">
        <v>2096</v>
      </c>
      <c r="E2321" s="4">
        <v>5500</v>
      </c>
    </row>
    <row r="2322" spans="1:5" ht="26.25" x14ac:dyDescent="0.25">
      <c r="A2322" s="2" t="s">
        <v>2044</v>
      </c>
      <c r="B2322" s="2" t="str">
        <f>"76600598"</f>
        <v>76600598</v>
      </c>
      <c r="C2322" s="2" t="str">
        <f>"76600598"</f>
        <v>76600598</v>
      </c>
      <c r="D2322" s="2" t="s">
        <v>2096</v>
      </c>
      <c r="E2322" s="4">
        <v>5500</v>
      </c>
    </row>
    <row r="2323" spans="1:5" ht="26.25" x14ac:dyDescent="0.25">
      <c r="A2323" s="2" t="s">
        <v>2044</v>
      </c>
      <c r="B2323" s="2" t="str">
        <f>"76230598"</f>
        <v>76230598</v>
      </c>
      <c r="C2323" s="2" t="str">
        <f>"76230598"</f>
        <v>76230598</v>
      </c>
      <c r="D2323" s="2" t="s">
        <v>2096</v>
      </c>
      <c r="E2323" s="4">
        <v>6500</v>
      </c>
    </row>
    <row r="2324" spans="1:5" ht="26.25" x14ac:dyDescent="0.25">
      <c r="A2324" s="2" t="s">
        <v>2044</v>
      </c>
      <c r="B2324" s="2" t="str">
        <f>"17600548"</f>
        <v>17600548</v>
      </c>
      <c r="C2324" s="2" t="str">
        <f>"17600548"</f>
        <v>17600548</v>
      </c>
      <c r="D2324" s="2" t="s">
        <v>2097</v>
      </c>
      <c r="E2324" s="4">
        <v>5500</v>
      </c>
    </row>
    <row r="2325" spans="1:5" ht="26.25" x14ac:dyDescent="0.25">
      <c r="A2325" s="2" t="s">
        <v>2044</v>
      </c>
      <c r="B2325" s="2" t="str">
        <f>"76230548"</f>
        <v>76230548</v>
      </c>
      <c r="C2325" s="2" t="str">
        <f>"76230548"</f>
        <v>76230548</v>
      </c>
      <c r="D2325" s="2" t="s">
        <v>2097</v>
      </c>
      <c r="E2325" s="4">
        <v>5500</v>
      </c>
    </row>
    <row r="2326" spans="1:5" ht="26.25" x14ac:dyDescent="0.25">
      <c r="A2326" s="2" t="s">
        <v>2044</v>
      </c>
      <c r="B2326" s="2" t="str">
        <f>"762305103"</f>
        <v>762305103</v>
      </c>
      <c r="C2326" s="2" t="str">
        <f>"762305103"</f>
        <v>762305103</v>
      </c>
      <c r="D2326" s="2" t="s">
        <v>2097</v>
      </c>
      <c r="E2326" s="4">
        <v>6500</v>
      </c>
    </row>
    <row r="2327" spans="1:5" ht="26.25" x14ac:dyDescent="0.25">
      <c r="A2327" s="2" t="s">
        <v>2044</v>
      </c>
      <c r="B2327" s="2" t="str">
        <f>"68600548"</f>
        <v>68600548</v>
      </c>
      <c r="C2327" s="2" t="str">
        <f>"68600548"</f>
        <v>68600548</v>
      </c>
      <c r="D2327" s="2" t="s">
        <v>2097</v>
      </c>
      <c r="E2327" s="4">
        <v>5500</v>
      </c>
    </row>
    <row r="2328" spans="1:5" ht="26.25" x14ac:dyDescent="0.25">
      <c r="A2328" s="2" t="s">
        <v>2044</v>
      </c>
      <c r="B2328" s="2" t="str">
        <f>"76600548"</f>
        <v>76600548</v>
      </c>
      <c r="C2328" s="2" t="str">
        <f>"76600548"</f>
        <v>76600548</v>
      </c>
      <c r="D2328" s="2" t="s">
        <v>2097</v>
      </c>
      <c r="E2328" s="4">
        <v>5500</v>
      </c>
    </row>
    <row r="2329" spans="1:5" ht="26.25" x14ac:dyDescent="0.25">
      <c r="A2329" s="2" t="s">
        <v>2044</v>
      </c>
      <c r="B2329" s="2" t="str">
        <f>"76630548"</f>
        <v>76630548</v>
      </c>
      <c r="C2329" s="2" t="str">
        <f>"76630548"</f>
        <v>76630548</v>
      </c>
      <c r="D2329" s="2" t="s">
        <v>2097</v>
      </c>
      <c r="E2329" s="4">
        <v>5500</v>
      </c>
    </row>
    <row r="2330" spans="1:5" ht="26.25" x14ac:dyDescent="0.25">
      <c r="A2330" s="2" t="s">
        <v>2044</v>
      </c>
      <c r="B2330" s="2" t="str">
        <f>"766005103"</f>
        <v>766005103</v>
      </c>
      <c r="C2330" s="2" t="str">
        <f>"766005103"</f>
        <v>766005103</v>
      </c>
      <c r="D2330" s="2" t="s">
        <v>2097</v>
      </c>
      <c r="E2330" s="4">
        <v>5500</v>
      </c>
    </row>
    <row r="2331" spans="1:5" ht="26.25" x14ac:dyDescent="0.25">
      <c r="A2331" s="2" t="s">
        <v>2044</v>
      </c>
      <c r="B2331" s="2" t="str">
        <f>"766305302"</f>
        <v>766305302</v>
      </c>
      <c r="C2331" s="2" t="str">
        <f>"766305302"</f>
        <v>766305302</v>
      </c>
      <c r="D2331" s="2" t="s">
        <v>2098</v>
      </c>
      <c r="E2331" s="4">
        <v>5500</v>
      </c>
    </row>
    <row r="2332" spans="1:5" ht="26.25" x14ac:dyDescent="0.25">
      <c r="A2332" s="2" t="s">
        <v>2044</v>
      </c>
      <c r="B2332" s="2" t="str">
        <f>"766005302"</f>
        <v>766005302</v>
      </c>
      <c r="C2332" s="2" t="str">
        <f>"766005302"</f>
        <v>766005302</v>
      </c>
      <c r="D2332" s="2" t="s">
        <v>2098</v>
      </c>
      <c r="E2332" s="4">
        <v>5500</v>
      </c>
    </row>
    <row r="2333" spans="1:5" ht="26.25" x14ac:dyDescent="0.25">
      <c r="A2333" s="2" t="s">
        <v>2044</v>
      </c>
      <c r="B2333" s="2" t="str">
        <f>"762305302"</f>
        <v>762305302</v>
      </c>
      <c r="C2333" s="2" t="str">
        <f>"762305302"</f>
        <v>762305302</v>
      </c>
      <c r="D2333" s="2" t="s">
        <v>2098</v>
      </c>
      <c r="E2333" s="4">
        <v>5500</v>
      </c>
    </row>
    <row r="2334" spans="1:5" ht="26.25" x14ac:dyDescent="0.25">
      <c r="A2334" s="2" t="s">
        <v>2044</v>
      </c>
      <c r="B2334" s="2" t="str">
        <f>"762305238"</f>
        <v>762305238</v>
      </c>
      <c r="C2334" s="2" t="str">
        <f>"762305238"</f>
        <v>762305238</v>
      </c>
      <c r="D2334" s="2" t="s">
        <v>2099</v>
      </c>
      <c r="E2334" s="4">
        <v>5500</v>
      </c>
    </row>
    <row r="2335" spans="1:5" ht="26.25" x14ac:dyDescent="0.25">
      <c r="A2335" s="2" t="s">
        <v>2044</v>
      </c>
      <c r="B2335" s="2" t="str">
        <f>"766005238"</f>
        <v>766005238</v>
      </c>
      <c r="C2335" s="2" t="str">
        <f>"766005238"</f>
        <v>766005238</v>
      </c>
      <c r="D2335" s="2" t="s">
        <v>2099</v>
      </c>
      <c r="E2335" s="4">
        <v>5500</v>
      </c>
    </row>
    <row r="2336" spans="1:5" ht="26.25" x14ac:dyDescent="0.25">
      <c r="A2336" s="2" t="s">
        <v>2044</v>
      </c>
      <c r="B2336" s="2" t="str">
        <f>"322305238"</f>
        <v>322305238</v>
      </c>
      <c r="C2336" s="2" t="str">
        <f>"322305238"</f>
        <v>322305238</v>
      </c>
      <c r="D2336" s="2" t="s">
        <v>2099</v>
      </c>
      <c r="E2336" s="4">
        <v>5500</v>
      </c>
    </row>
    <row r="2337" spans="1:5" ht="26.25" x14ac:dyDescent="0.25">
      <c r="A2337" s="2" t="s">
        <v>2044</v>
      </c>
      <c r="B2337" s="2" t="str">
        <f>"322305247"</f>
        <v>322305247</v>
      </c>
      <c r="C2337" s="2" t="str">
        <f>"322305247"</f>
        <v>322305247</v>
      </c>
      <c r="D2337" s="2" t="s">
        <v>2100</v>
      </c>
      <c r="E2337" s="4">
        <v>5500</v>
      </c>
    </row>
    <row r="2338" spans="1:5" ht="26.25" x14ac:dyDescent="0.25">
      <c r="A2338" s="2" t="s">
        <v>2044</v>
      </c>
      <c r="B2338" s="2" t="str">
        <f>"762305247"</f>
        <v>762305247</v>
      </c>
      <c r="C2338" s="2" t="str">
        <f>"762305247"</f>
        <v>762305247</v>
      </c>
      <c r="D2338" s="2" t="s">
        <v>2100</v>
      </c>
      <c r="E2338" s="4">
        <v>5500</v>
      </c>
    </row>
    <row r="2339" spans="1:5" ht="26.25" x14ac:dyDescent="0.25">
      <c r="A2339" s="2" t="s">
        <v>2044</v>
      </c>
      <c r="B2339" s="2" t="str">
        <f>"766005247"</f>
        <v>766005247</v>
      </c>
      <c r="C2339" s="2" t="str">
        <f>"766005247"</f>
        <v>766005247</v>
      </c>
      <c r="D2339" s="2" t="s">
        <v>2100</v>
      </c>
      <c r="E2339" s="4">
        <v>5500</v>
      </c>
    </row>
    <row r="2340" spans="1:5" ht="26.25" x14ac:dyDescent="0.25">
      <c r="A2340" s="2" t="s">
        <v>2044</v>
      </c>
      <c r="B2340" s="2" t="str">
        <f>"176005247"</f>
        <v>176005247</v>
      </c>
      <c r="C2340" s="2" t="str">
        <f>"176005247"</f>
        <v>176005247</v>
      </c>
      <c r="D2340" s="2" t="s">
        <v>2101</v>
      </c>
      <c r="E2340" s="4">
        <v>5500</v>
      </c>
    </row>
    <row r="2341" spans="1:5" ht="26.25" x14ac:dyDescent="0.25">
      <c r="A2341" s="2" t="s">
        <v>2044</v>
      </c>
      <c r="B2341" s="2" t="str">
        <f>"172305299"</f>
        <v>172305299</v>
      </c>
      <c r="C2341" s="2" t="str">
        <f>"172309299"</f>
        <v>172309299</v>
      </c>
      <c r="D2341" s="2" t="s">
        <v>2102</v>
      </c>
      <c r="E2341" s="4">
        <v>5500</v>
      </c>
    </row>
    <row r="2342" spans="1:5" ht="26.25" x14ac:dyDescent="0.25">
      <c r="A2342" s="2" t="s">
        <v>2044</v>
      </c>
      <c r="B2342" s="2" t="str">
        <f>"762305299"</f>
        <v>762305299</v>
      </c>
      <c r="C2342" s="2" t="str">
        <f>"762305299"</f>
        <v>762305299</v>
      </c>
      <c r="D2342" s="2" t="s">
        <v>2102</v>
      </c>
      <c r="E2342" s="4">
        <v>5500</v>
      </c>
    </row>
    <row r="2343" spans="1:5" ht="26.25" x14ac:dyDescent="0.25">
      <c r="A2343" s="2" t="s">
        <v>2044</v>
      </c>
      <c r="B2343" s="2" t="str">
        <f>"766305299"</f>
        <v>766305299</v>
      </c>
      <c r="C2343" s="2" t="str">
        <f>"766305299"</f>
        <v>766305299</v>
      </c>
      <c r="D2343" s="2" t="s">
        <v>2102</v>
      </c>
      <c r="E2343" s="4">
        <v>5500</v>
      </c>
    </row>
    <row r="2344" spans="1:5" ht="26.25" x14ac:dyDescent="0.25">
      <c r="A2344" s="2" t="s">
        <v>2044</v>
      </c>
      <c r="B2344" s="2" t="str">
        <f>"762305248"</f>
        <v>762305248</v>
      </c>
      <c r="C2344" s="2" t="str">
        <f>"762305248"</f>
        <v>762305248</v>
      </c>
      <c r="D2344" s="2" t="s">
        <v>2103</v>
      </c>
      <c r="E2344" s="4">
        <v>5500</v>
      </c>
    </row>
    <row r="2345" spans="1:5" ht="26.25" x14ac:dyDescent="0.25">
      <c r="A2345" s="2" t="s">
        <v>2044</v>
      </c>
      <c r="B2345" s="2" t="str">
        <f>"332305304"</f>
        <v>332305304</v>
      </c>
      <c r="C2345" s="2" t="str">
        <f>"332305304"</f>
        <v>332305304</v>
      </c>
      <c r="D2345" s="2" t="s">
        <v>2104</v>
      </c>
      <c r="E2345" s="4">
        <v>5500</v>
      </c>
    </row>
    <row r="2346" spans="1:5" ht="26.25" x14ac:dyDescent="0.25">
      <c r="A2346" s="2" t="s">
        <v>2044</v>
      </c>
      <c r="B2346" s="2" t="str">
        <f>"766005304"</f>
        <v>766005304</v>
      </c>
      <c r="C2346" s="2" t="str">
        <f>"766005304"</f>
        <v>766005304</v>
      </c>
      <c r="D2346" s="2" t="s">
        <v>2104</v>
      </c>
      <c r="E2346" s="4">
        <v>5500</v>
      </c>
    </row>
    <row r="2347" spans="1:5" ht="26.25" x14ac:dyDescent="0.25">
      <c r="A2347" s="2" t="s">
        <v>2044</v>
      </c>
      <c r="B2347" s="2" t="str">
        <f>"672305304"</f>
        <v>672305304</v>
      </c>
      <c r="C2347" s="2" t="str">
        <f>"672305304"</f>
        <v>672305304</v>
      </c>
      <c r="D2347" s="2" t="s">
        <v>2104</v>
      </c>
      <c r="E2347" s="4">
        <v>5500</v>
      </c>
    </row>
    <row r="2348" spans="1:5" ht="26.25" x14ac:dyDescent="0.25">
      <c r="A2348" s="2" t="s">
        <v>2044</v>
      </c>
      <c r="B2348" s="2" t="str">
        <f>"762305313"</f>
        <v>762305313</v>
      </c>
      <c r="C2348" s="2" t="str">
        <f>"762305313"</f>
        <v>762305313</v>
      </c>
      <c r="D2348" s="2" t="s">
        <v>2105</v>
      </c>
      <c r="E2348" s="4">
        <v>5000</v>
      </c>
    </row>
    <row r="2349" spans="1:5" ht="26.25" x14ac:dyDescent="0.25">
      <c r="A2349" s="2" t="s">
        <v>2044</v>
      </c>
      <c r="B2349" s="2" t="str">
        <f>"172305152"</f>
        <v>172305152</v>
      </c>
      <c r="C2349" s="2" t="str">
        <f>"172305152"</f>
        <v>172305152</v>
      </c>
      <c r="D2349" s="2" t="s">
        <v>2106</v>
      </c>
      <c r="E2349" s="4">
        <v>5500</v>
      </c>
    </row>
    <row r="2350" spans="1:5" ht="26.25" x14ac:dyDescent="0.25">
      <c r="A2350" s="2" t="s">
        <v>2044</v>
      </c>
      <c r="B2350" s="2" t="str">
        <f>"762305152"</f>
        <v>762305152</v>
      </c>
      <c r="C2350" s="2" t="str">
        <f>"762305152"</f>
        <v>762305152</v>
      </c>
      <c r="D2350" s="2" t="s">
        <v>2106</v>
      </c>
      <c r="E2350" s="4">
        <v>5500</v>
      </c>
    </row>
    <row r="2351" spans="1:5" ht="26.25" x14ac:dyDescent="0.25">
      <c r="A2351" s="2" t="s">
        <v>2044</v>
      </c>
      <c r="B2351" s="2" t="str">
        <f>"766005152"</f>
        <v>766005152</v>
      </c>
      <c r="C2351" s="2" t="str">
        <f>"766005152"</f>
        <v>766005152</v>
      </c>
      <c r="D2351" s="2" t="s">
        <v>2106</v>
      </c>
      <c r="E2351" s="4">
        <v>5500</v>
      </c>
    </row>
    <row r="2352" spans="1:5" ht="26.25" x14ac:dyDescent="0.25">
      <c r="A2352" s="2" t="s">
        <v>2044</v>
      </c>
      <c r="B2352" s="2" t="str">
        <f>"762305208"</f>
        <v>762305208</v>
      </c>
      <c r="C2352" s="2" t="str">
        <f>"762305208"</f>
        <v>762305208</v>
      </c>
      <c r="D2352" s="2" t="s">
        <v>2107</v>
      </c>
      <c r="E2352" s="4">
        <v>5500</v>
      </c>
    </row>
    <row r="2353" spans="1:5" ht="26.25" x14ac:dyDescent="0.25">
      <c r="A2353" s="2" t="s">
        <v>2044</v>
      </c>
      <c r="B2353" s="2" t="str">
        <f>"762305229"</f>
        <v>762305229</v>
      </c>
      <c r="C2353" s="2" t="str">
        <f>"762305229"</f>
        <v>762305229</v>
      </c>
      <c r="D2353" s="2" t="s">
        <v>2108</v>
      </c>
      <c r="E2353" s="4">
        <v>5500</v>
      </c>
    </row>
    <row r="2354" spans="1:5" ht="26.25" x14ac:dyDescent="0.25">
      <c r="A2354" s="2" t="s">
        <v>2044</v>
      </c>
      <c r="B2354" s="2" t="str">
        <f>"766005229"</f>
        <v>766005229</v>
      </c>
      <c r="C2354" s="2" t="str">
        <f>"766005229"</f>
        <v>766005229</v>
      </c>
      <c r="D2354" s="2" t="s">
        <v>2108</v>
      </c>
      <c r="E2354" s="4">
        <v>5500</v>
      </c>
    </row>
    <row r="2355" spans="1:5" ht="26.25" x14ac:dyDescent="0.25">
      <c r="A2355" s="2" t="s">
        <v>2044</v>
      </c>
      <c r="B2355" s="2" t="str">
        <f>"76235208"</f>
        <v>76235208</v>
      </c>
      <c r="C2355" s="2" t="str">
        <f>"76235208"</f>
        <v>76235208</v>
      </c>
      <c r="D2355" s="2" t="s">
        <v>2109</v>
      </c>
      <c r="E2355" s="4">
        <v>5500</v>
      </c>
    </row>
    <row r="2356" spans="1:5" ht="26.25" x14ac:dyDescent="0.25">
      <c r="A2356" s="2" t="s">
        <v>2044</v>
      </c>
      <c r="B2356" s="2" t="str">
        <f>"672305306"</f>
        <v>672305306</v>
      </c>
      <c r="C2356" s="2" t="str">
        <f>"672305306"</f>
        <v>672305306</v>
      </c>
      <c r="D2356" s="2" t="s">
        <v>2110</v>
      </c>
      <c r="E2356" s="4">
        <v>5500</v>
      </c>
    </row>
    <row r="2357" spans="1:5" ht="26.25" x14ac:dyDescent="0.25">
      <c r="A2357" s="2" t="s">
        <v>2044</v>
      </c>
      <c r="B2357" s="2" t="str">
        <f>"172305260"</f>
        <v>172305260</v>
      </c>
      <c r="C2357" s="2" t="str">
        <f>"172305260"</f>
        <v>172305260</v>
      </c>
      <c r="D2357" s="2" t="s">
        <v>2111</v>
      </c>
      <c r="E2357" s="4">
        <v>5500</v>
      </c>
    </row>
    <row r="2358" spans="1:5" ht="26.25" x14ac:dyDescent="0.25">
      <c r="A2358" s="2" t="s">
        <v>2044</v>
      </c>
      <c r="B2358" s="2" t="str">
        <f>"762305260"</f>
        <v>762305260</v>
      </c>
      <c r="C2358" s="2" t="str">
        <f>"762305260"</f>
        <v>762305260</v>
      </c>
      <c r="D2358" s="2" t="s">
        <v>2111</v>
      </c>
      <c r="E2358" s="4">
        <v>5500</v>
      </c>
    </row>
    <row r="2359" spans="1:5" ht="26.25" x14ac:dyDescent="0.25">
      <c r="A2359" s="2" t="s">
        <v>2044</v>
      </c>
      <c r="B2359" s="2" t="str">
        <f>"766005260"</f>
        <v>766005260</v>
      </c>
      <c r="C2359" s="2" t="str">
        <f>"766005260"</f>
        <v>766005260</v>
      </c>
      <c r="D2359" s="2" t="s">
        <v>2111</v>
      </c>
      <c r="E2359" s="4">
        <v>5500</v>
      </c>
    </row>
    <row r="2360" spans="1:5" ht="26.25" x14ac:dyDescent="0.25">
      <c r="A2360" s="2" t="s">
        <v>2044</v>
      </c>
      <c r="B2360" s="2" t="str">
        <f>"762305157"</f>
        <v>762305157</v>
      </c>
      <c r="C2360" s="2" t="str">
        <f>"762305157"</f>
        <v>762305157</v>
      </c>
      <c r="D2360" s="2" t="s">
        <v>2111</v>
      </c>
      <c r="E2360" s="4">
        <v>5500</v>
      </c>
    </row>
    <row r="2361" spans="1:5" ht="26.25" x14ac:dyDescent="0.25">
      <c r="A2361" s="2" t="s">
        <v>2044</v>
      </c>
      <c r="B2361" s="2" t="str">
        <f>"768505260"</f>
        <v>768505260</v>
      </c>
      <c r="C2361" s="2" t="str">
        <f>"768505260"</f>
        <v>768505260</v>
      </c>
      <c r="D2361" s="2" t="s">
        <v>2111</v>
      </c>
      <c r="E2361" s="4">
        <v>5800</v>
      </c>
    </row>
    <row r="2362" spans="1:5" ht="26.25" x14ac:dyDescent="0.25">
      <c r="A2362" s="2" t="s">
        <v>2044</v>
      </c>
      <c r="B2362" s="2" t="str">
        <f>"322305249"</f>
        <v>322305249</v>
      </c>
      <c r="C2362" s="2" t="str">
        <f>"322305249"</f>
        <v>322305249</v>
      </c>
      <c r="D2362" s="2" t="s">
        <v>2111</v>
      </c>
      <c r="E2362" s="4">
        <v>5500</v>
      </c>
    </row>
    <row r="2363" spans="1:5" ht="26.25" x14ac:dyDescent="0.25">
      <c r="A2363" s="2" t="s">
        <v>2044</v>
      </c>
      <c r="B2363" s="2" t="str">
        <f>"17235159"</f>
        <v>17235159</v>
      </c>
      <c r="C2363" s="2" t="str">
        <f>"17235159"</f>
        <v>17235159</v>
      </c>
      <c r="D2363" s="2" t="s">
        <v>2112</v>
      </c>
      <c r="E2363" s="4">
        <v>5500</v>
      </c>
    </row>
    <row r="2364" spans="1:5" ht="26.25" x14ac:dyDescent="0.25">
      <c r="A2364" s="2" t="s">
        <v>2044</v>
      </c>
      <c r="B2364" s="2" t="str">
        <f>"762305159"</f>
        <v>762305159</v>
      </c>
      <c r="C2364" s="2" t="str">
        <f>"762305159"</f>
        <v>762305159</v>
      </c>
      <c r="D2364" s="2" t="s">
        <v>2112</v>
      </c>
      <c r="E2364" s="4">
        <v>5500</v>
      </c>
    </row>
    <row r="2365" spans="1:5" ht="26.25" x14ac:dyDescent="0.25">
      <c r="A2365" s="2" t="s">
        <v>2044</v>
      </c>
      <c r="B2365" s="2" t="str">
        <f>"766005159"</f>
        <v>766005159</v>
      </c>
      <c r="C2365" s="2" t="str">
        <f>"766005159"</f>
        <v>766005159</v>
      </c>
      <c r="D2365" s="2" t="s">
        <v>2112</v>
      </c>
      <c r="E2365" s="4">
        <v>5500</v>
      </c>
    </row>
    <row r="2366" spans="1:5" ht="26.25" x14ac:dyDescent="0.25">
      <c r="A2366" s="2" t="s">
        <v>2044</v>
      </c>
      <c r="B2366" s="2" t="str">
        <f>"992305282"</f>
        <v>992305282</v>
      </c>
      <c r="C2366" s="2" t="str">
        <f>"992305282"</f>
        <v>992305282</v>
      </c>
      <c r="D2366" s="2" t="s">
        <v>2113</v>
      </c>
      <c r="E2366" s="4">
        <v>5500</v>
      </c>
    </row>
    <row r="2367" spans="1:5" ht="26.25" x14ac:dyDescent="0.25">
      <c r="A2367" s="2" t="s">
        <v>2044</v>
      </c>
      <c r="B2367" s="2" t="str">
        <f>"762305282"</f>
        <v>762305282</v>
      </c>
      <c r="C2367" s="2" t="str">
        <f>"762305282"</f>
        <v>762305282</v>
      </c>
      <c r="D2367" s="2" t="s">
        <v>2113</v>
      </c>
      <c r="E2367" s="4">
        <v>5500</v>
      </c>
    </row>
    <row r="2368" spans="1:5" ht="26.25" x14ac:dyDescent="0.25">
      <c r="A2368" s="2" t="s">
        <v>2044</v>
      </c>
      <c r="B2368" s="2" t="str">
        <f>"612305282"</f>
        <v>612305282</v>
      </c>
      <c r="C2368" s="2" t="str">
        <f>"612305282"</f>
        <v>612305282</v>
      </c>
      <c r="D2368" s="2" t="s">
        <v>2113</v>
      </c>
      <c r="E2368" s="4">
        <v>5500</v>
      </c>
    </row>
    <row r="2369" spans="1:5" ht="26.25" x14ac:dyDescent="0.25">
      <c r="A2369" s="2" t="s">
        <v>2044</v>
      </c>
      <c r="B2369" s="2" t="str">
        <f>"616005282"</f>
        <v>616005282</v>
      </c>
      <c r="C2369" s="2" t="str">
        <f>"616005282"</f>
        <v>616005282</v>
      </c>
      <c r="D2369" s="2" t="s">
        <v>2113</v>
      </c>
      <c r="E2369" s="4">
        <v>5500</v>
      </c>
    </row>
    <row r="2370" spans="1:5" ht="26.25" x14ac:dyDescent="0.25">
      <c r="A2370" s="2" t="s">
        <v>2044</v>
      </c>
      <c r="B2370" s="2" t="str">
        <f>"672305282"</f>
        <v>672305282</v>
      </c>
      <c r="C2370" s="2" t="str">
        <f>"672305282"</f>
        <v>672305282</v>
      </c>
      <c r="D2370" s="2" t="s">
        <v>2113</v>
      </c>
      <c r="E2370" s="4">
        <v>5500</v>
      </c>
    </row>
    <row r="2371" spans="1:5" ht="26.25" x14ac:dyDescent="0.25">
      <c r="A2371" s="2" t="s">
        <v>2044</v>
      </c>
      <c r="B2371" s="2" t="str">
        <f>"1000001013527"</f>
        <v>1000001013527</v>
      </c>
      <c r="C2371" s="2" t="str">
        <f>"766005282"</f>
        <v>766005282</v>
      </c>
      <c r="D2371" s="2" t="s">
        <v>2113</v>
      </c>
      <c r="E2371" s="4">
        <v>5500</v>
      </c>
    </row>
    <row r="2372" spans="1:5" ht="26.25" x14ac:dyDescent="0.25">
      <c r="A2372" s="2" t="s">
        <v>2044</v>
      </c>
      <c r="B2372" s="2" t="str">
        <f>"672305317"</f>
        <v>672305317</v>
      </c>
      <c r="C2372" s="2" t="str">
        <f>"672305317"</f>
        <v>672305317</v>
      </c>
      <c r="D2372" s="2" t="s">
        <v>2114</v>
      </c>
      <c r="E2372" s="4">
        <v>5500</v>
      </c>
    </row>
    <row r="2373" spans="1:5" ht="26.25" x14ac:dyDescent="0.25">
      <c r="A2373" s="2" t="s">
        <v>2044</v>
      </c>
      <c r="B2373" s="2" t="str">
        <f>"612305317"</f>
        <v>612305317</v>
      </c>
      <c r="C2373" s="2" t="str">
        <f>"612305317"</f>
        <v>612305317</v>
      </c>
      <c r="D2373" s="2" t="s">
        <v>2114</v>
      </c>
      <c r="E2373" s="4">
        <v>5500</v>
      </c>
    </row>
    <row r="2374" spans="1:5" ht="26.25" x14ac:dyDescent="0.25">
      <c r="A2374" s="2" t="s">
        <v>2044</v>
      </c>
      <c r="B2374" s="2" t="str">
        <f>"1000001011790"</f>
        <v>1000001011790</v>
      </c>
      <c r="C2374" s="2" t="str">
        <f>"762305280"</f>
        <v>762305280</v>
      </c>
      <c r="D2374" s="2" t="s">
        <v>2115</v>
      </c>
      <c r="E2374" s="4">
        <v>5500</v>
      </c>
    </row>
    <row r="2375" spans="1:5" ht="26.25" x14ac:dyDescent="0.25">
      <c r="A2375" s="2" t="s">
        <v>2044</v>
      </c>
      <c r="B2375" s="2" t="str">
        <f>"992305280"</f>
        <v>992305280</v>
      </c>
      <c r="C2375" s="2" t="str">
        <f>"992305280"</f>
        <v>992305280</v>
      </c>
      <c r="D2375" s="2" t="s">
        <v>2115</v>
      </c>
      <c r="E2375" s="4">
        <v>5500</v>
      </c>
    </row>
    <row r="2376" spans="1:5" ht="26.25" x14ac:dyDescent="0.25">
      <c r="A2376" s="2" t="s">
        <v>2044</v>
      </c>
      <c r="B2376" s="2" t="str">
        <f>"612305280"</f>
        <v>612305280</v>
      </c>
      <c r="C2376" s="2" t="str">
        <f>"612305280"</f>
        <v>612305280</v>
      </c>
      <c r="D2376" s="2" t="s">
        <v>2115</v>
      </c>
      <c r="E2376" s="4">
        <v>5500</v>
      </c>
    </row>
    <row r="2377" spans="1:5" ht="26.25" x14ac:dyDescent="0.25">
      <c r="A2377" s="2" t="s">
        <v>2044</v>
      </c>
      <c r="B2377" s="2" t="str">
        <f>"172305280"</f>
        <v>172305280</v>
      </c>
      <c r="C2377" s="2" t="str">
        <f>"172305280"</f>
        <v>172305280</v>
      </c>
      <c r="D2377" s="2" t="s">
        <v>2115</v>
      </c>
      <c r="E2377" s="4">
        <v>5500</v>
      </c>
    </row>
    <row r="2378" spans="1:5" ht="26.25" x14ac:dyDescent="0.25">
      <c r="A2378" s="2" t="s">
        <v>2044</v>
      </c>
      <c r="B2378" s="2" t="str">
        <f>"176005280"</f>
        <v>176005280</v>
      </c>
      <c r="C2378" s="2" t="str">
        <f>"176005280"</f>
        <v>176005280</v>
      </c>
      <c r="D2378" s="2" t="s">
        <v>2116</v>
      </c>
      <c r="E2378" s="4">
        <v>5500</v>
      </c>
    </row>
    <row r="2379" spans="1:5" ht="26.25" x14ac:dyDescent="0.25">
      <c r="A2379" s="2" t="s">
        <v>2044</v>
      </c>
      <c r="B2379" s="2" t="str">
        <f>"766005280"</f>
        <v>766005280</v>
      </c>
      <c r="C2379" s="2" t="str">
        <f>"766005280"</f>
        <v>766005280</v>
      </c>
      <c r="D2379" s="2" t="s">
        <v>2115</v>
      </c>
      <c r="E2379" s="4">
        <v>5500</v>
      </c>
    </row>
    <row r="2380" spans="1:5" ht="26.25" x14ac:dyDescent="0.25">
      <c r="A2380" s="2" t="s">
        <v>2044</v>
      </c>
      <c r="B2380" s="2" t="str">
        <f>"76230549"</f>
        <v>76230549</v>
      </c>
      <c r="C2380" s="2" t="str">
        <f>"76230549"</f>
        <v>76230549</v>
      </c>
      <c r="D2380" s="2" t="s">
        <v>2117</v>
      </c>
      <c r="E2380" s="4">
        <v>6500</v>
      </c>
    </row>
    <row r="2381" spans="1:5" ht="26.25" x14ac:dyDescent="0.25">
      <c r="A2381" s="2" t="s">
        <v>2044</v>
      </c>
      <c r="B2381" s="2" t="str">
        <f>"110760602"</f>
        <v>110760602</v>
      </c>
      <c r="C2381" s="2" t="str">
        <f>"110760602"</f>
        <v>110760602</v>
      </c>
      <c r="D2381" s="2" t="s">
        <v>2117</v>
      </c>
      <c r="E2381" s="4">
        <v>8500</v>
      </c>
    </row>
    <row r="2382" spans="1:5" ht="26.25" x14ac:dyDescent="0.25">
      <c r="A2382" s="2" t="s">
        <v>2044</v>
      </c>
      <c r="B2382" s="2" t="str">
        <f>"17230572"</f>
        <v>17230572</v>
      </c>
      <c r="C2382" s="2" t="str">
        <f>"17230572"</f>
        <v>17230572</v>
      </c>
      <c r="D2382" s="2" t="s">
        <v>2118</v>
      </c>
      <c r="E2382" s="4">
        <v>5500</v>
      </c>
    </row>
    <row r="2383" spans="1:5" ht="26.25" x14ac:dyDescent="0.25">
      <c r="A2383" s="2" t="s">
        <v>2044</v>
      </c>
      <c r="B2383" s="2" t="str">
        <f>"76230572"</f>
        <v>76230572</v>
      </c>
      <c r="C2383" s="2" t="str">
        <f>"76230572"</f>
        <v>76230572</v>
      </c>
      <c r="D2383" s="2" t="s">
        <v>2118</v>
      </c>
      <c r="E2383" s="4">
        <v>5500</v>
      </c>
    </row>
    <row r="2384" spans="1:5" ht="26.25" x14ac:dyDescent="0.25">
      <c r="A2384" s="2" t="s">
        <v>2044</v>
      </c>
      <c r="B2384" s="2" t="str">
        <f>"76230574"</f>
        <v>76230574</v>
      </c>
      <c r="C2384" s="2" t="str">
        <f>"76230574"</f>
        <v>76230574</v>
      </c>
      <c r="D2384" s="2" t="s">
        <v>2118</v>
      </c>
      <c r="E2384" s="4">
        <v>5500</v>
      </c>
    </row>
    <row r="2385" spans="1:5" ht="26.25" x14ac:dyDescent="0.25">
      <c r="A2385" s="2" t="s">
        <v>2044</v>
      </c>
      <c r="B2385" s="2" t="str">
        <f>"76550572"</f>
        <v>76550572</v>
      </c>
      <c r="C2385" s="2" t="str">
        <f>"76550572"</f>
        <v>76550572</v>
      </c>
      <c r="D2385" s="2" t="s">
        <v>2118</v>
      </c>
      <c r="E2385" s="4">
        <v>6000</v>
      </c>
    </row>
    <row r="2386" spans="1:5" ht="26.25" x14ac:dyDescent="0.25">
      <c r="A2386" s="2" t="s">
        <v>2044</v>
      </c>
      <c r="B2386" s="2" t="str">
        <f>"76600572"</f>
        <v>76600572</v>
      </c>
      <c r="C2386" s="2" t="str">
        <f>"76600572"</f>
        <v>76600572</v>
      </c>
      <c r="D2386" s="2" t="s">
        <v>2118</v>
      </c>
      <c r="E2386" s="4">
        <v>5500</v>
      </c>
    </row>
    <row r="2387" spans="1:5" ht="26.25" x14ac:dyDescent="0.25">
      <c r="A2387" s="2" t="s">
        <v>2044</v>
      </c>
      <c r="B2387" s="2" t="str">
        <f>"76600574"</f>
        <v>76600574</v>
      </c>
      <c r="C2387" s="2" t="str">
        <f>"76600574"</f>
        <v>76600574</v>
      </c>
      <c r="D2387" s="2" t="s">
        <v>2118</v>
      </c>
      <c r="E2387" s="4">
        <v>5500</v>
      </c>
    </row>
    <row r="2388" spans="1:5" ht="26.25" x14ac:dyDescent="0.25">
      <c r="A2388" s="2" t="s">
        <v>2044</v>
      </c>
      <c r="B2388" s="2" t="str">
        <f>"76550574"</f>
        <v>76550574</v>
      </c>
      <c r="C2388" s="2" t="str">
        <f>"76550574"</f>
        <v>76550574</v>
      </c>
      <c r="D2388" s="2" t="s">
        <v>2118</v>
      </c>
      <c r="E2388" s="4">
        <v>6000</v>
      </c>
    </row>
    <row r="2389" spans="1:5" ht="26.25" x14ac:dyDescent="0.25">
      <c r="A2389" s="2" t="s">
        <v>2044</v>
      </c>
      <c r="B2389" s="2" t="str">
        <f>"76630572"</f>
        <v>76630572</v>
      </c>
      <c r="C2389" s="2" t="str">
        <f>"76630572"</f>
        <v>76630572</v>
      </c>
      <c r="D2389" s="2" t="s">
        <v>2118</v>
      </c>
      <c r="E2389" s="4">
        <v>5500</v>
      </c>
    </row>
    <row r="2390" spans="1:5" ht="26.25" x14ac:dyDescent="0.25">
      <c r="A2390" s="2" t="s">
        <v>2044</v>
      </c>
      <c r="B2390" s="2" t="str">
        <f>"76630574"</f>
        <v>76630574</v>
      </c>
      <c r="C2390" s="2" t="str">
        <f>"76630574"</f>
        <v>76630574</v>
      </c>
      <c r="D2390" s="2" t="s">
        <v>2118</v>
      </c>
      <c r="E2390" s="4">
        <v>5500</v>
      </c>
    </row>
    <row r="2391" spans="1:5" ht="26.25" x14ac:dyDescent="0.25">
      <c r="A2391" s="2" t="s">
        <v>2044</v>
      </c>
      <c r="B2391" s="2" t="str">
        <f>"172305118"</f>
        <v>172305118</v>
      </c>
      <c r="C2391" s="2" t="str">
        <f>"172305118"</f>
        <v>172305118</v>
      </c>
      <c r="D2391" s="2" t="s">
        <v>2119</v>
      </c>
      <c r="E2391" s="4">
        <v>5500</v>
      </c>
    </row>
    <row r="2392" spans="1:5" ht="26.25" x14ac:dyDescent="0.25">
      <c r="A2392" s="2" t="s">
        <v>2044</v>
      </c>
      <c r="B2392" s="2" t="str">
        <f>"762305329"</f>
        <v>762305329</v>
      </c>
      <c r="C2392" s="2" t="str">
        <f>"762305329"</f>
        <v>762305329</v>
      </c>
      <c r="D2392" s="2" t="s">
        <v>2120</v>
      </c>
      <c r="E2392" s="4">
        <v>5500</v>
      </c>
    </row>
    <row r="2393" spans="1:5" ht="26.25" x14ac:dyDescent="0.25">
      <c r="A2393" s="2" t="s">
        <v>2044</v>
      </c>
      <c r="B2393" s="2" t="str">
        <f>"766005160"</f>
        <v>766005160</v>
      </c>
      <c r="C2393" s="2" t="str">
        <f>"766005160"</f>
        <v>766005160</v>
      </c>
      <c r="D2393" s="2" t="s">
        <v>2121</v>
      </c>
      <c r="E2393" s="4">
        <v>5500</v>
      </c>
    </row>
    <row r="2394" spans="1:5" ht="26.25" x14ac:dyDescent="0.25">
      <c r="A2394" s="2" t="s">
        <v>2044</v>
      </c>
      <c r="B2394" s="2" t="str">
        <f>"762305160"</f>
        <v>762305160</v>
      </c>
      <c r="C2394" s="2" t="str">
        <f>"762305160"</f>
        <v>762305160</v>
      </c>
      <c r="D2394" s="2" t="s">
        <v>2121</v>
      </c>
      <c r="E2394" s="4">
        <v>5500</v>
      </c>
    </row>
    <row r="2395" spans="1:5" ht="26.25" x14ac:dyDescent="0.25">
      <c r="A2395" s="2" t="s">
        <v>2044</v>
      </c>
      <c r="B2395" s="2" t="str">
        <f>"992305162"</f>
        <v>992305162</v>
      </c>
      <c r="C2395" s="2" t="str">
        <f>"992305162"</f>
        <v>992305162</v>
      </c>
      <c r="D2395" s="2" t="s">
        <v>2122</v>
      </c>
      <c r="E2395" s="4">
        <v>5500</v>
      </c>
    </row>
    <row r="2396" spans="1:5" ht="26.25" x14ac:dyDescent="0.25">
      <c r="A2396" s="2" t="s">
        <v>2044</v>
      </c>
      <c r="B2396" s="2" t="str">
        <f>"762305162"</f>
        <v>762305162</v>
      </c>
      <c r="C2396" s="2" t="str">
        <f>"762305162"</f>
        <v>762305162</v>
      </c>
      <c r="D2396" s="2" t="s">
        <v>2122</v>
      </c>
      <c r="E2396" s="4">
        <v>5500</v>
      </c>
    </row>
    <row r="2397" spans="1:5" ht="26.25" x14ac:dyDescent="0.25">
      <c r="A2397" s="2" t="s">
        <v>2044</v>
      </c>
      <c r="B2397" s="2" t="str">
        <f>"612305162"</f>
        <v>612305162</v>
      </c>
      <c r="C2397" s="2" t="str">
        <f>"612305162"</f>
        <v>612305162</v>
      </c>
      <c r="D2397" s="2" t="s">
        <v>2122</v>
      </c>
      <c r="E2397" s="4">
        <v>5500</v>
      </c>
    </row>
    <row r="2398" spans="1:5" ht="26.25" x14ac:dyDescent="0.25">
      <c r="A2398" s="2" t="s">
        <v>2044</v>
      </c>
      <c r="B2398" s="2" t="str">
        <f>"616005162"</f>
        <v>616005162</v>
      </c>
      <c r="C2398" s="2" t="str">
        <f>"616005162"</f>
        <v>616005162</v>
      </c>
      <c r="D2398" s="2" t="s">
        <v>2122</v>
      </c>
      <c r="E2398" s="4">
        <v>5500</v>
      </c>
    </row>
    <row r="2399" spans="1:5" ht="26.25" x14ac:dyDescent="0.25">
      <c r="A2399" s="2" t="s">
        <v>2044</v>
      </c>
      <c r="B2399" s="2" t="str">
        <f>"322305162"</f>
        <v>322305162</v>
      </c>
      <c r="C2399" s="2" t="str">
        <f>"322305162"</f>
        <v>322305162</v>
      </c>
      <c r="D2399" s="2" t="s">
        <v>2122</v>
      </c>
      <c r="E2399" s="4">
        <v>5500</v>
      </c>
    </row>
    <row r="2400" spans="1:5" ht="26.25" x14ac:dyDescent="0.25">
      <c r="A2400" s="2" t="s">
        <v>2044</v>
      </c>
      <c r="B2400" s="2" t="str">
        <f>"672305162"</f>
        <v>672305162</v>
      </c>
      <c r="C2400" s="2" t="str">
        <f>"672305162"</f>
        <v>672305162</v>
      </c>
      <c r="D2400" s="2" t="s">
        <v>2122</v>
      </c>
      <c r="E2400" s="4">
        <v>5500</v>
      </c>
    </row>
    <row r="2401" spans="1:5" ht="26.25" x14ac:dyDescent="0.25">
      <c r="A2401" s="2" t="s">
        <v>2044</v>
      </c>
      <c r="B2401" s="2" t="str">
        <f>"762305317"</f>
        <v>762305317</v>
      </c>
      <c r="C2401" s="2" t="str">
        <f>"762305317"</f>
        <v>762305317</v>
      </c>
      <c r="D2401" s="2" t="s">
        <v>2123</v>
      </c>
      <c r="E2401" s="4">
        <v>5000</v>
      </c>
    </row>
    <row r="2402" spans="1:5" ht="26.25" x14ac:dyDescent="0.25">
      <c r="A2402" s="2" t="s">
        <v>2044</v>
      </c>
      <c r="B2402" s="2" t="str">
        <f>"672305315"</f>
        <v>672305315</v>
      </c>
      <c r="C2402" s="2" t="str">
        <f>"672305315"</f>
        <v>672305315</v>
      </c>
      <c r="D2402" s="2" t="s">
        <v>2123</v>
      </c>
      <c r="E2402" s="4">
        <v>5500</v>
      </c>
    </row>
    <row r="2403" spans="1:5" ht="26.25" x14ac:dyDescent="0.25">
      <c r="A2403" s="2" t="s">
        <v>2044</v>
      </c>
      <c r="B2403" s="2" t="str">
        <f>"762305315"</f>
        <v>762305315</v>
      </c>
      <c r="C2403" s="2" t="str">
        <f>"762305315"</f>
        <v>762305315</v>
      </c>
      <c r="D2403" s="2" t="s">
        <v>2123</v>
      </c>
      <c r="E2403" s="4">
        <v>5000</v>
      </c>
    </row>
    <row r="2404" spans="1:5" ht="26.25" x14ac:dyDescent="0.25">
      <c r="A2404" s="2" t="s">
        <v>2044</v>
      </c>
      <c r="B2404" s="2" t="str">
        <f>"762305324"</f>
        <v>762305324</v>
      </c>
      <c r="C2404" s="2" t="str">
        <f>"762305324"</f>
        <v>762305324</v>
      </c>
      <c r="D2404" s="2" t="s">
        <v>2124</v>
      </c>
      <c r="E2404" s="4">
        <v>5500</v>
      </c>
    </row>
    <row r="2405" spans="1:5" ht="26.25" x14ac:dyDescent="0.25">
      <c r="A2405" s="2" t="s">
        <v>2044</v>
      </c>
      <c r="B2405" s="2" t="str">
        <f>"672305310"</f>
        <v>672305310</v>
      </c>
      <c r="C2405" s="2" t="str">
        <f>"672305310"</f>
        <v>672305310</v>
      </c>
      <c r="D2405" s="2" t="s">
        <v>2125</v>
      </c>
      <c r="E2405" s="4">
        <v>5500</v>
      </c>
    </row>
    <row r="2406" spans="1:5" ht="26.25" x14ac:dyDescent="0.25">
      <c r="A2406" s="2" t="s">
        <v>2044</v>
      </c>
      <c r="B2406" s="2" t="str">
        <f>"762305310"</f>
        <v>762305310</v>
      </c>
      <c r="C2406" s="2" t="str">
        <f>"762305310"</f>
        <v>762305310</v>
      </c>
      <c r="D2406" s="2" t="s">
        <v>2125</v>
      </c>
      <c r="E2406" s="4">
        <v>5500</v>
      </c>
    </row>
    <row r="2407" spans="1:5" ht="26.25" x14ac:dyDescent="0.25">
      <c r="A2407" s="2" t="s">
        <v>2044</v>
      </c>
      <c r="B2407" s="2" t="str">
        <f>"612305310"</f>
        <v>612305310</v>
      </c>
      <c r="C2407" s="2" t="str">
        <f>"612305310"</f>
        <v>612305310</v>
      </c>
      <c r="D2407" s="2" t="s">
        <v>2125</v>
      </c>
      <c r="E2407" s="4">
        <v>5500</v>
      </c>
    </row>
    <row r="2408" spans="1:5" ht="26.25" x14ac:dyDescent="0.25">
      <c r="A2408" s="2" t="s">
        <v>2044</v>
      </c>
      <c r="B2408" s="2" t="str">
        <f>"762305319"</f>
        <v>762305319</v>
      </c>
      <c r="C2408" s="2" t="str">
        <f>"612305319"</f>
        <v>612305319</v>
      </c>
      <c r="D2408" s="2" t="s">
        <v>2126</v>
      </c>
      <c r="E2408" s="4">
        <v>5500</v>
      </c>
    </row>
    <row r="2409" spans="1:5" ht="26.25" x14ac:dyDescent="0.25">
      <c r="A2409" s="2" t="s">
        <v>2044</v>
      </c>
      <c r="B2409" s="2" t="str">
        <f>"992305161"</f>
        <v>992305161</v>
      </c>
      <c r="C2409" s="2" t="str">
        <f>"612305161"</f>
        <v>612305161</v>
      </c>
      <c r="D2409" s="2" t="s">
        <v>2127</v>
      </c>
      <c r="E2409" s="4">
        <v>5500</v>
      </c>
    </row>
    <row r="2410" spans="1:5" ht="26.25" x14ac:dyDescent="0.25">
      <c r="A2410" s="2" t="s">
        <v>2044</v>
      </c>
      <c r="B2410" s="2" t="str">
        <f>"762305161"</f>
        <v>762305161</v>
      </c>
      <c r="C2410" s="2" t="str">
        <f>"762305161"</f>
        <v>762305161</v>
      </c>
      <c r="D2410" s="2" t="s">
        <v>2127</v>
      </c>
      <c r="E2410" s="4">
        <v>5500</v>
      </c>
    </row>
    <row r="2411" spans="1:5" ht="26.25" x14ac:dyDescent="0.25">
      <c r="A2411" s="2" t="s">
        <v>2044</v>
      </c>
      <c r="B2411" s="2" t="str">
        <f>"762305320"</f>
        <v>762305320</v>
      </c>
      <c r="C2411" s="2" t="str">
        <f>"762305320"</f>
        <v>762305320</v>
      </c>
      <c r="D2411" s="2" t="s">
        <v>2127</v>
      </c>
      <c r="E2411" s="4">
        <v>5500</v>
      </c>
    </row>
    <row r="2412" spans="1:5" ht="26.25" x14ac:dyDescent="0.25">
      <c r="A2412" s="2" t="s">
        <v>2044</v>
      </c>
      <c r="B2412" s="2" t="str">
        <f>"612305320"</f>
        <v>612305320</v>
      </c>
      <c r="C2412" s="2" t="str">
        <f>"612305320"</f>
        <v>612305320</v>
      </c>
      <c r="D2412" s="2" t="s">
        <v>2127</v>
      </c>
      <c r="E2412" s="4">
        <v>5500</v>
      </c>
    </row>
    <row r="2413" spans="1:5" ht="26.25" x14ac:dyDescent="0.25">
      <c r="A2413" s="2" t="s">
        <v>2044</v>
      </c>
      <c r="B2413" s="2" t="str">
        <f>"172309108"</f>
        <v>172309108</v>
      </c>
      <c r="C2413" s="2" t="str">
        <f>"172309108"</f>
        <v>172309108</v>
      </c>
      <c r="D2413" s="2" t="s">
        <v>2128</v>
      </c>
      <c r="E2413" s="4">
        <v>5500</v>
      </c>
    </row>
    <row r="2414" spans="1:5" ht="26.25" x14ac:dyDescent="0.25">
      <c r="A2414" s="2" t="s">
        <v>2044</v>
      </c>
      <c r="B2414" s="2" t="str">
        <f>"32230717"</f>
        <v>32230717</v>
      </c>
      <c r="C2414" s="2" t="str">
        <f>"32230717"</f>
        <v>32230717</v>
      </c>
      <c r="D2414" s="2" t="s">
        <v>2129</v>
      </c>
      <c r="E2414" s="4">
        <v>5500</v>
      </c>
    </row>
    <row r="2415" spans="1:5" ht="26.25" x14ac:dyDescent="0.25">
      <c r="A2415" s="2" t="s">
        <v>2044</v>
      </c>
      <c r="B2415" s="2" t="str">
        <f>"76720714"</f>
        <v>76720714</v>
      </c>
      <c r="C2415" s="2" t="str">
        <f>"76720714"</f>
        <v>76720714</v>
      </c>
      <c r="D2415" s="2" t="s">
        <v>2130</v>
      </c>
      <c r="E2415" s="4">
        <v>6000</v>
      </c>
    </row>
    <row r="2416" spans="1:5" ht="26.25" x14ac:dyDescent="0.25">
      <c r="A2416" s="2" t="s">
        <v>2044</v>
      </c>
      <c r="B2416" s="2" t="str">
        <f>"17230714"</f>
        <v>17230714</v>
      </c>
      <c r="C2416" s="2" t="str">
        <f>"17230714"</f>
        <v>17230714</v>
      </c>
      <c r="D2416" s="2" t="s">
        <v>2130</v>
      </c>
      <c r="E2416" s="4">
        <v>5500</v>
      </c>
    </row>
    <row r="2417" spans="1:5" ht="26.25" x14ac:dyDescent="0.25">
      <c r="A2417" s="2" t="s">
        <v>2044</v>
      </c>
      <c r="B2417" s="2" t="str">
        <f>"76600714"</f>
        <v>76600714</v>
      </c>
      <c r="C2417" s="2" t="str">
        <f>"76600714"</f>
        <v>76600714</v>
      </c>
      <c r="D2417" s="2" t="s">
        <v>2131</v>
      </c>
      <c r="E2417" s="4">
        <v>5500</v>
      </c>
    </row>
    <row r="2418" spans="1:5" ht="26.25" x14ac:dyDescent="0.25">
      <c r="A2418" s="2" t="s">
        <v>2044</v>
      </c>
      <c r="B2418" s="2" t="str">
        <f>"76230714"</f>
        <v>76230714</v>
      </c>
      <c r="C2418" s="2" t="str">
        <f>"76230714"</f>
        <v>76230714</v>
      </c>
      <c r="D2418" s="2" t="s">
        <v>2132</v>
      </c>
      <c r="E2418" s="4">
        <v>5500</v>
      </c>
    </row>
    <row r="2419" spans="1:5" ht="26.25" x14ac:dyDescent="0.25">
      <c r="A2419" s="2" t="s">
        <v>2044</v>
      </c>
      <c r="B2419" s="2" t="str">
        <f>"76230715"</f>
        <v>76230715</v>
      </c>
      <c r="C2419" s="2" t="str">
        <f>"76230715"</f>
        <v>76230715</v>
      </c>
      <c r="D2419" s="2" t="s">
        <v>2133</v>
      </c>
      <c r="E2419" s="4">
        <v>5500</v>
      </c>
    </row>
    <row r="2420" spans="1:5" ht="26.25" x14ac:dyDescent="0.25">
      <c r="A2420" s="2" t="s">
        <v>2044</v>
      </c>
      <c r="B2420" s="2" t="str">
        <f>"68230715"</f>
        <v>68230715</v>
      </c>
      <c r="C2420" s="2" t="str">
        <f>"68230715"</f>
        <v>68230715</v>
      </c>
      <c r="D2420" s="2" t="s">
        <v>2133</v>
      </c>
      <c r="E2420" s="4">
        <v>5500</v>
      </c>
    </row>
    <row r="2421" spans="1:5" ht="26.25" x14ac:dyDescent="0.25">
      <c r="A2421" s="2" t="s">
        <v>2044</v>
      </c>
      <c r="B2421" s="2" t="str">
        <f>"76230720"</f>
        <v>76230720</v>
      </c>
      <c r="C2421" s="2" t="str">
        <f>"76230720"</f>
        <v>76230720</v>
      </c>
      <c r="D2421" s="2" t="s">
        <v>2133</v>
      </c>
      <c r="E2421" s="4">
        <v>5500</v>
      </c>
    </row>
    <row r="2422" spans="1:5" ht="26.25" x14ac:dyDescent="0.25">
      <c r="A2422" s="2" t="s">
        <v>2044</v>
      </c>
      <c r="B2422" s="2" t="str">
        <f>"76600705"</f>
        <v>76600705</v>
      </c>
      <c r="C2422" s="2" t="str">
        <f>"76600705"</f>
        <v>76600705</v>
      </c>
      <c r="D2422" s="2" t="s">
        <v>2133</v>
      </c>
      <c r="E2422" s="4">
        <v>5500</v>
      </c>
    </row>
    <row r="2423" spans="1:5" ht="26.25" x14ac:dyDescent="0.25">
      <c r="A2423" s="2" t="s">
        <v>2044</v>
      </c>
      <c r="B2423" s="2" t="str">
        <f>"76720715"</f>
        <v>76720715</v>
      </c>
      <c r="C2423" s="2" t="str">
        <f>"76720715"</f>
        <v>76720715</v>
      </c>
      <c r="D2423" s="2" t="s">
        <v>2133</v>
      </c>
      <c r="E2423" s="4">
        <v>6000</v>
      </c>
    </row>
    <row r="2424" spans="1:5" ht="26.25" x14ac:dyDescent="0.25">
      <c r="A2424" s="2" t="s">
        <v>2044</v>
      </c>
      <c r="B2424" s="2" t="str">
        <f>"76850715"</f>
        <v>76850715</v>
      </c>
      <c r="C2424" s="2" t="str">
        <f>"76850715"</f>
        <v>76850715</v>
      </c>
      <c r="D2424" s="2" t="s">
        <v>2133</v>
      </c>
      <c r="E2424" s="4">
        <v>5800</v>
      </c>
    </row>
    <row r="2425" spans="1:5" ht="26.25" x14ac:dyDescent="0.25">
      <c r="A2425" s="2" t="s">
        <v>2044</v>
      </c>
      <c r="B2425" s="2" t="str">
        <f>"110030020"</f>
        <v>110030020</v>
      </c>
      <c r="C2425" s="2" t="str">
        <f>"110030020"</f>
        <v>110030020</v>
      </c>
      <c r="D2425" s="2" t="s">
        <v>2133</v>
      </c>
      <c r="E2425" s="4">
        <v>2000</v>
      </c>
    </row>
    <row r="2426" spans="1:5" ht="26.25" x14ac:dyDescent="0.25">
      <c r="A2426" s="2" t="s">
        <v>2044</v>
      </c>
      <c r="B2426" s="2" t="str">
        <f>"76600715"</f>
        <v>76600715</v>
      </c>
      <c r="C2426" s="2" t="str">
        <f>"76600715"</f>
        <v>76600715</v>
      </c>
      <c r="D2426" s="2" t="s">
        <v>2133</v>
      </c>
      <c r="E2426" s="4">
        <v>5500</v>
      </c>
    </row>
    <row r="2427" spans="1:5" ht="26.25" x14ac:dyDescent="0.25">
      <c r="A2427" s="2" t="s">
        <v>2044</v>
      </c>
      <c r="B2427" s="2" t="str">
        <f>"17230715"</f>
        <v>17230715</v>
      </c>
      <c r="C2427" s="2" t="str">
        <f>"17230715"</f>
        <v>17230715</v>
      </c>
      <c r="D2427" s="2" t="s">
        <v>2133</v>
      </c>
      <c r="E2427" s="4">
        <v>5500</v>
      </c>
    </row>
    <row r="2428" spans="1:5" ht="26.25" x14ac:dyDescent="0.25">
      <c r="A2428" s="2" t="s">
        <v>2044</v>
      </c>
      <c r="B2428" s="2" t="str">
        <f>"32230715"</f>
        <v>32230715</v>
      </c>
      <c r="C2428" s="2" t="str">
        <f>"32230715"</f>
        <v>32230715</v>
      </c>
      <c r="D2428" s="2" t="s">
        <v>2133</v>
      </c>
      <c r="E2428" s="4">
        <v>5500</v>
      </c>
    </row>
    <row r="2429" spans="1:5" ht="26.25" x14ac:dyDescent="0.25">
      <c r="A2429" s="2" t="s">
        <v>2044</v>
      </c>
      <c r="B2429" s="2" t="str">
        <f>"17630715"</f>
        <v>17630715</v>
      </c>
      <c r="C2429" s="2" t="str">
        <f>"17630715"</f>
        <v>17630715</v>
      </c>
      <c r="D2429" s="2" t="s">
        <v>2133</v>
      </c>
      <c r="E2429" s="4">
        <v>5500</v>
      </c>
    </row>
    <row r="2430" spans="1:5" ht="26.25" x14ac:dyDescent="0.25">
      <c r="A2430" s="2" t="s">
        <v>2044</v>
      </c>
      <c r="B2430" s="2" t="str">
        <f>"76600720"</f>
        <v>76600720</v>
      </c>
      <c r="C2430" s="2" t="str">
        <f>"76600720"</f>
        <v>76600720</v>
      </c>
      <c r="D2430" s="2" t="s">
        <v>2133</v>
      </c>
      <c r="E2430" s="4">
        <v>5500</v>
      </c>
    </row>
    <row r="2431" spans="1:5" ht="26.25" x14ac:dyDescent="0.25">
      <c r="A2431" s="2" t="s">
        <v>2044</v>
      </c>
      <c r="B2431" s="2" t="str">
        <f>"76630715"</f>
        <v>76630715</v>
      </c>
      <c r="C2431" s="2" t="str">
        <f>"76630715"</f>
        <v>76630715</v>
      </c>
      <c r="D2431" s="2" t="s">
        <v>2133</v>
      </c>
      <c r="E2431" s="4">
        <v>5500</v>
      </c>
    </row>
    <row r="2432" spans="1:5" ht="26.25" x14ac:dyDescent="0.25">
      <c r="A2432" s="2" t="s">
        <v>2044</v>
      </c>
      <c r="B2432" s="2" t="str">
        <f>"76230716"</f>
        <v>76230716</v>
      </c>
      <c r="C2432" s="2" t="str">
        <f>"76230716"</f>
        <v>76230716</v>
      </c>
      <c r="D2432" s="2" t="s">
        <v>2134</v>
      </c>
      <c r="E2432" s="4">
        <v>5500</v>
      </c>
    </row>
    <row r="2433" spans="1:5" ht="26.25" x14ac:dyDescent="0.25">
      <c r="A2433" s="2" t="s">
        <v>2044</v>
      </c>
      <c r="B2433" s="2" t="str">
        <f>"86230716"</f>
        <v>86230716</v>
      </c>
      <c r="C2433" s="2" t="str">
        <f>"86230716"</f>
        <v>86230716</v>
      </c>
      <c r="D2433" s="2" t="s">
        <v>2134</v>
      </c>
      <c r="E2433" s="4">
        <v>5500</v>
      </c>
    </row>
    <row r="2434" spans="1:5" ht="26.25" x14ac:dyDescent="0.25">
      <c r="A2434" s="2" t="s">
        <v>2044</v>
      </c>
      <c r="B2434" s="2" t="str">
        <f>"32230716"</f>
        <v>32230716</v>
      </c>
      <c r="C2434" s="2" t="str">
        <f>"32230716"</f>
        <v>32230716</v>
      </c>
      <c r="D2434" s="2" t="s">
        <v>2134</v>
      </c>
      <c r="E2434" s="4">
        <v>5500</v>
      </c>
    </row>
    <row r="2435" spans="1:5" ht="26.25" x14ac:dyDescent="0.25">
      <c r="A2435" s="2" t="s">
        <v>2044</v>
      </c>
      <c r="B2435" s="2" t="str">
        <f>"68230716"</f>
        <v>68230716</v>
      </c>
      <c r="C2435" s="2" t="str">
        <f>"68230716"</f>
        <v>68230716</v>
      </c>
      <c r="D2435" s="2" t="s">
        <v>2134</v>
      </c>
      <c r="E2435" s="4">
        <v>5500</v>
      </c>
    </row>
    <row r="2436" spans="1:5" ht="26.25" x14ac:dyDescent="0.25">
      <c r="A2436" s="2" t="s">
        <v>2044</v>
      </c>
      <c r="B2436" s="2" t="str">
        <f>"76600716"</f>
        <v>76600716</v>
      </c>
      <c r="C2436" s="2" t="str">
        <f>"76600716"</f>
        <v>76600716</v>
      </c>
      <c r="D2436" s="2" t="s">
        <v>2134</v>
      </c>
      <c r="E2436" s="4">
        <v>5500</v>
      </c>
    </row>
    <row r="2437" spans="1:5" ht="26.25" x14ac:dyDescent="0.25">
      <c r="A2437" s="2" t="s">
        <v>2044</v>
      </c>
      <c r="B2437" s="2" t="str">
        <f>"76850716"</f>
        <v>76850716</v>
      </c>
      <c r="C2437" s="2" t="str">
        <f>"76850716"</f>
        <v>76850716</v>
      </c>
      <c r="D2437" s="2" t="s">
        <v>2134</v>
      </c>
      <c r="E2437" s="4">
        <v>5800</v>
      </c>
    </row>
    <row r="2438" spans="1:5" ht="26.25" x14ac:dyDescent="0.25">
      <c r="A2438" s="2" t="s">
        <v>2044</v>
      </c>
      <c r="B2438" s="2" t="str">
        <f>"76630716"</f>
        <v>76630716</v>
      </c>
      <c r="C2438" s="2" t="str">
        <f>"76630716"</f>
        <v>76630716</v>
      </c>
      <c r="D2438" s="2" t="s">
        <v>2134</v>
      </c>
      <c r="E2438" s="4">
        <v>5500</v>
      </c>
    </row>
    <row r="2439" spans="1:5" ht="26.25" x14ac:dyDescent="0.25">
      <c r="A2439" s="2" t="s">
        <v>2044</v>
      </c>
      <c r="B2439" s="2" t="str">
        <f>"17230716"</f>
        <v>17230716</v>
      </c>
      <c r="C2439" s="2" t="str">
        <f>"17230716"</f>
        <v>17230716</v>
      </c>
      <c r="D2439" s="2" t="s">
        <v>2135</v>
      </c>
      <c r="E2439" s="4">
        <v>5500</v>
      </c>
    </row>
    <row r="2440" spans="1:5" ht="26.25" x14ac:dyDescent="0.25">
      <c r="A2440" s="2" t="s">
        <v>2044</v>
      </c>
      <c r="B2440" s="2" t="str">
        <f>"76230774"</f>
        <v>76230774</v>
      </c>
      <c r="C2440" s="2" t="str">
        <f>"76230774"</f>
        <v>76230774</v>
      </c>
      <c r="D2440" s="2" t="s">
        <v>2135</v>
      </c>
      <c r="E2440" s="4">
        <v>6500</v>
      </c>
    </row>
    <row r="2441" spans="1:5" ht="26.25" x14ac:dyDescent="0.25">
      <c r="A2441" s="2" t="s">
        <v>2044</v>
      </c>
      <c r="B2441" s="2" t="str">
        <f>"76230717"</f>
        <v>76230717</v>
      </c>
      <c r="C2441" s="2" t="str">
        <f>"76230717"</f>
        <v>76230717</v>
      </c>
      <c r="D2441" s="2" t="s">
        <v>2136</v>
      </c>
      <c r="E2441" s="4">
        <v>5000</v>
      </c>
    </row>
    <row r="2442" spans="1:5" ht="26.25" x14ac:dyDescent="0.25">
      <c r="A2442" s="2" t="s">
        <v>2044</v>
      </c>
      <c r="B2442" s="2" t="str">
        <f>"76600717"</f>
        <v>76600717</v>
      </c>
      <c r="C2442" s="2" t="str">
        <f>"76600717"</f>
        <v>76600717</v>
      </c>
      <c r="D2442" s="2" t="s">
        <v>2136</v>
      </c>
      <c r="E2442" s="4">
        <v>5500</v>
      </c>
    </row>
    <row r="2443" spans="1:5" ht="26.25" x14ac:dyDescent="0.25">
      <c r="A2443" s="2" t="s">
        <v>2044</v>
      </c>
      <c r="B2443" s="2" t="str">
        <f>"17600716"</f>
        <v>17600716</v>
      </c>
      <c r="C2443" s="2" t="str">
        <f>"17600716"</f>
        <v>17600716</v>
      </c>
      <c r="D2443" s="2" t="s">
        <v>2137</v>
      </c>
      <c r="E2443" s="4">
        <v>5500</v>
      </c>
    </row>
    <row r="2444" spans="1:5" ht="26.25" x14ac:dyDescent="0.25">
      <c r="A2444" s="2" t="s">
        <v>2044</v>
      </c>
      <c r="B2444" s="2" t="str">
        <f>"768507253"</f>
        <v>768507253</v>
      </c>
      <c r="C2444" s="2" t="str">
        <f>"768507253"</f>
        <v>768507253</v>
      </c>
      <c r="D2444" s="2" t="s">
        <v>2138</v>
      </c>
      <c r="E2444" s="4">
        <v>5800</v>
      </c>
    </row>
    <row r="2445" spans="1:5" ht="26.25" x14ac:dyDescent="0.25">
      <c r="A2445" s="2" t="s">
        <v>2044</v>
      </c>
      <c r="B2445" s="2" t="str">
        <f>"862307253"</f>
        <v>862307253</v>
      </c>
      <c r="C2445" s="2" t="str">
        <f>"862307253"</f>
        <v>862307253</v>
      </c>
      <c r="D2445" s="2" t="s">
        <v>2138</v>
      </c>
      <c r="E2445" s="4">
        <v>9500</v>
      </c>
    </row>
    <row r="2446" spans="1:5" ht="26.25" x14ac:dyDescent="0.25">
      <c r="A2446" s="2" t="s">
        <v>2044</v>
      </c>
      <c r="B2446" s="2" t="str">
        <f>"176007253"</f>
        <v>176007253</v>
      </c>
      <c r="C2446" s="2" t="str">
        <f>"176007253"</f>
        <v>176007253</v>
      </c>
      <c r="D2446" s="2" t="s">
        <v>2138</v>
      </c>
      <c r="E2446" s="4">
        <v>5500</v>
      </c>
    </row>
    <row r="2447" spans="1:5" ht="26.25" x14ac:dyDescent="0.25">
      <c r="A2447" s="2" t="s">
        <v>2044</v>
      </c>
      <c r="B2447" s="2" t="str">
        <f>"762307254"</f>
        <v>762307254</v>
      </c>
      <c r="C2447" s="2" t="str">
        <f>"762307254"</f>
        <v>762307254</v>
      </c>
      <c r="D2447" s="2" t="s">
        <v>2139</v>
      </c>
      <c r="E2447" s="4">
        <v>5500</v>
      </c>
    </row>
    <row r="2448" spans="1:5" ht="26.25" x14ac:dyDescent="0.25">
      <c r="A2448" s="2" t="s">
        <v>2044</v>
      </c>
      <c r="B2448" s="2" t="str">
        <f>"862307257"</f>
        <v>862307257</v>
      </c>
      <c r="C2448" s="2" t="str">
        <f>"862307257"</f>
        <v>862307257</v>
      </c>
      <c r="D2448" s="2" t="s">
        <v>2140</v>
      </c>
      <c r="E2448" s="4">
        <v>9500</v>
      </c>
    </row>
    <row r="2449" spans="1:5" ht="26.25" x14ac:dyDescent="0.25">
      <c r="A2449" s="2" t="s">
        <v>2044</v>
      </c>
      <c r="B2449" s="2" t="str">
        <f>"766014192"</f>
        <v>766014192</v>
      </c>
      <c r="C2449" s="2" t="str">
        <f>"766014192"</f>
        <v>766014192</v>
      </c>
      <c r="D2449" s="2" t="s">
        <v>2141</v>
      </c>
      <c r="E2449" s="4">
        <v>5500</v>
      </c>
    </row>
    <row r="2450" spans="1:5" ht="26.25" x14ac:dyDescent="0.25">
      <c r="A2450" s="2" t="s">
        <v>2044</v>
      </c>
      <c r="B2450" s="2" t="str">
        <f>"172314194"</f>
        <v>172314194</v>
      </c>
      <c r="C2450" s="2" t="str">
        <f>"172314194"</f>
        <v>172314194</v>
      </c>
      <c r="D2450" s="2" t="s">
        <v>2142</v>
      </c>
      <c r="E2450" s="4">
        <v>5500</v>
      </c>
    </row>
    <row r="2451" spans="1:5" ht="26.25" x14ac:dyDescent="0.25">
      <c r="A2451" s="2" t="s">
        <v>2044</v>
      </c>
      <c r="B2451" s="2" t="str">
        <f>"68601447"</f>
        <v>68601447</v>
      </c>
      <c r="C2451" s="2" t="str">
        <f>"68601447"</f>
        <v>68601447</v>
      </c>
      <c r="D2451" s="2" t="s">
        <v>2143</v>
      </c>
      <c r="E2451" s="4">
        <v>5500</v>
      </c>
    </row>
    <row r="2452" spans="1:5" ht="26.25" x14ac:dyDescent="0.25">
      <c r="A2452" s="2" t="s">
        <v>2044</v>
      </c>
      <c r="B2452" s="2" t="str">
        <f>"322332233"</f>
        <v>322332233</v>
      </c>
      <c r="C2452" s="2" t="str">
        <f>"322332233"</f>
        <v>322332233</v>
      </c>
      <c r="D2452" s="2" t="s">
        <v>2144</v>
      </c>
      <c r="E2452" s="4">
        <v>5500</v>
      </c>
    </row>
    <row r="2453" spans="1:5" ht="26.25" x14ac:dyDescent="0.25">
      <c r="A2453" s="2" t="s">
        <v>2044</v>
      </c>
      <c r="B2453" s="2" t="str">
        <f>"322332245"</f>
        <v>322332245</v>
      </c>
      <c r="C2453" s="2" t="str">
        <f>"322332245"</f>
        <v>322332245</v>
      </c>
      <c r="D2453" s="2" t="s">
        <v>2145</v>
      </c>
      <c r="E2453" s="4">
        <v>5500</v>
      </c>
    </row>
    <row r="2454" spans="1:5" ht="26.25" x14ac:dyDescent="0.25">
      <c r="A2454" s="2" t="s">
        <v>2044</v>
      </c>
      <c r="B2454" s="2" t="str">
        <f>"432332245"</f>
        <v>432332245</v>
      </c>
      <c r="C2454" s="2" t="str">
        <f>"432332245"</f>
        <v>432332245</v>
      </c>
      <c r="D2454" s="2" t="s">
        <v>2145</v>
      </c>
      <c r="E2454" s="4">
        <v>5500</v>
      </c>
    </row>
    <row r="2455" spans="1:5" ht="26.25" x14ac:dyDescent="0.25">
      <c r="A2455" s="2" t="s">
        <v>2044</v>
      </c>
      <c r="B2455" s="2" t="str">
        <f>"762332245"</f>
        <v>762332245</v>
      </c>
      <c r="C2455" s="2" t="str">
        <f>"762332245"</f>
        <v>762332245</v>
      </c>
      <c r="D2455" s="2" t="s">
        <v>2145</v>
      </c>
      <c r="E2455" s="4">
        <v>5500</v>
      </c>
    </row>
    <row r="2456" spans="1:5" ht="26.25" x14ac:dyDescent="0.25">
      <c r="A2456" s="2" t="s">
        <v>2044</v>
      </c>
      <c r="B2456" s="2" t="str">
        <f>"346032214"</f>
        <v>346032214</v>
      </c>
      <c r="C2456" s="2" t="str">
        <f>"346032214"</f>
        <v>346032214</v>
      </c>
      <c r="D2456" s="2" t="s">
        <v>2146</v>
      </c>
      <c r="E2456" s="4">
        <v>5500</v>
      </c>
    </row>
    <row r="2457" spans="1:5" ht="26.25" x14ac:dyDescent="0.25">
      <c r="A2457" s="2" t="s">
        <v>2044</v>
      </c>
      <c r="B2457" s="2" t="str">
        <f>"762332214"</f>
        <v>762332214</v>
      </c>
      <c r="C2457" s="2" t="str">
        <f>"762332214"</f>
        <v>762332214</v>
      </c>
      <c r="D2457" s="2" t="s">
        <v>2146</v>
      </c>
      <c r="E2457" s="4">
        <v>5500</v>
      </c>
    </row>
    <row r="2458" spans="1:5" ht="26.25" x14ac:dyDescent="0.25">
      <c r="A2458" s="2" t="s">
        <v>2044</v>
      </c>
      <c r="B2458" s="2" t="str">
        <f>"766032214"</f>
        <v>766032214</v>
      </c>
      <c r="C2458" s="2" t="str">
        <f>"766032214"</f>
        <v>766032214</v>
      </c>
      <c r="D2458" s="2" t="s">
        <v>2146</v>
      </c>
      <c r="E2458" s="4">
        <v>5500</v>
      </c>
    </row>
    <row r="2459" spans="1:5" ht="26.25" x14ac:dyDescent="0.25">
      <c r="A2459" s="2" t="s">
        <v>2044</v>
      </c>
      <c r="B2459" s="2" t="str">
        <f>"762332295"</f>
        <v>762332295</v>
      </c>
      <c r="C2459" s="2" t="str">
        <f>"762332295"</f>
        <v>762332295</v>
      </c>
      <c r="D2459" s="2" t="s">
        <v>2147</v>
      </c>
      <c r="E2459" s="4">
        <v>5500</v>
      </c>
    </row>
    <row r="2460" spans="1:5" ht="26.25" x14ac:dyDescent="0.25">
      <c r="A2460" s="2" t="s">
        <v>2044</v>
      </c>
      <c r="B2460" s="2" t="str">
        <f>"762332297"</f>
        <v>762332297</v>
      </c>
      <c r="C2460" s="2" t="str">
        <f>"762332297"</f>
        <v>762332297</v>
      </c>
      <c r="D2460" s="2" t="s">
        <v>2148</v>
      </c>
      <c r="E2460" s="4">
        <v>5500</v>
      </c>
    </row>
    <row r="2461" spans="1:5" ht="26.25" x14ac:dyDescent="0.25">
      <c r="A2461" s="2" t="s">
        <v>2044</v>
      </c>
      <c r="B2461" s="2" t="str">
        <f>"766032298"</f>
        <v>766032298</v>
      </c>
      <c r="C2461" s="2" t="str">
        <f>"766032298"</f>
        <v>766032298</v>
      </c>
      <c r="D2461" s="2" t="s">
        <v>2149</v>
      </c>
      <c r="E2461" s="4">
        <v>5500</v>
      </c>
    </row>
    <row r="2462" spans="1:5" ht="26.25" x14ac:dyDescent="0.25">
      <c r="A2462" s="2" t="s">
        <v>2044</v>
      </c>
      <c r="B2462" s="2" t="str">
        <f>"76230989"</f>
        <v>76230989</v>
      </c>
      <c r="C2462" s="2" t="str">
        <f>"76230989"</f>
        <v>76230989</v>
      </c>
      <c r="D2462" s="2" t="s">
        <v>2150</v>
      </c>
      <c r="E2462" s="4">
        <v>5500</v>
      </c>
    </row>
    <row r="2463" spans="1:5" ht="26.25" x14ac:dyDescent="0.25">
      <c r="A2463" s="2" t="s">
        <v>2044</v>
      </c>
      <c r="B2463" s="2" t="str">
        <f>"76630990"</f>
        <v>76630990</v>
      </c>
      <c r="C2463" s="2" t="str">
        <f>"76630990"</f>
        <v>76630990</v>
      </c>
      <c r="D2463" s="2" t="s">
        <v>2151</v>
      </c>
      <c r="E2463" s="4">
        <v>5500</v>
      </c>
    </row>
    <row r="2464" spans="1:5" ht="26.25" x14ac:dyDescent="0.25">
      <c r="A2464" s="2" t="s">
        <v>2044</v>
      </c>
      <c r="B2464" s="2" t="str">
        <f>"110172058"</f>
        <v>110172058</v>
      </c>
      <c r="C2464" s="2" t="str">
        <f>"110172058"</f>
        <v>110172058</v>
      </c>
      <c r="D2464" s="2" t="s">
        <v>2152</v>
      </c>
      <c r="E2464" s="4">
        <v>7500</v>
      </c>
    </row>
    <row r="2465" spans="1:5" ht="26.25" x14ac:dyDescent="0.25">
      <c r="A2465" s="2" t="s">
        <v>2044</v>
      </c>
      <c r="B2465" s="2" t="str">
        <f>"76230964"</f>
        <v>76230964</v>
      </c>
      <c r="C2465" s="2" t="str">
        <f>"76230964"</f>
        <v>76230964</v>
      </c>
      <c r="D2465" s="2" t="s">
        <v>2153</v>
      </c>
      <c r="E2465" s="4">
        <v>5500</v>
      </c>
    </row>
    <row r="2466" spans="1:5" ht="26.25" x14ac:dyDescent="0.25">
      <c r="A2466" s="2" t="s">
        <v>2044</v>
      </c>
      <c r="B2466" s="2" t="str">
        <f>"76600966"</f>
        <v>76600966</v>
      </c>
      <c r="C2466" s="2" t="str">
        <f>"76600966"</f>
        <v>76600966</v>
      </c>
      <c r="D2466" s="2" t="s">
        <v>2154</v>
      </c>
      <c r="E2466" s="4">
        <v>8000</v>
      </c>
    </row>
    <row r="2467" spans="1:5" ht="26.25" x14ac:dyDescent="0.25">
      <c r="A2467" s="2" t="s">
        <v>2044</v>
      </c>
      <c r="B2467" s="2" t="str">
        <f>"76230966"</f>
        <v>76230966</v>
      </c>
      <c r="C2467" s="2" t="str">
        <f>"76230966"</f>
        <v>76230966</v>
      </c>
      <c r="D2467" s="2" t="s">
        <v>2154</v>
      </c>
      <c r="E2467" s="4">
        <v>8000</v>
      </c>
    </row>
    <row r="2468" spans="1:5" ht="26.25" x14ac:dyDescent="0.25">
      <c r="A2468" s="2" t="s">
        <v>2044</v>
      </c>
      <c r="B2468" s="2" t="str">
        <f>"17230951"</f>
        <v>17230951</v>
      </c>
      <c r="C2468" s="2" t="str">
        <f>"17230951"</f>
        <v>17230951</v>
      </c>
      <c r="D2468" s="2" t="s">
        <v>2155</v>
      </c>
      <c r="E2468" s="4">
        <v>5500</v>
      </c>
    </row>
    <row r="2469" spans="1:5" ht="26.25" x14ac:dyDescent="0.25">
      <c r="A2469" s="2" t="s">
        <v>2044</v>
      </c>
      <c r="B2469" s="2" t="str">
        <f>"17230989"</f>
        <v>17230989</v>
      </c>
      <c r="C2469" s="2" t="str">
        <f>"17230989"</f>
        <v>17230989</v>
      </c>
      <c r="D2469" s="2" t="s">
        <v>2155</v>
      </c>
      <c r="E2469" s="4">
        <v>5500</v>
      </c>
    </row>
    <row r="2470" spans="1:5" ht="26.25" x14ac:dyDescent="0.25">
      <c r="A2470" s="2" t="s">
        <v>2044</v>
      </c>
      <c r="B2470" s="2" t="str">
        <f>"76230951"</f>
        <v>76230951</v>
      </c>
      <c r="C2470" s="2" t="str">
        <f>"76230951"</f>
        <v>76230951</v>
      </c>
      <c r="D2470" s="2" t="s">
        <v>2155</v>
      </c>
      <c r="E2470" s="4">
        <v>5500</v>
      </c>
    </row>
    <row r="2471" spans="1:5" ht="26.25" x14ac:dyDescent="0.25">
      <c r="A2471" s="2" t="s">
        <v>2044</v>
      </c>
      <c r="B2471" s="2" t="str">
        <f>"76230952"</f>
        <v>76230952</v>
      </c>
      <c r="C2471" s="2" t="str">
        <f>"76230952"</f>
        <v>76230952</v>
      </c>
      <c r="D2471" s="2" t="s">
        <v>2155</v>
      </c>
      <c r="E2471" s="4">
        <v>5500</v>
      </c>
    </row>
    <row r="2472" spans="1:5" ht="26.25" x14ac:dyDescent="0.25">
      <c r="A2472" s="2" t="s">
        <v>2044</v>
      </c>
      <c r="B2472" s="2" t="str">
        <f>"76600989"</f>
        <v>76600989</v>
      </c>
      <c r="C2472" s="2" t="str">
        <f>"76600989"</f>
        <v>76600989</v>
      </c>
      <c r="D2472" s="2" t="s">
        <v>2155</v>
      </c>
      <c r="E2472" s="4">
        <v>5500</v>
      </c>
    </row>
    <row r="2473" spans="1:5" ht="26.25" x14ac:dyDescent="0.25">
      <c r="A2473" s="2" t="s">
        <v>2044</v>
      </c>
      <c r="B2473" s="2" t="str">
        <f>"322309154"</f>
        <v>322309154</v>
      </c>
      <c r="C2473" s="2" t="str">
        <f>"322309154"</f>
        <v>322309154</v>
      </c>
      <c r="D2473" s="2" t="s">
        <v>2155</v>
      </c>
      <c r="E2473" s="4">
        <v>5500</v>
      </c>
    </row>
    <row r="2474" spans="1:5" ht="26.25" x14ac:dyDescent="0.25">
      <c r="A2474" s="2" t="s">
        <v>2044</v>
      </c>
      <c r="B2474" s="2" t="str">
        <f>"76600956"</f>
        <v>76600956</v>
      </c>
      <c r="C2474" s="2" t="str">
        <f>"76600956"</f>
        <v>76600956</v>
      </c>
      <c r="D2474" s="2" t="s">
        <v>2156</v>
      </c>
      <c r="E2474" s="4">
        <v>5500</v>
      </c>
    </row>
    <row r="2475" spans="1:5" ht="26.25" x14ac:dyDescent="0.25">
      <c r="A2475" s="2" t="s">
        <v>2044</v>
      </c>
      <c r="B2475" s="2" t="str">
        <f>"17230956"</f>
        <v>17230956</v>
      </c>
      <c r="C2475" s="2" t="str">
        <f>"17230956"</f>
        <v>17230956</v>
      </c>
      <c r="D2475" s="2" t="s">
        <v>2156</v>
      </c>
      <c r="E2475" s="4">
        <v>5500</v>
      </c>
    </row>
    <row r="2476" spans="1:5" ht="26.25" x14ac:dyDescent="0.25">
      <c r="A2476" s="2" t="s">
        <v>2044</v>
      </c>
      <c r="B2476" s="2" t="str">
        <f>"17230954"</f>
        <v>17230954</v>
      </c>
      <c r="C2476" s="2" t="str">
        <f>"17230954"</f>
        <v>17230954</v>
      </c>
      <c r="D2476" s="2" t="s">
        <v>2157</v>
      </c>
      <c r="E2476" s="4">
        <v>5500</v>
      </c>
    </row>
    <row r="2477" spans="1:5" ht="26.25" x14ac:dyDescent="0.25">
      <c r="A2477" s="2" t="s">
        <v>2044</v>
      </c>
      <c r="B2477" s="2" t="str">
        <f>"172309154"</f>
        <v>172309154</v>
      </c>
      <c r="C2477" s="2" t="str">
        <f>"172309154"</f>
        <v>172309154</v>
      </c>
      <c r="D2477" s="2" t="s">
        <v>2157</v>
      </c>
      <c r="E2477" s="4">
        <v>5500</v>
      </c>
    </row>
    <row r="2478" spans="1:5" ht="26.25" x14ac:dyDescent="0.25">
      <c r="A2478" s="2" t="s">
        <v>2044</v>
      </c>
      <c r="B2478" s="2" t="str">
        <f>"342310154"</f>
        <v>342310154</v>
      </c>
      <c r="C2478" s="2" t="str">
        <f>"342310154"</f>
        <v>342310154</v>
      </c>
      <c r="D2478" s="2" t="s">
        <v>2157</v>
      </c>
      <c r="E2478" s="4">
        <v>5500</v>
      </c>
    </row>
    <row r="2479" spans="1:5" ht="26.25" x14ac:dyDescent="0.25">
      <c r="A2479" s="2" t="s">
        <v>2044</v>
      </c>
      <c r="B2479" s="2" t="str">
        <f>"762309154"</f>
        <v>762309154</v>
      </c>
      <c r="C2479" s="2" t="str">
        <f>"762309154"</f>
        <v>762309154</v>
      </c>
      <c r="D2479" s="2" t="s">
        <v>2157</v>
      </c>
      <c r="E2479" s="4">
        <v>5500</v>
      </c>
    </row>
    <row r="2480" spans="1:5" ht="26.25" x14ac:dyDescent="0.25">
      <c r="A2480" s="2" t="s">
        <v>2044</v>
      </c>
      <c r="B2480" s="2" t="str">
        <f>"766009154"</f>
        <v>766009154</v>
      </c>
      <c r="C2480" s="2" t="str">
        <f>"766009154"</f>
        <v>766009154</v>
      </c>
      <c r="D2480" s="2" t="s">
        <v>2157</v>
      </c>
      <c r="E2480" s="4">
        <v>5500</v>
      </c>
    </row>
    <row r="2481" spans="1:5" ht="26.25" x14ac:dyDescent="0.25">
      <c r="A2481" s="2" t="s">
        <v>2044</v>
      </c>
      <c r="B2481" s="2" t="str">
        <f>"172309205"</f>
        <v>172309205</v>
      </c>
      <c r="C2481" s="2" t="str">
        <f>"172309205"</f>
        <v>172309205</v>
      </c>
      <c r="D2481" s="2" t="s">
        <v>2158</v>
      </c>
      <c r="E2481" s="4">
        <v>5500</v>
      </c>
    </row>
    <row r="2482" spans="1:5" ht="26.25" x14ac:dyDescent="0.25">
      <c r="A2482" s="2" t="s">
        <v>2044</v>
      </c>
      <c r="B2482" s="2" t="str">
        <f>"766009205"</f>
        <v>766009205</v>
      </c>
      <c r="C2482" s="2" t="str">
        <f>"766009205"</f>
        <v>766009205</v>
      </c>
      <c r="D2482" s="2" t="s">
        <v>2158</v>
      </c>
      <c r="E2482" s="4">
        <v>5500</v>
      </c>
    </row>
    <row r="2483" spans="1:5" ht="26.25" x14ac:dyDescent="0.25">
      <c r="A2483" s="2" t="s">
        <v>2044</v>
      </c>
      <c r="B2483" s="2" t="str">
        <f>"766309290"</f>
        <v>766309290</v>
      </c>
      <c r="C2483" s="2" t="str">
        <f>"766309290"</f>
        <v>766309290</v>
      </c>
      <c r="D2483" s="2" t="s">
        <v>2159</v>
      </c>
      <c r="E2483" s="4">
        <v>5500</v>
      </c>
    </row>
    <row r="2484" spans="1:5" ht="26.25" x14ac:dyDescent="0.25">
      <c r="A2484" s="2" t="s">
        <v>2044</v>
      </c>
      <c r="B2484" s="2" t="str">
        <f>"322309221"</f>
        <v>322309221</v>
      </c>
      <c r="C2484" s="2" t="str">
        <f>"322309221"</f>
        <v>322309221</v>
      </c>
      <c r="D2484" s="2" t="s">
        <v>2160</v>
      </c>
      <c r="E2484" s="4">
        <v>5500</v>
      </c>
    </row>
    <row r="2485" spans="1:5" ht="26.25" x14ac:dyDescent="0.25">
      <c r="A2485" s="2" t="s">
        <v>2044</v>
      </c>
      <c r="B2485" s="2" t="str">
        <f>"766009221"</f>
        <v>766009221</v>
      </c>
      <c r="C2485" s="2" t="str">
        <f>"766009221"</f>
        <v>766009221</v>
      </c>
      <c r="D2485" s="2" t="s">
        <v>2160</v>
      </c>
      <c r="E2485" s="4">
        <v>5500</v>
      </c>
    </row>
    <row r="2486" spans="1:5" ht="26.25" x14ac:dyDescent="0.25">
      <c r="A2486" s="2" t="s">
        <v>2044</v>
      </c>
      <c r="B2486" s="2" t="str">
        <f>"762309221"</f>
        <v>762309221</v>
      </c>
      <c r="C2486" s="2" t="str">
        <f>"762309221"</f>
        <v>762309221</v>
      </c>
      <c r="D2486" s="2" t="s">
        <v>2160</v>
      </c>
      <c r="E2486" s="4">
        <v>5500</v>
      </c>
    </row>
    <row r="2487" spans="1:5" ht="26.25" x14ac:dyDescent="0.25">
      <c r="A2487" s="2" t="s">
        <v>2044</v>
      </c>
      <c r="B2487" s="2" t="str">
        <f>"172309221"</f>
        <v>172309221</v>
      </c>
      <c r="C2487" s="2" t="str">
        <f>"172309221"</f>
        <v>172309221</v>
      </c>
      <c r="D2487" s="2" t="s">
        <v>2160</v>
      </c>
      <c r="E2487" s="4">
        <v>5500</v>
      </c>
    </row>
    <row r="2488" spans="1:5" ht="26.25" x14ac:dyDescent="0.25">
      <c r="A2488" s="2" t="s">
        <v>2044</v>
      </c>
      <c r="B2488" s="2" t="str">
        <f>"766309221"</f>
        <v>766309221</v>
      </c>
      <c r="C2488" s="2" t="str">
        <f>"766309221"</f>
        <v>766309221</v>
      </c>
      <c r="D2488" s="2" t="s">
        <v>2160</v>
      </c>
      <c r="E2488" s="4">
        <v>5500</v>
      </c>
    </row>
    <row r="2489" spans="1:5" ht="26.25" x14ac:dyDescent="0.25">
      <c r="A2489" s="2" t="s">
        <v>2044</v>
      </c>
      <c r="B2489" s="2" t="str">
        <f>"762309293"</f>
        <v>762309293</v>
      </c>
      <c r="C2489" s="2" t="str">
        <f>"762309293"</f>
        <v>762309293</v>
      </c>
      <c r="D2489" s="2" t="s">
        <v>2161</v>
      </c>
      <c r="E2489" s="4">
        <v>5500</v>
      </c>
    </row>
    <row r="2490" spans="1:5" ht="26.25" x14ac:dyDescent="0.25">
      <c r="A2490" s="2" t="s">
        <v>2044</v>
      </c>
      <c r="B2490" s="2" t="str">
        <f>"1000001013466"</f>
        <v>1000001013466</v>
      </c>
      <c r="C2490" s="2" t="str">
        <f>"766009293"</f>
        <v>766009293</v>
      </c>
      <c r="D2490" s="2" t="s">
        <v>2161</v>
      </c>
      <c r="E2490" s="4">
        <v>5500</v>
      </c>
    </row>
    <row r="2491" spans="1:5" ht="26.25" x14ac:dyDescent="0.25">
      <c r="A2491" s="2" t="s">
        <v>2044</v>
      </c>
      <c r="B2491" s="2" t="str">
        <f>"332309293"</f>
        <v>332309293</v>
      </c>
      <c r="C2491" s="2" t="str">
        <f>"332309293"</f>
        <v>332309293</v>
      </c>
      <c r="D2491" s="2" t="s">
        <v>2161</v>
      </c>
      <c r="E2491" s="4">
        <v>5500</v>
      </c>
    </row>
    <row r="2492" spans="1:5" ht="26.25" x14ac:dyDescent="0.25">
      <c r="A2492" s="2" t="s">
        <v>2044</v>
      </c>
      <c r="B2492" s="2" t="str">
        <f>"616009293"</f>
        <v>616009293</v>
      </c>
      <c r="C2492" s="2" t="str">
        <f>"616009293"</f>
        <v>616009293</v>
      </c>
      <c r="D2492" s="2" t="s">
        <v>2161</v>
      </c>
      <c r="E2492" s="4">
        <v>5500</v>
      </c>
    </row>
    <row r="2493" spans="1:5" ht="26.25" x14ac:dyDescent="0.25">
      <c r="A2493" s="2" t="s">
        <v>2044</v>
      </c>
      <c r="B2493" s="2" t="str">
        <f>"346009293"</f>
        <v>346009293</v>
      </c>
      <c r="C2493" s="2" t="str">
        <f>"346009293"</f>
        <v>346009293</v>
      </c>
      <c r="D2493" s="2" t="s">
        <v>2161</v>
      </c>
      <c r="E2493" s="4">
        <v>5500</v>
      </c>
    </row>
    <row r="2494" spans="1:5" ht="26.25" x14ac:dyDescent="0.25">
      <c r="A2494" s="2" t="s">
        <v>2044</v>
      </c>
      <c r="B2494" s="2" t="str">
        <f>"672309335"</f>
        <v>672309335</v>
      </c>
      <c r="C2494" s="2" t="str">
        <f>"672309335"</f>
        <v>672309335</v>
      </c>
      <c r="D2494" s="2" t="s">
        <v>2162</v>
      </c>
      <c r="E2494" s="4">
        <v>5500</v>
      </c>
    </row>
    <row r="2495" spans="1:5" ht="26.25" x14ac:dyDescent="0.25">
      <c r="A2495" s="2" t="s">
        <v>2044</v>
      </c>
      <c r="B2495" s="2" t="str">
        <f>"762309291"</f>
        <v>762309291</v>
      </c>
      <c r="C2495" s="2" t="str">
        <f>"762309291"</f>
        <v>762309291</v>
      </c>
      <c r="D2495" s="2" t="s">
        <v>2163</v>
      </c>
      <c r="E2495" s="4">
        <v>5500</v>
      </c>
    </row>
    <row r="2496" spans="1:5" ht="26.25" x14ac:dyDescent="0.25">
      <c r="A2496" s="2" t="s">
        <v>2044</v>
      </c>
      <c r="B2496" s="2" t="str">
        <f>"322309291"</f>
        <v>322309291</v>
      </c>
      <c r="C2496" s="2" t="str">
        <f>"322309291"</f>
        <v>322309291</v>
      </c>
      <c r="D2496" s="2" t="s">
        <v>2163</v>
      </c>
      <c r="E2496" s="4">
        <v>5500</v>
      </c>
    </row>
    <row r="2497" spans="1:5" ht="26.25" x14ac:dyDescent="0.25">
      <c r="A2497" s="2" t="s">
        <v>2044</v>
      </c>
      <c r="B2497" s="2" t="str">
        <f>"766009291"</f>
        <v>766009291</v>
      </c>
      <c r="C2497" s="2" t="str">
        <f>"766009291"</f>
        <v>766009291</v>
      </c>
      <c r="D2497" s="2" t="s">
        <v>2163</v>
      </c>
      <c r="E2497" s="4">
        <v>5500</v>
      </c>
    </row>
    <row r="2498" spans="1:5" ht="26.25" x14ac:dyDescent="0.25">
      <c r="A2498" s="2" t="s">
        <v>2044</v>
      </c>
      <c r="B2498" s="2" t="str">
        <f>"332309291"</f>
        <v>332309291</v>
      </c>
      <c r="C2498" s="2" t="str">
        <f>"332309291"</f>
        <v>332309291</v>
      </c>
      <c r="D2498" s="2" t="s">
        <v>2163</v>
      </c>
      <c r="E2498" s="4">
        <v>5500</v>
      </c>
    </row>
    <row r="2499" spans="1:5" ht="26.25" x14ac:dyDescent="0.25">
      <c r="A2499" s="2" t="s">
        <v>2044</v>
      </c>
      <c r="B2499" s="2" t="str">
        <f>"762309335"</f>
        <v>762309335</v>
      </c>
      <c r="C2499" s="2" t="str">
        <f>"762309335"</f>
        <v>762309335</v>
      </c>
      <c r="D2499" s="2" t="s">
        <v>2164</v>
      </c>
      <c r="E2499" s="4">
        <v>5000</v>
      </c>
    </row>
    <row r="2500" spans="1:5" ht="26.25" x14ac:dyDescent="0.25">
      <c r="A2500" s="2" t="s">
        <v>2044</v>
      </c>
      <c r="B2500" s="2" t="str">
        <f>"762309334"</f>
        <v>762309334</v>
      </c>
      <c r="C2500" s="2" t="str">
        <f>"762309334"</f>
        <v>762309334</v>
      </c>
      <c r="D2500" s="2" t="s">
        <v>2164</v>
      </c>
      <c r="E2500" s="4">
        <v>5000</v>
      </c>
    </row>
    <row r="2501" spans="1:5" ht="26.25" x14ac:dyDescent="0.25">
      <c r="A2501" s="2" t="s">
        <v>2044</v>
      </c>
      <c r="B2501" s="2" t="str">
        <f>"346009214"</f>
        <v>346009214</v>
      </c>
      <c r="C2501" s="2" t="str">
        <f>"346009214"</f>
        <v>346009214</v>
      </c>
      <c r="D2501" s="2" t="s">
        <v>2165</v>
      </c>
      <c r="E2501" s="4">
        <v>5500</v>
      </c>
    </row>
    <row r="2502" spans="1:5" ht="26.25" x14ac:dyDescent="0.25">
      <c r="A2502" s="2" t="s">
        <v>2044</v>
      </c>
      <c r="B2502" s="2" t="str">
        <f>"766009214"</f>
        <v>766009214</v>
      </c>
      <c r="C2502" s="2" t="str">
        <f>"766009214"</f>
        <v>766009214</v>
      </c>
      <c r="D2502" s="2" t="s">
        <v>2165</v>
      </c>
      <c r="E2502" s="4">
        <v>5500</v>
      </c>
    </row>
    <row r="2503" spans="1:5" ht="26.25" x14ac:dyDescent="0.25">
      <c r="A2503" s="2" t="s">
        <v>2044</v>
      </c>
      <c r="B2503" s="2" t="str">
        <f>"762309214"</f>
        <v>762309214</v>
      </c>
      <c r="C2503" s="2" t="str">
        <f>"762309214"</f>
        <v>762309214</v>
      </c>
      <c r="D2503" s="2" t="s">
        <v>2165</v>
      </c>
      <c r="E2503" s="4">
        <v>5500</v>
      </c>
    </row>
    <row r="2504" spans="1:5" ht="26.25" x14ac:dyDescent="0.25">
      <c r="A2504" s="2" t="s">
        <v>2044</v>
      </c>
      <c r="B2504" s="2" t="str">
        <f>"766009258"</f>
        <v>766009258</v>
      </c>
      <c r="C2504" s="2" t="str">
        <f>"766009258"</f>
        <v>766009258</v>
      </c>
      <c r="D2504" s="2" t="s">
        <v>2166</v>
      </c>
      <c r="E2504" s="4">
        <v>5500</v>
      </c>
    </row>
    <row r="2505" spans="1:5" ht="26.25" x14ac:dyDescent="0.25">
      <c r="A2505" s="2" t="s">
        <v>2044</v>
      </c>
      <c r="B2505" s="2" t="str">
        <f>"172309213"</f>
        <v>172309213</v>
      </c>
      <c r="C2505" s="2" t="str">
        <f>"172309213"</f>
        <v>172309213</v>
      </c>
      <c r="D2505" s="2" t="s">
        <v>2167</v>
      </c>
      <c r="E2505" s="4">
        <v>5500</v>
      </c>
    </row>
    <row r="2506" spans="1:5" ht="26.25" x14ac:dyDescent="0.25">
      <c r="A2506" s="2" t="s">
        <v>2044</v>
      </c>
      <c r="B2506" s="2" t="str">
        <f>"762309213"</f>
        <v>762309213</v>
      </c>
      <c r="C2506" s="2" t="str">
        <f>"762309213"</f>
        <v>762309213</v>
      </c>
      <c r="D2506" s="2" t="s">
        <v>2167</v>
      </c>
      <c r="E2506" s="4">
        <v>5500</v>
      </c>
    </row>
    <row r="2507" spans="1:5" ht="26.25" x14ac:dyDescent="0.25">
      <c r="A2507" s="2" t="s">
        <v>2044</v>
      </c>
      <c r="B2507" s="2" t="str">
        <f>"766009213"</f>
        <v>766009213</v>
      </c>
      <c r="C2507" s="2" t="str">
        <f>"766009213"</f>
        <v>766009213</v>
      </c>
      <c r="D2507" s="2" t="s">
        <v>2167</v>
      </c>
      <c r="E2507" s="4">
        <v>5500</v>
      </c>
    </row>
    <row r="2508" spans="1:5" ht="26.25" x14ac:dyDescent="0.25">
      <c r="A2508" s="2" t="s">
        <v>2044</v>
      </c>
      <c r="B2508" s="2" t="str">
        <f>"176309215"</f>
        <v>176309215</v>
      </c>
      <c r="C2508" s="2" t="str">
        <f>"176309215"</f>
        <v>176309215</v>
      </c>
      <c r="D2508" s="2" t="s">
        <v>2168</v>
      </c>
      <c r="E2508" s="4">
        <v>5500</v>
      </c>
    </row>
    <row r="2509" spans="1:5" ht="26.25" x14ac:dyDescent="0.25">
      <c r="A2509" s="2" t="s">
        <v>2044</v>
      </c>
      <c r="B2509" s="2" t="str">
        <f>"762309329"</f>
        <v>762309329</v>
      </c>
      <c r="C2509" s="2" t="str">
        <f>"762309329"</f>
        <v>762309329</v>
      </c>
      <c r="D2509" s="2" t="s">
        <v>2169</v>
      </c>
      <c r="E2509" s="4">
        <v>5500</v>
      </c>
    </row>
    <row r="2510" spans="1:5" ht="26.25" x14ac:dyDescent="0.25">
      <c r="A2510" s="2" t="s">
        <v>2044</v>
      </c>
      <c r="B2510" s="2" t="str">
        <f>"110762130"</f>
        <v>110762130</v>
      </c>
      <c r="C2510" s="2" t="str">
        <f>"110762130"</f>
        <v>110762130</v>
      </c>
      <c r="D2510" s="2" t="s">
        <v>2170</v>
      </c>
      <c r="E2510" s="4">
        <v>5500</v>
      </c>
    </row>
    <row r="2511" spans="1:5" ht="26.25" x14ac:dyDescent="0.25">
      <c r="A2511" s="2" t="s">
        <v>2044</v>
      </c>
      <c r="B2511" s="2" t="str">
        <f>"772309104"</f>
        <v>772309104</v>
      </c>
      <c r="C2511" s="2" t="str">
        <f>"772309104"</f>
        <v>772309104</v>
      </c>
      <c r="D2511" s="2" t="s">
        <v>2170</v>
      </c>
      <c r="E2511" s="4">
        <v>5500</v>
      </c>
    </row>
    <row r="2512" spans="1:5" ht="26.25" x14ac:dyDescent="0.25">
      <c r="A2512" s="2" t="s">
        <v>2044</v>
      </c>
      <c r="B2512" s="2" t="str">
        <f>"762309155"</f>
        <v>762309155</v>
      </c>
      <c r="C2512" s="2" t="str">
        <f>"762309155"</f>
        <v>762309155</v>
      </c>
      <c r="D2512" s="2" t="s">
        <v>2171</v>
      </c>
      <c r="E2512" s="4">
        <v>5500</v>
      </c>
    </row>
    <row r="2513" spans="1:5" ht="26.25" x14ac:dyDescent="0.25">
      <c r="A2513" s="2" t="s">
        <v>2044</v>
      </c>
      <c r="B2513" s="2" t="str">
        <f>"110170734"</f>
        <v>110170734</v>
      </c>
      <c r="C2513" s="2" t="str">
        <f>"110170734"</f>
        <v>110170734</v>
      </c>
      <c r="D2513" s="2" t="s">
        <v>2172</v>
      </c>
      <c r="E2513" s="4">
        <v>6000</v>
      </c>
    </row>
    <row r="2514" spans="1:5" ht="26.25" x14ac:dyDescent="0.25">
      <c r="A2514" s="2" t="s">
        <v>2044</v>
      </c>
      <c r="B2514" s="2" t="str">
        <f>"17230971"</f>
        <v>17230971</v>
      </c>
      <c r="C2514" s="2" t="str">
        <f>"17230971"</f>
        <v>17230971</v>
      </c>
      <c r="D2514" s="2" t="s">
        <v>2173</v>
      </c>
      <c r="E2514" s="4">
        <v>5500</v>
      </c>
    </row>
    <row r="2515" spans="1:5" ht="26.25" x14ac:dyDescent="0.25">
      <c r="A2515" s="2" t="s">
        <v>2044</v>
      </c>
      <c r="B2515" s="2" t="str">
        <f>"76230971"</f>
        <v>76230971</v>
      </c>
      <c r="C2515" s="2" t="str">
        <f>"76230971"</f>
        <v>76230971</v>
      </c>
      <c r="D2515" s="2" t="s">
        <v>2173</v>
      </c>
      <c r="E2515" s="4">
        <v>5500</v>
      </c>
    </row>
    <row r="2516" spans="1:5" ht="26.25" x14ac:dyDescent="0.25">
      <c r="A2516" s="2" t="s">
        <v>2044</v>
      </c>
      <c r="B2516" s="2" t="str">
        <f>"76630971"</f>
        <v>76630971</v>
      </c>
      <c r="C2516" s="2" t="str">
        <f>"76630971"</f>
        <v>76630971</v>
      </c>
      <c r="D2516" s="2" t="s">
        <v>2173</v>
      </c>
      <c r="E2516" s="4">
        <v>5500</v>
      </c>
    </row>
    <row r="2517" spans="1:5" ht="26.25" x14ac:dyDescent="0.25">
      <c r="A2517" s="2" t="s">
        <v>2044</v>
      </c>
      <c r="B2517" s="2" t="str">
        <f>"762309259"</f>
        <v>762309259</v>
      </c>
      <c r="C2517" s="2" t="str">
        <f>"762309259"</f>
        <v>762309259</v>
      </c>
      <c r="D2517" s="2" t="s">
        <v>2173</v>
      </c>
      <c r="E2517" s="4">
        <v>5500</v>
      </c>
    </row>
    <row r="2518" spans="1:5" ht="26.25" x14ac:dyDescent="0.25">
      <c r="A2518" s="2" t="s">
        <v>2044</v>
      </c>
      <c r="B2518" s="2" t="str">
        <f>"76600971"</f>
        <v>76600971</v>
      </c>
      <c r="C2518" s="2" t="str">
        <f>"76600971"</f>
        <v>76600971</v>
      </c>
      <c r="D2518" s="2" t="s">
        <v>2174</v>
      </c>
      <c r="E2518" s="4">
        <v>5500</v>
      </c>
    </row>
    <row r="2519" spans="1:5" ht="26.25" x14ac:dyDescent="0.25">
      <c r="A2519" s="2" t="s">
        <v>2044</v>
      </c>
      <c r="B2519" s="2" t="str">
        <f>"17230910"</f>
        <v>17230910</v>
      </c>
      <c r="C2519" s="2" t="str">
        <f>"17230910"</f>
        <v>17230910</v>
      </c>
      <c r="D2519" s="2" t="s">
        <v>2175</v>
      </c>
      <c r="E2519" s="4">
        <v>5500</v>
      </c>
    </row>
    <row r="2520" spans="1:5" ht="26.25" x14ac:dyDescent="0.25">
      <c r="A2520" s="2" t="s">
        <v>2044</v>
      </c>
      <c r="B2520" s="2" t="str">
        <f>"76230910"</f>
        <v>76230910</v>
      </c>
      <c r="C2520" s="2" t="str">
        <f>"76230910"</f>
        <v>76230910</v>
      </c>
      <c r="D2520" s="2" t="s">
        <v>2175</v>
      </c>
      <c r="E2520" s="4">
        <v>5500</v>
      </c>
    </row>
    <row r="2521" spans="1:5" ht="26.25" x14ac:dyDescent="0.25">
      <c r="A2521" s="2" t="s">
        <v>2044</v>
      </c>
      <c r="B2521" s="2" t="str">
        <f>"76600910"</f>
        <v>76600910</v>
      </c>
      <c r="C2521" s="2" t="str">
        <f>"76600910"</f>
        <v>76600910</v>
      </c>
      <c r="D2521" s="2" t="s">
        <v>2175</v>
      </c>
      <c r="E2521" s="4">
        <v>5500</v>
      </c>
    </row>
    <row r="2522" spans="1:5" ht="26.25" x14ac:dyDescent="0.25">
      <c r="A2522" s="2" t="s">
        <v>2044</v>
      </c>
      <c r="B2522" s="2" t="str">
        <f>"76630910"</f>
        <v>76630910</v>
      </c>
      <c r="C2522" s="2" t="str">
        <f>"76630910"</f>
        <v>76630910</v>
      </c>
      <c r="D2522" s="2" t="s">
        <v>2175</v>
      </c>
      <c r="E2522" s="4">
        <v>5500</v>
      </c>
    </row>
    <row r="2523" spans="1:5" ht="26.25" x14ac:dyDescent="0.25">
      <c r="A2523" s="2" t="s">
        <v>2044</v>
      </c>
      <c r="B2523" s="2" t="str">
        <f>"76630974"</f>
        <v>76630974</v>
      </c>
      <c r="C2523" s="2" t="str">
        <f>"76630974"</f>
        <v>76630974</v>
      </c>
      <c r="D2523" s="2" t="s">
        <v>2175</v>
      </c>
      <c r="E2523" s="4">
        <v>5500</v>
      </c>
    </row>
    <row r="2524" spans="1:5" ht="26.25" x14ac:dyDescent="0.25">
      <c r="A2524" s="2" t="s">
        <v>2044</v>
      </c>
      <c r="B2524" s="2" t="str">
        <f>"76630934"</f>
        <v>76630934</v>
      </c>
      <c r="C2524" s="2" t="str">
        <f>"76630934"</f>
        <v>76630934</v>
      </c>
      <c r="D2524" s="2" t="s">
        <v>2175</v>
      </c>
      <c r="E2524" s="4">
        <v>5500</v>
      </c>
    </row>
    <row r="2525" spans="1:5" ht="26.25" x14ac:dyDescent="0.25">
      <c r="A2525" s="2" t="s">
        <v>2044</v>
      </c>
      <c r="B2525" s="2" t="str">
        <f>"762309107"</f>
        <v>762309107</v>
      </c>
      <c r="C2525" s="2" t="str">
        <f>"762309107"</f>
        <v>762309107</v>
      </c>
      <c r="D2525" s="2" t="s">
        <v>2176</v>
      </c>
      <c r="E2525" s="4">
        <v>5500</v>
      </c>
    </row>
    <row r="2526" spans="1:5" ht="26.25" x14ac:dyDescent="0.25">
      <c r="A2526" s="2" t="s">
        <v>2044</v>
      </c>
      <c r="B2526" s="2" t="str">
        <f>"762309333"</f>
        <v>762309333</v>
      </c>
      <c r="C2526" s="2" t="str">
        <f>"762309333"</f>
        <v>762309333</v>
      </c>
      <c r="D2526" s="2" t="s">
        <v>2177</v>
      </c>
      <c r="E2526" s="4">
        <v>5000</v>
      </c>
    </row>
    <row r="2527" spans="1:5" ht="26.25" x14ac:dyDescent="0.25">
      <c r="A2527" s="2" t="s">
        <v>2044</v>
      </c>
      <c r="B2527" s="2" t="str">
        <f>"762309250"</f>
        <v>762309250</v>
      </c>
      <c r="C2527" s="2" t="str">
        <f>"762309250"</f>
        <v>762309250</v>
      </c>
      <c r="D2527" s="2" t="s">
        <v>2178</v>
      </c>
      <c r="E2527" s="4">
        <v>5500</v>
      </c>
    </row>
    <row r="2528" spans="1:5" ht="26.25" x14ac:dyDescent="0.25">
      <c r="A2528" s="2" t="s">
        <v>2044</v>
      </c>
      <c r="B2528" s="2" t="str">
        <f>"912309250"</f>
        <v>912309250</v>
      </c>
      <c r="C2528" s="2" t="str">
        <f>"912309250"</f>
        <v>912309250</v>
      </c>
      <c r="D2528" s="2" t="s">
        <v>2178</v>
      </c>
      <c r="E2528" s="4">
        <v>5500</v>
      </c>
    </row>
    <row r="2529" spans="1:5" ht="26.25" x14ac:dyDescent="0.25">
      <c r="A2529" s="2" t="s">
        <v>2044</v>
      </c>
      <c r="B2529" s="2" t="str">
        <f>"762309173"</f>
        <v>762309173</v>
      </c>
      <c r="C2529" s="2" t="str">
        <f>"762309173"</f>
        <v>762309173</v>
      </c>
      <c r="D2529" s="2" t="s">
        <v>2179</v>
      </c>
      <c r="E2529" s="4">
        <v>5500</v>
      </c>
    </row>
    <row r="2530" spans="1:5" ht="26.25" x14ac:dyDescent="0.25">
      <c r="A2530" s="2" t="s">
        <v>2044</v>
      </c>
      <c r="B2530" s="2" t="str">
        <f>"172309261"</f>
        <v>172309261</v>
      </c>
      <c r="C2530" s="2" t="str">
        <f>"172309261"</f>
        <v>172309261</v>
      </c>
      <c r="D2530" s="2" t="s">
        <v>2180</v>
      </c>
      <c r="E2530" s="4">
        <v>5500</v>
      </c>
    </row>
    <row r="2531" spans="1:5" ht="26.25" x14ac:dyDescent="0.25">
      <c r="A2531" s="2" t="s">
        <v>2044</v>
      </c>
      <c r="B2531" s="2" t="str">
        <f>"762309261"</f>
        <v>762309261</v>
      </c>
      <c r="C2531" s="2" t="str">
        <f>"762309261"</f>
        <v>762309261</v>
      </c>
      <c r="D2531" s="2" t="s">
        <v>2180</v>
      </c>
      <c r="E2531" s="4">
        <v>5500</v>
      </c>
    </row>
    <row r="2532" spans="1:5" ht="26.25" x14ac:dyDescent="0.25">
      <c r="A2532" s="2" t="s">
        <v>2044</v>
      </c>
      <c r="B2532" s="2" t="str">
        <f>"762309235"</f>
        <v>762309235</v>
      </c>
      <c r="C2532" s="2" t="str">
        <f>"762309235"</f>
        <v>762309235</v>
      </c>
      <c r="D2532" s="2" t="s">
        <v>2181</v>
      </c>
      <c r="E2532" s="4">
        <v>5500</v>
      </c>
    </row>
    <row r="2533" spans="1:5" ht="26.25" x14ac:dyDescent="0.25">
      <c r="A2533" s="2" t="s">
        <v>2044</v>
      </c>
      <c r="B2533" s="2" t="str">
        <f>"766009235"</f>
        <v>766009235</v>
      </c>
      <c r="C2533" s="2" t="str">
        <f>"766009235"</f>
        <v>766009235</v>
      </c>
      <c r="D2533" s="2" t="s">
        <v>2181</v>
      </c>
      <c r="E2533" s="4">
        <v>5500</v>
      </c>
    </row>
    <row r="2534" spans="1:5" ht="26.25" x14ac:dyDescent="0.25">
      <c r="A2534" s="2" t="s">
        <v>2044</v>
      </c>
      <c r="B2534" s="2" t="str">
        <f>"762309292"</f>
        <v>762309292</v>
      </c>
      <c r="C2534" s="2" t="str">
        <f>"762309292"</f>
        <v>762309292</v>
      </c>
      <c r="D2534" s="2" t="s">
        <v>2182</v>
      </c>
      <c r="E2534" s="4">
        <v>5500</v>
      </c>
    </row>
    <row r="2535" spans="1:5" ht="26.25" x14ac:dyDescent="0.25">
      <c r="A2535" s="2" t="s">
        <v>2044</v>
      </c>
      <c r="B2535" s="2" t="str">
        <f>"766009292"</f>
        <v>766009292</v>
      </c>
      <c r="C2535" s="2" t="str">
        <f>"766009292"</f>
        <v>766009292</v>
      </c>
      <c r="D2535" s="2" t="s">
        <v>2182</v>
      </c>
      <c r="E2535" s="4">
        <v>5500</v>
      </c>
    </row>
    <row r="2536" spans="1:5" ht="26.25" x14ac:dyDescent="0.25">
      <c r="A2536" s="2" t="s">
        <v>2044</v>
      </c>
      <c r="B2536" s="2" t="str">
        <f>"612309261"</f>
        <v>612309261</v>
      </c>
      <c r="C2536" s="2" t="str">
        <f>"612309261"</f>
        <v>612309261</v>
      </c>
      <c r="D2536" s="2" t="s">
        <v>2182</v>
      </c>
      <c r="E2536" s="4">
        <v>5500</v>
      </c>
    </row>
    <row r="2537" spans="1:5" ht="26.25" x14ac:dyDescent="0.25">
      <c r="A2537" s="2" t="s">
        <v>2044</v>
      </c>
      <c r="B2537" s="2" t="str">
        <f>"616009292"</f>
        <v>616009292</v>
      </c>
      <c r="C2537" s="2" t="str">
        <f>"616009292"</f>
        <v>616009292</v>
      </c>
      <c r="D2537" s="2" t="s">
        <v>2182</v>
      </c>
      <c r="E2537" s="4">
        <v>5500</v>
      </c>
    </row>
    <row r="2538" spans="1:5" ht="26.25" x14ac:dyDescent="0.25">
      <c r="A2538" s="2" t="s">
        <v>2044</v>
      </c>
      <c r="B2538" s="2" t="str">
        <f>"912309271"</f>
        <v>912309271</v>
      </c>
      <c r="C2538" s="2" t="str">
        <f>"912309271"</f>
        <v>912309271</v>
      </c>
      <c r="D2538" s="2" t="s">
        <v>2183</v>
      </c>
      <c r="E2538" s="4">
        <v>5500</v>
      </c>
    </row>
    <row r="2539" spans="1:5" ht="26.25" x14ac:dyDescent="0.25">
      <c r="A2539" s="2" t="s">
        <v>2044</v>
      </c>
      <c r="B2539" s="2" t="str">
        <f>"912309277"</f>
        <v>912309277</v>
      </c>
      <c r="C2539" s="2" t="str">
        <f>"912309277"</f>
        <v>912309277</v>
      </c>
      <c r="D2539" s="2" t="s">
        <v>2184</v>
      </c>
      <c r="E2539" s="4">
        <v>5500</v>
      </c>
    </row>
    <row r="2540" spans="1:5" ht="26.25" x14ac:dyDescent="0.25">
      <c r="A2540" s="2" t="s">
        <v>2044</v>
      </c>
      <c r="B2540" s="2" t="str">
        <f>"172309285"</f>
        <v>172309285</v>
      </c>
      <c r="C2540" s="2" t="str">
        <f>"172309285"</f>
        <v>172309285</v>
      </c>
      <c r="D2540" s="2" t="s">
        <v>2185</v>
      </c>
      <c r="E2540" s="4">
        <v>5500</v>
      </c>
    </row>
    <row r="2541" spans="1:5" ht="26.25" x14ac:dyDescent="0.25">
      <c r="A2541" s="2" t="s">
        <v>2044</v>
      </c>
      <c r="B2541" s="2" t="str">
        <f>"912309285"</f>
        <v>912309285</v>
      </c>
      <c r="C2541" s="2" t="str">
        <f>"912309285"</f>
        <v>912309285</v>
      </c>
      <c r="D2541" s="2" t="s">
        <v>2185</v>
      </c>
      <c r="E2541" s="4">
        <v>5500</v>
      </c>
    </row>
    <row r="2542" spans="1:5" ht="26.25" x14ac:dyDescent="0.25">
      <c r="A2542" s="2" t="s">
        <v>2044</v>
      </c>
      <c r="B2542" s="2" t="str">
        <f>"176009285"</f>
        <v>176009285</v>
      </c>
      <c r="C2542" s="2" t="str">
        <f>"176009285"</f>
        <v>176009285</v>
      </c>
      <c r="D2542" s="2" t="s">
        <v>2185</v>
      </c>
      <c r="E2542" s="4">
        <v>5500</v>
      </c>
    </row>
    <row r="2543" spans="1:5" ht="26.25" x14ac:dyDescent="0.25">
      <c r="A2543" s="2" t="s">
        <v>2044</v>
      </c>
      <c r="B2543" s="2" t="str">
        <f>"762309285"</f>
        <v>762309285</v>
      </c>
      <c r="C2543" s="2" t="str">
        <f>"762309285"</f>
        <v>762309285</v>
      </c>
      <c r="D2543" s="2" t="s">
        <v>2185</v>
      </c>
      <c r="E2543" s="4">
        <v>5500</v>
      </c>
    </row>
    <row r="2544" spans="1:5" ht="26.25" x14ac:dyDescent="0.25">
      <c r="A2544" s="2" t="s">
        <v>2044</v>
      </c>
      <c r="B2544" s="2" t="str">
        <f>"766009250"</f>
        <v>766009250</v>
      </c>
      <c r="C2544" s="2" t="str">
        <f>"766009250"</f>
        <v>766009250</v>
      </c>
      <c r="D2544" s="2" t="s">
        <v>2186</v>
      </c>
      <c r="E2544" s="4">
        <v>5500</v>
      </c>
    </row>
    <row r="2545" spans="1:5" ht="26.25" x14ac:dyDescent="0.25">
      <c r="A2545" s="2" t="s">
        <v>2044</v>
      </c>
      <c r="B2545" s="2" t="str">
        <f>"172309173"</f>
        <v>172309173</v>
      </c>
      <c r="C2545" s="2" t="str">
        <f>"172309173"</f>
        <v>172309173</v>
      </c>
      <c r="D2545" s="2" t="s">
        <v>2187</v>
      </c>
      <c r="E2545" s="4">
        <v>5500</v>
      </c>
    </row>
    <row r="2546" spans="1:5" ht="26.25" x14ac:dyDescent="0.25">
      <c r="A2546" s="2" t="s">
        <v>2044</v>
      </c>
      <c r="B2546" s="2" t="str">
        <f>"176009173"</f>
        <v>176009173</v>
      </c>
      <c r="C2546" s="2" t="str">
        <f>"176009173"</f>
        <v>176009173</v>
      </c>
      <c r="D2546" s="2" t="s">
        <v>2187</v>
      </c>
      <c r="E2546" s="4">
        <v>5500</v>
      </c>
    </row>
    <row r="2547" spans="1:5" ht="26.25" x14ac:dyDescent="0.25">
      <c r="A2547" s="2" t="s">
        <v>2044</v>
      </c>
      <c r="B2547" s="2" t="str">
        <f>"762309271"</f>
        <v>762309271</v>
      </c>
      <c r="C2547" s="2" t="str">
        <f>"762309271"</f>
        <v>762309271</v>
      </c>
      <c r="D2547" s="2" t="s">
        <v>2188</v>
      </c>
      <c r="E2547" s="4">
        <v>5500</v>
      </c>
    </row>
    <row r="2548" spans="1:5" ht="26.25" x14ac:dyDescent="0.25">
      <c r="A2548" s="2" t="s">
        <v>2044</v>
      </c>
      <c r="B2548" s="2" t="str">
        <f>"176010227"</f>
        <v>176010227</v>
      </c>
      <c r="C2548" s="2" t="str">
        <f>"176010227"</f>
        <v>176010227</v>
      </c>
      <c r="D2548" s="2" t="s">
        <v>2189</v>
      </c>
      <c r="E2548" s="4">
        <v>5500</v>
      </c>
    </row>
    <row r="2549" spans="1:5" ht="26.25" x14ac:dyDescent="0.25">
      <c r="A2549" s="2" t="s">
        <v>2044</v>
      </c>
      <c r="B2549" s="2" t="str">
        <f>"762309277"</f>
        <v>762309277</v>
      </c>
      <c r="C2549" s="2" t="str">
        <f>"762309277"</f>
        <v>762309277</v>
      </c>
      <c r="D2549" s="2" t="s">
        <v>2189</v>
      </c>
      <c r="E2549" s="4">
        <v>5500</v>
      </c>
    </row>
    <row r="2550" spans="1:5" ht="26.25" x14ac:dyDescent="0.25">
      <c r="A2550" s="2" t="s">
        <v>2044</v>
      </c>
      <c r="B2550" s="2" t="str">
        <f>"8060167"</f>
        <v>8060167</v>
      </c>
      <c r="C2550" s="2" t="str">
        <f>"8060167"</f>
        <v>8060167</v>
      </c>
      <c r="D2550" s="2" t="s">
        <v>2190</v>
      </c>
      <c r="E2550" s="4">
        <v>10500</v>
      </c>
    </row>
    <row r="2551" spans="1:5" ht="26.25" x14ac:dyDescent="0.25">
      <c r="A2551" s="2" t="s">
        <v>2044</v>
      </c>
      <c r="B2551" s="2" t="str">
        <f>"8060169"</f>
        <v>8060169</v>
      </c>
      <c r="C2551" s="2" t="str">
        <f>"8060169"</f>
        <v>8060169</v>
      </c>
      <c r="D2551" s="2" t="s">
        <v>2191</v>
      </c>
      <c r="E2551" s="4">
        <v>9900</v>
      </c>
    </row>
    <row r="2552" spans="1:5" ht="26.25" x14ac:dyDescent="0.25">
      <c r="A2552" s="2" t="s">
        <v>2044</v>
      </c>
      <c r="B2552" s="2" t="str">
        <f>"8060174"</f>
        <v>8060174</v>
      </c>
      <c r="C2552" s="2" t="str">
        <f>"8060174"</f>
        <v>8060174</v>
      </c>
      <c r="D2552" s="2" t="s">
        <v>2192</v>
      </c>
      <c r="E2552" s="4">
        <v>9900</v>
      </c>
    </row>
    <row r="2553" spans="1:5" ht="26.25" x14ac:dyDescent="0.25">
      <c r="A2553" s="2" t="s">
        <v>2044</v>
      </c>
      <c r="B2553" s="2" t="str">
        <f>"762310297"</f>
        <v>762310297</v>
      </c>
      <c r="C2553" s="2" t="str">
        <f>"762310297"</f>
        <v>762310297</v>
      </c>
      <c r="D2553" s="2" t="s">
        <v>2193</v>
      </c>
      <c r="E2553" s="4">
        <v>5500</v>
      </c>
    </row>
    <row r="2554" spans="1:5" ht="26.25" x14ac:dyDescent="0.25">
      <c r="A2554" s="2" t="s">
        <v>2044</v>
      </c>
      <c r="B2554" s="2" t="str">
        <f>"766010297"</f>
        <v>766010297</v>
      </c>
      <c r="C2554" s="2" t="str">
        <f>"766010297"</f>
        <v>766010297</v>
      </c>
      <c r="D2554" s="2" t="s">
        <v>2193</v>
      </c>
      <c r="E2554" s="4">
        <v>5500</v>
      </c>
    </row>
    <row r="2555" spans="1:5" ht="26.25" x14ac:dyDescent="0.25">
      <c r="A2555" s="2" t="s">
        <v>2044</v>
      </c>
      <c r="B2555" s="2" t="str">
        <f>"766310297"</f>
        <v>766310297</v>
      </c>
      <c r="C2555" s="2" t="str">
        <f>"766310297"</f>
        <v>766310297</v>
      </c>
      <c r="D2555" s="2" t="s">
        <v>2193</v>
      </c>
      <c r="E2555" s="4">
        <v>5500</v>
      </c>
    </row>
    <row r="2556" spans="1:5" ht="26.25" x14ac:dyDescent="0.25">
      <c r="A2556" s="2" t="s">
        <v>2044</v>
      </c>
      <c r="B2556" s="2" t="str">
        <f>"766310301"</f>
        <v>766310301</v>
      </c>
      <c r="C2556" s="2" t="str">
        <f>"766310301"</f>
        <v>766310301</v>
      </c>
      <c r="D2556" s="2" t="s">
        <v>2194</v>
      </c>
      <c r="E2556" s="4">
        <v>5500</v>
      </c>
    </row>
    <row r="2557" spans="1:5" ht="26.25" x14ac:dyDescent="0.25">
      <c r="A2557" s="2" t="s">
        <v>2044</v>
      </c>
      <c r="B2557" s="2" t="str">
        <f>"762310301"</f>
        <v>762310301</v>
      </c>
      <c r="C2557" s="2" t="str">
        <f>"762310301"</f>
        <v>762310301</v>
      </c>
      <c r="D2557" s="2" t="s">
        <v>2194</v>
      </c>
      <c r="E2557" s="4">
        <v>5500</v>
      </c>
    </row>
    <row r="2558" spans="1:5" ht="26.25" x14ac:dyDescent="0.25">
      <c r="A2558" s="2" t="s">
        <v>2044</v>
      </c>
      <c r="B2558" s="2" t="str">
        <f>"32231019"</f>
        <v>32231019</v>
      </c>
      <c r="C2558" s="2" t="str">
        <f>"32231019"</f>
        <v>32231019</v>
      </c>
      <c r="D2558" s="2" t="s">
        <v>2195</v>
      </c>
      <c r="E2558" s="4">
        <v>5500</v>
      </c>
    </row>
    <row r="2559" spans="1:5" ht="26.25" x14ac:dyDescent="0.25">
      <c r="A2559" s="2" t="s">
        <v>2044</v>
      </c>
      <c r="B2559" s="2" t="str">
        <f>"76551019"</f>
        <v>76551019</v>
      </c>
      <c r="C2559" s="2" t="str">
        <f>"76551019"</f>
        <v>76551019</v>
      </c>
      <c r="D2559" s="2" t="s">
        <v>2195</v>
      </c>
      <c r="E2559" s="4">
        <v>6000</v>
      </c>
    </row>
    <row r="2560" spans="1:5" ht="26.25" x14ac:dyDescent="0.25">
      <c r="A2560" s="2" t="s">
        <v>2044</v>
      </c>
      <c r="B2560" s="2" t="str">
        <f>"76231002"</f>
        <v>76231002</v>
      </c>
      <c r="C2560" s="2" t="str">
        <f>"76231002"</f>
        <v>76231002</v>
      </c>
      <c r="D2560" s="2" t="s">
        <v>2196</v>
      </c>
      <c r="E2560" s="4">
        <v>6500</v>
      </c>
    </row>
    <row r="2561" spans="1:5" ht="26.25" x14ac:dyDescent="0.25">
      <c r="A2561" s="2" t="s">
        <v>2044</v>
      </c>
      <c r="B2561" s="2" t="str">
        <f>"76631002"</f>
        <v>76631002</v>
      </c>
      <c r="C2561" s="2" t="str">
        <f>"76631002"</f>
        <v>76631002</v>
      </c>
      <c r="D2561" s="2" t="s">
        <v>2196</v>
      </c>
      <c r="E2561" s="4">
        <v>5500</v>
      </c>
    </row>
    <row r="2562" spans="1:5" ht="26.25" x14ac:dyDescent="0.25">
      <c r="A2562" s="2" t="s">
        <v>2044</v>
      </c>
      <c r="B2562" s="2" t="str">
        <f>"32231002"</f>
        <v>32231002</v>
      </c>
      <c r="C2562" s="2" t="str">
        <f>"32231002"</f>
        <v>32231002</v>
      </c>
      <c r="D2562" s="2" t="s">
        <v>2196</v>
      </c>
      <c r="E2562" s="4">
        <v>5500</v>
      </c>
    </row>
    <row r="2563" spans="1:5" ht="26.25" x14ac:dyDescent="0.25">
      <c r="A2563" s="2" t="s">
        <v>2044</v>
      </c>
      <c r="B2563" s="2" t="str">
        <f>"766010304"</f>
        <v>766010304</v>
      </c>
      <c r="C2563" s="2" t="str">
        <f>"766010304"</f>
        <v>766010304</v>
      </c>
      <c r="D2563" s="2" t="s">
        <v>2197</v>
      </c>
      <c r="E2563" s="4">
        <v>5500</v>
      </c>
    </row>
    <row r="2564" spans="1:5" ht="26.25" x14ac:dyDescent="0.25">
      <c r="A2564" s="2" t="s">
        <v>2044</v>
      </c>
      <c r="B2564" s="2" t="str">
        <f>"762310304"</f>
        <v>762310304</v>
      </c>
      <c r="C2564" s="2" t="str">
        <f>"762310304"</f>
        <v>762310304</v>
      </c>
      <c r="D2564" s="2" t="s">
        <v>2197</v>
      </c>
      <c r="E2564" s="4">
        <v>5500</v>
      </c>
    </row>
    <row r="2565" spans="1:5" ht="26.25" x14ac:dyDescent="0.25">
      <c r="A2565" s="2" t="s">
        <v>2044</v>
      </c>
      <c r="B2565" s="2" t="str">
        <f>"762310306"</f>
        <v>762310306</v>
      </c>
      <c r="C2565" s="2" t="str">
        <f>"762310306"</f>
        <v>762310306</v>
      </c>
      <c r="D2565" s="2" t="s">
        <v>2198</v>
      </c>
      <c r="E2565" s="4">
        <v>5500</v>
      </c>
    </row>
    <row r="2566" spans="1:5" ht="26.25" x14ac:dyDescent="0.25">
      <c r="A2566" s="2" t="s">
        <v>2044</v>
      </c>
      <c r="B2566" s="2" t="str">
        <f>"766010306"</f>
        <v>766010306</v>
      </c>
      <c r="C2566" s="2" t="str">
        <f>"766010306"</f>
        <v>766010306</v>
      </c>
      <c r="D2566" s="2" t="s">
        <v>2198</v>
      </c>
      <c r="E2566" s="4">
        <v>5500</v>
      </c>
    </row>
    <row r="2567" spans="1:5" ht="26.25" x14ac:dyDescent="0.25">
      <c r="A2567" s="2" t="s">
        <v>2044</v>
      </c>
      <c r="B2567" s="2" t="str">
        <f>"766310306"</f>
        <v>766310306</v>
      </c>
      <c r="C2567" s="2" t="str">
        <f>"766310306"</f>
        <v>766310306</v>
      </c>
      <c r="D2567" s="2" t="s">
        <v>2198</v>
      </c>
      <c r="E2567" s="4">
        <v>5500</v>
      </c>
    </row>
    <row r="2568" spans="1:5" ht="26.25" x14ac:dyDescent="0.25">
      <c r="A2568" s="2" t="s">
        <v>2044</v>
      </c>
      <c r="B2568" s="2" t="str">
        <f>"766010309"</f>
        <v>766010309</v>
      </c>
      <c r="C2568" s="2" t="str">
        <f>"766010309"</f>
        <v>766010309</v>
      </c>
      <c r="D2568" s="2" t="s">
        <v>2199</v>
      </c>
      <c r="E2568" s="4">
        <v>5500</v>
      </c>
    </row>
    <row r="2569" spans="1:5" ht="26.25" x14ac:dyDescent="0.25">
      <c r="A2569" s="2" t="s">
        <v>2044</v>
      </c>
      <c r="B2569" s="2" t="str">
        <f>"762310309"</f>
        <v>762310309</v>
      </c>
      <c r="C2569" s="2" t="str">
        <f>"762310309"</f>
        <v>762310309</v>
      </c>
      <c r="D2569" s="2" t="s">
        <v>2199</v>
      </c>
      <c r="E2569" s="4">
        <v>5500</v>
      </c>
    </row>
    <row r="2570" spans="1:5" ht="26.25" x14ac:dyDescent="0.25">
      <c r="A2570" s="2" t="s">
        <v>2044</v>
      </c>
      <c r="B2570" s="2" t="str">
        <f>"672310319"</f>
        <v>672310319</v>
      </c>
      <c r="C2570" s="2" t="str">
        <f>"672310319"</f>
        <v>672310319</v>
      </c>
      <c r="D2570" s="2" t="s">
        <v>2200</v>
      </c>
      <c r="E2570" s="4">
        <v>5500</v>
      </c>
    </row>
    <row r="2571" spans="1:5" ht="26.25" x14ac:dyDescent="0.25">
      <c r="A2571" s="2" t="s">
        <v>2044</v>
      </c>
      <c r="B2571" s="2" t="str">
        <f>"762310323"</f>
        <v>762310323</v>
      </c>
      <c r="C2571" s="2" t="str">
        <f>"762310323"</f>
        <v>762310323</v>
      </c>
      <c r="D2571" s="2" t="s">
        <v>2201</v>
      </c>
      <c r="E2571" s="4">
        <v>5500</v>
      </c>
    </row>
    <row r="2572" spans="1:5" ht="26.25" x14ac:dyDescent="0.25">
      <c r="A2572" s="2" t="s">
        <v>2044</v>
      </c>
      <c r="B2572" s="2" t="str">
        <f>"612310323"</f>
        <v>612310323</v>
      </c>
      <c r="C2572" s="2" t="str">
        <f>"612310323"</f>
        <v>612310323</v>
      </c>
      <c r="D2572" s="2" t="s">
        <v>2201</v>
      </c>
      <c r="E2572" s="4">
        <v>5500</v>
      </c>
    </row>
    <row r="2573" spans="1:5" ht="26.25" x14ac:dyDescent="0.25">
      <c r="A2573" s="2" t="s">
        <v>2044</v>
      </c>
      <c r="B2573" s="2" t="str">
        <f>"34231059"</f>
        <v>34231059</v>
      </c>
      <c r="C2573" s="2" t="str">
        <f>"34231059"</f>
        <v>34231059</v>
      </c>
      <c r="D2573" s="2" t="s">
        <v>2202</v>
      </c>
      <c r="E2573" s="4">
        <v>5500</v>
      </c>
    </row>
    <row r="2574" spans="1:5" ht="26.25" x14ac:dyDescent="0.25">
      <c r="A2574" s="2" t="s">
        <v>2044</v>
      </c>
      <c r="B2574" s="2" t="str">
        <f>"76231058"</f>
        <v>76231058</v>
      </c>
      <c r="C2574" s="2" t="str">
        <f>"76231058"</f>
        <v>76231058</v>
      </c>
      <c r="D2574" s="2" t="s">
        <v>2202</v>
      </c>
      <c r="E2574" s="4">
        <v>5500</v>
      </c>
    </row>
    <row r="2575" spans="1:5" ht="26.25" x14ac:dyDescent="0.25">
      <c r="A2575" s="2" t="s">
        <v>2044</v>
      </c>
      <c r="B2575" s="2" t="str">
        <f>"76231059"</f>
        <v>76231059</v>
      </c>
      <c r="C2575" s="2" t="str">
        <f>"76231059"</f>
        <v>76231059</v>
      </c>
      <c r="D2575" s="2" t="s">
        <v>2202</v>
      </c>
      <c r="E2575" s="4">
        <v>5500</v>
      </c>
    </row>
    <row r="2576" spans="1:5" ht="26.25" x14ac:dyDescent="0.25">
      <c r="A2576" s="2" t="s">
        <v>2044</v>
      </c>
      <c r="B2576" s="2" t="str">
        <f>"76551059"</f>
        <v>76551059</v>
      </c>
      <c r="C2576" s="2" t="str">
        <f>"76551059"</f>
        <v>76551059</v>
      </c>
      <c r="D2576" s="2" t="s">
        <v>2202</v>
      </c>
      <c r="E2576" s="4">
        <v>6000</v>
      </c>
    </row>
    <row r="2577" spans="1:5" ht="26.25" x14ac:dyDescent="0.25">
      <c r="A2577" s="2" t="s">
        <v>2044</v>
      </c>
      <c r="B2577" s="2" t="str">
        <f>"76601059"</f>
        <v>76601059</v>
      </c>
      <c r="C2577" s="2" t="str">
        <f>"76601059"</f>
        <v>76601059</v>
      </c>
      <c r="D2577" s="2" t="s">
        <v>2202</v>
      </c>
      <c r="E2577" s="4">
        <v>5500</v>
      </c>
    </row>
    <row r="2578" spans="1:5" ht="26.25" x14ac:dyDescent="0.25">
      <c r="A2578" s="2" t="s">
        <v>2044</v>
      </c>
      <c r="B2578" s="2" t="str">
        <f>"76631059"</f>
        <v>76631059</v>
      </c>
      <c r="C2578" s="2" t="str">
        <f>"76631059"</f>
        <v>76631059</v>
      </c>
      <c r="D2578" s="2" t="s">
        <v>2202</v>
      </c>
      <c r="E2578" s="4">
        <v>5500</v>
      </c>
    </row>
    <row r="2579" spans="1:5" ht="26.25" x14ac:dyDescent="0.25">
      <c r="A2579" s="2" t="s">
        <v>2044</v>
      </c>
      <c r="B2579" s="2" t="str">
        <f>"76231061"</f>
        <v>76231061</v>
      </c>
      <c r="C2579" s="2" t="str">
        <f>"76231061"</f>
        <v>76231061</v>
      </c>
      <c r="D2579" s="2" t="s">
        <v>2203</v>
      </c>
      <c r="E2579" s="4">
        <v>6000</v>
      </c>
    </row>
    <row r="2580" spans="1:5" ht="26.25" x14ac:dyDescent="0.25">
      <c r="A2580" s="2" t="s">
        <v>2044</v>
      </c>
      <c r="B2580" s="2" t="str">
        <f>"17601059"</f>
        <v>17601059</v>
      </c>
      <c r="C2580" s="2" t="str">
        <f>"17601059"</f>
        <v>17601059</v>
      </c>
      <c r="D2580" s="2" t="s">
        <v>2204</v>
      </c>
      <c r="E2580" s="4">
        <v>5500</v>
      </c>
    </row>
    <row r="2581" spans="1:5" ht="26.25" x14ac:dyDescent="0.25">
      <c r="A2581" s="2" t="s">
        <v>2044</v>
      </c>
      <c r="B2581" s="2" t="str">
        <f>"17600964"</f>
        <v>17600964</v>
      </c>
      <c r="C2581" s="2" t="str">
        <f>"17600964"</f>
        <v>17600964</v>
      </c>
      <c r="D2581" s="2" t="s">
        <v>2205</v>
      </c>
      <c r="E2581" s="4">
        <v>5500</v>
      </c>
    </row>
    <row r="2582" spans="1:5" ht="26.25" x14ac:dyDescent="0.25">
      <c r="A2582" s="2" t="s">
        <v>2044</v>
      </c>
      <c r="B2582" s="2" t="str">
        <f>"76551458"</f>
        <v>76551458</v>
      </c>
      <c r="C2582" s="2" t="str">
        <f>"76551458"</f>
        <v>76551458</v>
      </c>
      <c r="D2582" s="2" t="s">
        <v>2206</v>
      </c>
      <c r="E2582" s="4">
        <v>6000</v>
      </c>
    </row>
    <row r="2583" spans="1:5" ht="26.25" x14ac:dyDescent="0.25">
      <c r="A2583" s="2" t="s">
        <v>2044</v>
      </c>
      <c r="B2583" s="2" t="str">
        <f>"17231059"</f>
        <v>17231059</v>
      </c>
      <c r="C2583" s="2" t="str">
        <f>"17231059"</f>
        <v>17231059</v>
      </c>
      <c r="D2583" s="2" t="s">
        <v>2207</v>
      </c>
      <c r="E2583" s="4">
        <v>5500</v>
      </c>
    </row>
    <row r="2584" spans="1:5" ht="26.25" x14ac:dyDescent="0.25">
      <c r="A2584" s="2" t="s">
        <v>2044</v>
      </c>
      <c r="B2584" s="2" t="str">
        <f>"17230962"</f>
        <v>17230962</v>
      </c>
      <c r="C2584" s="2" t="str">
        <f>"17230962"</f>
        <v>17230962</v>
      </c>
      <c r="D2584" s="2" t="s">
        <v>2208</v>
      </c>
      <c r="E2584" s="4">
        <v>5500</v>
      </c>
    </row>
    <row r="2585" spans="1:5" ht="26.25" x14ac:dyDescent="0.25">
      <c r="A2585" s="2" t="s">
        <v>2044</v>
      </c>
      <c r="B2585" s="2" t="str">
        <f>"34231062"</f>
        <v>34231062</v>
      </c>
      <c r="C2585" s="2" t="str">
        <f>"34231062"</f>
        <v>34231062</v>
      </c>
      <c r="D2585" s="2" t="s">
        <v>2208</v>
      </c>
      <c r="E2585" s="4">
        <v>5500</v>
      </c>
    </row>
    <row r="2586" spans="1:5" ht="26.25" x14ac:dyDescent="0.25">
      <c r="A2586" s="2" t="s">
        <v>2044</v>
      </c>
      <c r="B2586" s="2" t="str">
        <f>"76231062"</f>
        <v>76231062</v>
      </c>
      <c r="C2586" s="2" t="str">
        <f>"76231062"</f>
        <v>76231062</v>
      </c>
      <c r="D2586" s="2" t="s">
        <v>2208</v>
      </c>
      <c r="E2586" s="4">
        <v>5500</v>
      </c>
    </row>
    <row r="2587" spans="1:5" ht="26.25" x14ac:dyDescent="0.25">
      <c r="A2587" s="2" t="s">
        <v>2044</v>
      </c>
      <c r="B2587" s="2" t="str">
        <f>"17231062"</f>
        <v>17231062</v>
      </c>
      <c r="C2587" s="2" t="str">
        <f>"17231062"</f>
        <v>17231062</v>
      </c>
      <c r="D2587" s="2" t="s">
        <v>2208</v>
      </c>
      <c r="E2587" s="4">
        <v>5500</v>
      </c>
    </row>
    <row r="2588" spans="1:5" ht="26.25" x14ac:dyDescent="0.25">
      <c r="A2588" s="2" t="s">
        <v>2044</v>
      </c>
      <c r="B2588" s="2" t="str">
        <f>"17601062"</f>
        <v>17601062</v>
      </c>
      <c r="C2588" s="2" t="str">
        <f>"17601062"</f>
        <v>17601062</v>
      </c>
      <c r="D2588" s="2" t="s">
        <v>2208</v>
      </c>
      <c r="E2588" s="4">
        <v>5500</v>
      </c>
    </row>
    <row r="2589" spans="1:5" ht="26.25" x14ac:dyDescent="0.25">
      <c r="A2589" s="2" t="s">
        <v>2044</v>
      </c>
      <c r="B2589" s="2" t="str">
        <f>"76601062"</f>
        <v>76601062</v>
      </c>
      <c r="C2589" s="2" t="str">
        <f>"76601062"</f>
        <v>76601062</v>
      </c>
      <c r="D2589" s="2" t="s">
        <v>2208</v>
      </c>
      <c r="E2589" s="4">
        <v>5500</v>
      </c>
    </row>
    <row r="2590" spans="1:5" ht="26.25" x14ac:dyDescent="0.25">
      <c r="A2590" s="2" t="s">
        <v>2044</v>
      </c>
      <c r="B2590" s="2" t="str">
        <f>"17231064"</f>
        <v>17231064</v>
      </c>
      <c r="C2590" s="2" t="str">
        <f>"17231064"</f>
        <v>17231064</v>
      </c>
      <c r="D2590" s="2" t="s">
        <v>2209</v>
      </c>
      <c r="E2590" s="4">
        <v>5500</v>
      </c>
    </row>
    <row r="2591" spans="1:5" ht="26.25" x14ac:dyDescent="0.25">
      <c r="A2591" s="2" t="s">
        <v>2044</v>
      </c>
      <c r="B2591" s="2" t="str">
        <f>"766010190"</f>
        <v>766010190</v>
      </c>
      <c r="C2591" s="2" t="str">
        <f>"766010190"</f>
        <v>766010190</v>
      </c>
      <c r="D2591" s="2" t="s">
        <v>2209</v>
      </c>
      <c r="E2591" s="4">
        <v>5500</v>
      </c>
    </row>
    <row r="2592" spans="1:5" ht="26.25" x14ac:dyDescent="0.25">
      <c r="A2592" s="2" t="s">
        <v>2044</v>
      </c>
      <c r="B2592" s="2" t="str">
        <f>"34231064"</f>
        <v>34231064</v>
      </c>
      <c r="C2592" s="2" t="str">
        <f>"34231064"</f>
        <v>34231064</v>
      </c>
      <c r="D2592" s="2" t="s">
        <v>2209</v>
      </c>
      <c r="E2592" s="4">
        <v>5500</v>
      </c>
    </row>
    <row r="2593" spans="1:5" ht="26.25" x14ac:dyDescent="0.25">
      <c r="A2593" s="2" t="s">
        <v>2044</v>
      </c>
      <c r="B2593" s="2" t="str">
        <f>"76231064"</f>
        <v>76231064</v>
      </c>
      <c r="C2593" s="2" t="str">
        <f>"76231064"</f>
        <v>76231064</v>
      </c>
      <c r="D2593" s="2" t="s">
        <v>2209</v>
      </c>
      <c r="E2593" s="4">
        <v>5500</v>
      </c>
    </row>
    <row r="2594" spans="1:5" ht="26.25" x14ac:dyDescent="0.25">
      <c r="A2594" s="2" t="s">
        <v>2044</v>
      </c>
      <c r="B2594" s="2" t="str">
        <f>"76601064"</f>
        <v>76601064</v>
      </c>
      <c r="C2594" s="2" t="str">
        <f>"76601064"</f>
        <v>76601064</v>
      </c>
      <c r="D2594" s="2" t="s">
        <v>2209</v>
      </c>
      <c r="E2594" s="4">
        <v>5500</v>
      </c>
    </row>
    <row r="2595" spans="1:5" ht="26.25" x14ac:dyDescent="0.25">
      <c r="A2595" s="2" t="s">
        <v>2044</v>
      </c>
      <c r="B2595" s="2" t="str">
        <f>"76851064"</f>
        <v>76851064</v>
      </c>
      <c r="C2595" s="2" t="str">
        <f>"76851064"</f>
        <v>76851064</v>
      </c>
      <c r="D2595" s="2" t="s">
        <v>2209</v>
      </c>
      <c r="E2595" s="4">
        <v>5800</v>
      </c>
    </row>
    <row r="2596" spans="1:5" ht="26.25" x14ac:dyDescent="0.25">
      <c r="A2596" s="2" t="s">
        <v>2044</v>
      </c>
      <c r="B2596" s="2" t="str">
        <f>"76631064"</f>
        <v>76631064</v>
      </c>
      <c r="C2596" s="2" t="str">
        <f>"76631064"</f>
        <v>76631064</v>
      </c>
      <c r="D2596" s="2" t="s">
        <v>2209</v>
      </c>
      <c r="E2596" s="4">
        <v>5500</v>
      </c>
    </row>
    <row r="2597" spans="1:5" ht="26.25" x14ac:dyDescent="0.25">
      <c r="A2597" s="2" t="s">
        <v>2044</v>
      </c>
      <c r="B2597" s="2" t="str">
        <f>"172310231"</f>
        <v>172310231</v>
      </c>
      <c r="C2597" s="2" t="str">
        <f>"172310231"</f>
        <v>172310231</v>
      </c>
      <c r="D2597" s="2" t="s">
        <v>2210</v>
      </c>
      <c r="E2597" s="4">
        <v>5500</v>
      </c>
    </row>
    <row r="2598" spans="1:5" ht="26.25" x14ac:dyDescent="0.25">
      <c r="A2598" s="2" t="s">
        <v>2044</v>
      </c>
      <c r="B2598" s="2" t="str">
        <f>"762310231"</f>
        <v>762310231</v>
      </c>
      <c r="C2598" s="2" t="str">
        <f>"762310231"</f>
        <v>762310231</v>
      </c>
      <c r="D2598" s="2" t="s">
        <v>2210</v>
      </c>
      <c r="E2598" s="4">
        <v>5500</v>
      </c>
    </row>
    <row r="2599" spans="1:5" ht="26.25" x14ac:dyDescent="0.25">
      <c r="A2599" s="2" t="s">
        <v>2044</v>
      </c>
      <c r="B2599" s="2" t="str">
        <f>"176010231"</f>
        <v>176010231</v>
      </c>
      <c r="C2599" s="2" t="str">
        <f>"176010231"</f>
        <v>176010231</v>
      </c>
      <c r="D2599" s="2" t="s">
        <v>2210</v>
      </c>
      <c r="E2599" s="4">
        <v>5500</v>
      </c>
    </row>
    <row r="2600" spans="1:5" ht="26.25" x14ac:dyDescent="0.25">
      <c r="A2600" s="2" t="s">
        <v>2044</v>
      </c>
      <c r="B2600" s="2" t="str">
        <f>"766010231"</f>
        <v>766010231</v>
      </c>
      <c r="C2600" s="2" t="str">
        <f>"766010231"</f>
        <v>766010231</v>
      </c>
      <c r="D2600" s="2" t="s">
        <v>2210</v>
      </c>
      <c r="E2600" s="4">
        <v>5500</v>
      </c>
    </row>
    <row r="2601" spans="1:5" ht="26.25" x14ac:dyDescent="0.25">
      <c r="A2601" s="2" t="s">
        <v>2044</v>
      </c>
      <c r="B2601" s="2" t="str">
        <f>"768510234"</f>
        <v>768510234</v>
      </c>
      <c r="C2601" s="2" t="str">
        <f>"768510234"</f>
        <v>768510234</v>
      </c>
      <c r="D2601" s="2" t="s">
        <v>2211</v>
      </c>
      <c r="E2601" s="4">
        <v>5800</v>
      </c>
    </row>
    <row r="2602" spans="1:5" ht="26.25" x14ac:dyDescent="0.25">
      <c r="A2602" s="2" t="s">
        <v>2044</v>
      </c>
      <c r="B2602" s="2" t="str">
        <f>"762310268"</f>
        <v>762310268</v>
      </c>
      <c r="C2602" s="2" t="str">
        <f>"762310268"</f>
        <v>762310268</v>
      </c>
      <c r="D2602" s="2" t="s">
        <v>2212</v>
      </c>
      <c r="E2602" s="4">
        <v>5500</v>
      </c>
    </row>
    <row r="2603" spans="1:5" ht="26.25" x14ac:dyDescent="0.25">
      <c r="A2603" s="2" t="s">
        <v>2044</v>
      </c>
      <c r="B2603" s="2" t="str">
        <f>"912310268"</f>
        <v>912310268</v>
      </c>
      <c r="C2603" s="2" t="str">
        <f>"912310268"</f>
        <v>912310268</v>
      </c>
      <c r="D2603" s="2" t="s">
        <v>2212</v>
      </c>
      <c r="E2603" s="4">
        <v>5500</v>
      </c>
    </row>
    <row r="2604" spans="1:5" ht="26.25" x14ac:dyDescent="0.25">
      <c r="A2604" s="2" t="s">
        <v>2044</v>
      </c>
      <c r="B2604" s="2" t="str">
        <f>"768510268"</f>
        <v>768510268</v>
      </c>
      <c r="C2604" s="2" t="str">
        <f>"768510268"</f>
        <v>768510268</v>
      </c>
      <c r="D2604" s="2" t="s">
        <v>2212</v>
      </c>
      <c r="E2604" s="4">
        <v>5800</v>
      </c>
    </row>
    <row r="2605" spans="1:5" ht="26.25" x14ac:dyDescent="0.25">
      <c r="A2605" s="2" t="s">
        <v>2044</v>
      </c>
      <c r="B2605" s="2" t="str">
        <f>"7623241"</f>
        <v>7623241</v>
      </c>
      <c r="C2605" s="2" t="str">
        <f>"7623241"</f>
        <v>7623241</v>
      </c>
      <c r="D2605" s="2" t="s">
        <v>2213</v>
      </c>
      <c r="E2605" s="4">
        <v>5500</v>
      </c>
    </row>
    <row r="2606" spans="1:5" ht="26.25" x14ac:dyDescent="0.25">
      <c r="A2606" s="2" t="s">
        <v>2044</v>
      </c>
      <c r="B2606" s="2" t="str">
        <f>"762310241"</f>
        <v>762310241</v>
      </c>
      <c r="C2606" s="2" t="str">
        <f>"762310241"</f>
        <v>762310241</v>
      </c>
      <c r="D2606" s="2" t="s">
        <v>2213</v>
      </c>
      <c r="E2606" s="4">
        <v>5500</v>
      </c>
    </row>
    <row r="2607" spans="1:5" ht="26.25" x14ac:dyDescent="0.25">
      <c r="A2607" s="2" t="s">
        <v>2044</v>
      </c>
      <c r="B2607" s="2" t="str">
        <f>"762310234"</f>
        <v>762310234</v>
      </c>
      <c r="C2607" s="2" t="str">
        <f>"762310234"</f>
        <v>762310234</v>
      </c>
      <c r="D2607" s="2" t="s">
        <v>2213</v>
      </c>
      <c r="E2607" s="4">
        <v>5500</v>
      </c>
    </row>
    <row r="2608" spans="1:5" ht="26.25" x14ac:dyDescent="0.25">
      <c r="A2608" s="2" t="s">
        <v>2044</v>
      </c>
      <c r="B2608" s="2" t="str">
        <f>"762332234"</f>
        <v>762332234</v>
      </c>
      <c r="C2608" s="2" t="str">
        <f>"762332234"</f>
        <v>762332234</v>
      </c>
      <c r="D2608" s="2" t="s">
        <v>2213</v>
      </c>
      <c r="E2608" s="4">
        <v>5500</v>
      </c>
    </row>
    <row r="2609" spans="1:5" ht="26.25" x14ac:dyDescent="0.25">
      <c r="A2609" s="2" t="s">
        <v>2044</v>
      </c>
      <c r="B2609" s="2" t="str">
        <f>"766010234"</f>
        <v>766010234</v>
      </c>
      <c r="C2609" s="2" t="str">
        <f>"766010234"</f>
        <v>766010234</v>
      </c>
      <c r="D2609" s="2" t="s">
        <v>2213</v>
      </c>
      <c r="E2609" s="4">
        <v>5500</v>
      </c>
    </row>
    <row r="2610" spans="1:5" ht="26.25" x14ac:dyDescent="0.25">
      <c r="A2610" s="2" t="s">
        <v>2044</v>
      </c>
      <c r="B2610" s="2" t="str">
        <f>"762310295"</f>
        <v>762310295</v>
      </c>
      <c r="C2610" s="2" t="str">
        <f>"762310295"</f>
        <v>762310295</v>
      </c>
      <c r="D2610" s="2" t="s">
        <v>2214</v>
      </c>
      <c r="E2610" s="4">
        <v>5500</v>
      </c>
    </row>
    <row r="2611" spans="1:5" ht="26.25" x14ac:dyDescent="0.25">
      <c r="A2611" s="2" t="s">
        <v>2044</v>
      </c>
      <c r="B2611" s="2" t="str">
        <f>"176010295"</f>
        <v>176010295</v>
      </c>
      <c r="C2611" s="2" t="str">
        <f>"176010295"</f>
        <v>176010295</v>
      </c>
      <c r="D2611" s="2" t="s">
        <v>2214</v>
      </c>
      <c r="E2611" s="4">
        <v>5500</v>
      </c>
    </row>
    <row r="2612" spans="1:5" ht="26.25" x14ac:dyDescent="0.25">
      <c r="A2612" s="2" t="s">
        <v>2044</v>
      </c>
      <c r="B2612" s="2" t="str">
        <f>"762310296"</f>
        <v>762310296</v>
      </c>
      <c r="C2612" s="2" t="str">
        <f>"762310296"</f>
        <v>762310296</v>
      </c>
      <c r="D2612" s="2" t="s">
        <v>2215</v>
      </c>
      <c r="E2612" s="4">
        <v>5500</v>
      </c>
    </row>
    <row r="2613" spans="1:5" ht="26.25" x14ac:dyDescent="0.25">
      <c r="A2613" s="2" t="s">
        <v>2044</v>
      </c>
      <c r="B2613" s="2" t="str">
        <f>"172310296"</f>
        <v>172310296</v>
      </c>
      <c r="C2613" s="2" t="str">
        <f>"172310296"</f>
        <v>172310296</v>
      </c>
      <c r="D2613" s="2" t="s">
        <v>2215</v>
      </c>
      <c r="E2613" s="4">
        <v>5500</v>
      </c>
    </row>
    <row r="2614" spans="1:5" ht="26.25" x14ac:dyDescent="0.25">
      <c r="A2614" s="2" t="s">
        <v>2044</v>
      </c>
      <c r="B2614" s="2" t="str">
        <f>"766010296"</f>
        <v>766010296</v>
      </c>
      <c r="C2614" s="2" t="str">
        <f>"766010296"</f>
        <v>766010296</v>
      </c>
      <c r="D2614" s="2" t="s">
        <v>2215</v>
      </c>
      <c r="E2614" s="4">
        <v>5500</v>
      </c>
    </row>
    <row r="2615" spans="1:5" ht="26.25" x14ac:dyDescent="0.25">
      <c r="A2615" s="2" t="s">
        <v>2044</v>
      </c>
      <c r="B2615" s="2" t="str">
        <f>"762310299"</f>
        <v>762310299</v>
      </c>
      <c r="C2615" s="2" t="str">
        <f>"762310299"</f>
        <v>762310299</v>
      </c>
      <c r="D2615" s="2" t="s">
        <v>2216</v>
      </c>
      <c r="E2615" s="4">
        <v>5500</v>
      </c>
    </row>
    <row r="2616" spans="1:5" ht="26.25" x14ac:dyDescent="0.25">
      <c r="A2616" s="2" t="s">
        <v>2044</v>
      </c>
      <c r="B2616" s="2" t="str">
        <f>"322310312"</f>
        <v>322310312</v>
      </c>
      <c r="C2616" s="2" t="str">
        <f>"322310312"</f>
        <v>322310312</v>
      </c>
      <c r="D2616" s="2" t="s">
        <v>2217</v>
      </c>
      <c r="E2616" s="4">
        <v>5500</v>
      </c>
    </row>
    <row r="2617" spans="1:5" ht="26.25" x14ac:dyDescent="0.25">
      <c r="A2617" s="2" t="s">
        <v>2044</v>
      </c>
      <c r="B2617" s="2" t="str">
        <f>"672310312"</f>
        <v>672310312</v>
      </c>
      <c r="C2617" s="2" t="str">
        <f>"672310312"</f>
        <v>672310312</v>
      </c>
      <c r="D2617" s="2" t="s">
        <v>2217</v>
      </c>
      <c r="E2617" s="4">
        <v>5500</v>
      </c>
    </row>
    <row r="2618" spans="1:5" ht="26.25" x14ac:dyDescent="0.25">
      <c r="A2618" s="2" t="s">
        <v>2044</v>
      </c>
      <c r="B2618" s="2" t="str">
        <f>"762310315"</f>
        <v>762310315</v>
      </c>
      <c r="C2618" s="2" t="str">
        <f>"762310315"</f>
        <v>762310315</v>
      </c>
      <c r="D2618" s="2" t="s">
        <v>2218</v>
      </c>
      <c r="E2618" s="4">
        <v>5000</v>
      </c>
    </row>
    <row r="2619" spans="1:5" ht="26.25" x14ac:dyDescent="0.25">
      <c r="A2619" s="2" t="s">
        <v>2044</v>
      </c>
      <c r="B2619" s="2" t="str">
        <f>"762310316"</f>
        <v>762310316</v>
      </c>
      <c r="C2619" s="2" t="str">
        <f>"762310316"</f>
        <v>762310316</v>
      </c>
      <c r="D2619" s="2" t="s">
        <v>2219</v>
      </c>
      <c r="E2619" s="4">
        <v>5000</v>
      </c>
    </row>
    <row r="2620" spans="1:5" ht="26.25" x14ac:dyDescent="0.25">
      <c r="A2620" s="2" t="s">
        <v>2044</v>
      </c>
      <c r="B2620" s="2" t="str">
        <f>"762310321"</f>
        <v>762310321</v>
      </c>
      <c r="C2620" s="2" t="str">
        <f>"762310321"</f>
        <v>762310321</v>
      </c>
      <c r="D2620" s="2" t="s">
        <v>2220</v>
      </c>
      <c r="E2620" s="4">
        <v>5500</v>
      </c>
    </row>
    <row r="2621" spans="1:5" ht="26.25" x14ac:dyDescent="0.25">
      <c r="A2621" s="2" t="s">
        <v>2044</v>
      </c>
      <c r="B2621" s="2" t="str">
        <f>"612310322"</f>
        <v>612310322</v>
      </c>
      <c r="C2621" s="2" t="str">
        <f>"612310322"</f>
        <v>612310322</v>
      </c>
      <c r="D2621" s="2" t="s">
        <v>2221</v>
      </c>
      <c r="E2621" s="4">
        <v>5500</v>
      </c>
    </row>
    <row r="2622" spans="1:5" ht="26.25" x14ac:dyDescent="0.25">
      <c r="A2622" s="2" t="s">
        <v>2044</v>
      </c>
      <c r="B2622" s="2" t="str">
        <f>"762310324"</f>
        <v>762310324</v>
      </c>
      <c r="C2622" s="2" t="str">
        <f>"762310324"</f>
        <v>762310324</v>
      </c>
      <c r="D2622" s="2" t="s">
        <v>2222</v>
      </c>
      <c r="E2622" s="4">
        <v>5500</v>
      </c>
    </row>
    <row r="2623" spans="1:5" ht="26.25" x14ac:dyDescent="0.25">
      <c r="A2623" s="2" t="s">
        <v>2044</v>
      </c>
      <c r="B2623" s="2" t="str">
        <f>"110761225"</f>
        <v>110761225</v>
      </c>
      <c r="C2623" s="2" t="str">
        <f>"110761225"</f>
        <v>110761225</v>
      </c>
      <c r="D2623" s="2" t="s">
        <v>2223</v>
      </c>
      <c r="E2623" s="4">
        <v>7500</v>
      </c>
    </row>
    <row r="2624" spans="1:5" ht="26.25" x14ac:dyDescent="0.25">
      <c r="A2624" s="2" t="s">
        <v>2044</v>
      </c>
      <c r="B2624" s="2" t="str">
        <f>"1578086217980"</f>
        <v>1578086217980</v>
      </c>
      <c r="C2624" s="2" t="str">
        <f>"762305145"</f>
        <v>762305145</v>
      </c>
      <c r="D2624" s="2" t="s">
        <v>2224</v>
      </c>
      <c r="E2624" s="4">
        <v>5500</v>
      </c>
    </row>
    <row r="2625" spans="1:5" ht="26.25" x14ac:dyDescent="0.25">
      <c r="A2625" s="2" t="s">
        <v>2044</v>
      </c>
      <c r="B2625" s="2" t="str">
        <f>"17231079"</f>
        <v>17231079</v>
      </c>
      <c r="C2625" s="2" t="str">
        <f>"17231079"</f>
        <v>17231079</v>
      </c>
      <c r="D2625" s="2" t="s">
        <v>2225</v>
      </c>
      <c r="E2625" s="4">
        <v>5500</v>
      </c>
    </row>
    <row r="2626" spans="1:5" ht="26.25" x14ac:dyDescent="0.25">
      <c r="A2626" s="2" t="s">
        <v>2044</v>
      </c>
      <c r="B2626" s="2" t="str">
        <f>"17631079"</f>
        <v>17631079</v>
      </c>
      <c r="C2626" s="2" t="str">
        <f>"17631079"</f>
        <v>17631079</v>
      </c>
      <c r="D2626" s="2" t="s">
        <v>2225</v>
      </c>
      <c r="E2626" s="4">
        <v>5500</v>
      </c>
    </row>
    <row r="2627" spans="1:5" ht="26.25" x14ac:dyDescent="0.25">
      <c r="A2627" s="2" t="s">
        <v>2044</v>
      </c>
      <c r="B2627" s="2" t="str">
        <f>"76231079"</f>
        <v>76231079</v>
      </c>
      <c r="C2627" s="2" t="str">
        <f>"76231079"</f>
        <v>76231079</v>
      </c>
      <c r="D2627" s="2" t="s">
        <v>2225</v>
      </c>
      <c r="E2627" s="4">
        <v>5500</v>
      </c>
    </row>
    <row r="2628" spans="1:5" ht="26.25" x14ac:dyDescent="0.25">
      <c r="A2628" s="2" t="s">
        <v>2044</v>
      </c>
      <c r="B2628" s="2" t="str">
        <f>"17609121"</f>
        <v>17609121</v>
      </c>
      <c r="C2628" s="2" t="str">
        <f>"17609121"</f>
        <v>17609121</v>
      </c>
      <c r="D2628" s="2" t="s">
        <v>2226</v>
      </c>
      <c r="E2628" s="4">
        <v>5500</v>
      </c>
    </row>
    <row r="2629" spans="1:5" ht="26.25" x14ac:dyDescent="0.25">
      <c r="A2629" s="2" t="s">
        <v>2044</v>
      </c>
      <c r="B2629" s="2" t="str">
        <f>"176010121"</f>
        <v>176010121</v>
      </c>
      <c r="C2629" s="2" t="str">
        <f>"176010121"</f>
        <v>176010121</v>
      </c>
      <c r="D2629" s="2" t="s">
        <v>2226</v>
      </c>
      <c r="E2629" s="4">
        <v>5500</v>
      </c>
    </row>
    <row r="2630" spans="1:5" ht="26.25" x14ac:dyDescent="0.25">
      <c r="A2630" s="2" t="s">
        <v>2044</v>
      </c>
      <c r="B2630" s="2" t="str">
        <f>"766010121"</f>
        <v>766010121</v>
      </c>
      <c r="C2630" s="2" t="str">
        <f>"766010121"</f>
        <v>766010121</v>
      </c>
      <c r="D2630" s="2" t="s">
        <v>2226</v>
      </c>
      <c r="E2630" s="4">
        <v>5500</v>
      </c>
    </row>
    <row r="2631" spans="1:5" ht="26.25" x14ac:dyDescent="0.25">
      <c r="A2631" s="2" t="s">
        <v>2044</v>
      </c>
      <c r="B2631" s="2" t="str">
        <f>"172310121"</f>
        <v>172310121</v>
      </c>
      <c r="C2631" s="2" t="str">
        <f>"172310121"</f>
        <v>172310121</v>
      </c>
      <c r="D2631" s="2" t="s">
        <v>2226</v>
      </c>
      <c r="E2631" s="4">
        <v>5500</v>
      </c>
    </row>
    <row r="2632" spans="1:5" ht="26.25" x14ac:dyDescent="0.25">
      <c r="A2632" s="2" t="s">
        <v>2044</v>
      </c>
      <c r="B2632" s="2" t="str">
        <f>"172310173"</f>
        <v>172310173</v>
      </c>
      <c r="C2632" s="2" t="str">
        <f>"172310173"</f>
        <v>172310173</v>
      </c>
      <c r="D2632" s="2" t="s">
        <v>2227</v>
      </c>
      <c r="E2632" s="4">
        <v>5500</v>
      </c>
    </row>
    <row r="2633" spans="1:5" ht="26.25" x14ac:dyDescent="0.25">
      <c r="A2633" s="2" t="s">
        <v>2044</v>
      </c>
      <c r="B2633" s="2" t="str">
        <f>"17231082"</f>
        <v>17231082</v>
      </c>
      <c r="C2633" s="2" t="str">
        <f>"17231082"</f>
        <v>17231082</v>
      </c>
      <c r="D2633" s="2" t="s">
        <v>2228</v>
      </c>
      <c r="E2633" s="4">
        <v>5500</v>
      </c>
    </row>
    <row r="2634" spans="1:5" ht="26.25" x14ac:dyDescent="0.25">
      <c r="A2634" s="2" t="s">
        <v>2044</v>
      </c>
      <c r="B2634" s="2" t="str">
        <f>"76601082"</f>
        <v>76601082</v>
      </c>
      <c r="C2634" s="2" t="str">
        <f>"76601082"</f>
        <v>76601082</v>
      </c>
      <c r="D2634" s="2" t="s">
        <v>2228</v>
      </c>
      <c r="E2634" s="4">
        <v>5500</v>
      </c>
    </row>
    <row r="2635" spans="1:5" ht="26.25" x14ac:dyDescent="0.25">
      <c r="A2635" s="2" t="s">
        <v>2044</v>
      </c>
      <c r="B2635" s="2" t="str">
        <f>"76231082"</f>
        <v>76231082</v>
      </c>
      <c r="C2635" s="2" t="str">
        <f>"76231082"</f>
        <v>76231082</v>
      </c>
      <c r="D2635" s="2" t="s">
        <v>2228</v>
      </c>
      <c r="E2635" s="4">
        <v>6500</v>
      </c>
    </row>
    <row r="2636" spans="1:5" ht="26.25" x14ac:dyDescent="0.25">
      <c r="A2636" s="2" t="s">
        <v>2044</v>
      </c>
      <c r="B2636" s="2" t="str">
        <f>"76231182"</f>
        <v>76231182</v>
      </c>
      <c r="C2636" s="2" t="str">
        <f>"76231182"</f>
        <v>76231182</v>
      </c>
      <c r="D2636" s="2" t="s">
        <v>2228</v>
      </c>
      <c r="E2636" s="4">
        <v>6500</v>
      </c>
    </row>
    <row r="2637" spans="1:5" ht="26.25" x14ac:dyDescent="0.25">
      <c r="A2637" s="2" t="s">
        <v>2044</v>
      </c>
      <c r="B2637" s="2" t="str">
        <f>"76631082"</f>
        <v>76631082</v>
      </c>
      <c r="C2637" s="2" t="str">
        <f>"76631082"</f>
        <v>76631082</v>
      </c>
      <c r="D2637" s="2" t="s">
        <v>2228</v>
      </c>
      <c r="E2637" s="4">
        <v>5500</v>
      </c>
    </row>
    <row r="2638" spans="1:5" ht="26.25" x14ac:dyDescent="0.25">
      <c r="A2638" s="2" t="s">
        <v>2044</v>
      </c>
      <c r="B2638" s="2" t="str">
        <f>"322310305"</f>
        <v>322310305</v>
      </c>
      <c r="C2638" s="2" t="str">
        <f>"322310305"</f>
        <v>322310305</v>
      </c>
      <c r="D2638" s="2" t="s">
        <v>2229</v>
      </c>
      <c r="E2638" s="4">
        <v>5500</v>
      </c>
    </row>
    <row r="2639" spans="1:5" ht="26.25" x14ac:dyDescent="0.25">
      <c r="A2639" s="2" t="s">
        <v>2044</v>
      </c>
      <c r="B2639" s="2" t="str">
        <f>"172310282"</f>
        <v>172310282</v>
      </c>
      <c r="C2639" s="2" t="str">
        <f>"172310282"</f>
        <v>172310282</v>
      </c>
      <c r="D2639" s="2" t="s">
        <v>2230</v>
      </c>
      <c r="E2639" s="4">
        <v>5500</v>
      </c>
    </row>
    <row r="2640" spans="1:5" ht="26.25" x14ac:dyDescent="0.25">
      <c r="A2640" s="2" t="s">
        <v>2044</v>
      </c>
      <c r="B2640" s="2" t="str">
        <f>"172310284"</f>
        <v>172310284</v>
      </c>
      <c r="C2640" s="2" t="str">
        <f>"172310284"</f>
        <v>172310284</v>
      </c>
      <c r="D2640" s="2" t="s">
        <v>2231</v>
      </c>
      <c r="E2640" s="4">
        <v>5500</v>
      </c>
    </row>
    <row r="2641" spans="1:5" ht="26.25" x14ac:dyDescent="0.25">
      <c r="A2641" s="2" t="s">
        <v>2044</v>
      </c>
      <c r="B2641" s="2" t="str">
        <f>"176010284"</f>
        <v>176010284</v>
      </c>
      <c r="C2641" s="2" t="str">
        <f>"176010284"</f>
        <v>176010284</v>
      </c>
      <c r="D2641" s="2" t="s">
        <v>2231</v>
      </c>
      <c r="E2641" s="4">
        <v>5500</v>
      </c>
    </row>
    <row r="2642" spans="1:5" ht="26.25" x14ac:dyDescent="0.25">
      <c r="A2642" s="2" t="s">
        <v>2044</v>
      </c>
      <c r="B2642" s="2" t="str">
        <f>"76231025"</f>
        <v>76231025</v>
      </c>
      <c r="C2642" s="2" t="str">
        <f>"76231025"</f>
        <v>76231025</v>
      </c>
      <c r="D2642" s="2" t="s">
        <v>2232</v>
      </c>
      <c r="E2642" s="4">
        <v>5500</v>
      </c>
    </row>
    <row r="2643" spans="1:5" ht="26.25" x14ac:dyDescent="0.25">
      <c r="A2643" s="2" t="s">
        <v>2044</v>
      </c>
      <c r="B2643" s="2" t="str">
        <f>"1578085137101"</f>
        <v>1578085137101</v>
      </c>
      <c r="C2643" s="2" t="str">
        <f>"762314566"</f>
        <v>762314566</v>
      </c>
      <c r="D2643" s="2" t="s">
        <v>2233</v>
      </c>
      <c r="E2643" s="4">
        <v>5500</v>
      </c>
    </row>
    <row r="2644" spans="1:5" ht="26.25" x14ac:dyDescent="0.25">
      <c r="A2644" s="2" t="s">
        <v>2044</v>
      </c>
      <c r="B2644" s="2" t="str">
        <f>"682333111"</f>
        <v>682333111</v>
      </c>
      <c r="C2644" s="2" t="str">
        <f>"682333111"</f>
        <v>682333111</v>
      </c>
      <c r="D2644" s="2" t="s">
        <v>2234</v>
      </c>
      <c r="E2644" s="4">
        <v>5500</v>
      </c>
    </row>
    <row r="2645" spans="1:5" ht="26.25" x14ac:dyDescent="0.25">
      <c r="A2645" s="2" t="s">
        <v>2044</v>
      </c>
      <c r="B2645" s="2" t="str">
        <f>"17233163"</f>
        <v>17233163</v>
      </c>
      <c r="C2645" s="2" t="str">
        <f>"17233163"</f>
        <v>17233163</v>
      </c>
      <c r="D2645" s="2" t="s">
        <v>2235</v>
      </c>
      <c r="E2645" s="4">
        <v>5500</v>
      </c>
    </row>
    <row r="2646" spans="1:5" ht="26.25" x14ac:dyDescent="0.25">
      <c r="A2646" s="2" t="s">
        <v>2044</v>
      </c>
      <c r="B2646" s="2" t="str">
        <f>"76603163"</f>
        <v>76603163</v>
      </c>
      <c r="C2646" s="2" t="str">
        <f>"76603163"</f>
        <v>76603163</v>
      </c>
      <c r="D2646" s="2" t="s">
        <v>2235</v>
      </c>
      <c r="E2646" s="4">
        <v>5500</v>
      </c>
    </row>
    <row r="2647" spans="1:5" ht="26.25" x14ac:dyDescent="0.25">
      <c r="A2647" s="2" t="s">
        <v>2044</v>
      </c>
      <c r="B2647" s="2" t="str">
        <f>"76233163"</f>
        <v>76233163</v>
      </c>
      <c r="C2647" s="2" t="str">
        <f>"76233163"</f>
        <v>76233163</v>
      </c>
      <c r="D2647" s="2" t="s">
        <v>2235</v>
      </c>
      <c r="E2647" s="4">
        <v>5500</v>
      </c>
    </row>
    <row r="2648" spans="1:5" ht="26.25" x14ac:dyDescent="0.25">
      <c r="A2648" s="2" t="s">
        <v>2044</v>
      </c>
      <c r="B2648" s="2" t="str">
        <f>"762331631"</f>
        <v>762331631</v>
      </c>
      <c r="C2648" s="2" t="str">
        <f>"762331631"</f>
        <v>762331631</v>
      </c>
      <c r="D2648" s="2" t="s">
        <v>2236</v>
      </c>
      <c r="E2648" s="4">
        <v>5500</v>
      </c>
    </row>
    <row r="2649" spans="1:5" ht="26.25" x14ac:dyDescent="0.25">
      <c r="A2649" s="2" t="s">
        <v>2044</v>
      </c>
      <c r="B2649" s="2" t="str">
        <f>"76233165"</f>
        <v>76233165</v>
      </c>
      <c r="C2649" s="2" t="str">
        <f>"76233165"</f>
        <v>76233165</v>
      </c>
      <c r="D2649" s="2" t="s">
        <v>2237</v>
      </c>
      <c r="E2649" s="4">
        <v>5500</v>
      </c>
    </row>
    <row r="2650" spans="1:5" ht="26.25" x14ac:dyDescent="0.25">
      <c r="A2650" s="2" t="s">
        <v>2044</v>
      </c>
      <c r="B2650" s="2" t="str">
        <f>"762331551"</f>
        <v>762331551</v>
      </c>
      <c r="C2650" s="2" t="str">
        <f>"762331551"</f>
        <v>762331551</v>
      </c>
      <c r="D2650" s="2" t="s">
        <v>2238</v>
      </c>
      <c r="E2650" s="4">
        <v>5500</v>
      </c>
    </row>
    <row r="2651" spans="1:5" ht="26.25" x14ac:dyDescent="0.25">
      <c r="A2651" s="2" t="s">
        <v>2044</v>
      </c>
      <c r="B2651" s="2" t="str">
        <f>"76233166"</f>
        <v>76233166</v>
      </c>
      <c r="C2651" s="2" t="str">
        <f>"76233166"</f>
        <v>76233166</v>
      </c>
      <c r="D2651" s="2" t="s">
        <v>2239</v>
      </c>
      <c r="E2651" s="4">
        <v>5500</v>
      </c>
    </row>
    <row r="2652" spans="1:5" ht="26.25" x14ac:dyDescent="0.25">
      <c r="A2652" s="2" t="s">
        <v>2044</v>
      </c>
      <c r="B2652" s="2" t="str">
        <f>"76233316"</f>
        <v>76233316</v>
      </c>
      <c r="C2652" s="2" t="str">
        <f>"76233316"</f>
        <v>76233316</v>
      </c>
      <c r="D2652" s="2" t="s">
        <v>2239</v>
      </c>
      <c r="E2652" s="4">
        <v>5500</v>
      </c>
    </row>
    <row r="2653" spans="1:5" ht="26.25" x14ac:dyDescent="0.25">
      <c r="A2653" s="2" t="s">
        <v>2044</v>
      </c>
      <c r="B2653" s="2" t="str">
        <f>"762301156"</f>
        <v>762301156</v>
      </c>
      <c r="C2653" s="2" t="str">
        <f>"762301156"</f>
        <v>762301156</v>
      </c>
      <c r="D2653" s="2" t="s">
        <v>2240</v>
      </c>
      <c r="E2653" s="4">
        <v>5500</v>
      </c>
    </row>
    <row r="2654" spans="1:5" ht="26.25" x14ac:dyDescent="0.25">
      <c r="A2654" s="2" t="s">
        <v>2044</v>
      </c>
      <c r="B2654" s="2" t="str">
        <f>"7676020182"</f>
        <v>7676020182</v>
      </c>
      <c r="C2654" s="2" t="str">
        <f>"7676020182"</f>
        <v>7676020182</v>
      </c>
      <c r="D2654" s="2" t="s">
        <v>2241</v>
      </c>
      <c r="E2654" s="4">
        <v>5500</v>
      </c>
    </row>
    <row r="2655" spans="1:5" ht="26.25" x14ac:dyDescent="0.25">
      <c r="A2655" s="2" t="s">
        <v>2044</v>
      </c>
      <c r="B2655" s="2" t="str">
        <f>"762320248"</f>
        <v>762320248</v>
      </c>
      <c r="C2655" s="2" t="str">
        <f>"762320248"</f>
        <v>762320248</v>
      </c>
      <c r="D2655" s="2" t="s">
        <v>2242</v>
      </c>
      <c r="E2655" s="4">
        <v>5500</v>
      </c>
    </row>
    <row r="2656" spans="1:5" ht="26.25" x14ac:dyDescent="0.25">
      <c r="A2656" s="2" t="s">
        <v>2044</v>
      </c>
      <c r="B2656" s="2" t="str">
        <f>"762320182"</f>
        <v>762320182</v>
      </c>
      <c r="C2656" s="2" t="str">
        <f>"762320182"</f>
        <v>762320182</v>
      </c>
      <c r="D2656" s="2" t="s">
        <v>2243</v>
      </c>
      <c r="E2656" s="4">
        <v>5500</v>
      </c>
    </row>
    <row r="2657" spans="1:5" ht="26.25" x14ac:dyDescent="0.25">
      <c r="A2657" s="2" t="s">
        <v>2044</v>
      </c>
      <c r="B2657" s="2" t="str">
        <f>"766020182"</f>
        <v>766020182</v>
      </c>
      <c r="C2657" s="2" t="str">
        <f>"766020182"</f>
        <v>766020182</v>
      </c>
      <c r="D2657" s="2" t="s">
        <v>2243</v>
      </c>
      <c r="E2657" s="4">
        <v>5500</v>
      </c>
    </row>
    <row r="2658" spans="1:5" ht="26.25" x14ac:dyDescent="0.25">
      <c r="A2658" s="2" t="s">
        <v>2044</v>
      </c>
      <c r="B2658" s="2" t="str">
        <f>"762320123"</f>
        <v>762320123</v>
      </c>
      <c r="C2658" s="2" t="str">
        <f>"762320123"</f>
        <v>762320123</v>
      </c>
      <c r="D2658" s="2" t="s">
        <v>2244</v>
      </c>
      <c r="E2658" s="4">
        <v>5500</v>
      </c>
    </row>
    <row r="2659" spans="1:5" ht="26.25" x14ac:dyDescent="0.25">
      <c r="A2659" s="2" t="s">
        <v>2044</v>
      </c>
      <c r="B2659" s="2" t="str">
        <f>"766020123"</f>
        <v>766020123</v>
      </c>
      <c r="C2659" s="2" t="str">
        <f>"766020123"</f>
        <v>766020123</v>
      </c>
      <c r="D2659" s="2" t="s">
        <v>2244</v>
      </c>
      <c r="E2659" s="4">
        <v>5500</v>
      </c>
    </row>
    <row r="2660" spans="1:5" ht="26.25" x14ac:dyDescent="0.25">
      <c r="A2660" s="2" t="s">
        <v>2044</v>
      </c>
      <c r="B2660" s="2" t="str">
        <f>"766320123"</f>
        <v>766320123</v>
      </c>
      <c r="C2660" s="2" t="str">
        <f>"766320123"</f>
        <v>766320123</v>
      </c>
      <c r="D2660" s="2" t="s">
        <v>2244</v>
      </c>
      <c r="E2660" s="4">
        <v>5500</v>
      </c>
    </row>
    <row r="2661" spans="1:5" ht="26.25" x14ac:dyDescent="0.25">
      <c r="A2661" s="2" t="s">
        <v>2044</v>
      </c>
      <c r="B2661" s="2" t="str">
        <f>"766020114"</f>
        <v>766020114</v>
      </c>
      <c r="C2661" s="2" t="str">
        <f>"766020114"</f>
        <v>766020114</v>
      </c>
      <c r="D2661" s="2" t="s">
        <v>2245</v>
      </c>
      <c r="E2661" s="4">
        <v>5500</v>
      </c>
    </row>
    <row r="2662" spans="1:5" ht="26.25" x14ac:dyDescent="0.25">
      <c r="A2662" s="2" t="s">
        <v>2044</v>
      </c>
      <c r="B2662" s="2" t="str">
        <f>"766020115"</f>
        <v>766020115</v>
      </c>
      <c r="C2662" s="2" t="str">
        <f>"766020115"</f>
        <v>766020115</v>
      </c>
      <c r="D2662" s="2" t="s">
        <v>2245</v>
      </c>
      <c r="E2662" s="4">
        <v>5500</v>
      </c>
    </row>
    <row r="2663" spans="1:5" ht="26.25" x14ac:dyDescent="0.25">
      <c r="A2663" s="2" t="s">
        <v>2044</v>
      </c>
      <c r="B2663" s="2" t="str">
        <f>"766320114"</f>
        <v>766320114</v>
      </c>
      <c r="C2663" s="2" t="str">
        <f>"766320114"</f>
        <v>766320114</v>
      </c>
      <c r="D2663" s="2" t="s">
        <v>2245</v>
      </c>
      <c r="E2663" s="4">
        <v>5500</v>
      </c>
    </row>
    <row r="2664" spans="1:5" ht="26.25" x14ac:dyDescent="0.25">
      <c r="A2664" s="2" t="s">
        <v>2044</v>
      </c>
      <c r="B2664" s="2" t="str">
        <f>"762320181"</f>
        <v>762320181</v>
      </c>
      <c r="C2664" s="2" t="str">
        <f>"762320181"</f>
        <v>762320181</v>
      </c>
      <c r="D2664" s="2" t="s">
        <v>2246</v>
      </c>
      <c r="E2664" s="4">
        <v>5500</v>
      </c>
    </row>
    <row r="2665" spans="1:5" ht="26.25" x14ac:dyDescent="0.25">
      <c r="A2665" s="2" t="s">
        <v>2044</v>
      </c>
      <c r="B2665" s="2" t="str">
        <f>"766020181"</f>
        <v>766020181</v>
      </c>
      <c r="C2665" s="2" t="str">
        <f>"766020181"</f>
        <v>766020181</v>
      </c>
      <c r="D2665" s="2" t="s">
        <v>2246</v>
      </c>
      <c r="E2665" s="4">
        <v>5500</v>
      </c>
    </row>
    <row r="2666" spans="1:5" ht="26.25" x14ac:dyDescent="0.25">
      <c r="A2666" s="2" t="s">
        <v>2044</v>
      </c>
      <c r="B2666" s="2" t="str">
        <f>"762320242"</f>
        <v>762320242</v>
      </c>
      <c r="C2666" s="2" t="str">
        <f>"762320242"</f>
        <v>762320242</v>
      </c>
      <c r="D2666" s="2" t="s">
        <v>2247</v>
      </c>
      <c r="E2666" s="4">
        <v>5500</v>
      </c>
    </row>
    <row r="2667" spans="1:5" ht="26.25" x14ac:dyDescent="0.25">
      <c r="A2667" s="2" t="s">
        <v>2044</v>
      </c>
      <c r="B2667" s="2" t="str">
        <f>"766020242"</f>
        <v>766020242</v>
      </c>
      <c r="C2667" s="2" t="str">
        <f>"766020242"</f>
        <v>766020242</v>
      </c>
      <c r="D2667" s="2" t="s">
        <v>2247</v>
      </c>
      <c r="E2667" s="4">
        <v>5500</v>
      </c>
    </row>
    <row r="2668" spans="1:5" ht="26.25" x14ac:dyDescent="0.25">
      <c r="A2668" s="2" t="s">
        <v>2044</v>
      </c>
      <c r="B2668" s="2" t="str">
        <f>"762320180"</f>
        <v>762320180</v>
      </c>
      <c r="C2668" s="2" t="str">
        <f>"762320180"</f>
        <v>762320180</v>
      </c>
      <c r="D2668" s="2" t="s">
        <v>2248</v>
      </c>
      <c r="E2668" s="4">
        <v>5500</v>
      </c>
    </row>
    <row r="2669" spans="1:5" ht="26.25" x14ac:dyDescent="0.25">
      <c r="A2669" s="2" t="s">
        <v>2044</v>
      </c>
      <c r="B2669" s="2" t="str">
        <f>"766020180"</f>
        <v>766020180</v>
      </c>
      <c r="C2669" s="2" t="str">
        <f>"766020180"</f>
        <v>766020180</v>
      </c>
      <c r="D2669" s="2" t="s">
        <v>2248</v>
      </c>
      <c r="E2669" s="4">
        <v>5500</v>
      </c>
    </row>
    <row r="2670" spans="1:5" ht="26.25" x14ac:dyDescent="0.25">
      <c r="A2670" s="2" t="s">
        <v>2044</v>
      </c>
      <c r="B2670" s="2" t="str">
        <f>"17230548"</f>
        <v>17230548</v>
      </c>
      <c r="C2670" s="2" t="str">
        <f>"17230548"</f>
        <v>17230548</v>
      </c>
      <c r="D2670" s="2" t="s">
        <v>2249</v>
      </c>
      <c r="E2670" s="4">
        <v>5500</v>
      </c>
    </row>
    <row r="2671" spans="1:5" ht="26.25" x14ac:dyDescent="0.25">
      <c r="A2671" s="2" t="s">
        <v>2044</v>
      </c>
      <c r="B2671" s="2" t="str">
        <f>"342301129"</f>
        <v>342301129</v>
      </c>
      <c r="C2671" s="2" t="str">
        <f>"342301129"</f>
        <v>342301129</v>
      </c>
      <c r="D2671" s="2" t="s">
        <v>2250</v>
      </c>
      <c r="E2671" s="4">
        <v>5500</v>
      </c>
    </row>
    <row r="2672" spans="1:5" ht="26.25" x14ac:dyDescent="0.25">
      <c r="A2672" s="2" t="s">
        <v>2044</v>
      </c>
      <c r="B2672" s="2" t="str">
        <f>"762320114"</f>
        <v>762320114</v>
      </c>
      <c r="C2672" s="2" t="str">
        <f>"762320114"</f>
        <v>762320114</v>
      </c>
      <c r="D2672" s="2" t="s">
        <v>2251</v>
      </c>
      <c r="E2672" s="4">
        <v>6500</v>
      </c>
    </row>
    <row r="2673" spans="1:5" ht="26.25" x14ac:dyDescent="0.25">
      <c r="A2673" s="2" t="s">
        <v>2044</v>
      </c>
      <c r="B2673" s="2" t="str">
        <f>"110760004"</f>
        <v>110760004</v>
      </c>
      <c r="C2673" s="2" t="str">
        <f>"110760004"</f>
        <v>110760004</v>
      </c>
      <c r="D2673" s="2" t="s">
        <v>2252</v>
      </c>
      <c r="E2673" s="4">
        <v>5500</v>
      </c>
    </row>
    <row r="2674" spans="1:5" ht="26.25" x14ac:dyDescent="0.25">
      <c r="A2674" s="2" t="s">
        <v>2044</v>
      </c>
      <c r="B2674" s="2" t="str">
        <f>"612314289"</f>
        <v>612314289</v>
      </c>
      <c r="C2674" s="2" t="str">
        <f>"612314289"</f>
        <v>612314289</v>
      </c>
      <c r="D2674" s="2" t="s">
        <v>2253</v>
      </c>
      <c r="E2674" s="4">
        <v>5500</v>
      </c>
    </row>
    <row r="2675" spans="1:5" ht="26.25" x14ac:dyDescent="0.25">
      <c r="A2675" s="2" t="s">
        <v>2044</v>
      </c>
      <c r="B2675" s="2" t="str">
        <f>"762314279"</f>
        <v>762314279</v>
      </c>
      <c r="C2675" s="2" t="str">
        <f>"612314279"</f>
        <v>612314279</v>
      </c>
      <c r="D2675" s="2" t="s">
        <v>2254</v>
      </c>
      <c r="E2675" s="4">
        <v>5000</v>
      </c>
    </row>
    <row r="2676" spans="1:5" ht="26.25" x14ac:dyDescent="0.25">
      <c r="A2676" s="2" t="s">
        <v>2044</v>
      </c>
      <c r="B2676" s="2" t="str">
        <f>"762314284"</f>
        <v>762314284</v>
      </c>
      <c r="C2676" s="2" t="str">
        <f>"762314284"</f>
        <v>762314284</v>
      </c>
      <c r="D2676" s="2" t="s">
        <v>2255</v>
      </c>
      <c r="E2676" s="4">
        <v>5000</v>
      </c>
    </row>
    <row r="2677" spans="1:5" ht="26.25" x14ac:dyDescent="0.25">
      <c r="A2677" s="2" t="s">
        <v>2044</v>
      </c>
      <c r="B2677" s="2" t="str">
        <f>"612314284"</f>
        <v>612314284</v>
      </c>
      <c r="C2677" s="2" t="str">
        <f>"612314284"</f>
        <v>612314284</v>
      </c>
      <c r="D2677" s="2" t="s">
        <v>2255</v>
      </c>
      <c r="E2677" s="4">
        <v>5500</v>
      </c>
    </row>
    <row r="2678" spans="1:5" ht="26.25" x14ac:dyDescent="0.25">
      <c r="A2678" s="2" t="s">
        <v>2044</v>
      </c>
      <c r="B2678" s="2" t="str">
        <f>"612314287"</f>
        <v>612314287</v>
      </c>
      <c r="C2678" s="2" t="str">
        <f>"612314287"</f>
        <v>612314287</v>
      </c>
      <c r="D2678" s="2" t="s">
        <v>2256</v>
      </c>
      <c r="E2678" s="4">
        <v>5500</v>
      </c>
    </row>
    <row r="2679" spans="1:5" ht="26.25" x14ac:dyDescent="0.25">
      <c r="A2679" s="2" t="s">
        <v>2044</v>
      </c>
      <c r="B2679" s="2" t="str">
        <f>"762314275"</f>
        <v>762314275</v>
      </c>
      <c r="C2679" s="2" t="str">
        <f>"762314275"</f>
        <v>762314275</v>
      </c>
      <c r="D2679" s="2" t="s">
        <v>2257</v>
      </c>
      <c r="E2679" s="4">
        <v>5500</v>
      </c>
    </row>
    <row r="2680" spans="1:5" ht="26.25" x14ac:dyDescent="0.25">
      <c r="A2680" s="2" t="s">
        <v>2044</v>
      </c>
      <c r="B2680" s="2" t="str">
        <f>"682314275"</f>
        <v>682314275</v>
      </c>
      <c r="C2680" s="2" t="str">
        <f>"682314275"</f>
        <v>682314275</v>
      </c>
      <c r="D2680" s="2" t="s">
        <v>2257</v>
      </c>
      <c r="E2680" s="4">
        <v>5500</v>
      </c>
    </row>
    <row r="2681" spans="1:5" ht="26.25" x14ac:dyDescent="0.25">
      <c r="A2681" s="2" t="s">
        <v>2044</v>
      </c>
      <c r="B2681" s="2" t="str">
        <f>"762314281"</f>
        <v>762314281</v>
      </c>
      <c r="C2681" s="2" t="str">
        <f>"762314281"</f>
        <v>762314281</v>
      </c>
      <c r="D2681" s="2" t="s">
        <v>2257</v>
      </c>
      <c r="E2681" s="4">
        <v>5000</v>
      </c>
    </row>
    <row r="2682" spans="1:5" ht="26.25" x14ac:dyDescent="0.25">
      <c r="A2682" s="2" t="s">
        <v>2044</v>
      </c>
      <c r="B2682" s="2" t="str">
        <f>"612314281"</f>
        <v>612314281</v>
      </c>
      <c r="C2682" s="2" t="str">
        <f>"612314281"</f>
        <v>612314281</v>
      </c>
      <c r="D2682" s="2" t="s">
        <v>2257</v>
      </c>
      <c r="E2682" s="4">
        <v>5500</v>
      </c>
    </row>
    <row r="2683" spans="1:5" ht="26.25" x14ac:dyDescent="0.25">
      <c r="A2683" s="2" t="s">
        <v>2044</v>
      </c>
      <c r="B2683" s="2" t="str">
        <f>"762314355"</f>
        <v>762314355</v>
      </c>
      <c r="C2683" s="2" t="str">
        <f>"612314355"</f>
        <v>612314355</v>
      </c>
      <c r="D2683" s="2" t="s">
        <v>2258</v>
      </c>
      <c r="E2683" s="4">
        <v>5500</v>
      </c>
    </row>
    <row r="2684" spans="1:5" ht="26.25" x14ac:dyDescent="0.25">
      <c r="A2684" s="2" t="s">
        <v>2044</v>
      </c>
      <c r="B2684" s="2" t="str">
        <f>"612314285"</f>
        <v>612314285</v>
      </c>
      <c r="C2684" s="2" t="str">
        <f>"612314285"</f>
        <v>612314285</v>
      </c>
      <c r="D2684" s="2" t="s">
        <v>2258</v>
      </c>
      <c r="E2684" s="4">
        <v>5500</v>
      </c>
    </row>
    <row r="2685" spans="1:5" ht="26.25" x14ac:dyDescent="0.25">
      <c r="A2685" s="2" t="s">
        <v>2044</v>
      </c>
      <c r="B2685" s="2" t="str">
        <f>"762314293"</f>
        <v>762314293</v>
      </c>
      <c r="C2685" s="2" t="str">
        <f>"612314293"</f>
        <v>612314293</v>
      </c>
      <c r="D2685" s="2" t="s">
        <v>2259</v>
      </c>
      <c r="E2685" s="4">
        <v>5500</v>
      </c>
    </row>
    <row r="2686" spans="1:5" ht="26.25" x14ac:dyDescent="0.25">
      <c r="A2686" s="2" t="s">
        <v>2044</v>
      </c>
      <c r="B2686" s="2" t="str">
        <f>"2020060801186"</f>
        <v>2020060801186</v>
      </c>
      <c r="C2686" s="2" t="str">
        <f>"182314293"</f>
        <v>182314293</v>
      </c>
      <c r="D2686" s="2" t="s">
        <v>2259</v>
      </c>
      <c r="E2686" s="4">
        <v>5500</v>
      </c>
    </row>
    <row r="2687" spans="1:5" ht="26.25" x14ac:dyDescent="0.25">
      <c r="A2687" s="2" t="s">
        <v>2044</v>
      </c>
      <c r="B2687" s="2" t="str">
        <f>"766014197"</f>
        <v>766014197</v>
      </c>
      <c r="C2687" s="2" t="str">
        <f>"766014197"</f>
        <v>766014197</v>
      </c>
      <c r="D2687" s="2" t="s">
        <v>2260</v>
      </c>
      <c r="E2687" s="4">
        <v>5500</v>
      </c>
    </row>
    <row r="2688" spans="1:5" ht="26.25" x14ac:dyDescent="0.25">
      <c r="A2688" s="2" t="s">
        <v>2044</v>
      </c>
      <c r="B2688" s="2" t="str">
        <f>"762314274"</f>
        <v>762314274</v>
      </c>
      <c r="C2688" s="2" t="str">
        <f>"762314274"</f>
        <v>762314274</v>
      </c>
      <c r="D2688" s="2" t="s">
        <v>2261</v>
      </c>
      <c r="E2688" s="4">
        <v>5500</v>
      </c>
    </row>
    <row r="2689" spans="1:5" ht="26.25" x14ac:dyDescent="0.25">
      <c r="A2689" s="2" t="s">
        <v>2044</v>
      </c>
      <c r="B2689" s="2" t="str">
        <f>"762314286"</f>
        <v>762314286</v>
      </c>
      <c r="C2689" s="2" t="str">
        <f>"762314286"</f>
        <v>762314286</v>
      </c>
      <c r="D2689" s="2" t="s">
        <v>2262</v>
      </c>
      <c r="E2689" s="4">
        <v>5500</v>
      </c>
    </row>
    <row r="2690" spans="1:5" ht="26.25" x14ac:dyDescent="0.25">
      <c r="A2690" s="2" t="s">
        <v>2044</v>
      </c>
      <c r="B2690" s="2" t="str">
        <f>"761314286"</f>
        <v>761314286</v>
      </c>
      <c r="C2690" s="2" t="str">
        <f>"761314286"</f>
        <v>761314286</v>
      </c>
      <c r="D2690" s="2" t="s">
        <v>2262</v>
      </c>
      <c r="E2690" s="4">
        <v>5500</v>
      </c>
    </row>
    <row r="2691" spans="1:5" ht="26.25" x14ac:dyDescent="0.25">
      <c r="A2691" s="2" t="s">
        <v>2044</v>
      </c>
      <c r="B2691" s="2" t="str">
        <f>"762314294"</f>
        <v>762314294</v>
      </c>
      <c r="C2691" s="2" t="str">
        <f>"762314294"</f>
        <v>762314294</v>
      </c>
      <c r="D2691" s="2" t="s">
        <v>2263</v>
      </c>
      <c r="E2691" s="4">
        <v>5500</v>
      </c>
    </row>
    <row r="2692" spans="1:5" ht="26.25" x14ac:dyDescent="0.25">
      <c r="A2692" s="2" t="s">
        <v>2044</v>
      </c>
      <c r="B2692" s="2" t="str">
        <f>"110761115"</f>
        <v>110761115</v>
      </c>
      <c r="C2692" s="2" t="str">
        <f>"110761115"</f>
        <v>110761115</v>
      </c>
      <c r="D2692" s="2" t="s">
        <v>2264</v>
      </c>
      <c r="E2692" s="4">
        <v>7000</v>
      </c>
    </row>
    <row r="2693" spans="1:5" ht="26.25" x14ac:dyDescent="0.25">
      <c r="A2693" s="2" t="s">
        <v>2044</v>
      </c>
      <c r="B2693" s="2" t="str">
        <f>"76231432"</f>
        <v>76231432</v>
      </c>
      <c r="C2693" s="2" t="str">
        <f>"76231432"</f>
        <v>76231432</v>
      </c>
      <c r="D2693" s="2" t="s">
        <v>2264</v>
      </c>
      <c r="E2693" s="4">
        <v>7500</v>
      </c>
    </row>
    <row r="2694" spans="1:5" ht="26.25" x14ac:dyDescent="0.25">
      <c r="A2694" s="2" t="s">
        <v>2044</v>
      </c>
      <c r="B2694" s="2" t="str">
        <f>"76601401"</f>
        <v>76601401</v>
      </c>
      <c r="C2694" s="2" t="str">
        <f>"76601401"</f>
        <v>76601401</v>
      </c>
      <c r="D2694" s="2" t="s">
        <v>2265</v>
      </c>
      <c r="E2694" s="4">
        <v>5500</v>
      </c>
    </row>
    <row r="2695" spans="1:5" ht="26.25" x14ac:dyDescent="0.25">
      <c r="A2695" s="2" t="s">
        <v>2044</v>
      </c>
      <c r="B2695" s="2" t="str">
        <f>"766014179"</f>
        <v>766014179</v>
      </c>
      <c r="C2695" s="2" t="str">
        <f>"766014179"</f>
        <v>766014179</v>
      </c>
      <c r="D2695" s="2" t="s">
        <v>2265</v>
      </c>
      <c r="E2695" s="4">
        <v>5500</v>
      </c>
    </row>
    <row r="2696" spans="1:5" ht="26.25" x14ac:dyDescent="0.25">
      <c r="A2696" s="2" t="s">
        <v>2044</v>
      </c>
      <c r="B2696" s="2" t="str">
        <f>"762314179"</f>
        <v>762314179</v>
      </c>
      <c r="C2696" s="2" t="str">
        <f>"762314179"</f>
        <v>762314179</v>
      </c>
      <c r="D2696" s="2" t="s">
        <v>2265</v>
      </c>
      <c r="E2696" s="4">
        <v>5500</v>
      </c>
    </row>
    <row r="2697" spans="1:5" ht="26.25" x14ac:dyDescent="0.25">
      <c r="A2697" s="2" t="s">
        <v>2044</v>
      </c>
      <c r="B2697" s="2" t="str">
        <f>"1578086040274"</f>
        <v>1578086040274</v>
      </c>
      <c r="C2697" s="2" t="str">
        <f>"762305144"</f>
        <v>762305144</v>
      </c>
      <c r="D2697" s="2" t="s">
        <v>2266</v>
      </c>
      <c r="E2697" s="4">
        <v>5500</v>
      </c>
    </row>
    <row r="2698" spans="1:5" ht="26.25" x14ac:dyDescent="0.25">
      <c r="A2698" s="2" t="s">
        <v>2044</v>
      </c>
      <c r="B2698" s="2" t="str">
        <f>"612314275"</f>
        <v>612314275</v>
      </c>
      <c r="C2698" s="2" t="str">
        <f>"612314275"</f>
        <v>612314275</v>
      </c>
      <c r="D2698" s="2" t="s">
        <v>2266</v>
      </c>
      <c r="E2698" s="4">
        <v>5500</v>
      </c>
    </row>
    <row r="2699" spans="1:5" ht="26.25" x14ac:dyDescent="0.25">
      <c r="A2699" s="2" t="s">
        <v>2044</v>
      </c>
      <c r="B2699" s="2" t="str">
        <f>"762314288"</f>
        <v>762314288</v>
      </c>
      <c r="C2699" s="2" t="str">
        <f>"762314288"</f>
        <v>762314288</v>
      </c>
      <c r="D2699" s="2" t="s">
        <v>2267</v>
      </c>
      <c r="E2699" s="4">
        <v>5500</v>
      </c>
    </row>
    <row r="2700" spans="1:5" ht="26.25" x14ac:dyDescent="0.25">
      <c r="A2700" s="2" t="s">
        <v>2044</v>
      </c>
      <c r="B2700" s="2" t="str">
        <f>"766314294"</f>
        <v>766314294</v>
      </c>
      <c r="C2700" s="2" t="str">
        <f>"766314294"</f>
        <v>766314294</v>
      </c>
      <c r="D2700" s="2" t="s">
        <v>2268</v>
      </c>
      <c r="E2700" s="4">
        <v>5500</v>
      </c>
    </row>
    <row r="2701" spans="1:5" ht="26.25" x14ac:dyDescent="0.25">
      <c r="A2701" s="2" t="s">
        <v>2044</v>
      </c>
      <c r="B2701" s="2" t="str">
        <f>"766014177"</f>
        <v>766014177</v>
      </c>
      <c r="C2701" s="2" t="str">
        <f>"766014177"</f>
        <v>766014177</v>
      </c>
      <c r="D2701" s="2" t="s">
        <v>2269</v>
      </c>
      <c r="E2701" s="4">
        <v>5500</v>
      </c>
    </row>
    <row r="2702" spans="1:5" ht="26.25" x14ac:dyDescent="0.25">
      <c r="A2702" s="2" t="s">
        <v>2044</v>
      </c>
      <c r="B2702" s="2" t="str">
        <f>"762314277"</f>
        <v>762314277</v>
      </c>
      <c r="C2702" s="2" t="str">
        <f>"762314277"</f>
        <v>762314277</v>
      </c>
      <c r="D2702" s="2" t="s">
        <v>2270</v>
      </c>
      <c r="E2702" s="4">
        <v>5500</v>
      </c>
    </row>
    <row r="2703" spans="1:5" ht="26.25" x14ac:dyDescent="0.25">
      <c r="A2703" s="2" t="s">
        <v>2044</v>
      </c>
      <c r="B2703" s="2" t="str">
        <f>"682314277"</f>
        <v>682314277</v>
      </c>
      <c r="C2703" s="2" t="str">
        <f>"682314277"</f>
        <v>682314277</v>
      </c>
      <c r="D2703" s="2" t="s">
        <v>2270</v>
      </c>
      <c r="E2703" s="4">
        <v>5000</v>
      </c>
    </row>
    <row r="2704" spans="1:5" ht="26.25" x14ac:dyDescent="0.25">
      <c r="A2704" s="2" t="s">
        <v>2044</v>
      </c>
      <c r="B2704" s="2" t="str">
        <f>"762314290"</f>
        <v>762314290</v>
      </c>
      <c r="C2704" s="2" t="str">
        <f>"762314290"</f>
        <v>762314290</v>
      </c>
      <c r="D2704" s="2" t="s">
        <v>2271</v>
      </c>
      <c r="E2704" s="4">
        <v>5500</v>
      </c>
    </row>
    <row r="2705" spans="1:5" ht="26.25" x14ac:dyDescent="0.25">
      <c r="A2705" s="2" t="s">
        <v>2044</v>
      </c>
      <c r="B2705" s="2" t="str">
        <f>"342314138"</f>
        <v>342314138</v>
      </c>
      <c r="C2705" s="2" t="str">
        <f>"342314138"</f>
        <v>342314138</v>
      </c>
      <c r="D2705" s="2" t="s">
        <v>2272</v>
      </c>
      <c r="E2705" s="4">
        <v>5500</v>
      </c>
    </row>
    <row r="2706" spans="1:5" ht="26.25" x14ac:dyDescent="0.25">
      <c r="A2706" s="2" t="s">
        <v>2044</v>
      </c>
      <c r="B2706" s="2" t="str">
        <f>"862314168"</f>
        <v>862314168</v>
      </c>
      <c r="C2706" s="2" t="str">
        <f>"862314168"</f>
        <v>862314168</v>
      </c>
      <c r="D2706" s="2" t="s">
        <v>2272</v>
      </c>
      <c r="E2706" s="4">
        <v>9500</v>
      </c>
    </row>
    <row r="2707" spans="1:5" ht="26.25" x14ac:dyDescent="0.25">
      <c r="A2707" s="2" t="s">
        <v>2044</v>
      </c>
      <c r="B2707" s="2" t="str">
        <f>"7290112310316"</f>
        <v>7290112310316</v>
      </c>
      <c r="C2707" s="2" t="str">
        <f>"342314168"</f>
        <v>342314168</v>
      </c>
      <c r="D2707" s="2" t="s">
        <v>2272</v>
      </c>
      <c r="E2707" s="4">
        <v>6500</v>
      </c>
    </row>
    <row r="2708" spans="1:5" ht="26.25" x14ac:dyDescent="0.25">
      <c r="A2708" s="2" t="s">
        <v>2044</v>
      </c>
      <c r="B2708" s="2" t="str">
        <f>"342314139"</f>
        <v>342314139</v>
      </c>
      <c r="C2708" s="2" t="str">
        <f>"342314139"</f>
        <v>342314139</v>
      </c>
      <c r="D2708" s="2" t="s">
        <v>2273</v>
      </c>
      <c r="E2708" s="4">
        <v>5500</v>
      </c>
    </row>
    <row r="2709" spans="1:5" ht="26.25" x14ac:dyDescent="0.25">
      <c r="A2709" s="2" t="s">
        <v>2044</v>
      </c>
      <c r="B2709" s="2" t="str">
        <f>"762314139"</f>
        <v>762314139</v>
      </c>
      <c r="C2709" s="2" t="str">
        <f>"762314139"</f>
        <v>762314139</v>
      </c>
      <c r="D2709" s="2" t="s">
        <v>2273</v>
      </c>
      <c r="E2709" s="4">
        <v>7500</v>
      </c>
    </row>
    <row r="2710" spans="1:5" ht="26.25" x14ac:dyDescent="0.25">
      <c r="A2710" s="2" t="s">
        <v>2044</v>
      </c>
      <c r="B2710" s="2" t="str">
        <f>"672314282"</f>
        <v>672314282</v>
      </c>
      <c r="C2710" s="2" t="str">
        <f>"672314282"</f>
        <v>672314282</v>
      </c>
      <c r="D2710" s="2" t="s">
        <v>2274</v>
      </c>
      <c r="E2710" s="4">
        <v>5500</v>
      </c>
    </row>
    <row r="2711" spans="1:5" ht="26.25" x14ac:dyDescent="0.25">
      <c r="A2711" s="2" t="s">
        <v>2044</v>
      </c>
      <c r="B2711" s="2" t="str">
        <f>"76121413"</f>
        <v>76121413</v>
      </c>
      <c r="C2711" s="2" t="str">
        <f>"76121413"</f>
        <v>76121413</v>
      </c>
      <c r="D2711" s="2" t="s">
        <v>2275</v>
      </c>
      <c r="E2711" s="4">
        <v>6000</v>
      </c>
    </row>
    <row r="2712" spans="1:5" ht="26.25" x14ac:dyDescent="0.25">
      <c r="A2712" s="2" t="s">
        <v>2044</v>
      </c>
      <c r="B2712" s="2" t="str">
        <f>"76721413"</f>
        <v>76721413</v>
      </c>
      <c r="C2712" s="2" t="str">
        <f>"76721413"</f>
        <v>76721413</v>
      </c>
      <c r="D2712" s="2" t="s">
        <v>2275</v>
      </c>
      <c r="E2712" s="4">
        <v>6000</v>
      </c>
    </row>
    <row r="2713" spans="1:5" ht="26.25" x14ac:dyDescent="0.25">
      <c r="A2713" s="2" t="s">
        <v>2044</v>
      </c>
      <c r="B2713" s="2" t="str">
        <f>"76231413"</f>
        <v>76231413</v>
      </c>
      <c r="C2713" s="2" t="str">
        <f>"76231413"</f>
        <v>76231413</v>
      </c>
      <c r="D2713" s="2" t="s">
        <v>2275</v>
      </c>
      <c r="E2713" s="4">
        <v>5500</v>
      </c>
    </row>
    <row r="2714" spans="1:5" ht="26.25" x14ac:dyDescent="0.25">
      <c r="A2714" s="2" t="s">
        <v>2044</v>
      </c>
      <c r="B2714" s="2" t="str">
        <f>"76601413"</f>
        <v>76601413</v>
      </c>
      <c r="C2714" s="2" t="str">
        <f>"76601413"</f>
        <v>76601413</v>
      </c>
      <c r="D2714" s="2" t="s">
        <v>2275</v>
      </c>
      <c r="E2714" s="4">
        <v>5500</v>
      </c>
    </row>
    <row r="2715" spans="1:5" ht="26.25" x14ac:dyDescent="0.25">
      <c r="A2715" s="2" t="s">
        <v>2044</v>
      </c>
      <c r="B2715" s="2" t="str">
        <f>"76631413"</f>
        <v>76631413</v>
      </c>
      <c r="C2715" s="2" t="str">
        <f>"76631413"</f>
        <v>76631413</v>
      </c>
      <c r="D2715" s="2" t="s">
        <v>2275</v>
      </c>
      <c r="E2715" s="4">
        <v>5500</v>
      </c>
    </row>
    <row r="2716" spans="1:5" ht="26.25" x14ac:dyDescent="0.25">
      <c r="A2716" s="2" t="s">
        <v>2044</v>
      </c>
      <c r="B2716" s="2" t="str">
        <f>"76631453"</f>
        <v>76631453</v>
      </c>
      <c r="C2716" s="2" t="str">
        <f>"76631453"</f>
        <v>76631453</v>
      </c>
      <c r="D2716" s="2" t="s">
        <v>2275</v>
      </c>
      <c r="E2716" s="4">
        <v>5500</v>
      </c>
    </row>
    <row r="2717" spans="1:5" ht="26.25" x14ac:dyDescent="0.25">
      <c r="A2717" s="2" t="s">
        <v>2044</v>
      </c>
      <c r="B2717" s="2" t="str">
        <f>"767631413"</f>
        <v>767631413</v>
      </c>
      <c r="C2717" s="2" t="str">
        <f>"767631413"</f>
        <v>767631413</v>
      </c>
      <c r="D2717" s="2" t="s">
        <v>2275</v>
      </c>
      <c r="E2717" s="4">
        <v>5500</v>
      </c>
    </row>
    <row r="2718" spans="1:5" ht="26.25" x14ac:dyDescent="0.25">
      <c r="A2718" s="2" t="s">
        <v>2044</v>
      </c>
      <c r="B2718" s="2" t="str">
        <f>"11231425"</f>
        <v>11231425</v>
      </c>
      <c r="C2718" s="2" t="str">
        <f>"11231425"</f>
        <v>11231425</v>
      </c>
      <c r="D2718" s="2" t="s">
        <v>2276</v>
      </c>
      <c r="E2718" s="4">
        <v>3500</v>
      </c>
    </row>
    <row r="2719" spans="1:5" ht="26.25" x14ac:dyDescent="0.25">
      <c r="A2719" s="2" t="s">
        <v>2044</v>
      </c>
      <c r="B2719" s="2" t="str">
        <f>"17231425"</f>
        <v>17231425</v>
      </c>
      <c r="C2719" s="2" t="str">
        <f>"17231425"</f>
        <v>17231425</v>
      </c>
      <c r="D2719" s="2" t="s">
        <v>2277</v>
      </c>
      <c r="E2719" s="4">
        <v>5500</v>
      </c>
    </row>
    <row r="2720" spans="1:5" ht="26.25" x14ac:dyDescent="0.25">
      <c r="A2720" s="2" t="s">
        <v>2044</v>
      </c>
      <c r="B2720" s="2" t="str">
        <f>"34231455"</f>
        <v>34231455</v>
      </c>
      <c r="C2720" s="2" t="str">
        <f>"34231455"</f>
        <v>34231455</v>
      </c>
      <c r="D2720" s="2" t="s">
        <v>2277</v>
      </c>
      <c r="E2720" s="4">
        <v>5500</v>
      </c>
    </row>
    <row r="2721" spans="1:5" ht="26.25" x14ac:dyDescent="0.25">
      <c r="A2721" s="2" t="s">
        <v>2044</v>
      </c>
      <c r="B2721" s="2" t="str">
        <f>"68601422"</f>
        <v>68601422</v>
      </c>
      <c r="C2721" s="2" t="str">
        <f>"68601422"</f>
        <v>68601422</v>
      </c>
      <c r="D2721" s="2" t="s">
        <v>2277</v>
      </c>
      <c r="E2721" s="4">
        <v>5500</v>
      </c>
    </row>
    <row r="2722" spans="1:5" ht="26.25" x14ac:dyDescent="0.25">
      <c r="A2722" s="2" t="s">
        <v>2044</v>
      </c>
      <c r="B2722" s="2" t="str">
        <f>"76231455"</f>
        <v>76231455</v>
      </c>
      <c r="C2722" s="2" t="str">
        <f>"76231455"</f>
        <v>76231455</v>
      </c>
      <c r="D2722" s="2" t="s">
        <v>2277</v>
      </c>
      <c r="E2722" s="4">
        <v>5500</v>
      </c>
    </row>
    <row r="2723" spans="1:5" ht="26.25" x14ac:dyDescent="0.25">
      <c r="A2723" s="2" t="s">
        <v>2044</v>
      </c>
      <c r="B2723" s="2" t="str">
        <f>"76601425"</f>
        <v>76601425</v>
      </c>
      <c r="C2723" s="2" t="str">
        <f>"76601425"</f>
        <v>76601425</v>
      </c>
      <c r="D2723" s="2" t="s">
        <v>2277</v>
      </c>
      <c r="E2723" s="4">
        <v>5500</v>
      </c>
    </row>
    <row r="2724" spans="1:5" ht="26.25" x14ac:dyDescent="0.25">
      <c r="A2724" s="2" t="s">
        <v>2044</v>
      </c>
      <c r="B2724" s="2" t="str">
        <f>"76601455"</f>
        <v>76601455</v>
      </c>
      <c r="C2724" s="2" t="str">
        <f>"76601455"</f>
        <v>76601455</v>
      </c>
      <c r="D2724" s="2" t="s">
        <v>2277</v>
      </c>
      <c r="E2724" s="4">
        <v>5500</v>
      </c>
    </row>
    <row r="2725" spans="1:5" ht="26.25" x14ac:dyDescent="0.25">
      <c r="A2725" s="2" t="s">
        <v>2044</v>
      </c>
      <c r="B2725" s="2" t="str">
        <f>"76631455"</f>
        <v>76631455</v>
      </c>
      <c r="C2725" s="2" t="str">
        <f>"76631455"</f>
        <v>76631455</v>
      </c>
      <c r="D2725" s="2" t="s">
        <v>2277</v>
      </c>
      <c r="E2725" s="4">
        <v>5500</v>
      </c>
    </row>
    <row r="2726" spans="1:5" ht="26.25" x14ac:dyDescent="0.25">
      <c r="A2726" s="2" t="s">
        <v>2044</v>
      </c>
      <c r="B2726" s="2" t="str">
        <f>"76721425"</f>
        <v>76721425</v>
      </c>
      <c r="C2726" s="2" t="str">
        <f>"76721425"</f>
        <v>76721425</v>
      </c>
      <c r="D2726" s="2" t="s">
        <v>2277</v>
      </c>
      <c r="E2726" s="4">
        <v>6000</v>
      </c>
    </row>
    <row r="2727" spans="1:5" ht="26.25" x14ac:dyDescent="0.25">
      <c r="A2727" s="2" t="s">
        <v>2044</v>
      </c>
      <c r="B2727" s="2" t="str">
        <f>"76231425"</f>
        <v>76231425</v>
      </c>
      <c r="C2727" s="2" t="str">
        <f>"76231425"</f>
        <v>76231425</v>
      </c>
      <c r="D2727" s="2" t="s">
        <v>2277</v>
      </c>
      <c r="E2727" s="4">
        <v>5500</v>
      </c>
    </row>
    <row r="2728" spans="1:5" ht="26.25" x14ac:dyDescent="0.25">
      <c r="A2728" s="2" t="s">
        <v>2044</v>
      </c>
      <c r="B2728" s="2" t="str">
        <f>"76631425"</f>
        <v>76631425</v>
      </c>
      <c r="C2728" s="2" t="str">
        <f>"76631425"</f>
        <v>76631425</v>
      </c>
      <c r="D2728" s="2" t="s">
        <v>2277</v>
      </c>
      <c r="E2728" s="4">
        <v>5500</v>
      </c>
    </row>
    <row r="2729" spans="1:5" ht="26.25" x14ac:dyDescent="0.25">
      <c r="A2729" s="2" t="s">
        <v>2044</v>
      </c>
      <c r="B2729" s="2" t="str">
        <f>"76631428"</f>
        <v>76631428</v>
      </c>
      <c r="C2729" s="2" t="str">
        <f>"76631428"</f>
        <v>76631428</v>
      </c>
      <c r="D2729" s="2" t="s">
        <v>2278</v>
      </c>
      <c r="E2729" s="4">
        <v>5500</v>
      </c>
    </row>
    <row r="2730" spans="1:5" ht="26.25" x14ac:dyDescent="0.25">
      <c r="A2730" s="2" t="s">
        <v>2044</v>
      </c>
      <c r="B2730" s="2" t="str">
        <f>"76231427"</f>
        <v>76231427</v>
      </c>
      <c r="C2730" s="2" t="str">
        <f>"76231427"</f>
        <v>76231427</v>
      </c>
      <c r="D2730" s="2" t="s">
        <v>2279</v>
      </c>
      <c r="E2730" s="4">
        <v>6500</v>
      </c>
    </row>
    <row r="2731" spans="1:5" ht="26.25" x14ac:dyDescent="0.25">
      <c r="A2731" s="2" t="s">
        <v>2044</v>
      </c>
      <c r="B2731" s="2" t="str">
        <f>"76601427"</f>
        <v>76601427</v>
      </c>
      <c r="C2731" s="2" t="str">
        <f>"76601427"</f>
        <v>76601427</v>
      </c>
      <c r="D2731" s="2" t="s">
        <v>2279</v>
      </c>
      <c r="E2731" s="4">
        <v>5500</v>
      </c>
    </row>
    <row r="2732" spans="1:5" ht="26.25" x14ac:dyDescent="0.25">
      <c r="A2732" s="2" t="s">
        <v>2044</v>
      </c>
      <c r="B2732" s="2" t="str">
        <f>"76631427"</f>
        <v>76631427</v>
      </c>
      <c r="C2732" s="2" t="str">
        <f>"76631427"</f>
        <v>76631427</v>
      </c>
      <c r="D2732" s="2" t="s">
        <v>2279</v>
      </c>
      <c r="E2732" s="4">
        <v>5500</v>
      </c>
    </row>
    <row r="2733" spans="1:5" ht="26.25" x14ac:dyDescent="0.25">
      <c r="A2733" s="2" t="s">
        <v>2044</v>
      </c>
      <c r="B2733" s="2" t="str">
        <f>"76631407"</f>
        <v>76631407</v>
      </c>
      <c r="C2733" s="2" t="str">
        <f>"76631407"</f>
        <v>76631407</v>
      </c>
      <c r="D2733" s="2" t="s">
        <v>2280</v>
      </c>
      <c r="E2733" s="4">
        <v>5500</v>
      </c>
    </row>
    <row r="2734" spans="1:5" ht="26.25" x14ac:dyDescent="0.25">
      <c r="A2734" s="2" t="s">
        <v>2044</v>
      </c>
      <c r="B2734" s="2" t="str">
        <f>"76231453"</f>
        <v>76231453</v>
      </c>
      <c r="C2734" s="2" t="str">
        <f>"76231453"</f>
        <v>76231453</v>
      </c>
      <c r="D2734" s="2" t="s">
        <v>2281</v>
      </c>
      <c r="E2734" s="4">
        <v>6000</v>
      </c>
    </row>
    <row r="2735" spans="1:5" ht="26.25" x14ac:dyDescent="0.25">
      <c r="A2735" s="2" t="s">
        <v>2044</v>
      </c>
      <c r="B2735" s="2" t="str">
        <f>"76551438"</f>
        <v>76551438</v>
      </c>
      <c r="C2735" s="2" t="str">
        <f>"76551438"</f>
        <v>76551438</v>
      </c>
      <c r="D2735" s="2" t="s">
        <v>2282</v>
      </c>
      <c r="E2735" s="4">
        <v>6000</v>
      </c>
    </row>
    <row r="2736" spans="1:5" ht="26.25" x14ac:dyDescent="0.25">
      <c r="A2736" s="2" t="s">
        <v>2044</v>
      </c>
      <c r="B2736" s="2" t="str">
        <f>"76631460"</f>
        <v>76631460</v>
      </c>
      <c r="C2736" s="2" t="str">
        <f>"76631460"</f>
        <v>76631460</v>
      </c>
      <c r="D2736" s="2" t="s">
        <v>2282</v>
      </c>
      <c r="E2736" s="4">
        <v>6000</v>
      </c>
    </row>
    <row r="2737" spans="1:5" ht="26.25" x14ac:dyDescent="0.25">
      <c r="A2737" s="2" t="s">
        <v>2044</v>
      </c>
      <c r="B2737" s="2" t="str">
        <f>"32231430"</f>
        <v>32231430</v>
      </c>
      <c r="C2737" s="2" t="str">
        <f>"32231430"</f>
        <v>32231430</v>
      </c>
      <c r="D2737" s="2" t="s">
        <v>2283</v>
      </c>
      <c r="E2737" s="4">
        <v>5500</v>
      </c>
    </row>
    <row r="2738" spans="1:5" ht="26.25" x14ac:dyDescent="0.25">
      <c r="A2738" s="2" t="s">
        <v>2044</v>
      </c>
      <c r="B2738" s="2" t="str">
        <f>"76231460"</f>
        <v>76231460</v>
      </c>
      <c r="C2738" s="2" t="str">
        <f>"76231460"</f>
        <v>76231460</v>
      </c>
      <c r="D2738" s="2" t="s">
        <v>2284</v>
      </c>
      <c r="E2738" s="4">
        <v>5500</v>
      </c>
    </row>
    <row r="2739" spans="1:5" ht="26.25" x14ac:dyDescent="0.25">
      <c r="A2739" s="2" t="s">
        <v>2044</v>
      </c>
      <c r="B2739" s="2" t="str">
        <f>"17601480"</f>
        <v>17601480</v>
      </c>
      <c r="C2739" s="2" t="str">
        <f>"17601480"</f>
        <v>17601480</v>
      </c>
      <c r="D2739" s="2" t="s">
        <v>2285</v>
      </c>
      <c r="E2739" s="4">
        <v>6000</v>
      </c>
    </row>
    <row r="2740" spans="1:5" ht="26.25" x14ac:dyDescent="0.25">
      <c r="A2740" s="2" t="s">
        <v>2044</v>
      </c>
      <c r="B2740" s="2" t="str">
        <f>"34231480"</f>
        <v>34231480</v>
      </c>
      <c r="C2740" s="2" t="str">
        <f>"34231480"</f>
        <v>34231480</v>
      </c>
      <c r="D2740" s="2" t="s">
        <v>2285</v>
      </c>
      <c r="E2740" s="4">
        <v>5500</v>
      </c>
    </row>
    <row r="2741" spans="1:5" ht="26.25" x14ac:dyDescent="0.25">
      <c r="A2741" s="2" t="s">
        <v>2044</v>
      </c>
      <c r="B2741" s="2" t="str">
        <f>"76721480"</f>
        <v>76721480</v>
      </c>
      <c r="C2741" s="2" t="str">
        <f>"76721480"</f>
        <v>76721480</v>
      </c>
      <c r="D2741" s="2" t="s">
        <v>2285</v>
      </c>
      <c r="E2741" s="4">
        <v>6000</v>
      </c>
    </row>
    <row r="2742" spans="1:5" ht="26.25" x14ac:dyDescent="0.25">
      <c r="A2742" s="2" t="s">
        <v>2044</v>
      </c>
      <c r="B2742" s="2" t="str">
        <f>"17231480"</f>
        <v>17231480</v>
      </c>
      <c r="C2742" s="2" t="str">
        <f>"17231480"</f>
        <v>17231480</v>
      </c>
      <c r="D2742" s="2" t="s">
        <v>2286</v>
      </c>
      <c r="E2742" s="4">
        <v>5500</v>
      </c>
    </row>
    <row r="2743" spans="1:5" ht="26.25" x14ac:dyDescent="0.25">
      <c r="A2743" s="2" t="s">
        <v>2044</v>
      </c>
      <c r="B2743" s="2" t="str">
        <f>"76231480"</f>
        <v>76231480</v>
      </c>
      <c r="C2743" s="2" t="str">
        <f>"76231480"</f>
        <v>76231480</v>
      </c>
      <c r="D2743" s="2" t="s">
        <v>2286</v>
      </c>
      <c r="E2743" s="4">
        <v>5500</v>
      </c>
    </row>
    <row r="2744" spans="1:5" ht="26.25" x14ac:dyDescent="0.25">
      <c r="A2744" s="2" t="s">
        <v>2044</v>
      </c>
      <c r="B2744" s="2" t="str">
        <f>"68609080"</f>
        <v>68609080</v>
      </c>
      <c r="C2744" s="2" t="str">
        <f>"68609080"</f>
        <v>68609080</v>
      </c>
      <c r="D2744" s="2" t="s">
        <v>2286</v>
      </c>
      <c r="E2744" s="4">
        <v>5500</v>
      </c>
    </row>
    <row r="2745" spans="1:5" ht="26.25" x14ac:dyDescent="0.25">
      <c r="A2745" s="2" t="s">
        <v>2044</v>
      </c>
      <c r="B2745" s="2" t="str">
        <f>"76601480"</f>
        <v>76601480</v>
      </c>
      <c r="C2745" s="2" t="str">
        <f>"76601480"</f>
        <v>76601480</v>
      </c>
      <c r="D2745" s="2" t="s">
        <v>2286</v>
      </c>
      <c r="E2745" s="4">
        <v>5500</v>
      </c>
    </row>
    <row r="2746" spans="1:5" ht="26.25" x14ac:dyDescent="0.25">
      <c r="A2746" s="2" t="s">
        <v>2044</v>
      </c>
      <c r="B2746" s="2" t="str">
        <f>"76631480"</f>
        <v>76631480</v>
      </c>
      <c r="C2746" s="2" t="str">
        <f>"76631480"</f>
        <v>76631480</v>
      </c>
      <c r="D2746" s="2" t="s">
        <v>2286</v>
      </c>
      <c r="E2746" s="4">
        <v>5500</v>
      </c>
    </row>
    <row r="2747" spans="1:5" ht="26.25" x14ac:dyDescent="0.25">
      <c r="A2747" s="2" t="s">
        <v>2044</v>
      </c>
      <c r="B2747" s="2" t="str">
        <f>"17231430"</f>
        <v>17231430</v>
      </c>
      <c r="C2747" s="2" t="str">
        <f>"17231430"</f>
        <v>17231430</v>
      </c>
      <c r="D2747" s="2" t="s">
        <v>2287</v>
      </c>
      <c r="E2747" s="4">
        <v>5500</v>
      </c>
    </row>
    <row r="2748" spans="1:5" ht="26.25" x14ac:dyDescent="0.25">
      <c r="A2748" s="2" t="s">
        <v>2044</v>
      </c>
      <c r="B2748" s="2" t="str">
        <f>"68601430"</f>
        <v>68601430</v>
      </c>
      <c r="C2748" s="2" t="str">
        <f>"68601430"</f>
        <v>68601430</v>
      </c>
      <c r="D2748" s="2" t="s">
        <v>2287</v>
      </c>
      <c r="E2748" s="4">
        <v>5500</v>
      </c>
    </row>
    <row r="2749" spans="1:5" ht="26.25" x14ac:dyDescent="0.25">
      <c r="A2749" s="2" t="s">
        <v>2044</v>
      </c>
      <c r="B2749" s="2" t="str">
        <f>"76601407"</f>
        <v>76601407</v>
      </c>
      <c r="C2749" s="2" t="str">
        <f>"76601407"</f>
        <v>76601407</v>
      </c>
      <c r="D2749" s="2" t="s">
        <v>2287</v>
      </c>
      <c r="E2749" s="4">
        <v>5500</v>
      </c>
    </row>
    <row r="2750" spans="1:5" ht="26.25" x14ac:dyDescent="0.25">
      <c r="A2750" s="2" t="s">
        <v>2044</v>
      </c>
      <c r="B2750" s="2" t="str">
        <f>"76601430"</f>
        <v>76601430</v>
      </c>
      <c r="C2750" s="2" t="str">
        <f>"76601430"</f>
        <v>76601430</v>
      </c>
      <c r="D2750" s="2" t="s">
        <v>2287</v>
      </c>
      <c r="E2750" s="4">
        <v>5500</v>
      </c>
    </row>
    <row r="2751" spans="1:5" ht="26.25" x14ac:dyDescent="0.25">
      <c r="A2751" s="2" t="s">
        <v>2044</v>
      </c>
      <c r="B2751" s="2" t="str">
        <f>"34231430"</f>
        <v>34231430</v>
      </c>
      <c r="C2751" s="2" t="str">
        <f>"34231430"</f>
        <v>34231430</v>
      </c>
      <c r="D2751" s="2" t="s">
        <v>2287</v>
      </c>
      <c r="E2751" s="4">
        <v>5500</v>
      </c>
    </row>
    <row r="2752" spans="1:5" ht="26.25" x14ac:dyDescent="0.25">
      <c r="A2752" s="2" t="s">
        <v>2044</v>
      </c>
      <c r="B2752" s="2" t="str">
        <f>"76721430"</f>
        <v>76721430</v>
      </c>
      <c r="C2752" s="2" t="str">
        <f>"76721430"</f>
        <v>76721430</v>
      </c>
      <c r="D2752" s="2" t="s">
        <v>2287</v>
      </c>
      <c r="E2752" s="4">
        <v>6000</v>
      </c>
    </row>
    <row r="2753" spans="1:5" ht="26.25" x14ac:dyDescent="0.25">
      <c r="A2753" s="2" t="s">
        <v>2044</v>
      </c>
      <c r="B2753" s="2" t="str">
        <f>"76231430"</f>
        <v>76231430</v>
      </c>
      <c r="C2753" s="2" t="str">
        <f>"76231430"</f>
        <v>76231430</v>
      </c>
      <c r="D2753" s="2" t="s">
        <v>2287</v>
      </c>
      <c r="E2753" s="4">
        <v>5500</v>
      </c>
    </row>
    <row r="2754" spans="1:5" ht="26.25" x14ac:dyDescent="0.25">
      <c r="A2754" s="2" t="s">
        <v>2044</v>
      </c>
      <c r="B2754" s="2" t="str">
        <f>"76231439"</f>
        <v>76231439</v>
      </c>
      <c r="C2754" s="2" t="str">
        <f>"76231439"</f>
        <v>76231439</v>
      </c>
      <c r="D2754" s="2" t="s">
        <v>2287</v>
      </c>
      <c r="E2754" s="4">
        <v>5500</v>
      </c>
    </row>
    <row r="2755" spans="1:5" ht="26.25" x14ac:dyDescent="0.25">
      <c r="A2755" s="2" t="s">
        <v>2044</v>
      </c>
      <c r="B2755" s="2" t="str">
        <f>"76251430"</f>
        <v>76251430</v>
      </c>
      <c r="C2755" s="2" t="str">
        <f>"76251430"</f>
        <v>76251430</v>
      </c>
      <c r="D2755" s="2" t="s">
        <v>2287</v>
      </c>
      <c r="E2755" s="4">
        <v>5500</v>
      </c>
    </row>
    <row r="2756" spans="1:5" ht="26.25" x14ac:dyDescent="0.25">
      <c r="A2756" s="2" t="s">
        <v>2044</v>
      </c>
      <c r="B2756" s="2" t="str">
        <f>"76631430"</f>
        <v>76631430</v>
      </c>
      <c r="C2756" s="2" t="str">
        <f>"76631430"</f>
        <v>76631430</v>
      </c>
      <c r="D2756" s="2" t="s">
        <v>2288</v>
      </c>
      <c r="E2756" s="4">
        <v>5500</v>
      </c>
    </row>
    <row r="2757" spans="1:5" ht="26.25" x14ac:dyDescent="0.25">
      <c r="A2757" s="2" t="s">
        <v>2044</v>
      </c>
      <c r="B2757" s="2" t="str">
        <f>"76231443"</f>
        <v>76231443</v>
      </c>
      <c r="C2757" s="2" t="str">
        <f>"76231443"</f>
        <v>76231443</v>
      </c>
      <c r="D2757" s="2" t="s">
        <v>2289</v>
      </c>
      <c r="E2757" s="4">
        <v>6000</v>
      </c>
    </row>
    <row r="2758" spans="1:5" ht="26.25" x14ac:dyDescent="0.25">
      <c r="A2758" s="2" t="s">
        <v>2044</v>
      </c>
      <c r="B2758" s="2" t="str">
        <f>"76601443"</f>
        <v>76601443</v>
      </c>
      <c r="C2758" s="2" t="str">
        <f>"76601443"</f>
        <v>76601443</v>
      </c>
      <c r="D2758" s="2" t="s">
        <v>2289</v>
      </c>
      <c r="E2758" s="4">
        <v>5500</v>
      </c>
    </row>
    <row r="2759" spans="1:5" ht="26.25" x14ac:dyDescent="0.25">
      <c r="A2759" s="2" t="s">
        <v>2044</v>
      </c>
      <c r="B2759" s="2" t="str">
        <f>"342314125"</f>
        <v>342314125</v>
      </c>
      <c r="C2759" s="2" t="str">
        <f>"342314125"</f>
        <v>342314125</v>
      </c>
      <c r="D2759" s="2" t="s">
        <v>2290</v>
      </c>
      <c r="E2759" s="4">
        <v>5500</v>
      </c>
    </row>
    <row r="2760" spans="1:5" ht="26.25" x14ac:dyDescent="0.25">
      <c r="A2760" s="2" t="s">
        <v>2044</v>
      </c>
      <c r="B2760" s="2" t="str">
        <f>"686014125"</f>
        <v>686014125</v>
      </c>
      <c r="C2760" s="2" t="str">
        <f>"686014125"</f>
        <v>686014125</v>
      </c>
      <c r="D2760" s="2" t="s">
        <v>2290</v>
      </c>
      <c r="E2760" s="4">
        <v>5500</v>
      </c>
    </row>
    <row r="2761" spans="1:5" ht="26.25" x14ac:dyDescent="0.25">
      <c r="A2761" s="2" t="s">
        <v>2044</v>
      </c>
      <c r="B2761" s="2" t="str">
        <f>"762314125"</f>
        <v>762314125</v>
      </c>
      <c r="C2761" s="2" t="str">
        <f>"762314125"</f>
        <v>762314125</v>
      </c>
      <c r="D2761" s="2" t="s">
        <v>2290</v>
      </c>
      <c r="E2761" s="4">
        <v>5500</v>
      </c>
    </row>
    <row r="2762" spans="1:5" ht="26.25" x14ac:dyDescent="0.25">
      <c r="A2762" s="2" t="s">
        <v>2044</v>
      </c>
      <c r="B2762" s="2" t="str">
        <f>"766014125"</f>
        <v>766014125</v>
      </c>
      <c r="C2762" s="2" t="str">
        <f>"766014125"</f>
        <v>766014125</v>
      </c>
      <c r="D2762" s="2" t="s">
        <v>2290</v>
      </c>
      <c r="E2762" s="4">
        <v>5500</v>
      </c>
    </row>
    <row r="2763" spans="1:5" ht="26.25" x14ac:dyDescent="0.25">
      <c r="A2763" s="2" t="s">
        <v>2044</v>
      </c>
      <c r="B2763" s="2" t="str">
        <f>"992314125"</f>
        <v>992314125</v>
      </c>
      <c r="C2763" s="2" t="str">
        <f>"992314125"</f>
        <v>992314125</v>
      </c>
      <c r="D2763" s="2" t="s">
        <v>2290</v>
      </c>
      <c r="E2763" s="4">
        <v>5500</v>
      </c>
    </row>
    <row r="2764" spans="1:5" ht="26.25" x14ac:dyDescent="0.25">
      <c r="A2764" s="2" t="s">
        <v>2044</v>
      </c>
      <c r="B2764" s="2" t="str">
        <f>"768514125"</f>
        <v>768514125</v>
      </c>
      <c r="C2764" s="2" t="str">
        <f>"768514125"</f>
        <v>768514125</v>
      </c>
      <c r="D2764" s="2" t="s">
        <v>2290</v>
      </c>
      <c r="E2764" s="4">
        <v>5800</v>
      </c>
    </row>
    <row r="2765" spans="1:5" ht="26.25" x14ac:dyDescent="0.25">
      <c r="A2765" s="2" t="s">
        <v>2044</v>
      </c>
      <c r="B2765" s="2" t="str">
        <f>"76631932"</f>
        <v>76631932</v>
      </c>
      <c r="C2765" s="2" t="str">
        <f>"76631932"</f>
        <v>76631932</v>
      </c>
      <c r="D2765" s="2" t="s">
        <v>2290</v>
      </c>
      <c r="E2765" s="4">
        <v>5500</v>
      </c>
    </row>
    <row r="2766" spans="1:5" ht="26.25" x14ac:dyDescent="0.25">
      <c r="A2766" s="2" t="s">
        <v>2044</v>
      </c>
      <c r="B2766" s="2" t="str">
        <f>"766314125"</f>
        <v>766314125</v>
      </c>
      <c r="C2766" s="2" t="str">
        <f>"766314125"</f>
        <v>766314125</v>
      </c>
      <c r="D2766" s="2" t="s">
        <v>2290</v>
      </c>
      <c r="E2766" s="4">
        <v>5500</v>
      </c>
    </row>
    <row r="2767" spans="1:5" ht="26.25" x14ac:dyDescent="0.25">
      <c r="A2767" s="2" t="s">
        <v>2044</v>
      </c>
      <c r="B2767" s="2" t="str">
        <f>"172314125"</f>
        <v>172314125</v>
      </c>
      <c r="C2767" s="2" t="str">
        <f>"172314125"</f>
        <v>172314125</v>
      </c>
      <c r="D2767" s="2" t="s">
        <v>2290</v>
      </c>
      <c r="E2767" s="4">
        <v>5500</v>
      </c>
    </row>
    <row r="2768" spans="1:5" ht="26.25" x14ac:dyDescent="0.25">
      <c r="A2768" s="2" t="s">
        <v>2044</v>
      </c>
      <c r="B2768" s="2" t="str">
        <f>"322314125"</f>
        <v>322314125</v>
      </c>
      <c r="C2768" s="2" t="str">
        <f>"322314125"</f>
        <v>322314125</v>
      </c>
      <c r="D2768" s="2" t="s">
        <v>2290</v>
      </c>
      <c r="E2768" s="4">
        <v>5500</v>
      </c>
    </row>
    <row r="2769" spans="1:5" ht="26.25" x14ac:dyDescent="0.25">
      <c r="A2769" s="2" t="s">
        <v>2044</v>
      </c>
      <c r="B2769" s="2" t="str">
        <f>"76601492"</f>
        <v>76601492</v>
      </c>
      <c r="C2769" s="2" t="str">
        <f>"76601492"</f>
        <v>76601492</v>
      </c>
      <c r="D2769" s="2" t="s">
        <v>2291</v>
      </c>
      <c r="E2769" s="4">
        <v>5500</v>
      </c>
    </row>
    <row r="2770" spans="1:5" ht="26.25" x14ac:dyDescent="0.25">
      <c r="A2770" s="2" t="s">
        <v>2044</v>
      </c>
      <c r="B2770" s="2" t="str">
        <f>"912314192"</f>
        <v>912314192</v>
      </c>
      <c r="C2770" s="2" t="str">
        <f>"912314192"</f>
        <v>912314192</v>
      </c>
      <c r="D2770" s="2" t="s">
        <v>2291</v>
      </c>
      <c r="E2770" s="4">
        <v>5500</v>
      </c>
    </row>
    <row r="2771" spans="1:5" ht="26.25" x14ac:dyDescent="0.25">
      <c r="A2771" s="2" t="s">
        <v>2044</v>
      </c>
      <c r="B2771" s="2" t="str">
        <f>"76231436"</f>
        <v>76231436</v>
      </c>
      <c r="C2771" s="2" t="str">
        <f>"76231436"</f>
        <v>76231436</v>
      </c>
      <c r="D2771" s="2" t="s">
        <v>2292</v>
      </c>
      <c r="E2771" s="4">
        <v>5500</v>
      </c>
    </row>
    <row r="2772" spans="1:5" ht="26.25" x14ac:dyDescent="0.25">
      <c r="A2772" s="2" t="s">
        <v>2044</v>
      </c>
      <c r="B2772" s="2" t="str">
        <f>"686014136"</f>
        <v>686014136</v>
      </c>
      <c r="C2772" s="2" t="str">
        <f>"686014136"</f>
        <v>686014136</v>
      </c>
      <c r="D2772" s="2" t="s">
        <v>2292</v>
      </c>
      <c r="E2772" s="4">
        <v>5500</v>
      </c>
    </row>
    <row r="2773" spans="1:5" ht="26.25" x14ac:dyDescent="0.25">
      <c r="A2773" s="2" t="s">
        <v>2044</v>
      </c>
      <c r="B2773" s="2" t="str">
        <f>"762314136"</f>
        <v>762314136</v>
      </c>
      <c r="C2773" s="2" t="str">
        <f>"762314136"</f>
        <v>762314136</v>
      </c>
      <c r="D2773" s="2" t="s">
        <v>2292</v>
      </c>
      <c r="E2773" s="4">
        <v>5500</v>
      </c>
    </row>
    <row r="2774" spans="1:5" ht="26.25" x14ac:dyDescent="0.25">
      <c r="A2774" s="2" t="s">
        <v>2044</v>
      </c>
      <c r="B2774" s="2" t="str">
        <f>"766014136"</f>
        <v>766014136</v>
      </c>
      <c r="C2774" s="2" t="str">
        <f>"766014136"</f>
        <v>766014136</v>
      </c>
      <c r="D2774" s="2" t="s">
        <v>2292</v>
      </c>
      <c r="E2774" s="4">
        <v>5500</v>
      </c>
    </row>
    <row r="2775" spans="1:5" ht="26.25" x14ac:dyDescent="0.25">
      <c r="A2775" s="2" t="s">
        <v>2044</v>
      </c>
      <c r="B2775" s="2" t="str">
        <f>"768514136"</f>
        <v>768514136</v>
      </c>
      <c r="C2775" s="2" t="str">
        <f>"768514136"</f>
        <v>768514136</v>
      </c>
      <c r="D2775" s="2" t="s">
        <v>2292</v>
      </c>
      <c r="E2775" s="4">
        <v>5800</v>
      </c>
    </row>
    <row r="2776" spans="1:5" ht="26.25" x14ac:dyDescent="0.25">
      <c r="A2776" s="2" t="s">
        <v>2044</v>
      </c>
      <c r="B2776" s="2" t="str">
        <f>"172314136"</f>
        <v>172314136</v>
      </c>
      <c r="C2776" s="2" t="str">
        <f>"172314136"</f>
        <v>172314136</v>
      </c>
      <c r="D2776" s="2" t="s">
        <v>2292</v>
      </c>
      <c r="E2776" s="4">
        <v>5500</v>
      </c>
    </row>
    <row r="2777" spans="1:5" ht="26.25" x14ac:dyDescent="0.25">
      <c r="A2777" s="2" t="s">
        <v>2044</v>
      </c>
      <c r="B2777" s="2" t="str">
        <f>"932314142"</f>
        <v>932314142</v>
      </c>
      <c r="C2777" s="2" t="str">
        <f>"932314142"</f>
        <v>932314142</v>
      </c>
      <c r="D2777" s="2" t="s">
        <v>2292</v>
      </c>
      <c r="E2777" s="4">
        <v>5500</v>
      </c>
    </row>
    <row r="2778" spans="1:5" ht="26.25" x14ac:dyDescent="0.25">
      <c r="A2778" s="2" t="s">
        <v>2044</v>
      </c>
      <c r="B2778" s="2" t="str">
        <f>"322314136"</f>
        <v>322314136</v>
      </c>
      <c r="C2778" s="2" t="str">
        <f>"322314136"</f>
        <v>322314136</v>
      </c>
      <c r="D2778" s="2" t="s">
        <v>2292</v>
      </c>
      <c r="E2778" s="4">
        <v>5500</v>
      </c>
    </row>
    <row r="2779" spans="1:5" ht="26.25" x14ac:dyDescent="0.25">
      <c r="A2779" s="2" t="s">
        <v>2044</v>
      </c>
      <c r="B2779" s="2" t="str">
        <f>"682314262"</f>
        <v>682314262</v>
      </c>
      <c r="C2779" s="2" t="str">
        <f>"682314262"</f>
        <v>682314262</v>
      </c>
      <c r="D2779" s="2" t="s">
        <v>2293</v>
      </c>
      <c r="E2779" s="4">
        <v>5500</v>
      </c>
    </row>
    <row r="2780" spans="1:5" ht="26.25" x14ac:dyDescent="0.25">
      <c r="A2780" s="2" t="s">
        <v>2044</v>
      </c>
      <c r="B2780" s="2" t="str">
        <f>"762314262"</f>
        <v>762314262</v>
      </c>
      <c r="C2780" s="2" t="str">
        <f>"762314262"</f>
        <v>762314262</v>
      </c>
      <c r="D2780" s="2" t="s">
        <v>2293</v>
      </c>
      <c r="E2780" s="4">
        <v>5000</v>
      </c>
    </row>
    <row r="2781" spans="1:5" ht="26.25" x14ac:dyDescent="0.25">
      <c r="A2781" s="2" t="s">
        <v>2044</v>
      </c>
      <c r="B2781" s="2" t="str">
        <f>"172314283"</f>
        <v>172314283</v>
      </c>
      <c r="C2781" s="2" t="str">
        <f>"172314283"</f>
        <v>172314283</v>
      </c>
      <c r="D2781" s="2" t="s">
        <v>2294</v>
      </c>
      <c r="E2781" s="4">
        <v>5500</v>
      </c>
    </row>
    <row r="2782" spans="1:5" ht="26.25" x14ac:dyDescent="0.25">
      <c r="A2782" s="2" t="s">
        <v>2044</v>
      </c>
      <c r="B2782" s="2" t="str">
        <f>"766014283"</f>
        <v>766014283</v>
      </c>
      <c r="C2782" s="2" t="str">
        <f>"766014283"</f>
        <v>766014283</v>
      </c>
      <c r="D2782" s="2" t="s">
        <v>2294</v>
      </c>
      <c r="E2782" s="4">
        <v>5500</v>
      </c>
    </row>
    <row r="2783" spans="1:5" ht="26.25" x14ac:dyDescent="0.25">
      <c r="A2783" s="2" t="s">
        <v>2044</v>
      </c>
      <c r="B2783" s="2" t="str">
        <f>"992314283"</f>
        <v>992314283</v>
      </c>
      <c r="C2783" s="2" t="str">
        <f>"992314283"</f>
        <v>992314283</v>
      </c>
      <c r="D2783" s="2" t="s">
        <v>2294</v>
      </c>
      <c r="E2783" s="4">
        <v>5500</v>
      </c>
    </row>
    <row r="2784" spans="1:5" ht="26.25" x14ac:dyDescent="0.25">
      <c r="A2784" s="2" t="s">
        <v>2044</v>
      </c>
      <c r="B2784" s="2" t="str">
        <f>"1000001013350"</f>
        <v>1000001013350</v>
      </c>
      <c r="C2784" s="2" t="str">
        <f>"762314283"</f>
        <v>762314283</v>
      </c>
      <c r="D2784" s="2" t="s">
        <v>2294</v>
      </c>
      <c r="E2784" s="4">
        <v>5500</v>
      </c>
    </row>
    <row r="2785" spans="1:5" ht="26.25" x14ac:dyDescent="0.25">
      <c r="A2785" s="2" t="s">
        <v>2044</v>
      </c>
      <c r="B2785" s="2" t="str">
        <f>"176014283"</f>
        <v>176014283</v>
      </c>
      <c r="C2785" s="2" t="str">
        <f>"176014283"</f>
        <v>176014283</v>
      </c>
      <c r="D2785" s="2" t="s">
        <v>2295</v>
      </c>
      <c r="E2785" s="4">
        <v>5500</v>
      </c>
    </row>
    <row r="2786" spans="1:5" ht="26.25" x14ac:dyDescent="0.25">
      <c r="A2786" s="2" t="s">
        <v>2044</v>
      </c>
      <c r="B2786" s="2" t="str">
        <f>"346014283"</f>
        <v>346014283</v>
      </c>
      <c r="C2786" s="2" t="str">
        <f>"346014283"</f>
        <v>346014283</v>
      </c>
      <c r="D2786" s="2" t="s">
        <v>2294</v>
      </c>
      <c r="E2786" s="4">
        <v>5500</v>
      </c>
    </row>
    <row r="2787" spans="1:5" ht="26.25" x14ac:dyDescent="0.25">
      <c r="A2787" s="2" t="s">
        <v>2044</v>
      </c>
      <c r="B2787" s="2" t="str">
        <f>"172314291"</f>
        <v>172314291</v>
      </c>
      <c r="C2787" s="2" t="str">
        <f>"172314291"</f>
        <v>172314291</v>
      </c>
      <c r="D2787" s="2" t="s">
        <v>2296</v>
      </c>
      <c r="E2787" s="4">
        <v>5500</v>
      </c>
    </row>
    <row r="2788" spans="1:5" ht="26.25" x14ac:dyDescent="0.25">
      <c r="A2788" s="2" t="s">
        <v>2044</v>
      </c>
      <c r="B2788" s="2" t="str">
        <f>"76601408"</f>
        <v>76601408</v>
      </c>
      <c r="C2788" s="2" t="str">
        <f>"76601408"</f>
        <v>76601408</v>
      </c>
      <c r="D2788" s="2" t="s">
        <v>2297</v>
      </c>
      <c r="E2788" s="4">
        <v>5500</v>
      </c>
    </row>
    <row r="2789" spans="1:5" ht="26.25" x14ac:dyDescent="0.25">
      <c r="A2789" s="2" t="s">
        <v>2044</v>
      </c>
      <c r="B2789" s="2" t="str">
        <f>"766014108"</f>
        <v>766014108</v>
      </c>
      <c r="C2789" s="2" t="str">
        <f>"766014108"</f>
        <v>766014108</v>
      </c>
      <c r="D2789" s="2" t="s">
        <v>2297</v>
      </c>
      <c r="E2789" s="4">
        <v>5500</v>
      </c>
    </row>
    <row r="2790" spans="1:5" ht="26.25" x14ac:dyDescent="0.25">
      <c r="A2790" s="2" t="s">
        <v>2044</v>
      </c>
      <c r="B2790" s="2" t="str">
        <f>"762314108"</f>
        <v>762314108</v>
      </c>
      <c r="C2790" s="2" t="str">
        <f>"762314108"</f>
        <v>762314108</v>
      </c>
      <c r="D2790" s="2" t="s">
        <v>2297</v>
      </c>
      <c r="E2790" s="4">
        <v>5500</v>
      </c>
    </row>
    <row r="2791" spans="1:5" ht="26.25" x14ac:dyDescent="0.25">
      <c r="A2791" s="2" t="s">
        <v>2044</v>
      </c>
      <c r="B2791" s="2" t="str">
        <f>"768514108"</f>
        <v>768514108</v>
      </c>
      <c r="C2791" s="2" t="str">
        <f>"768514108"</f>
        <v>768514108</v>
      </c>
      <c r="D2791" s="2" t="s">
        <v>2297</v>
      </c>
      <c r="E2791" s="4">
        <v>5800</v>
      </c>
    </row>
    <row r="2792" spans="1:5" ht="26.25" x14ac:dyDescent="0.25">
      <c r="A2792" s="2" t="s">
        <v>2044</v>
      </c>
      <c r="B2792" s="2" t="str">
        <f>"17601408"</f>
        <v>17601408</v>
      </c>
      <c r="C2792" s="2" t="str">
        <f>"17601408"</f>
        <v>17601408</v>
      </c>
      <c r="D2792" s="2" t="s">
        <v>2297</v>
      </c>
      <c r="E2792" s="4">
        <v>5500</v>
      </c>
    </row>
    <row r="2793" spans="1:5" ht="26.25" x14ac:dyDescent="0.25">
      <c r="A2793" s="2" t="s">
        <v>2044</v>
      </c>
      <c r="B2793" s="2" t="str">
        <f>"176014108"</f>
        <v>176014108</v>
      </c>
      <c r="C2793" s="2" t="str">
        <f>"176014108"</f>
        <v>176014108</v>
      </c>
      <c r="D2793" s="2" t="s">
        <v>2297</v>
      </c>
      <c r="E2793" s="4">
        <v>6000</v>
      </c>
    </row>
    <row r="2794" spans="1:5" ht="26.25" x14ac:dyDescent="0.25">
      <c r="A2794" s="2" t="s">
        <v>2044</v>
      </c>
      <c r="B2794" s="2" t="str">
        <f>"172314108"</f>
        <v>172314108</v>
      </c>
      <c r="C2794" s="2" t="str">
        <f>"172314108"</f>
        <v>172314108</v>
      </c>
      <c r="D2794" s="2" t="s">
        <v>2298</v>
      </c>
      <c r="E2794" s="4">
        <v>5500</v>
      </c>
    </row>
    <row r="2795" spans="1:5" ht="26.25" x14ac:dyDescent="0.25">
      <c r="A2795" s="2" t="s">
        <v>2044</v>
      </c>
      <c r="B2795" s="2" t="str">
        <f>"766014194"</f>
        <v>766014194</v>
      </c>
      <c r="C2795" s="2" t="str">
        <f>"766014194"</f>
        <v>766014194</v>
      </c>
      <c r="D2795" s="2" t="s">
        <v>2298</v>
      </c>
      <c r="E2795" s="4">
        <v>5500</v>
      </c>
    </row>
    <row r="2796" spans="1:5" ht="26.25" x14ac:dyDescent="0.25">
      <c r="A2796" s="2" t="s">
        <v>2044</v>
      </c>
      <c r="B2796" s="2" t="str">
        <f>"762314194"</f>
        <v>762314194</v>
      </c>
      <c r="C2796" s="2" t="str">
        <f>"762314194"</f>
        <v>762314194</v>
      </c>
      <c r="D2796" s="2" t="s">
        <v>2298</v>
      </c>
      <c r="E2796" s="4">
        <v>5500</v>
      </c>
    </row>
    <row r="2797" spans="1:5" ht="26.25" x14ac:dyDescent="0.25">
      <c r="A2797" s="2" t="s">
        <v>2044</v>
      </c>
      <c r="B2797" s="2" t="str">
        <f>"766314108"</f>
        <v>766314108</v>
      </c>
      <c r="C2797" s="2" t="str">
        <f>"766314108"</f>
        <v>766314108</v>
      </c>
      <c r="D2797" s="2" t="s">
        <v>2298</v>
      </c>
      <c r="E2797" s="4">
        <v>5500</v>
      </c>
    </row>
    <row r="2798" spans="1:5" ht="26.25" x14ac:dyDescent="0.25">
      <c r="A2798" s="2" t="s">
        <v>2044</v>
      </c>
      <c r="B2798" s="2" t="str">
        <f>"766014255"</f>
        <v>766014255</v>
      </c>
      <c r="C2798" s="2" t="str">
        <f>"766014255"</f>
        <v>766014255</v>
      </c>
      <c r="D2798" s="2" t="s">
        <v>2299</v>
      </c>
      <c r="E2798" s="4">
        <v>5500</v>
      </c>
    </row>
    <row r="2799" spans="1:5" ht="26.25" x14ac:dyDescent="0.25">
      <c r="A2799" s="2" t="s">
        <v>2044</v>
      </c>
      <c r="B2799" s="2" t="str">
        <f>"762314255"</f>
        <v>762314255</v>
      </c>
      <c r="C2799" s="2" t="str">
        <f>"762314255"</f>
        <v>762314255</v>
      </c>
      <c r="D2799" s="2" t="s">
        <v>2299</v>
      </c>
      <c r="E2799" s="4">
        <v>5500</v>
      </c>
    </row>
    <row r="2800" spans="1:5" ht="26.25" x14ac:dyDescent="0.25">
      <c r="A2800" s="2" t="s">
        <v>2044</v>
      </c>
      <c r="B2800" s="2" t="str">
        <f>"322314255"</f>
        <v>322314255</v>
      </c>
      <c r="C2800" s="2" t="str">
        <f>"322314255"</f>
        <v>322314255</v>
      </c>
      <c r="D2800" s="2" t="s">
        <v>2299</v>
      </c>
      <c r="E2800" s="4">
        <v>5500</v>
      </c>
    </row>
    <row r="2801" spans="1:5" ht="26.25" x14ac:dyDescent="0.25">
      <c r="A2801" s="2" t="s">
        <v>2044</v>
      </c>
      <c r="B2801" s="2" t="str">
        <f>"672314255"</f>
        <v>672314255</v>
      </c>
      <c r="C2801" s="2" t="str">
        <f>"672314255"</f>
        <v>672314255</v>
      </c>
      <c r="D2801" s="2" t="s">
        <v>2299</v>
      </c>
      <c r="E2801" s="4">
        <v>5500</v>
      </c>
    </row>
    <row r="2802" spans="1:5" ht="26.25" x14ac:dyDescent="0.25">
      <c r="A2802" s="2" t="s">
        <v>2044</v>
      </c>
      <c r="B2802" s="2" t="str">
        <f>"326014263"</f>
        <v>326014263</v>
      </c>
      <c r="C2802" s="2" t="str">
        <f>"326014263"</f>
        <v>326014263</v>
      </c>
      <c r="D2802" s="2" t="s">
        <v>2300</v>
      </c>
      <c r="E2802" s="4">
        <v>5500</v>
      </c>
    </row>
    <row r="2803" spans="1:5" ht="26.25" x14ac:dyDescent="0.25">
      <c r="A2803" s="2" t="s">
        <v>2044</v>
      </c>
      <c r="B2803" s="2" t="str">
        <f>"322314263"</f>
        <v>322314263</v>
      </c>
      <c r="C2803" s="2" t="str">
        <f>"322314263"</f>
        <v>322314263</v>
      </c>
      <c r="D2803" s="2" t="s">
        <v>2300</v>
      </c>
      <c r="E2803" s="4">
        <v>5500</v>
      </c>
    </row>
    <row r="2804" spans="1:5" ht="26.25" x14ac:dyDescent="0.25">
      <c r="A2804" s="2" t="s">
        <v>2044</v>
      </c>
      <c r="B2804" s="2" t="str">
        <f>"672314263"</f>
        <v>672314263</v>
      </c>
      <c r="C2804" s="2" t="str">
        <f>"672314263"</f>
        <v>672314263</v>
      </c>
      <c r="D2804" s="2" t="s">
        <v>2300</v>
      </c>
      <c r="E2804" s="4">
        <v>5500</v>
      </c>
    </row>
    <row r="2805" spans="1:5" ht="26.25" x14ac:dyDescent="0.25">
      <c r="A2805" s="2" t="s">
        <v>2044</v>
      </c>
      <c r="B2805" s="2" t="str">
        <f>"34231445"</f>
        <v>34231445</v>
      </c>
      <c r="C2805" s="2" t="str">
        <f>"34231445"</f>
        <v>34231445</v>
      </c>
      <c r="D2805" s="2" t="s">
        <v>2301</v>
      </c>
      <c r="E2805" s="4">
        <v>5500</v>
      </c>
    </row>
    <row r="2806" spans="1:5" ht="26.25" x14ac:dyDescent="0.25">
      <c r="A2806" s="2" t="s">
        <v>2044</v>
      </c>
      <c r="B2806" s="2" t="str">
        <f>"76601445"</f>
        <v>76601445</v>
      </c>
      <c r="C2806" s="2" t="str">
        <f>"76601445"</f>
        <v>76601445</v>
      </c>
      <c r="D2806" s="2" t="s">
        <v>2301</v>
      </c>
      <c r="E2806" s="4">
        <v>5500</v>
      </c>
    </row>
    <row r="2807" spans="1:5" ht="26.25" x14ac:dyDescent="0.25">
      <c r="A2807" s="2" t="s">
        <v>2044</v>
      </c>
      <c r="B2807" s="2" t="str">
        <f>"76231445"</f>
        <v>76231445</v>
      </c>
      <c r="C2807" s="2" t="str">
        <f>"76231445"</f>
        <v>76231445</v>
      </c>
      <c r="D2807" s="2" t="s">
        <v>2301</v>
      </c>
      <c r="E2807" s="4">
        <v>5500</v>
      </c>
    </row>
    <row r="2808" spans="1:5" ht="26.25" x14ac:dyDescent="0.25">
      <c r="A2808" s="2" t="s">
        <v>2044</v>
      </c>
      <c r="B2808" s="2" t="str">
        <f>"76551445"</f>
        <v>76551445</v>
      </c>
      <c r="C2808" s="2" t="str">
        <f>"76551445"</f>
        <v>76551445</v>
      </c>
      <c r="D2808" s="2" t="s">
        <v>2301</v>
      </c>
      <c r="E2808" s="4">
        <v>6000</v>
      </c>
    </row>
    <row r="2809" spans="1:5" ht="26.25" x14ac:dyDescent="0.25">
      <c r="A2809" s="2" t="s">
        <v>2044</v>
      </c>
      <c r="B2809" s="2" t="str">
        <f>"76851445"</f>
        <v>76851445</v>
      </c>
      <c r="C2809" s="2" t="str">
        <f>"76851445"</f>
        <v>76851445</v>
      </c>
      <c r="D2809" s="2" t="s">
        <v>2301</v>
      </c>
      <c r="E2809" s="4">
        <v>5800</v>
      </c>
    </row>
    <row r="2810" spans="1:5" ht="26.25" x14ac:dyDescent="0.25">
      <c r="A2810" s="2" t="s">
        <v>2044</v>
      </c>
      <c r="B2810" s="2" t="str">
        <f>"32231445"</f>
        <v>32231445</v>
      </c>
      <c r="C2810" s="2" t="str">
        <f>"32231445"</f>
        <v>32231445</v>
      </c>
      <c r="D2810" s="2" t="s">
        <v>2301</v>
      </c>
      <c r="E2810" s="4">
        <v>5500</v>
      </c>
    </row>
    <row r="2811" spans="1:5" ht="26.25" x14ac:dyDescent="0.25">
      <c r="A2811" s="2" t="s">
        <v>2044</v>
      </c>
      <c r="B2811" s="2" t="str">
        <f>"76631445"</f>
        <v>76631445</v>
      </c>
      <c r="C2811" s="2" t="str">
        <f>"76631445"</f>
        <v>76631445</v>
      </c>
      <c r="D2811" s="2" t="s">
        <v>2301</v>
      </c>
      <c r="E2811" s="4">
        <v>5500</v>
      </c>
    </row>
    <row r="2812" spans="1:5" ht="26.25" x14ac:dyDescent="0.25">
      <c r="A2812" s="2" t="s">
        <v>2044</v>
      </c>
      <c r="B2812" s="2" t="str">
        <f>"68601445"</f>
        <v>68601445</v>
      </c>
      <c r="C2812" s="2" t="str">
        <f>"68601445"</f>
        <v>68601445</v>
      </c>
      <c r="D2812" s="2" t="s">
        <v>2301</v>
      </c>
      <c r="E2812" s="4">
        <v>5500</v>
      </c>
    </row>
    <row r="2813" spans="1:5" ht="26.25" x14ac:dyDescent="0.25">
      <c r="A2813" s="2" t="s">
        <v>2044</v>
      </c>
      <c r="B2813" s="2" t="str">
        <f>"172314270"</f>
        <v>172314270</v>
      </c>
      <c r="C2813" s="2" t="str">
        <f>"172314270"</f>
        <v>172314270</v>
      </c>
      <c r="D2813" s="2" t="s">
        <v>2302</v>
      </c>
      <c r="E2813" s="4">
        <v>5500</v>
      </c>
    </row>
    <row r="2814" spans="1:5" ht="26.25" x14ac:dyDescent="0.25">
      <c r="A2814" s="2" t="s">
        <v>2044</v>
      </c>
      <c r="B2814" s="2" t="str">
        <f>"766014270"</f>
        <v>766014270</v>
      </c>
      <c r="C2814" s="2" t="str">
        <f>"766014270"</f>
        <v>766014270</v>
      </c>
      <c r="D2814" s="2" t="s">
        <v>2302</v>
      </c>
      <c r="E2814" s="4">
        <v>5500</v>
      </c>
    </row>
    <row r="2815" spans="1:5" ht="26.25" x14ac:dyDescent="0.25">
      <c r="A2815" s="2" t="s">
        <v>2044</v>
      </c>
      <c r="B2815" s="2" t="str">
        <f>"176014270"</f>
        <v>176014270</v>
      </c>
      <c r="C2815" s="2" t="str">
        <f>"176014270"</f>
        <v>176014270</v>
      </c>
      <c r="D2815" s="2" t="s">
        <v>2302</v>
      </c>
      <c r="E2815" s="4">
        <v>5500</v>
      </c>
    </row>
    <row r="2816" spans="1:5" ht="26.25" x14ac:dyDescent="0.25">
      <c r="A2816" s="2" t="s">
        <v>2044</v>
      </c>
      <c r="B2816" s="2" t="str">
        <f>"762314270"</f>
        <v>762314270</v>
      </c>
      <c r="C2816" s="2" t="str">
        <f>"762314270"</f>
        <v>762314270</v>
      </c>
      <c r="D2816" s="2" t="s">
        <v>2302</v>
      </c>
      <c r="E2816" s="4">
        <v>5500</v>
      </c>
    </row>
    <row r="2817" spans="1:5" ht="26.25" x14ac:dyDescent="0.25">
      <c r="A2817" s="2" t="s">
        <v>2044</v>
      </c>
      <c r="B2817" s="2" t="str">
        <f>"766314270"</f>
        <v>766314270</v>
      </c>
      <c r="C2817" s="2" t="str">
        <f>"766314270"</f>
        <v>766314270</v>
      </c>
      <c r="D2817" s="2" t="s">
        <v>2302</v>
      </c>
      <c r="E2817" s="4">
        <v>5500</v>
      </c>
    </row>
    <row r="2818" spans="1:5" ht="26.25" x14ac:dyDescent="0.25">
      <c r="A2818" s="2" t="s">
        <v>2044</v>
      </c>
      <c r="B2818" s="2" t="str">
        <f>"176314270"</f>
        <v>176314270</v>
      </c>
      <c r="C2818" s="2" t="str">
        <f>"176314270"</f>
        <v>176314270</v>
      </c>
      <c r="D2818" s="2" t="s">
        <v>2302</v>
      </c>
      <c r="E2818" s="4">
        <v>5500</v>
      </c>
    </row>
    <row r="2819" spans="1:5" ht="26.25" x14ac:dyDescent="0.25">
      <c r="A2819" s="2" t="s">
        <v>2044</v>
      </c>
      <c r="B2819" s="2" t="str">
        <f>"762314128"</f>
        <v>762314128</v>
      </c>
      <c r="C2819" s="2" t="str">
        <f>"762314128"</f>
        <v>762314128</v>
      </c>
      <c r="D2819" s="2" t="s">
        <v>2303</v>
      </c>
      <c r="E2819" s="4">
        <v>5500</v>
      </c>
    </row>
    <row r="2820" spans="1:5" ht="26.25" x14ac:dyDescent="0.25">
      <c r="A2820" s="2" t="s">
        <v>2044</v>
      </c>
      <c r="B2820" s="2" t="str">
        <f>"766314128"</f>
        <v>766314128</v>
      </c>
      <c r="C2820" s="2" t="str">
        <f>"766314128"</f>
        <v>766314128</v>
      </c>
      <c r="D2820" s="2" t="s">
        <v>2303</v>
      </c>
      <c r="E2820" s="4">
        <v>5500</v>
      </c>
    </row>
    <row r="2821" spans="1:5" ht="26.25" x14ac:dyDescent="0.25">
      <c r="A2821" s="2" t="s">
        <v>2044</v>
      </c>
      <c r="B2821" s="2" t="str">
        <f>"172314126"</f>
        <v>172314126</v>
      </c>
      <c r="C2821" s="2" t="str">
        <f>"172314126"</f>
        <v>172314126</v>
      </c>
      <c r="D2821" s="2" t="s">
        <v>2304</v>
      </c>
      <c r="E2821" s="4">
        <v>5500</v>
      </c>
    </row>
    <row r="2822" spans="1:5" ht="26.25" x14ac:dyDescent="0.25">
      <c r="A2822" s="2" t="s">
        <v>2044</v>
      </c>
      <c r="B2822" s="2" t="str">
        <f>"762314126"</f>
        <v>762314126</v>
      </c>
      <c r="C2822" s="2" t="str">
        <f>"762314126"</f>
        <v>762314126</v>
      </c>
      <c r="D2822" s="2" t="s">
        <v>2304</v>
      </c>
      <c r="E2822" s="4">
        <v>5500</v>
      </c>
    </row>
    <row r="2823" spans="1:5" ht="26.25" x14ac:dyDescent="0.25">
      <c r="A2823" s="2" t="s">
        <v>2044</v>
      </c>
      <c r="B2823" s="2" t="str">
        <f>"766014126"</f>
        <v>766014126</v>
      </c>
      <c r="C2823" s="2" t="str">
        <f>"766014126"</f>
        <v>766014126</v>
      </c>
      <c r="D2823" s="2" t="s">
        <v>2304</v>
      </c>
      <c r="E2823" s="4">
        <v>5500</v>
      </c>
    </row>
    <row r="2824" spans="1:5" ht="26.25" x14ac:dyDescent="0.25">
      <c r="A2824" s="2" t="s">
        <v>2044</v>
      </c>
      <c r="B2824" s="2" t="str">
        <f>"176314126"</f>
        <v>176314126</v>
      </c>
      <c r="C2824" s="2" t="str">
        <f>"176314126"</f>
        <v>176314126</v>
      </c>
      <c r="D2824" s="2" t="s">
        <v>2304</v>
      </c>
      <c r="E2824" s="4">
        <v>5500</v>
      </c>
    </row>
    <row r="2825" spans="1:5" ht="26.25" x14ac:dyDescent="0.25">
      <c r="A2825" s="2" t="s">
        <v>2044</v>
      </c>
      <c r="B2825" s="2" t="str">
        <f>"762314256"</f>
        <v>762314256</v>
      </c>
      <c r="C2825" s="2" t="str">
        <f>"762314256"</f>
        <v>762314256</v>
      </c>
      <c r="D2825" s="2" t="s">
        <v>2305</v>
      </c>
      <c r="E2825" s="4">
        <v>5500</v>
      </c>
    </row>
    <row r="2826" spans="1:5" ht="26.25" x14ac:dyDescent="0.25">
      <c r="A2826" s="2" t="s">
        <v>2044</v>
      </c>
      <c r="B2826" s="2" t="str">
        <f>"766014256"</f>
        <v>766014256</v>
      </c>
      <c r="C2826" s="2" t="str">
        <f>"766014256"</f>
        <v>766014256</v>
      </c>
      <c r="D2826" s="2" t="s">
        <v>2305</v>
      </c>
      <c r="E2826" s="4">
        <v>5500</v>
      </c>
    </row>
    <row r="2827" spans="1:5" ht="26.25" x14ac:dyDescent="0.25">
      <c r="A2827" s="2" t="s">
        <v>2044</v>
      </c>
      <c r="B2827" s="2" t="str">
        <f>"672314256"</f>
        <v>672314256</v>
      </c>
      <c r="C2827" s="2" t="str">
        <f>"672314256"</f>
        <v>672314256</v>
      </c>
      <c r="D2827" s="2" t="s">
        <v>2305</v>
      </c>
      <c r="E2827" s="4">
        <v>5500</v>
      </c>
    </row>
    <row r="2828" spans="1:5" ht="26.25" x14ac:dyDescent="0.25">
      <c r="A2828" s="2" t="s">
        <v>2044</v>
      </c>
      <c r="B2828" s="2" t="str">
        <f>"322314264"</f>
        <v>322314264</v>
      </c>
      <c r="C2828" s="2" t="str">
        <f>"322314264"</f>
        <v>322314264</v>
      </c>
      <c r="D2828" s="2" t="s">
        <v>2306</v>
      </c>
      <c r="E2828" s="4">
        <v>5500</v>
      </c>
    </row>
    <row r="2829" spans="1:5" ht="26.25" x14ac:dyDescent="0.25">
      <c r="A2829" s="2" t="s">
        <v>2044</v>
      </c>
      <c r="B2829" s="2" t="str">
        <f>"762314264"</f>
        <v>762314264</v>
      </c>
      <c r="C2829" s="2" t="str">
        <f>"762314264"</f>
        <v>762314264</v>
      </c>
      <c r="D2829" s="2" t="s">
        <v>2306</v>
      </c>
      <c r="E2829" s="4">
        <v>5500</v>
      </c>
    </row>
    <row r="2830" spans="1:5" ht="26.25" x14ac:dyDescent="0.25">
      <c r="A2830" s="2" t="s">
        <v>2044</v>
      </c>
      <c r="B2830" s="2" t="str">
        <f>"17601447"</f>
        <v>17601447</v>
      </c>
      <c r="C2830" s="2" t="str">
        <f>"17601447"</f>
        <v>17601447</v>
      </c>
      <c r="D2830" s="2" t="s">
        <v>2307</v>
      </c>
      <c r="E2830" s="4">
        <v>6000</v>
      </c>
    </row>
    <row r="2831" spans="1:5" ht="26.25" x14ac:dyDescent="0.25">
      <c r="A2831" s="2" t="s">
        <v>2044</v>
      </c>
      <c r="B2831" s="2" t="str">
        <f>"76231414"</f>
        <v>76231414</v>
      </c>
      <c r="C2831" s="2" t="str">
        <f>"76231414"</f>
        <v>76231414</v>
      </c>
      <c r="D2831" s="2" t="s">
        <v>2307</v>
      </c>
      <c r="E2831" s="4">
        <v>5500</v>
      </c>
    </row>
    <row r="2832" spans="1:5" ht="26.25" x14ac:dyDescent="0.25">
      <c r="A2832" s="2" t="s">
        <v>2044</v>
      </c>
      <c r="B2832" s="2" t="str">
        <f>"61231447"</f>
        <v>61231447</v>
      </c>
      <c r="C2832" s="2" t="str">
        <f>"61231447"</f>
        <v>61231447</v>
      </c>
      <c r="D2832" s="2" t="s">
        <v>2307</v>
      </c>
      <c r="E2832" s="4">
        <v>5500</v>
      </c>
    </row>
    <row r="2833" spans="1:5" ht="26.25" x14ac:dyDescent="0.25">
      <c r="A2833" s="2" t="s">
        <v>2044</v>
      </c>
      <c r="B2833" s="2" t="str">
        <f>"32231447"</f>
        <v>32231447</v>
      </c>
      <c r="C2833" s="2" t="str">
        <f>"32231447"</f>
        <v>32231447</v>
      </c>
      <c r="D2833" s="2" t="s">
        <v>2307</v>
      </c>
      <c r="E2833" s="4">
        <v>5500</v>
      </c>
    </row>
    <row r="2834" spans="1:5" ht="26.25" x14ac:dyDescent="0.25">
      <c r="A2834" s="2" t="s">
        <v>2044</v>
      </c>
      <c r="B2834" s="2" t="str">
        <f>"322314266"</f>
        <v>322314266</v>
      </c>
      <c r="C2834" s="2" t="str">
        <f>"322314266"</f>
        <v>322314266</v>
      </c>
      <c r="D2834" s="2" t="s">
        <v>2307</v>
      </c>
      <c r="E2834" s="4">
        <v>5500</v>
      </c>
    </row>
    <row r="2835" spans="1:5" ht="26.25" x14ac:dyDescent="0.25">
      <c r="A2835" s="2" t="s">
        <v>2044</v>
      </c>
      <c r="B2835" s="2" t="str">
        <f>"76231447"</f>
        <v>76231447</v>
      </c>
      <c r="C2835" s="2" t="str">
        <f>"76231447"</f>
        <v>76231447</v>
      </c>
      <c r="D2835" s="2" t="s">
        <v>2307</v>
      </c>
      <c r="E2835" s="4">
        <v>5500</v>
      </c>
    </row>
    <row r="2836" spans="1:5" ht="26.25" x14ac:dyDescent="0.25">
      <c r="A2836" s="2" t="s">
        <v>2044</v>
      </c>
      <c r="B2836" s="2" t="str">
        <f>"68231447"</f>
        <v>68231447</v>
      </c>
      <c r="C2836" s="2" t="str">
        <f>"68231447"</f>
        <v>68231447</v>
      </c>
      <c r="D2836" s="2" t="s">
        <v>2307</v>
      </c>
      <c r="E2836" s="4">
        <v>5500</v>
      </c>
    </row>
    <row r="2837" spans="1:5" ht="26.25" x14ac:dyDescent="0.25">
      <c r="A2837" s="2" t="s">
        <v>2044</v>
      </c>
      <c r="B2837" s="2" t="str">
        <f>"67231447"</f>
        <v>67231447</v>
      </c>
      <c r="C2837" s="2" t="str">
        <f>"67231447"</f>
        <v>67231447</v>
      </c>
      <c r="D2837" s="2" t="s">
        <v>2307</v>
      </c>
      <c r="E2837" s="4">
        <v>5500</v>
      </c>
    </row>
    <row r="2838" spans="1:5" ht="26.25" x14ac:dyDescent="0.25">
      <c r="A2838" s="2" t="s">
        <v>2044</v>
      </c>
      <c r="B2838" s="2" t="str">
        <f>"76601447"</f>
        <v>76601447</v>
      </c>
      <c r="C2838" s="2" t="str">
        <f>"76601447"</f>
        <v>76601447</v>
      </c>
      <c r="D2838" s="2" t="s">
        <v>2307</v>
      </c>
      <c r="E2838" s="4">
        <v>5500</v>
      </c>
    </row>
    <row r="2839" spans="1:5" ht="26.25" x14ac:dyDescent="0.25">
      <c r="A2839" s="2" t="s">
        <v>2044</v>
      </c>
      <c r="B2839" s="2" t="str">
        <f>"17231447"</f>
        <v>17231447</v>
      </c>
      <c r="C2839" s="2" t="str">
        <f>"17231447"</f>
        <v>17231447</v>
      </c>
      <c r="D2839" s="2" t="s">
        <v>2307</v>
      </c>
      <c r="E2839" s="4">
        <v>5500</v>
      </c>
    </row>
    <row r="2840" spans="1:5" ht="26.25" x14ac:dyDescent="0.25">
      <c r="A2840" s="2" t="s">
        <v>2044</v>
      </c>
      <c r="B2840" s="2" t="str">
        <f>"76631447"</f>
        <v>76631447</v>
      </c>
      <c r="C2840" s="2" t="str">
        <f>"76631447"</f>
        <v>76631447</v>
      </c>
      <c r="D2840" s="2" t="s">
        <v>2307</v>
      </c>
      <c r="E2840" s="4">
        <v>5500</v>
      </c>
    </row>
    <row r="2841" spans="1:5" ht="26.25" x14ac:dyDescent="0.25">
      <c r="A2841" s="2" t="s">
        <v>2044</v>
      </c>
      <c r="B2841" s="2" t="str">
        <f>"992314137"</f>
        <v>992314137</v>
      </c>
      <c r="C2841" s="2" t="str">
        <f>"992314137"</f>
        <v>992314137</v>
      </c>
      <c r="D2841" s="2" t="s">
        <v>2308</v>
      </c>
      <c r="E2841" s="4">
        <v>5500</v>
      </c>
    </row>
    <row r="2842" spans="1:5" ht="26.25" x14ac:dyDescent="0.25">
      <c r="A2842" s="2" t="s">
        <v>2044</v>
      </c>
      <c r="B2842" s="2" t="str">
        <f>"172314266"</f>
        <v>172314266</v>
      </c>
      <c r="C2842" s="2" t="str">
        <f>"172314266"</f>
        <v>172314266</v>
      </c>
      <c r="D2842" s="2" t="s">
        <v>2309</v>
      </c>
      <c r="E2842" s="4">
        <v>5500</v>
      </c>
    </row>
    <row r="2843" spans="1:5" ht="26.25" x14ac:dyDescent="0.25">
      <c r="A2843" s="2" t="s">
        <v>2044</v>
      </c>
      <c r="B2843" s="2" t="str">
        <f>"766014266"</f>
        <v>766014266</v>
      </c>
      <c r="C2843" s="2" t="str">
        <f>"766014266"</f>
        <v>766014266</v>
      </c>
      <c r="D2843" s="2" t="s">
        <v>2309</v>
      </c>
      <c r="E2843" s="4">
        <v>5500</v>
      </c>
    </row>
    <row r="2844" spans="1:5" ht="26.25" x14ac:dyDescent="0.25">
      <c r="A2844" s="2" t="s">
        <v>2044</v>
      </c>
      <c r="B2844" s="2" t="str">
        <f>"992314266"</f>
        <v>992314266</v>
      </c>
      <c r="C2844" s="2" t="str">
        <f>"992314266"</f>
        <v>992314266</v>
      </c>
      <c r="D2844" s="2" t="s">
        <v>2309</v>
      </c>
      <c r="E2844" s="4">
        <v>5500</v>
      </c>
    </row>
    <row r="2845" spans="1:5" ht="26.25" x14ac:dyDescent="0.25">
      <c r="A2845" s="2" t="s">
        <v>2044</v>
      </c>
      <c r="B2845" s="2" t="str">
        <f>"862314266"</f>
        <v>862314266</v>
      </c>
      <c r="C2845" s="2" t="str">
        <f>"862314266"</f>
        <v>862314266</v>
      </c>
      <c r="D2845" s="2" t="s">
        <v>2309</v>
      </c>
      <c r="E2845" s="4">
        <v>9500</v>
      </c>
    </row>
    <row r="2846" spans="1:5" ht="26.25" x14ac:dyDescent="0.25">
      <c r="A2846" s="2" t="s">
        <v>2044</v>
      </c>
      <c r="B2846" s="2" t="str">
        <f>"176014266"</f>
        <v>176014266</v>
      </c>
      <c r="C2846" s="2" t="str">
        <f>"176014266"</f>
        <v>176014266</v>
      </c>
      <c r="D2846" s="2" t="s">
        <v>2309</v>
      </c>
      <c r="E2846" s="4">
        <v>6000</v>
      </c>
    </row>
    <row r="2847" spans="1:5" ht="26.25" x14ac:dyDescent="0.25">
      <c r="A2847" s="2" t="s">
        <v>2044</v>
      </c>
      <c r="B2847" s="2" t="str">
        <f>"762314266"</f>
        <v>762314266</v>
      </c>
      <c r="C2847" s="2" t="str">
        <f>"762314266"</f>
        <v>762314266</v>
      </c>
      <c r="D2847" s="2" t="s">
        <v>2309</v>
      </c>
      <c r="E2847" s="4">
        <v>5500</v>
      </c>
    </row>
    <row r="2848" spans="1:5" ht="26.25" x14ac:dyDescent="0.25">
      <c r="A2848" s="2" t="s">
        <v>2044</v>
      </c>
      <c r="B2848" s="2" t="str">
        <f>"766314266"</f>
        <v>766314266</v>
      </c>
      <c r="C2848" s="2" t="str">
        <f>"766314266"</f>
        <v>766314266</v>
      </c>
      <c r="D2848" s="2" t="s">
        <v>2309</v>
      </c>
      <c r="E2848" s="4">
        <v>5500</v>
      </c>
    </row>
    <row r="2849" spans="1:5" ht="26.25" x14ac:dyDescent="0.25">
      <c r="A2849" s="2" t="s">
        <v>2044</v>
      </c>
      <c r="B2849" s="2" t="str">
        <f>"346014266"</f>
        <v>346014266</v>
      </c>
      <c r="C2849" s="2" t="str">
        <f>"346014266"</f>
        <v>346014266</v>
      </c>
      <c r="D2849" s="2" t="s">
        <v>2309</v>
      </c>
      <c r="E2849" s="4">
        <v>5500</v>
      </c>
    </row>
    <row r="2850" spans="1:5" ht="26.25" x14ac:dyDescent="0.25">
      <c r="A2850" s="2" t="s">
        <v>2044</v>
      </c>
      <c r="B2850" s="2" t="str">
        <f>"762314129"</f>
        <v>762314129</v>
      </c>
      <c r="C2850" s="2" t="str">
        <f>"762314129"</f>
        <v>762314129</v>
      </c>
      <c r="D2850" s="2" t="s">
        <v>2310</v>
      </c>
      <c r="E2850" s="4">
        <v>5500</v>
      </c>
    </row>
    <row r="2851" spans="1:5" ht="26.25" x14ac:dyDescent="0.25">
      <c r="A2851" s="2" t="s">
        <v>2044</v>
      </c>
      <c r="B2851" s="2" t="str">
        <f>"766314129"</f>
        <v>766314129</v>
      </c>
      <c r="C2851" s="2" t="str">
        <f>"766314129"</f>
        <v>766314129</v>
      </c>
      <c r="D2851" s="2" t="s">
        <v>2310</v>
      </c>
      <c r="E2851" s="4">
        <v>5500</v>
      </c>
    </row>
    <row r="2852" spans="1:5" ht="26.25" x14ac:dyDescent="0.25">
      <c r="A2852" s="2" t="s">
        <v>2044</v>
      </c>
      <c r="B2852" s="2" t="str">
        <f>"762314121"</f>
        <v>762314121</v>
      </c>
      <c r="C2852" s="2" t="str">
        <f>"762314121"</f>
        <v>762314121</v>
      </c>
      <c r="D2852" s="2" t="s">
        <v>2310</v>
      </c>
      <c r="E2852" s="4">
        <v>5500</v>
      </c>
    </row>
    <row r="2853" spans="1:5" ht="26.25" x14ac:dyDescent="0.25">
      <c r="A2853" s="2" t="s">
        <v>2044</v>
      </c>
      <c r="B2853" s="2" t="str">
        <f>"176014127"</f>
        <v>176014127</v>
      </c>
      <c r="C2853" s="2" t="str">
        <f>"176014127"</f>
        <v>176014127</v>
      </c>
      <c r="D2853" s="2" t="s">
        <v>2311</v>
      </c>
      <c r="E2853" s="4">
        <v>6000</v>
      </c>
    </row>
    <row r="2854" spans="1:5" ht="26.25" x14ac:dyDescent="0.25">
      <c r="A2854" s="2" t="s">
        <v>2044</v>
      </c>
      <c r="B2854" s="2" t="str">
        <f>"762314127"</f>
        <v>762314127</v>
      </c>
      <c r="C2854" s="2" t="str">
        <f>"762314127"</f>
        <v>762314127</v>
      </c>
      <c r="D2854" s="2" t="s">
        <v>2311</v>
      </c>
      <c r="E2854" s="4">
        <v>5500</v>
      </c>
    </row>
    <row r="2855" spans="1:5" ht="26.25" x14ac:dyDescent="0.25">
      <c r="A2855" s="2" t="s">
        <v>2044</v>
      </c>
      <c r="B2855" s="2" t="str">
        <f>"766014127"</f>
        <v>766014127</v>
      </c>
      <c r="C2855" s="2" t="str">
        <f>"766014127"</f>
        <v>766014127</v>
      </c>
      <c r="D2855" s="2" t="s">
        <v>2311</v>
      </c>
      <c r="E2855" s="4">
        <v>5500</v>
      </c>
    </row>
    <row r="2856" spans="1:5" ht="26.25" x14ac:dyDescent="0.25">
      <c r="A2856" s="2" t="s">
        <v>2044</v>
      </c>
      <c r="B2856" s="2" t="str">
        <f>"766314127"</f>
        <v>766314127</v>
      </c>
      <c r="C2856" s="2" t="str">
        <f>"766314127"</f>
        <v>766314127</v>
      </c>
      <c r="D2856" s="2" t="s">
        <v>2311</v>
      </c>
      <c r="E2856" s="4">
        <v>5500</v>
      </c>
    </row>
    <row r="2857" spans="1:5" ht="26.25" x14ac:dyDescent="0.25">
      <c r="A2857" s="2" t="s">
        <v>2044</v>
      </c>
      <c r="B2857" s="2" t="str">
        <f>"672314261"</f>
        <v>672314261</v>
      </c>
      <c r="C2857" s="2" t="str">
        <f>"672314261"</f>
        <v>672314261</v>
      </c>
      <c r="D2857" s="2" t="s">
        <v>2312</v>
      </c>
      <c r="E2857" s="4">
        <v>5500</v>
      </c>
    </row>
    <row r="2858" spans="1:5" ht="26.25" x14ac:dyDescent="0.25">
      <c r="A2858" s="2" t="s">
        <v>2044</v>
      </c>
      <c r="B2858" s="2" t="str">
        <f>"762314261"</f>
        <v>762314261</v>
      </c>
      <c r="C2858" s="2" t="str">
        <f>"762314261"</f>
        <v>762314261</v>
      </c>
      <c r="D2858" s="2" t="s">
        <v>2312</v>
      </c>
      <c r="E2858" s="4">
        <v>5500</v>
      </c>
    </row>
    <row r="2859" spans="1:5" ht="26.25" x14ac:dyDescent="0.25">
      <c r="A2859" s="2" t="s">
        <v>2044</v>
      </c>
      <c r="B2859" s="2" t="str">
        <f>"762314107"</f>
        <v>762314107</v>
      </c>
      <c r="C2859" s="2" t="str">
        <f>"762314107"</f>
        <v>762314107</v>
      </c>
      <c r="D2859" s="2" t="s">
        <v>2313</v>
      </c>
      <c r="E2859" s="4">
        <v>5500</v>
      </c>
    </row>
    <row r="2860" spans="1:5" ht="26.25" x14ac:dyDescent="0.25">
      <c r="A2860" s="2" t="s">
        <v>2044</v>
      </c>
      <c r="B2860" s="2" t="str">
        <f>"762314295"</f>
        <v>762314295</v>
      </c>
      <c r="C2860" s="2" t="str">
        <f>"762314295"</f>
        <v>762314295</v>
      </c>
      <c r="D2860" s="2" t="s">
        <v>2314</v>
      </c>
      <c r="E2860" s="4">
        <v>4500</v>
      </c>
    </row>
    <row r="2861" spans="1:5" ht="26.25" x14ac:dyDescent="0.25">
      <c r="A2861" s="2" t="s">
        <v>2044</v>
      </c>
      <c r="B2861" s="2" t="str">
        <f>"1000001013381"</f>
        <v>1000001013381</v>
      </c>
      <c r="C2861" s="2" t="str">
        <f>"766014138"</f>
        <v>766014138</v>
      </c>
      <c r="D2861" s="2" t="s">
        <v>2315</v>
      </c>
      <c r="E2861" s="4">
        <v>5500</v>
      </c>
    </row>
    <row r="2862" spans="1:5" ht="26.25" x14ac:dyDescent="0.25">
      <c r="A2862" s="2" t="s">
        <v>2044</v>
      </c>
      <c r="B2862" s="2" t="str">
        <f>"322314260"</f>
        <v>322314260</v>
      </c>
      <c r="C2862" s="2" t="str">
        <f>"322314260"</f>
        <v>322314260</v>
      </c>
      <c r="D2862" s="2" t="s">
        <v>2316</v>
      </c>
      <c r="E2862" s="4">
        <v>5500</v>
      </c>
    </row>
    <row r="2863" spans="1:5" ht="26.25" x14ac:dyDescent="0.25">
      <c r="A2863" s="2" t="s">
        <v>2044</v>
      </c>
      <c r="B2863" s="2" t="str">
        <f>"762314269"</f>
        <v>762314269</v>
      </c>
      <c r="C2863" s="2" t="str">
        <f>"762314269"</f>
        <v>762314269</v>
      </c>
      <c r="D2863" s="2" t="s">
        <v>2317</v>
      </c>
      <c r="E2863" s="4">
        <v>5000</v>
      </c>
    </row>
    <row r="2864" spans="1:5" ht="26.25" x14ac:dyDescent="0.25">
      <c r="A2864" s="2" t="s">
        <v>2044</v>
      </c>
      <c r="B2864" s="2" t="str">
        <f>"762314273"</f>
        <v>762314273</v>
      </c>
      <c r="C2864" s="2" t="str">
        <f>"762314273"</f>
        <v>762314273</v>
      </c>
      <c r="D2864" s="2" t="s">
        <v>2318</v>
      </c>
      <c r="E2864" s="4">
        <v>5500</v>
      </c>
    </row>
    <row r="2865" spans="1:5" ht="26.25" x14ac:dyDescent="0.25">
      <c r="A2865" s="2" t="s">
        <v>2044</v>
      </c>
      <c r="B2865" s="2" t="str">
        <f>"110767622"</f>
        <v>110767622</v>
      </c>
      <c r="C2865" s="2" t="str">
        <f>"110767622"</f>
        <v>110767622</v>
      </c>
      <c r="D2865" s="2" t="s">
        <v>2319</v>
      </c>
      <c r="E2865" s="4">
        <v>7500</v>
      </c>
    </row>
    <row r="2866" spans="1:5" ht="26.25" x14ac:dyDescent="0.25">
      <c r="A2866" s="2" t="s">
        <v>2044</v>
      </c>
      <c r="B2866" s="2" t="str">
        <f>"110769500"</f>
        <v>110769500</v>
      </c>
      <c r="C2866" s="2" t="str">
        <f>"110769500"</f>
        <v>110769500</v>
      </c>
      <c r="D2866" s="2" t="s">
        <v>2319</v>
      </c>
      <c r="E2866" s="4">
        <v>6000</v>
      </c>
    </row>
    <row r="2867" spans="1:5" ht="26.25" x14ac:dyDescent="0.25">
      <c r="A2867" s="2" t="s">
        <v>2044</v>
      </c>
      <c r="B2867" s="2" t="str">
        <f>"76231485"</f>
        <v>76231485</v>
      </c>
      <c r="C2867" s="2" t="str">
        <f>"76231485"</f>
        <v>76231485</v>
      </c>
      <c r="D2867" s="2" t="s">
        <v>2320</v>
      </c>
      <c r="E2867" s="4">
        <v>6500</v>
      </c>
    </row>
    <row r="2868" spans="1:5" ht="26.25" x14ac:dyDescent="0.25">
      <c r="A2868" s="2" t="s">
        <v>2044</v>
      </c>
      <c r="B2868" s="2" t="str">
        <f>"76231486"</f>
        <v>76231486</v>
      </c>
      <c r="C2868" s="2" t="str">
        <f>"76231486"</f>
        <v>76231486</v>
      </c>
      <c r="D2868" s="2" t="s">
        <v>2321</v>
      </c>
      <c r="E2868" s="4">
        <v>5500</v>
      </c>
    </row>
    <row r="2869" spans="1:5" ht="26.25" x14ac:dyDescent="0.25">
      <c r="A2869" s="2" t="s">
        <v>2044</v>
      </c>
      <c r="B2869" s="2" t="str">
        <f>"768514186"</f>
        <v>768514186</v>
      </c>
      <c r="C2869" s="2" t="str">
        <f>"768514186"</f>
        <v>768514186</v>
      </c>
      <c r="D2869" s="2" t="s">
        <v>2321</v>
      </c>
      <c r="E2869" s="4">
        <v>5800</v>
      </c>
    </row>
    <row r="2870" spans="1:5" ht="26.25" x14ac:dyDescent="0.25">
      <c r="A2870" s="2" t="s">
        <v>2044</v>
      </c>
      <c r="B2870" s="2" t="str">
        <f>"17231486"</f>
        <v>17231486</v>
      </c>
      <c r="C2870" s="2" t="str">
        <f>"17231486"</f>
        <v>17231486</v>
      </c>
      <c r="D2870" s="2" t="s">
        <v>2321</v>
      </c>
      <c r="E2870" s="4">
        <v>5500</v>
      </c>
    </row>
    <row r="2871" spans="1:5" ht="26.25" x14ac:dyDescent="0.25">
      <c r="A2871" s="2" t="s">
        <v>2044</v>
      </c>
      <c r="B2871" s="2" t="str">
        <f>"76851486"</f>
        <v>76851486</v>
      </c>
      <c r="C2871" s="2" t="str">
        <f>"76851486"</f>
        <v>76851486</v>
      </c>
      <c r="D2871" s="2" t="s">
        <v>2321</v>
      </c>
      <c r="E2871" s="4">
        <v>5800</v>
      </c>
    </row>
    <row r="2872" spans="1:5" ht="26.25" x14ac:dyDescent="0.25">
      <c r="A2872" s="2" t="s">
        <v>2044</v>
      </c>
      <c r="B2872" s="2" t="str">
        <f>"17231454"</f>
        <v>17231454</v>
      </c>
      <c r="C2872" s="2" t="str">
        <f>"17231454"</f>
        <v>17231454</v>
      </c>
      <c r="D2872" s="2" t="s">
        <v>2322</v>
      </c>
      <c r="E2872" s="4">
        <v>5500</v>
      </c>
    </row>
    <row r="2873" spans="1:5" ht="26.25" x14ac:dyDescent="0.25">
      <c r="A2873" s="2" t="s">
        <v>2044</v>
      </c>
      <c r="B2873" s="2" t="str">
        <f>"76231454"</f>
        <v>76231454</v>
      </c>
      <c r="C2873" s="2" t="str">
        <f>"76231454"</f>
        <v>76231454</v>
      </c>
      <c r="D2873" s="2" t="s">
        <v>2322</v>
      </c>
      <c r="E2873" s="4">
        <v>5500</v>
      </c>
    </row>
    <row r="2874" spans="1:5" ht="26.25" x14ac:dyDescent="0.25">
      <c r="A2874" s="2" t="s">
        <v>2044</v>
      </c>
      <c r="B2874" s="2" t="str">
        <f>"762314175"</f>
        <v>762314175</v>
      </c>
      <c r="C2874" s="2" t="str">
        <f>"762314175"</f>
        <v>762314175</v>
      </c>
      <c r="D2874" s="2" t="s">
        <v>2323</v>
      </c>
      <c r="E2874" s="4">
        <v>5500</v>
      </c>
    </row>
    <row r="2875" spans="1:5" ht="26.25" x14ac:dyDescent="0.25">
      <c r="A2875" s="2" t="s">
        <v>2044</v>
      </c>
      <c r="B2875" s="2" t="str">
        <f>"172314174"</f>
        <v>172314174</v>
      </c>
      <c r="C2875" s="2" t="str">
        <f>"172314174"</f>
        <v>172314174</v>
      </c>
      <c r="D2875" s="2" t="s">
        <v>2323</v>
      </c>
      <c r="E2875" s="4">
        <v>5500</v>
      </c>
    </row>
    <row r="2876" spans="1:5" ht="26.25" x14ac:dyDescent="0.25">
      <c r="A2876" s="2" t="s">
        <v>2044</v>
      </c>
      <c r="B2876" s="2" t="str">
        <f>"172314175"</f>
        <v>172314175</v>
      </c>
      <c r="C2876" s="2" t="str">
        <f>"172314175"</f>
        <v>172314175</v>
      </c>
      <c r="D2876" s="2" t="s">
        <v>2323</v>
      </c>
      <c r="E2876" s="4">
        <v>5500</v>
      </c>
    </row>
    <row r="2877" spans="1:5" ht="26.25" x14ac:dyDescent="0.25">
      <c r="A2877" s="2" t="s">
        <v>2044</v>
      </c>
      <c r="B2877" s="2" t="str">
        <f>"762314178"</f>
        <v>762314178</v>
      </c>
      <c r="C2877" s="2" t="str">
        <f>"762314178"</f>
        <v>762314178</v>
      </c>
      <c r="D2877" s="2" t="s">
        <v>2324</v>
      </c>
      <c r="E2877" s="4">
        <v>5500</v>
      </c>
    </row>
    <row r="2878" spans="1:5" ht="26.25" x14ac:dyDescent="0.25">
      <c r="A2878" s="2" t="s">
        <v>2044</v>
      </c>
      <c r="B2878" s="2" t="str">
        <f>"766014178"</f>
        <v>766014178</v>
      </c>
      <c r="C2878" s="2" t="str">
        <f>"766014178"</f>
        <v>766014178</v>
      </c>
      <c r="D2878" s="2" t="s">
        <v>2324</v>
      </c>
      <c r="E2878" s="4">
        <v>5500</v>
      </c>
    </row>
    <row r="2879" spans="1:5" ht="26.25" x14ac:dyDescent="0.25">
      <c r="A2879" s="2" t="s">
        <v>2044</v>
      </c>
      <c r="B2879" s="2" t="str">
        <f>"766014184"</f>
        <v>766014184</v>
      </c>
      <c r="C2879" s="2" t="str">
        <f>"766014184"</f>
        <v>766014184</v>
      </c>
      <c r="D2879" s="2" t="s">
        <v>2324</v>
      </c>
      <c r="E2879" s="4">
        <v>5500</v>
      </c>
    </row>
    <row r="2880" spans="1:5" ht="26.25" x14ac:dyDescent="0.25">
      <c r="A2880" s="2" t="s">
        <v>2044</v>
      </c>
      <c r="B2880" s="2" t="str">
        <f>"762314191"</f>
        <v>762314191</v>
      </c>
      <c r="C2880" s="2" t="str">
        <f>"762314191"</f>
        <v>762314191</v>
      </c>
      <c r="D2880" s="2" t="s">
        <v>2325</v>
      </c>
      <c r="E2880" s="4">
        <v>5500</v>
      </c>
    </row>
    <row r="2881" spans="1:5" ht="26.25" x14ac:dyDescent="0.25">
      <c r="A2881" s="2" t="s">
        <v>2044</v>
      </c>
      <c r="B2881" s="2" t="str">
        <f>"862314191"</f>
        <v>862314191</v>
      </c>
      <c r="C2881" s="2" t="str">
        <f>"862314191"</f>
        <v>862314191</v>
      </c>
      <c r="D2881" s="2" t="s">
        <v>2325</v>
      </c>
      <c r="E2881" s="4">
        <v>9500</v>
      </c>
    </row>
    <row r="2882" spans="1:5" ht="26.25" x14ac:dyDescent="0.25">
      <c r="A2882" s="2" t="s">
        <v>2044</v>
      </c>
      <c r="B2882" s="2" t="str">
        <f>"766014191"</f>
        <v>766014191</v>
      </c>
      <c r="C2882" s="2" t="str">
        <f>"766014191"</f>
        <v>766014191</v>
      </c>
      <c r="D2882" s="2" t="s">
        <v>2325</v>
      </c>
      <c r="E2882" s="4">
        <v>5500</v>
      </c>
    </row>
    <row r="2883" spans="1:5" ht="26.25" x14ac:dyDescent="0.25">
      <c r="A2883" s="2" t="s">
        <v>2044</v>
      </c>
      <c r="B2883" s="2" t="str">
        <f>"176314200"</f>
        <v>176314200</v>
      </c>
      <c r="C2883" s="2" t="str">
        <f>"176314200"</f>
        <v>176314200</v>
      </c>
      <c r="D2883" s="2" t="s">
        <v>2326</v>
      </c>
      <c r="E2883" s="4">
        <v>5500</v>
      </c>
    </row>
    <row r="2884" spans="1:5" ht="26.25" x14ac:dyDescent="0.25">
      <c r="A2884" s="2" t="s">
        <v>2044</v>
      </c>
      <c r="B2884" s="2" t="str">
        <f>"342314200"</f>
        <v>342314200</v>
      </c>
      <c r="C2884" s="2" t="str">
        <f>"342314200"</f>
        <v>342314200</v>
      </c>
      <c r="D2884" s="2" t="s">
        <v>2326</v>
      </c>
      <c r="E2884" s="4">
        <v>5500</v>
      </c>
    </row>
    <row r="2885" spans="1:5" ht="26.25" x14ac:dyDescent="0.25">
      <c r="A2885" s="2" t="s">
        <v>2044</v>
      </c>
      <c r="B2885" s="2" t="str">
        <f>"7290112310033"</f>
        <v>7290112310033</v>
      </c>
      <c r="C2885" s="2" t="str">
        <f>"346014200"</f>
        <v>346014200</v>
      </c>
      <c r="D2885" s="2" t="s">
        <v>2326</v>
      </c>
      <c r="E2885" s="4">
        <v>6500</v>
      </c>
    </row>
    <row r="2886" spans="1:5" ht="26.25" x14ac:dyDescent="0.25">
      <c r="A2886" s="2" t="s">
        <v>2044</v>
      </c>
      <c r="B2886" s="2" t="str">
        <f>"682314200"</f>
        <v>682314200</v>
      </c>
      <c r="C2886" s="2" t="str">
        <f>"682314200"</f>
        <v>682314200</v>
      </c>
      <c r="D2886" s="2" t="s">
        <v>2326</v>
      </c>
      <c r="E2886" s="4">
        <v>5500</v>
      </c>
    </row>
    <row r="2887" spans="1:5" ht="26.25" x14ac:dyDescent="0.25">
      <c r="A2887" s="2" t="s">
        <v>2044</v>
      </c>
      <c r="B2887" s="2" t="str">
        <f>"176014200"</f>
        <v>176014200</v>
      </c>
      <c r="C2887" s="2" t="str">
        <f>"176014200"</f>
        <v>176014200</v>
      </c>
      <c r="D2887" s="2" t="s">
        <v>2327</v>
      </c>
      <c r="E2887" s="4">
        <v>5500</v>
      </c>
    </row>
    <row r="2888" spans="1:5" ht="26.25" x14ac:dyDescent="0.25">
      <c r="A2888" s="2" t="s">
        <v>2044</v>
      </c>
      <c r="B2888" s="2" t="str">
        <f>"172314200"</f>
        <v>172314200</v>
      </c>
      <c r="C2888" s="2" t="str">
        <f>"172314200"</f>
        <v>172314200</v>
      </c>
      <c r="D2888" s="2" t="s">
        <v>2326</v>
      </c>
      <c r="E2888" s="4">
        <v>5500</v>
      </c>
    </row>
    <row r="2889" spans="1:5" ht="26.25" x14ac:dyDescent="0.25">
      <c r="A2889" s="2" t="s">
        <v>2044</v>
      </c>
      <c r="B2889" s="2" t="str">
        <f>"8806088686967"</f>
        <v>8806088686967</v>
      </c>
      <c r="C2889" s="2" t="str">
        <f>"882314200"</f>
        <v>882314200</v>
      </c>
      <c r="D2889" s="2" t="s">
        <v>2328</v>
      </c>
      <c r="E2889" s="4">
        <v>10000</v>
      </c>
    </row>
    <row r="2890" spans="1:5" ht="26.25" x14ac:dyDescent="0.25">
      <c r="A2890" s="2" t="s">
        <v>2044</v>
      </c>
      <c r="B2890" s="2" t="str">
        <f>"176014201"</f>
        <v>176014201</v>
      </c>
      <c r="C2890" s="2" t="str">
        <f>"176014201"</f>
        <v>176014201</v>
      </c>
      <c r="D2890" s="2" t="s">
        <v>2329</v>
      </c>
      <c r="E2890" s="4">
        <v>5500</v>
      </c>
    </row>
    <row r="2891" spans="1:5" ht="26.25" x14ac:dyDescent="0.25">
      <c r="A2891" s="2" t="s">
        <v>2044</v>
      </c>
      <c r="B2891" s="2" t="str">
        <f>"869214201"</f>
        <v>869214201</v>
      </c>
      <c r="C2891" s="2" t="str">
        <f>"869214201"</f>
        <v>869214201</v>
      </c>
      <c r="D2891" s="2" t="s">
        <v>2329</v>
      </c>
      <c r="E2891" s="4">
        <v>9500</v>
      </c>
    </row>
    <row r="2892" spans="1:5" ht="26.25" x14ac:dyDescent="0.25">
      <c r="A2892" s="2" t="s">
        <v>2044</v>
      </c>
      <c r="B2892" s="2" t="str">
        <f>"172314201"</f>
        <v>172314201</v>
      </c>
      <c r="C2892" s="2" t="str">
        <f>"172314201"</f>
        <v>172314201</v>
      </c>
      <c r="D2892" s="2" t="s">
        <v>2329</v>
      </c>
      <c r="E2892" s="4">
        <v>5500</v>
      </c>
    </row>
    <row r="2893" spans="1:5" ht="26.25" x14ac:dyDescent="0.25">
      <c r="A2893" s="2" t="s">
        <v>2044</v>
      </c>
      <c r="B2893" s="2" t="str">
        <f>"176314201"</f>
        <v>176314201</v>
      </c>
      <c r="C2893" s="2" t="str">
        <f>"176314201"</f>
        <v>176314201</v>
      </c>
      <c r="D2893" s="2" t="s">
        <v>2329</v>
      </c>
      <c r="E2893" s="4">
        <v>5500</v>
      </c>
    </row>
    <row r="2894" spans="1:5" ht="26.25" x14ac:dyDescent="0.25">
      <c r="A2894" s="2" t="s">
        <v>2044</v>
      </c>
      <c r="B2894" s="2" t="str">
        <f>"8806088687063"</f>
        <v>8806088687063</v>
      </c>
      <c r="C2894" s="2" t="str">
        <f>"882314201"</f>
        <v>882314201</v>
      </c>
      <c r="D2894" s="2" t="s">
        <v>2330</v>
      </c>
      <c r="E2894" s="4">
        <v>10000</v>
      </c>
    </row>
    <row r="2895" spans="1:5" ht="26.25" x14ac:dyDescent="0.25">
      <c r="A2895" s="2" t="s">
        <v>2044</v>
      </c>
      <c r="B2895" s="2" t="str">
        <f>"342314203"</f>
        <v>342314203</v>
      </c>
      <c r="C2895" s="2" t="str">
        <f>"342314203"</f>
        <v>342314203</v>
      </c>
      <c r="D2895" s="2" t="s">
        <v>2331</v>
      </c>
      <c r="E2895" s="4">
        <v>5500</v>
      </c>
    </row>
    <row r="2896" spans="1:5" ht="26.25" x14ac:dyDescent="0.25">
      <c r="A2896" s="2" t="s">
        <v>2044</v>
      </c>
      <c r="B2896" s="2" t="str">
        <f>"992314203"</f>
        <v>992314203</v>
      </c>
      <c r="C2896" s="2" t="str">
        <f>"992314203"</f>
        <v>992314203</v>
      </c>
      <c r="D2896" s="2" t="s">
        <v>2331</v>
      </c>
      <c r="E2896" s="4">
        <v>5500</v>
      </c>
    </row>
    <row r="2897" spans="1:5" ht="26.25" x14ac:dyDescent="0.25">
      <c r="A2897" s="2" t="s">
        <v>2044</v>
      </c>
      <c r="B2897" s="2" t="str">
        <f>"7290112310330"</f>
        <v>7290112310330</v>
      </c>
      <c r="C2897" s="2" t="str">
        <f>"346314203"</f>
        <v>346314203</v>
      </c>
      <c r="D2897" s="2" t="s">
        <v>2331</v>
      </c>
      <c r="E2897" s="4">
        <v>6500</v>
      </c>
    </row>
    <row r="2898" spans="1:5" ht="26.25" x14ac:dyDescent="0.25">
      <c r="A2898" s="2" t="s">
        <v>2044</v>
      </c>
      <c r="B2898" s="2" t="str">
        <f>"342314204"</f>
        <v>342314204</v>
      </c>
      <c r="C2898" s="2" t="str">
        <f>"342314204"</f>
        <v>342314204</v>
      </c>
      <c r="D2898" s="2" t="s">
        <v>2332</v>
      </c>
      <c r="E2898" s="4">
        <v>5500</v>
      </c>
    </row>
    <row r="2899" spans="1:5" ht="26.25" x14ac:dyDescent="0.25">
      <c r="A2899" s="2" t="s">
        <v>2044</v>
      </c>
      <c r="B2899" s="2" t="str">
        <f>"992314204"</f>
        <v>992314204</v>
      </c>
      <c r="C2899" s="2" t="str">
        <f>"992314204"</f>
        <v>992314204</v>
      </c>
      <c r="D2899" s="2" t="s">
        <v>2332</v>
      </c>
      <c r="E2899" s="4">
        <v>5500</v>
      </c>
    </row>
    <row r="2900" spans="1:5" ht="26.25" x14ac:dyDescent="0.25">
      <c r="A2900" s="2" t="s">
        <v>2044</v>
      </c>
      <c r="B2900" s="2" t="str">
        <f>"7290112310347"</f>
        <v>7290112310347</v>
      </c>
      <c r="C2900" s="2" t="str">
        <f>"346314204"</f>
        <v>346314204</v>
      </c>
      <c r="D2900" s="2" t="s">
        <v>2332</v>
      </c>
      <c r="E2900" s="4">
        <v>6500</v>
      </c>
    </row>
    <row r="2901" spans="1:5" ht="26.25" x14ac:dyDescent="0.25">
      <c r="A2901" s="2" t="s">
        <v>2044</v>
      </c>
      <c r="B2901" s="2" t="str">
        <f>"76231428"</f>
        <v>76231428</v>
      </c>
      <c r="C2901" s="2" t="str">
        <f>"76231428"</f>
        <v>76231428</v>
      </c>
      <c r="D2901" s="2" t="s">
        <v>2333</v>
      </c>
      <c r="E2901" s="4">
        <v>5500</v>
      </c>
    </row>
    <row r="2902" spans="1:5" ht="26.25" x14ac:dyDescent="0.25">
      <c r="A2902" s="2" t="s">
        <v>2044</v>
      </c>
      <c r="B2902" s="2" t="str">
        <f>"76601518"</f>
        <v>76601518</v>
      </c>
      <c r="C2902" s="2" t="str">
        <f>"76601518"</f>
        <v>76601518</v>
      </c>
      <c r="D2902" s="2" t="s">
        <v>2334</v>
      </c>
      <c r="E2902" s="4">
        <v>5500</v>
      </c>
    </row>
    <row r="2903" spans="1:5" ht="26.25" x14ac:dyDescent="0.25">
      <c r="A2903" s="2" t="s">
        <v>2044</v>
      </c>
      <c r="B2903" s="2" t="str">
        <f>"17601509"</f>
        <v>17601509</v>
      </c>
      <c r="C2903" s="2" t="str">
        <f>"17601509"</f>
        <v>17601509</v>
      </c>
      <c r="D2903" s="2" t="s">
        <v>2335</v>
      </c>
      <c r="E2903" s="4">
        <v>5500</v>
      </c>
    </row>
    <row r="2904" spans="1:5" ht="26.25" x14ac:dyDescent="0.25">
      <c r="A2904" s="2" t="s">
        <v>2044</v>
      </c>
      <c r="B2904" s="2" t="str">
        <f>"76231509"</f>
        <v>76231509</v>
      </c>
      <c r="C2904" s="2" t="str">
        <f>"76231509"</f>
        <v>76231509</v>
      </c>
      <c r="D2904" s="2" t="s">
        <v>2335</v>
      </c>
      <c r="E2904" s="4">
        <v>5500</v>
      </c>
    </row>
    <row r="2905" spans="1:5" ht="26.25" x14ac:dyDescent="0.25">
      <c r="A2905" s="2" t="s">
        <v>2044</v>
      </c>
      <c r="B2905" s="2" t="str">
        <f>"76601503"</f>
        <v>76601503</v>
      </c>
      <c r="C2905" s="2" t="str">
        <f>"76601503"</f>
        <v>76601503</v>
      </c>
      <c r="D2905" s="2" t="s">
        <v>2336</v>
      </c>
      <c r="E2905" s="4">
        <v>5500</v>
      </c>
    </row>
    <row r="2906" spans="1:5" ht="26.25" x14ac:dyDescent="0.25">
      <c r="A2906" s="2" t="s">
        <v>2044</v>
      </c>
      <c r="B2906" s="2" t="str">
        <f>"17231503"</f>
        <v>17231503</v>
      </c>
      <c r="C2906" s="2" t="str">
        <f>"17231503"</f>
        <v>17231503</v>
      </c>
      <c r="D2906" s="2" t="s">
        <v>2336</v>
      </c>
      <c r="E2906" s="4">
        <v>5500</v>
      </c>
    </row>
    <row r="2907" spans="1:5" ht="26.25" x14ac:dyDescent="0.25">
      <c r="A2907" s="2" t="s">
        <v>2044</v>
      </c>
      <c r="B2907" s="2" t="str">
        <f>"32231503"</f>
        <v>32231503</v>
      </c>
      <c r="C2907" s="2" t="str">
        <f>"32231503"</f>
        <v>32231503</v>
      </c>
      <c r="D2907" s="2" t="s">
        <v>2336</v>
      </c>
      <c r="E2907" s="4">
        <v>5500</v>
      </c>
    </row>
    <row r="2908" spans="1:5" ht="26.25" x14ac:dyDescent="0.25">
      <c r="A2908" s="2" t="s">
        <v>2044</v>
      </c>
      <c r="B2908" s="2" t="str">
        <f>"76231503"</f>
        <v>76231503</v>
      </c>
      <c r="C2908" s="2" t="str">
        <f>"76231503"</f>
        <v>76231503</v>
      </c>
      <c r="D2908" s="2" t="s">
        <v>2336</v>
      </c>
      <c r="E2908" s="4">
        <v>5500</v>
      </c>
    </row>
    <row r="2909" spans="1:5" ht="26.25" x14ac:dyDescent="0.25">
      <c r="A2909" s="2" t="s">
        <v>2044</v>
      </c>
      <c r="B2909" s="2" t="str">
        <f>"76631403"</f>
        <v>76631403</v>
      </c>
      <c r="C2909" s="2" t="str">
        <f>"76631403"</f>
        <v>76631403</v>
      </c>
      <c r="D2909" s="2" t="s">
        <v>2336</v>
      </c>
      <c r="E2909" s="4">
        <v>6000</v>
      </c>
    </row>
    <row r="2910" spans="1:5" ht="26.25" x14ac:dyDescent="0.25">
      <c r="A2910" s="2" t="s">
        <v>2044</v>
      </c>
      <c r="B2910" s="2" t="str">
        <f>"76631503"</f>
        <v>76631503</v>
      </c>
      <c r="C2910" s="2" t="str">
        <f>"76631503"</f>
        <v>76631503</v>
      </c>
      <c r="D2910" s="2" t="s">
        <v>2336</v>
      </c>
      <c r="E2910" s="4">
        <v>5500</v>
      </c>
    </row>
    <row r="2911" spans="1:5" ht="26.25" x14ac:dyDescent="0.25">
      <c r="A2911" s="2" t="s">
        <v>2044</v>
      </c>
      <c r="B2911" s="2" t="str">
        <f>"17231537"</f>
        <v>17231537</v>
      </c>
      <c r="C2911" s="2" t="str">
        <f>"17231537"</f>
        <v>17231537</v>
      </c>
      <c r="D2911" s="2" t="s">
        <v>2337</v>
      </c>
      <c r="E2911" s="4">
        <v>5500</v>
      </c>
    </row>
    <row r="2912" spans="1:5" ht="26.25" x14ac:dyDescent="0.25">
      <c r="A2912" s="2" t="s">
        <v>2044</v>
      </c>
      <c r="B2912" s="2" t="str">
        <f>"17601505"</f>
        <v>17601505</v>
      </c>
      <c r="C2912" s="2" t="str">
        <f>"17601505"</f>
        <v>17601505</v>
      </c>
      <c r="D2912" s="2" t="s">
        <v>2338</v>
      </c>
      <c r="E2912" s="4">
        <v>5500</v>
      </c>
    </row>
    <row r="2913" spans="1:5" ht="26.25" x14ac:dyDescent="0.25">
      <c r="A2913" s="2" t="s">
        <v>2044</v>
      </c>
      <c r="B2913" s="2" t="str">
        <f>"17231505"</f>
        <v>17231505</v>
      </c>
      <c r="C2913" s="2" t="str">
        <f>"17231505"</f>
        <v>17231505</v>
      </c>
      <c r="D2913" s="2" t="s">
        <v>2339</v>
      </c>
      <c r="E2913" s="4">
        <v>5500</v>
      </c>
    </row>
    <row r="2914" spans="1:5" ht="26.25" x14ac:dyDescent="0.25">
      <c r="A2914" s="2" t="s">
        <v>2044</v>
      </c>
      <c r="B2914" s="2" t="str">
        <f>"172315220"</f>
        <v>172315220</v>
      </c>
      <c r="C2914" s="2" t="str">
        <f>"172315220"</f>
        <v>172315220</v>
      </c>
      <c r="D2914" s="2" t="s">
        <v>2339</v>
      </c>
      <c r="E2914" s="4">
        <v>5500</v>
      </c>
    </row>
    <row r="2915" spans="1:5" ht="26.25" x14ac:dyDescent="0.25">
      <c r="A2915" s="2" t="s">
        <v>2044</v>
      </c>
      <c r="B2915" s="2" t="str">
        <f>"110762201"</f>
        <v>110762201</v>
      </c>
      <c r="C2915" s="2" t="str">
        <f>"110762201"</f>
        <v>110762201</v>
      </c>
      <c r="D2915" s="2" t="s">
        <v>2340</v>
      </c>
      <c r="E2915" s="4">
        <v>8000</v>
      </c>
    </row>
    <row r="2916" spans="1:5" ht="26.25" x14ac:dyDescent="0.25">
      <c r="A2916" s="2" t="s">
        <v>2044</v>
      </c>
      <c r="B2916" s="2" t="str">
        <f>"110762202"</f>
        <v>110762202</v>
      </c>
      <c r="C2916" s="2" t="str">
        <f>"110762202"</f>
        <v>110762202</v>
      </c>
      <c r="D2916" s="2" t="s">
        <v>2340</v>
      </c>
      <c r="E2916" s="4">
        <v>7500</v>
      </c>
    </row>
    <row r="2917" spans="1:5" ht="26.25" x14ac:dyDescent="0.25">
      <c r="A2917" s="2" t="s">
        <v>2044</v>
      </c>
      <c r="B2917" s="2" t="str">
        <f>"76231504"</f>
        <v>76231504</v>
      </c>
      <c r="C2917" s="2" t="str">
        <f>"76231504"</f>
        <v>76231504</v>
      </c>
      <c r="D2917" s="2" t="s">
        <v>2341</v>
      </c>
      <c r="E2917" s="4">
        <v>6000</v>
      </c>
    </row>
    <row r="2918" spans="1:5" ht="26.25" x14ac:dyDescent="0.25">
      <c r="A2918" s="2" t="s">
        <v>2044</v>
      </c>
      <c r="B2918" s="2" t="str">
        <f>"76551504"</f>
        <v>76551504</v>
      </c>
      <c r="C2918" s="2" t="str">
        <f>"76551504"</f>
        <v>76551504</v>
      </c>
      <c r="D2918" s="2" t="s">
        <v>2341</v>
      </c>
      <c r="E2918" s="4">
        <v>6000</v>
      </c>
    </row>
    <row r="2919" spans="1:5" ht="26.25" x14ac:dyDescent="0.25">
      <c r="A2919" s="2" t="s">
        <v>2044</v>
      </c>
      <c r="B2919" s="2" t="str">
        <f>"76601504"</f>
        <v>76601504</v>
      </c>
      <c r="C2919" s="2" t="str">
        <f>"76601504"</f>
        <v>76601504</v>
      </c>
      <c r="D2919" s="2" t="s">
        <v>2341</v>
      </c>
      <c r="E2919" s="4">
        <v>5500</v>
      </c>
    </row>
    <row r="2920" spans="1:5" ht="26.25" x14ac:dyDescent="0.25">
      <c r="A2920" s="2" t="s">
        <v>2044</v>
      </c>
      <c r="B2920" s="2" t="str">
        <f>"17231504"</f>
        <v>17231504</v>
      </c>
      <c r="C2920" s="2" t="str">
        <f>"17231504"</f>
        <v>17231504</v>
      </c>
      <c r="D2920" s="2" t="s">
        <v>2341</v>
      </c>
      <c r="E2920" s="4">
        <v>5500</v>
      </c>
    </row>
    <row r="2921" spans="1:5" ht="26.25" x14ac:dyDescent="0.25">
      <c r="A2921" s="2" t="s">
        <v>2044</v>
      </c>
      <c r="B2921" s="2" t="str">
        <f>"172315131"</f>
        <v>172315131</v>
      </c>
      <c r="C2921" s="2" t="str">
        <f>"172315131"</f>
        <v>172315131</v>
      </c>
      <c r="D2921" s="2" t="s">
        <v>2342</v>
      </c>
      <c r="E2921" s="4">
        <v>5500</v>
      </c>
    </row>
    <row r="2922" spans="1:5" ht="26.25" x14ac:dyDescent="0.25">
      <c r="A2922" s="2" t="s">
        <v>2044</v>
      </c>
      <c r="B2922" s="2" t="str">
        <f>"762315131"</f>
        <v>762315131</v>
      </c>
      <c r="C2922" s="2" t="str">
        <f>"762315131"</f>
        <v>762315131</v>
      </c>
      <c r="D2922" s="2" t="s">
        <v>2342</v>
      </c>
      <c r="E2922" s="4">
        <v>5500</v>
      </c>
    </row>
    <row r="2923" spans="1:5" ht="26.25" x14ac:dyDescent="0.25">
      <c r="A2923" s="2" t="s">
        <v>2044</v>
      </c>
      <c r="B2923" s="2" t="str">
        <f>"766015131"</f>
        <v>766015131</v>
      </c>
      <c r="C2923" s="2" t="str">
        <f>"766015131"</f>
        <v>766015131</v>
      </c>
      <c r="D2923" s="2" t="s">
        <v>2342</v>
      </c>
      <c r="E2923" s="4">
        <v>5500</v>
      </c>
    </row>
    <row r="2924" spans="1:5" ht="26.25" x14ac:dyDescent="0.25">
      <c r="A2924" s="2" t="s">
        <v>2044</v>
      </c>
      <c r="B2924" s="2" t="str">
        <f>"762309131"</f>
        <v>762309131</v>
      </c>
      <c r="C2924" s="2" t="str">
        <f>"762309131"</f>
        <v>762309131</v>
      </c>
      <c r="D2924" s="2" t="s">
        <v>2342</v>
      </c>
      <c r="E2924" s="4">
        <v>5500</v>
      </c>
    </row>
    <row r="2925" spans="1:5" ht="26.25" x14ac:dyDescent="0.25">
      <c r="A2925" s="2" t="s">
        <v>2044</v>
      </c>
      <c r="B2925" s="2" t="str">
        <f>"17601527"</f>
        <v>17601527</v>
      </c>
      <c r="C2925" s="2" t="str">
        <f>"17601527"</f>
        <v>17601527</v>
      </c>
      <c r="D2925" s="2" t="s">
        <v>2343</v>
      </c>
      <c r="E2925" s="4">
        <v>5500</v>
      </c>
    </row>
    <row r="2926" spans="1:5" ht="26.25" x14ac:dyDescent="0.25">
      <c r="A2926" s="2" t="s">
        <v>2044</v>
      </c>
      <c r="B2926" s="2" t="str">
        <f>"76601527"</f>
        <v>76601527</v>
      </c>
      <c r="C2926" s="2" t="str">
        <f>"76601527"</f>
        <v>76601527</v>
      </c>
      <c r="D2926" s="2" t="s">
        <v>2343</v>
      </c>
      <c r="E2926" s="4">
        <v>5500</v>
      </c>
    </row>
    <row r="2927" spans="1:5" ht="26.25" x14ac:dyDescent="0.25">
      <c r="A2927" s="2" t="s">
        <v>2044</v>
      </c>
      <c r="B2927" s="2" t="str">
        <f>"3323150301"</f>
        <v>3323150301</v>
      </c>
      <c r="C2927" s="2" t="str">
        <f>"3323150301"</f>
        <v>3323150301</v>
      </c>
      <c r="D2927" s="2" t="s">
        <v>2344</v>
      </c>
      <c r="E2927" s="4">
        <v>5500</v>
      </c>
    </row>
    <row r="2928" spans="1:5" ht="26.25" x14ac:dyDescent="0.25">
      <c r="A2928" s="2" t="s">
        <v>2044</v>
      </c>
      <c r="B2928" s="2" t="str">
        <f>"76631513"</f>
        <v>76631513</v>
      </c>
      <c r="C2928" s="2" t="str">
        <f>"76631513"</f>
        <v>76631513</v>
      </c>
      <c r="D2928" s="2" t="s">
        <v>2345</v>
      </c>
      <c r="E2928" s="4">
        <v>5500</v>
      </c>
    </row>
    <row r="2929" spans="1:5" ht="26.25" x14ac:dyDescent="0.25">
      <c r="A2929" s="2" t="s">
        <v>2044</v>
      </c>
      <c r="B2929" s="2" t="str">
        <f>"76631518"</f>
        <v>76631518</v>
      </c>
      <c r="C2929" s="2" t="str">
        <f>"76631518"</f>
        <v>76631518</v>
      </c>
      <c r="D2929" s="2" t="s">
        <v>2345</v>
      </c>
      <c r="E2929" s="4">
        <v>5500</v>
      </c>
    </row>
    <row r="2930" spans="1:5" ht="26.25" x14ac:dyDescent="0.25">
      <c r="A2930" s="2" t="s">
        <v>2044</v>
      </c>
      <c r="B2930" s="2" t="str">
        <f>"766315113"</f>
        <v>766315113</v>
      </c>
      <c r="C2930" s="2" t="str">
        <f>"766315113"</f>
        <v>766315113</v>
      </c>
      <c r="D2930" s="2" t="s">
        <v>2345</v>
      </c>
      <c r="E2930" s="4">
        <v>5500</v>
      </c>
    </row>
    <row r="2931" spans="1:5" ht="26.25" x14ac:dyDescent="0.25">
      <c r="A2931" s="2" t="s">
        <v>2044</v>
      </c>
      <c r="B2931" s="2" t="str">
        <f>"17231509"</f>
        <v>17231509</v>
      </c>
      <c r="C2931" s="2" t="str">
        <f>"17231509"</f>
        <v>17231509</v>
      </c>
      <c r="D2931" s="2" t="s">
        <v>2346</v>
      </c>
      <c r="E2931" s="4">
        <v>5500</v>
      </c>
    </row>
    <row r="2932" spans="1:5" ht="26.25" x14ac:dyDescent="0.25">
      <c r="A2932" s="2" t="s">
        <v>2044</v>
      </c>
      <c r="B2932" s="2" t="str">
        <f>"76601509"</f>
        <v>76601509</v>
      </c>
      <c r="C2932" s="2" t="str">
        <f>"76601509"</f>
        <v>76601509</v>
      </c>
      <c r="D2932" s="2" t="s">
        <v>2346</v>
      </c>
      <c r="E2932" s="4">
        <v>5500</v>
      </c>
    </row>
    <row r="2933" spans="1:5" ht="26.25" x14ac:dyDescent="0.25">
      <c r="A2933" s="2" t="s">
        <v>2044</v>
      </c>
      <c r="B2933" s="2" t="str">
        <f>"76631509"</f>
        <v>76631509</v>
      </c>
      <c r="C2933" s="2" t="str">
        <f>"76631509"</f>
        <v>76631509</v>
      </c>
      <c r="D2933" s="2" t="s">
        <v>2346</v>
      </c>
      <c r="E2933" s="4">
        <v>5500</v>
      </c>
    </row>
    <row r="2934" spans="1:5" ht="26.25" x14ac:dyDescent="0.25">
      <c r="A2934" s="2" t="s">
        <v>2044</v>
      </c>
      <c r="B2934" s="2" t="str">
        <f>"172315111"</f>
        <v>172315111</v>
      </c>
      <c r="C2934" s="2" t="str">
        <f>"172315111"</f>
        <v>172315111</v>
      </c>
      <c r="D2934" s="2" t="s">
        <v>2347</v>
      </c>
      <c r="E2934" s="4">
        <v>5500</v>
      </c>
    </row>
    <row r="2935" spans="1:5" ht="26.25" x14ac:dyDescent="0.25">
      <c r="A2935" s="2" t="s">
        <v>2044</v>
      </c>
      <c r="B2935" s="2" t="str">
        <f>"762315111"</f>
        <v>762315111</v>
      </c>
      <c r="C2935" s="2" t="str">
        <f>"762315111"</f>
        <v>762315111</v>
      </c>
      <c r="D2935" s="2" t="s">
        <v>2347</v>
      </c>
      <c r="E2935" s="4">
        <v>5500</v>
      </c>
    </row>
    <row r="2936" spans="1:5" ht="26.25" x14ac:dyDescent="0.25">
      <c r="A2936" s="2" t="s">
        <v>2044</v>
      </c>
      <c r="B2936" s="2" t="str">
        <f>"766315111"</f>
        <v>766315111</v>
      </c>
      <c r="C2936" s="2" t="str">
        <f>"766315111"</f>
        <v>766315111</v>
      </c>
      <c r="D2936" s="2" t="s">
        <v>2347</v>
      </c>
      <c r="E2936" s="4">
        <v>5500</v>
      </c>
    </row>
    <row r="2937" spans="1:5" ht="26.25" x14ac:dyDescent="0.25">
      <c r="A2937" s="2" t="s">
        <v>2044</v>
      </c>
      <c r="B2937" s="2" t="str">
        <f>"762315113"</f>
        <v>762315113</v>
      </c>
      <c r="C2937" s="2" t="str">
        <f>"762315113"</f>
        <v>762315113</v>
      </c>
      <c r="D2937" s="2" t="s">
        <v>2347</v>
      </c>
      <c r="E2937" s="4">
        <v>5500</v>
      </c>
    </row>
    <row r="2938" spans="1:5" ht="26.25" x14ac:dyDescent="0.25">
      <c r="A2938" s="2" t="s">
        <v>2044</v>
      </c>
      <c r="B2938" s="2" t="str">
        <f>"176015266"</f>
        <v>176015266</v>
      </c>
      <c r="C2938" s="2" t="str">
        <f>"176015266"</f>
        <v>176015266</v>
      </c>
      <c r="D2938" s="2" t="s">
        <v>2348</v>
      </c>
      <c r="E2938" s="4">
        <v>5500</v>
      </c>
    </row>
    <row r="2939" spans="1:5" ht="26.25" x14ac:dyDescent="0.25">
      <c r="A2939" s="2" t="s">
        <v>2044</v>
      </c>
      <c r="B2939" s="2" t="str">
        <f>"766015266"</f>
        <v>766015266</v>
      </c>
      <c r="C2939" s="2" t="str">
        <f>"766015266"</f>
        <v>766015266</v>
      </c>
      <c r="D2939" s="2" t="s">
        <v>2348</v>
      </c>
      <c r="E2939" s="4">
        <v>5500</v>
      </c>
    </row>
    <row r="2940" spans="1:5" ht="26.25" x14ac:dyDescent="0.25">
      <c r="A2940" s="2" t="s">
        <v>2044</v>
      </c>
      <c r="B2940" s="2" t="str">
        <f>"172315286"</f>
        <v>172315286</v>
      </c>
      <c r="C2940" s="2" t="str">
        <f>"172315286"</f>
        <v>172315286</v>
      </c>
      <c r="D2940" s="2" t="s">
        <v>2349</v>
      </c>
      <c r="E2940" s="4">
        <v>5500</v>
      </c>
    </row>
    <row r="2941" spans="1:5" ht="26.25" x14ac:dyDescent="0.25">
      <c r="A2941" s="2" t="s">
        <v>2044</v>
      </c>
      <c r="B2941" s="2" t="str">
        <f>"176015286"</f>
        <v>176015286</v>
      </c>
      <c r="C2941" s="2" t="str">
        <f>"176015286"</f>
        <v>176015286</v>
      </c>
      <c r="D2941" s="2" t="s">
        <v>2350</v>
      </c>
      <c r="E2941" s="4">
        <v>5500</v>
      </c>
    </row>
    <row r="2942" spans="1:5" ht="26.25" x14ac:dyDescent="0.25">
      <c r="A2942" s="2" t="s">
        <v>2044</v>
      </c>
      <c r="B2942" s="2" t="str">
        <f>"332315287"</f>
        <v>332315287</v>
      </c>
      <c r="C2942" s="2" t="str">
        <f>"332315287"</f>
        <v>332315287</v>
      </c>
      <c r="D2942" s="2" t="s">
        <v>2351</v>
      </c>
      <c r="E2942" s="4">
        <v>5500</v>
      </c>
    </row>
    <row r="2943" spans="1:5" ht="26.25" x14ac:dyDescent="0.25">
      <c r="A2943" s="2" t="s">
        <v>2044</v>
      </c>
      <c r="B2943" s="2" t="str">
        <f>"342315287"</f>
        <v>342315287</v>
      </c>
      <c r="C2943" s="2" t="str">
        <f>"342315287"</f>
        <v>342315287</v>
      </c>
      <c r="D2943" s="2" t="s">
        <v>2351</v>
      </c>
      <c r="E2943" s="4">
        <v>5500</v>
      </c>
    </row>
    <row r="2944" spans="1:5" ht="26.25" x14ac:dyDescent="0.25">
      <c r="A2944" s="2" t="s">
        <v>2044</v>
      </c>
      <c r="B2944" s="2" t="str">
        <f>"110768007"</f>
        <v>110768007</v>
      </c>
      <c r="C2944" s="2" t="str">
        <f>"110768007"</f>
        <v>110768007</v>
      </c>
      <c r="D2944" s="2" t="s">
        <v>2352</v>
      </c>
      <c r="E2944" s="4">
        <v>8000</v>
      </c>
    </row>
    <row r="2945" spans="1:5" ht="26.25" x14ac:dyDescent="0.25">
      <c r="A2945" s="2" t="s">
        <v>2044</v>
      </c>
      <c r="B2945" s="2" t="str">
        <f>"110762140"</f>
        <v>110762140</v>
      </c>
      <c r="C2945" s="2" t="str">
        <f>"110762140"</f>
        <v>110762140</v>
      </c>
      <c r="D2945" s="2" t="s">
        <v>2353</v>
      </c>
      <c r="E2945" s="4">
        <v>8000</v>
      </c>
    </row>
    <row r="2946" spans="1:5" ht="26.25" x14ac:dyDescent="0.25">
      <c r="A2946" s="2" t="s">
        <v>2044</v>
      </c>
      <c r="B2946" s="2" t="str">
        <f>"76231524"</f>
        <v>76231524</v>
      </c>
      <c r="C2946" s="2" t="str">
        <f>"76231524"</f>
        <v>76231524</v>
      </c>
      <c r="D2946" s="2" t="s">
        <v>2354</v>
      </c>
      <c r="E2946" s="4">
        <v>6000</v>
      </c>
    </row>
    <row r="2947" spans="1:5" ht="26.25" x14ac:dyDescent="0.25">
      <c r="A2947" s="2" t="s">
        <v>2044</v>
      </c>
      <c r="B2947" s="2" t="str">
        <f>"110323034"</f>
        <v>110323034</v>
      </c>
      <c r="C2947" s="2" t="str">
        <f>"110323034"</f>
        <v>110323034</v>
      </c>
      <c r="D2947" s="2" t="s">
        <v>2354</v>
      </c>
      <c r="E2947" s="4">
        <v>6000</v>
      </c>
    </row>
    <row r="2948" spans="1:5" ht="26.25" x14ac:dyDescent="0.25">
      <c r="A2948" s="2" t="s">
        <v>2044</v>
      </c>
      <c r="B2948" s="2" t="str">
        <f>"176015133"</f>
        <v>176015133</v>
      </c>
      <c r="C2948" s="2" t="str">
        <f>"176015133"</f>
        <v>176015133</v>
      </c>
      <c r="D2948" s="2" t="s">
        <v>2355</v>
      </c>
      <c r="E2948" s="4">
        <v>5500</v>
      </c>
    </row>
    <row r="2949" spans="1:5" ht="26.25" x14ac:dyDescent="0.25">
      <c r="A2949" s="2" t="s">
        <v>2044</v>
      </c>
      <c r="B2949" s="2" t="str">
        <f>"176315133"</f>
        <v>176315133</v>
      </c>
      <c r="C2949" s="2" t="str">
        <f>"176315133"</f>
        <v>176315133</v>
      </c>
      <c r="D2949" s="2" t="s">
        <v>2355</v>
      </c>
      <c r="E2949" s="4">
        <v>5500</v>
      </c>
    </row>
    <row r="2950" spans="1:5" ht="26.25" x14ac:dyDescent="0.25">
      <c r="A2950" s="2" t="s">
        <v>2044</v>
      </c>
      <c r="B2950" s="2" t="str">
        <f>"766015176"</f>
        <v>766015176</v>
      </c>
      <c r="C2950" s="2" t="str">
        <f>"766015176"</f>
        <v>766015176</v>
      </c>
      <c r="D2950" s="2" t="s">
        <v>2356</v>
      </c>
      <c r="E2950" s="4">
        <v>5500</v>
      </c>
    </row>
    <row r="2951" spans="1:5" ht="26.25" x14ac:dyDescent="0.25">
      <c r="A2951" s="2" t="s">
        <v>2044</v>
      </c>
      <c r="B2951" s="2" t="str">
        <f>"912309173"</f>
        <v>912309173</v>
      </c>
      <c r="C2951" s="2" t="str">
        <f>"912309173"</f>
        <v>912309173</v>
      </c>
      <c r="D2951" s="2" t="s">
        <v>2357</v>
      </c>
      <c r="E2951" s="4">
        <v>5500</v>
      </c>
    </row>
    <row r="2952" spans="1:5" ht="26.25" x14ac:dyDescent="0.25">
      <c r="A2952" s="2" t="s">
        <v>2044</v>
      </c>
      <c r="B2952" s="2" t="str">
        <f>"110171057"</f>
        <v>110171057</v>
      </c>
      <c r="C2952" s="2" t="str">
        <f>"110171057"</f>
        <v>110171057</v>
      </c>
      <c r="D2952" s="2" t="s">
        <v>2358</v>
      </c>
      <c r="E2952" s="4">
        <v>6000</v>
      </c>
    </row>
    <row r="2953" spans="1:5" ht="26.25" x14ac:dyDescent="0.25">
      <c r="A2953" s="2" t="s">
        <v>2044</v>
      </c>
      <c r="B2953" s="2" t="str">
        <f>"17230096"</f>
        <v>17230096</v>
      </c>
      <c r="C2953" s="2" t="str">
        <f>"17230096"</f>
        <v>17230096</v>
      </c>
      <c r="D2953" s="2" t="s">
        <v>2359</v>
      </c>
      <c r="E2953" s="4">
        <v>6000</v>
      </c>
    </row>
    <row r="2954" spans="1:5" ht="26.25" x14ac:dyDescent="0.25">
      <c r="A2954" s="2" t="s">
        <v>2044</v>
      </c>
      <c r="B2954" s="2" t="str">
        <f>"32230001"</f>
        <v>32230001</v>
      </c>
      <c r="C2954" s="2" t="str">
        <f>"32230001"</f>
        <v>32230001</v>
      </c>
      <c r="D2954" s="2" t="s">
        <v>2360</v>
      </c>
      <c r="E2954" s="4">
        <v>5500</v>
      </c>
    </row>
    <row r="2955" spans="1:5" ht="26.25" x14ac:dyDescent="0.25">
      <c r="A2955" s="2" t="s">
        <v>2044</v>
      </c>
      <c r="B2955" s="2" t="str">
        <f>"76230095"</f>
        <v>76230095</v>
      </c>
      <c r="C2955" s="2" t="str">
        <f>"76230095"</f>
        <v>76230095</v>
      </c>
      <c r="D2955" s="2" t="s">
        <v>2361</v>
      </c>
      <c r="E2955" s="4">
        <v>5500</v>
      </c>
    </row>
    <row r="2956" spans="1:5" ht="26.25" x14ac:dyDescent="0.25">
      <c r="A2956" s="2" t="s">
        <v>2044</v>
      </c>
      <c r="B2956" s="2" t="str">
        <f>"61230055"</f>
        <v>61230055</v>
      </c>
      <c r="C2956" s="2" t="str">
        <f>"61230055"</f>
        <v>61230055</v>
      </c>
      <c r="D2956" s="2" t="s">
        <v>2362</v>
      </c>
      <c r="E2956" s="4">
        <v>5500</v>
      </c>
    </row>
    <row r="2957" spans="1:5" ht="26.25" x14ac:dyDescent="0.25">
      <c r="A2957" s="2" t="s">
        <v>2044</v>
      </c>
      <c r="B2957" s="2" t="str">
        <f>"34230055"</f>
        <v>34230055</v>
      </c>
      <c r="C2957" s="2" t="str">
        <f>"34230055"</f>
        <v>34230055</v>
      </c>
      <c r="D2957" s="2" t="s">
        <v>2363</v>
      </c>
      <c r="E2957" s="4">
        <v>5500</v>
      </c>
    </row>
    <row r="2958" spans="1:5" ht="26.25" x14ac:dyDescent="0.25">
      <c r="A2958" s="2" t="s">
        <v>2044</v>
      </c>
      <c r="B2958" s="2" t="str">
        <f>"76230092"</f>
        <v>76230092</v>
      </c>
      <c r="C2958" s="2" t="str">
        <f>"76230092"</f>
        <v>76230092</v>
      </c>
      <c r="D2958" s="2" t="s">
        <v>2364</v>
      </c>
      <c r="E2958" s="4">
        <v>5500</v>
      </c>
    </row>
    <row r="2959" spans="1:5" ht="26.25" x14ac:dyDescent="0.25">
      <c r="A2959" s="2" t="s">
        <v>2044</v>
      </c>
      <c r="B2959" s="2" t="str">
        <f>"76230093"</f>
        <v>76230093</v>
      </c>
      <c r="C2959" s="2" t="str">
        <f>"76230093"</f>
        <v>76230093</v>
      </c>
      <c r="D2959" s="2" t="s">
        <v>2365</v>
      </c>
      <c r="E2959" s="4">
        <v>5500</v>
      </c>
    </row>
    <row r="2960" spans="1:5" ht="26.25" x14ac:dyDescent="0.25">
      <c r="A2960" s="2" t="s">
        <v>2044</v>
      </c>
      <c r="B2960" s="2" t="str">
        <f>"17230094"</f>
        <v>17230094</v>
      </c>
      <c r="C2960" s="2" t="str">
        <f>"17230094"</f>
        <v>17230094</v>
      </c>
      <c r="D2960" s="2" t="s">
        <v>2366</v>
      </c>
      <c r="E2960" s="4">
        <v>5500</v>
      </c>
    </row>
    <row r="2961" spans="1:5" ht="26.25" x14ac:dyDescent="0.25">
      <c r="A2961" s="2" t="s">
        <v>2044</v>
      </c>
      <c r="B2961" s="2" t="str">
        <f>"76230094"</f>
        <v>76230094</v>
      </c>
      <c r="C2961" s="2" t="str">
        <f>"76230094"</f>
        <v>76230094</v>
      </c>
      <c r="D2961" s="2" t="s">
        <v>2366</v>
      </c>
      <c r="E2961" s="4">
        <v>5500</v>
      </c>
    </row>
    <row r="2962" spans="1:5" ht="26.25" x14ac:dyDescent="0.25">
      <c r="A2962" s="2" t="s">
        <v>2044</v>
      </c>
      <c r="B2962" s="2" t="str">
        <f>"17230095"</f>
        <v>17230095</v>
      </c>
      <c r="C2962" s="2" t="str">
        <f>"17230095"</f>
        <v>17230095</v>
      </c>
      <c r="D2962" s="2" t="s">
        <v>2367</v>
      </c>
      <c r="E2962" s="4">
        <v>6000</v>
      </c>
    </row>
    <row r="2963" spans="1:5" ht="26.25" x14ac:dyDescent="0.25">
      <c r="A2963" s="2" t="s">
        <v>2044</v>
      </c>
      <c r="B2963" s="2" t="str">
        <f>"11767006"</f>
        <v>11767006</v>
      </c>
      <c r="C2963" s="2" t="str">
        <f>"11767006"</f>
        <v>11767006</v>
      </c>
      <c r="D2963" s="2" t="s">
        <v>2368</v>
      </c>
      <c r="E2963" s="4">
        <v>8000</v>
      </c>
    </row>
    <row r="2964" spans="1:5" ht="26.25" x14ac:dyDescent="0.25">
      <c r="A2964" s="2" t="s">
        <v>2044</v>
      </c>
      <c r="B2964" s="2" t="str">
        <f>"110767006"</f>
        <v>110767006</v>
      </c>
      <c r="C2964" s="2" t="str">
        <f>"110767006"</f>
        <v>110767006</v>
      </c>
      <c r="D2964" s="2" t="s">
        <v>2368</v>
      </c>
      <c r="E2964" s="4">
        <v>8000</v>
      </c>
    </row>
    <row r="2965" spans="1:5" ht="26.25" x14ac:dyDescent="0.25">
      <c r="A2965" s="2" t="s">
        <v>2044</v>
      </c>
      <c r="B2965" s="2" t="str">
        <f>"76230213"</f>
        <v>76230213</v>
      </c>
      <c r="C2965" s="2" t="str">
        <f>"76230213"</f>
        <v>76230213</v>
      </c>
      <c r="D2965" s="2" t="s">
        <v>2369</v>
      </c>
      <c r="E2965" s="4">
        <v>5000</v>
      </c>
    </row>
    <row r="2966" spans="1:5" ht="26.25" x14ac:dyDescent="0.25">
      <c r="A2966" s="2" t="s">
        <v>2044</v>
      </c>
      <c r="B2966" s="2" t="str">
        <f>"766018186"</f>
        <v>766018186</v>
      </c>
      <c r="C2966" s="2" t="str">
        <f>"766018186"</f>
        <v>766018186</v>
      </c>
      <c r="D2966" s="2" t="s">
        <v>2370</v>
      </c>
      <c r="E2966" s="4">
        <v>5500</v>
      </c>
    </row>
    <row r="2967" spans="1:5" ht="26.25" x14ac:dyDescent="0.25">
      <c r="A2967" s="2" t="s">
        <v>2044</v>
      </c>
      <c r="B2967" s="2" t="str">
        <f>"76601836"</f>
        <v>76601836</v>
      </c>
      <c r="C2967" s="2" t="str">
        <f>"76601836"</f>
        <v>76601836</v>
      </c>
      <c r="D2967" s="2" t="s">
        <v>2371</v>
      </c>
      <c r="E2967" s="4">
        <v>5500</v>
      </c>
    </row>
    <row r="2968" spans="1:5" ht="26.25" x14ac:dyDescent="0.25">
      <c r="A2968" s="2" t="s">
        <v>2044</v>
      </c>
      <c r="B2968" s="2" t="str">
        <f>"76231806"</f>
        <v>76231806</v>
      </c>
      <c r="C2968" s="2" t="str">
        <f>"76231806"</f>
        <v>76231806</v>
      </c>
      <c r="D2968" s="2" t="s">
        <v>2372</v>
      </c>
      <c r="E2968" s="4">
        <v>5500</v>
      </c>
    </row>
    <row r="2969" spans="1:5" ht="26.25" x14ac:dyDescent="0.25">
      <c r="A2969" s="2" t="s">
        <v>2044</v>
      </c>
      <c r="B2969" s="2" t="str">
        <f>"766318112"</f>
        <v>766318112</v>
      </c>
      <c r="C2969" s="2" t="str">
        <f>"766318112"</f>
        <v>766318112</v>
      </c>
      <c r="D2969" s="2" t="s">
        <v>2372</v>
      </c>
      <c r="E2969" s="4">
        <v>5500</v>
      </c>
    </row>
    <row r="2970" spans="1:5" ht="26.25" x14ac:dyDescent="0.25">
      <c r="A2970" s="2" t="s">
        <v>2044</v>
      </c>
      <c r="B2970" s="2" t="str">
        <f>"762318133"</f>
        <v>762318133</v>
      </c>
      <c r="C2970" s="2" t="str">
        <f>"762318133"</f>
        <v>762318133</v>
      </c>
      <c r="D2970" s="2" t="s">
        <v>2373</v>
      </c>
      <c r="E2970" s="4">
        <v>5500</v>
      </c>
    </row>
    <row r="2971" spans="1:5" ht="26.25" x14ac:dyDescent="0.25">
      <c r="A2971" s="2" t="s">
        <v>2044</v>
      </c>
      <c r="B2971" s="2" t="str">
        <f>"766018133"</f>
        <v>766018133</v>
      </c>
      <c r="C2971" s="2" t="str">
        <f>"766018133"</f>
        <v>766018133</v>
      </c>
      <c r="D2971" s="2" t="s">
        <v>2373</v>
      </c>
      <c r="E2971" s="4">
        <v>5500</v>
      </c>
    </row>
    <row r="2972" spans="1:5" ht="26.25" x14ac:dyDescent="0.25">
      <c r="A2972" s="2" t="s">
        <v>2044</v>
      </c>
      <c r="B2972" s="2" t="str">
        <f>"766318133"</f>
        <v>766318133</v>
      </c>
      <c r="C2972" s="2" t="str">
        <f>"766318133"</f>
        <v>766318133</v>
      </c>
      <c r="D2972" s="2" t="s">
        <v>2373</v>
      </c>
      <c r="E2972" s="4">
        <v>5500</v>
      </c>
    </row>
    <row r="2973" spans="1:5" ht="26.25" x14ac:dyDescent="0.25">
      <c r="A2973" s="2" t="s">
        <v>2044</v>
      </c>
      <c r="B2973" s="2" t="str">
        <f>"76601876"</f>
        <v>76601876</v>
      </c>
      <c r="C2973" s="2" t="str">
        <f>"76601876"</f>
        <v>76601876</v>
      </c>
      <c r="D2973" s="2" t="s">
        <v>2374</v>
      </c>
      <c r="E2973" s="4">
        <v>5500</v>
      </c>
    </row>
    <row r="2974" spans="1:5" ht="26.25" x14ac:dyDescent="0.25">
      <c r="A2974" s="2" t="s">
        <v>2044</v>
      </c>
      <c r="B2974" s="2" t="str">
        <f>"762318186"</f>
        <v>762318186</v>
      </c>
      <c r="C2974" s="2" t="str">
        <f>"762318186"</f>
        <v>762318186</v>
      </c>
      <c r="D2974" s="2" t="s">
        <v>2375</v>
      </c>
      <c r="E2974" s="4">
        <v>5500</v>
      </c>
    </row>
    <row r="2975" spans="1:5" ht="26.25" x14ac:dyDescent="0.25">
      <c r="A2975" s="2" t="s">
        <v>2044</v>
      </c>
      <c r="B2975" s="2" t="str">
        <f>"76230956"</f>
        <v>76230956</v>
      </c>
      <c r="C2975" s="2" t="str">
        <f>"76230956"</f>
        <v>76230956</v>
      </c>
      <c r="D2975" s="2" t="s">
        <v>2376</v>
      </c>
      <c r="E2975" s="4">
        <v>5500</v>
      </c>
    </row>
    <row r="2976" spans="1:5" ht="26.25" x14ac:dyDescent="0.25">
      <c r="A2976" s="2" t="s">
        <v>2044</v>
      </c>
      <c r="B2976" s="2" t="str">
        <f>"76600934"</f>
        <v>76600934</v>
      </c>
      <c r="C2976" s="2" t="str">
        <f>"76600934"</f>
        <v>76600934</v>
      </c>
      <c r="D2976" s="2" t="s">
        <v>2377</v>
      </c>
      <c r="E2976" s="4">
        <v>5500</v>
      </c>
    </row>
    <row r="2977" spans="1:5" ht="26.25" x14ac:dyDescent="0.25">
      <c r="A2977" s="2" t="s">
        <v>21</v>
      </c>
      <c r="B2977" s="2" t="str">
        <f>"7858816071201"</f>
        <v>7858816071201</v>
      </c>
      <c r="C2977" s="2" t="str">
        <f>"87527120"</f>
        <v>87527120</v>
      </c>
      <c r="D2977" s="2" t="s">
        <v>2378</v>
      </c>
      <c r="E2977" s="4">
        <v>7990</v>
      </c>
    </row>
    <row r="2978" spans="1:5" ht="26.25" x14ac:dyDescent="0.25">
      <c r="A2978" s="2" t="s">
        <v>2379</v>
      </c>
      <c r="B2978" s="2" t="str">
        <f>"6925871608206"</f>
        <v>6925871608206</v>
      </c>
      <c r="C2978" s="2" t="str">
        <f>"22520820"</f>
        <v>22520820</v>
      </c>
      <c r="D2978" s="2" t="s">
        <v>2380</v>
      </c>
      <c r="E2978" s="4">
        <v>9900</v>
      </c>
    </row>
    <row r="2979" spans="1:5" ht="26.25" x14ac:dyDescent="0.25">
      <c r="A2979" s="2" t="s">
        <v>21</v>
      </c>
      <c r="B2979" s="2" t="str">
        <f>"10003225"</f>
        <v>10003225</v>
      </c>
      <c r="C2979" s="2" t="str">
        <f>"10003225"</f>
        <v>10003225</v>
      </c>
      <c r="D2979" s="2" t="s">
        <v>2381</v>
      </c>
      <c r="E2979" s="4">
        <v>36150</v>
      </c>
    </row>
    <row r="2980" spans="1:5" ht="26.25" x14ac:dyDescent="0.25">
      <c r="A2980" s="2" t="s">
        <v>154</v>
      </c>
      <c r="B2980" s="2" t="str">
        <f>"50000000"</f>
        <v>50000000</v>
      </c>
      <c r="C2980" s="2" t="str">
        <f>"50000000"</f>
        <v>50000000</v>
      </c>
      <c r="D2980" s="2" t="s">
        <v>2382</v>
      </c>
      <c r="E2980" s="4">
        <v>5000</v>
      </c>
    </row>
    <row r="2981" spans="1:5" ht="26.25" x14ac:dyDescent="0.25">
      <c r="A2981" s="2" t="s">
        <v>21</v>
      </c>
      <c r="B2981" s="2" t="str">
        <f>"6971399028040"</f>
        <v>6971399028040</v>
      </c>
      <c r="C2981" s="2" t="str">
        <f>"87525286"</f>
        <v>87525286</v>
      </c>
      <c r="D2981" s="2" t="s">
        <v>2383</v>
      </c>
      <c r="E2981" s="4">
        <v>56990</v>
      </c>
    </row>
    <row r="2982" spans="1:5" ht="26.25" x14ac:dyDescent="0.25">
      <c r="A2982" s="2" t="s">
        <v>1981</v>
      </c>
      <c r="B2982" s="2" t="str">
        <f>"3010074"</f>
        <v>3010074</v>
      </c>
      <c r="C2982" s="2" t="str">
        <f>"3010074"</f>
        <v>3010074</v>
      </c>
      <c r="D2982" s="2" t="s">
        <v>2384</v>
      </c>
      <c r="E2982" s="4">
        <v>3000</v>
      </c>
    </row>
    <row r="2983" spans="1:5" ht="26.25" x14ac:dyDescent="0.25">
      <c r="A2983" s="2" t="s">
        <v>1981</v>
      </c>
      <c r="B2983" s="2" t="str">
        <f>"110107909"</f>
        <v>110107909</v>
      </c>
      <c r="C2983" s="2" t="str">
        <f>"110107909"</f>
        <v>110107909</v>
      </c>
      <c r="D2983" s="2" t="s">
        <v>2385</v>
      </c>
      <c r="E2983" s="4">
        <v>6000</v>
      </c>
    </row>
    <row r="2984" spans="1:5" ht="26.25" x14ac:dyDescent="0.25">
      <c r="A2984" s="2" t="s">
        <v>1981</v>
      </c>
      <c r="B2984" s="2" t="str">
        <f>"34190700"</f>
        <v>34190700</v>
      </c>
      <c r="C2984" s="2" t="str">
        <f>"34190700"</f>
        <v>34190700</v>
      </c>
      <c r="D2984" s="2" t="s">
        <v>2386</v>
      </c>
      <c r="E2984" s="4">
        <v>7990</v>
      </c>
    </row>
    <row r="2985" spans="1:5" ht="26.25" x14ac:dyDescent="0.25">
      <c r="A2985" s="2" t="s">
        <v>1981</v>
      </c>
      <c r="B2985" s="2" t="str">
        <f>"5626890002006"</f>
        <v>5626890002006</v>
      </c>
      <c r="C2985" s="2" t="str">
        <f>"28184940"</f>
        <v>28184940</v>
      </c>
      <c r="D2985" s="2" t="s">
        <v>2387</v>
      </c>
      <c r="E2985" s="4">
        <v>5500</v>
      </c>
    </row>
    <row r="2986" spans="1:5" ht="26.25" x14ac:dyDescent="0.25">
      <c r="A2986" s="2" t="s">
        <v>2388</v>
      </c>
      <c r="B2986" s="2" t="str">
        <f>"7858816053825"</f>
        <v>7858816053825</v>
      </c>
      <c r="C2986" s="2" t="str">
        <f>"87385382"</f>
        <v>87385382</v>
      </c>
      <c r="D2986" s="2" t="s">
        <v>2389</v>
      </c>
      <c r="E2986" s="4">
        <v>3000</v>
      </c>
    </row>
    <row r="2987" spans="1:5" ht="26.25" x14ac:dyDescent="0.25">
      <c r="A2987" s="2" t="s">
        <v>1981</v>
      </c>
      <c r="B2987" s="2" t="str">
        <f>"5626890048615"</f>
        <v>5626890048615</v>
      </c>
      <c r="C2987" s="2" t="str">
        <f>"2848920030"</f>
        <v>2848920030</v>
      </c>
      <c r="D2987" s="2" t="s">
        <v>2390</v>
      </c>
      <c r="E2987" s="4">
        <v>7500</v>
      </c>
    </row>
    <row r="2988" spans="1:5" ht="26.25" x14ac:dyDescent="0.25">
      <c r="A2988" s="2" t="s">
        <v>1981</v>
      </c>
      <c r="B2988" s="2" t="str">
        <f>"5626890049919"</f>
        <v>5626890049919</v>
      </c>
      <c r="C2988" s="2" t="str">
        <f>"28184991"</f>
        <v>28184991</v>
      </c>
      <c r="D2988" s="2" t="s">
        <v>2391</v>
      </c>
      <c r="E2988" s="4">
        <v>6500</v>
      </c>
    </row>
    <row r="2989" spans="1:5" ht="26.25" x14ac:dyDescent="0.25">
      <c r="A2989" s="2" t="s">
        <v>885</v>
      </c>
      <c r="B2989" s="2" t="str">
        <f>"6920756926581"</f>
        <v>6920756926581</v>
      </c>
      <c r="C2989" s="2" t="str">
        <f>"10520897"</f>
        <v>10520897</v>
      </c>
      <c r="D2989" s="2" t="s">
        <v>2392</v>
      </c>
      <c r="E2989" s="4">
        <v>3500</v>
      </c>
    </row>
    <row r="2990" spans="1:5" ht="26.25" x14ac:dyDescent="0.25">
      <c r="A2990" s="2" t="s">
        <v>1981</v>
      </c>
      <c r="B2990" s="2" t="str">
        <f>"2019080500056"</f>
        <v>2019080500056</v>
      </c>
      <c r="C2990" s="2" t="str">
        <f>"17190010"</f>
        <v>17190010</v>
      </c>
      <c r="D2990" s="2" t="s">
        <v>2393</v>
      </c>
      <c r="E2990" s="4">
        <v>10500</v>
      </c>
    </row>
    <row r="2991" spans="1:5" ht="26.25" x14ac:dyDescent="0.25">
      <c r="A2991" s="2" t="s">
        <v>1981</v>
      </c>
      <c r="B2991" s="2" t="str">
        <f>"2020081101043"</f>
        <v>2020081101043</v>
      </c>
      <c r="C2991" s="2" t="str">
        <f>"69190010"</f>
        <v>69190010</v>
      </c>
      <c r="D2991" s="2" t="s">
        <v>2393</v>
      </c>
      <c r="E2991" s="4">
        <v>10500</v>
      </c>
    </row>
    <row r="2992" spans="1:5" ht="26.25" x14ac:dyDescent="0.25">
      <c r="A2992" s="2" t="s">
        <v>1981</v>
      </c>
      <c r="B2992" s="2" t="str">
        <f>"76190700"</f>
        <v>76190700</v>
      </c>
      <c r="C2992" s="2" t="str">
        <f>"76190700"</f>
        <v>76190700</v>
      </c>
      <c r="D2992" s="2" t="s">
        <v>2394</v>
      </c>
      <c r="E2992" s="4">
        <v>6000</v>
      </c>
    </row>
    <row r="2993" spans="1:5" ht="26.25" x14ac:dyDescent="0.25">
      <c r="A2993" s="2" t="s">
        <v>1981</v>
      </c>
      <c r="B2993" s="2" t="str">
        <f>"76190007"</f>
        <v>76190007</v>
      </c>
      <c r="C2993" s="2" t="str">
        <f>"76190007"</f>
        <v>76190007</v>
      </c>
      <c r="D2993" s="2" t="s">
        <v>2395</v>
      </c>
      <c r="E2993" s="4">
        <v>6500</v>
      </c>
    </row>
    <row r="2994" spans="1:5" ht="26.25" x14ac:dyDescent="0.25">
      <c r="A2994" s="2" t="s">
        <v>1981</v>
      </c>
      <c r="B2994" s="2" t="str">
        <f>"2020032200092"</f>
        <v>2020032200092</v>
      </c>
      <c r="C2994" s="2" t="str">
        <f>"18190007"</f>
        <v>18190007</v>
      </c>
      <c r="D2994" s="2" t="s">
        <v>2395</v>
      </c>
      <c r="E2994" s="4">
        <v>6500</v>
      </c>
    </row>
    <row r="2995" spans="1:5" ht="26.25" x14ac:dyDescent="0.25">
      <c r="A2995" s="2" t="s">
        <v>1981</v>
      </c>
      <c r="B2995" s="2" t="str">
        <f>"50190010"</f>
        <v>50190010</v>
      </c>
      <c r="C2995" s="2" t="str">
        <f>"50190010"</f>
        <v>50190010</v>
      </c>
      <c r="D2995" s="2" t="s">
        <v>2396</v>
      </c>
      <c r="E2995" s="4">
        <v>2000</v>
      </c>
    </row>
    <row r="2996" spans="1:5" ht="26.25" x14ac:dyDescent="0.25">
      <c r="A2996" s="2" t="s">
        <v>1981</v>
      </c>
      <c r="B2996" s="2" t="str">
        <f>"76190010"</f>
        <v>76190010</v>
      </c>
      <c r="C2996" s="2" t="str">
        <f>"76190010"</f>
        <v>76190010</v>
      </c>
      <c r="D2996" s="2" t="s">
        <v>2397</v>
      </c>
      <c r="E2996" s="4">
        <v>6000</v>
      </c>
    </row>
    <row r="2997" spans="1:5" ht="26.25" x14ac:dyDescent="0.25">
      <c r="A2997" s="2" t="s">
        <v>1981</v>
      </c>
      <c r="B2997" s="2" t="str">
        <f>"76190230"</f>
        <v>76190230</v>
      </c>
      <c r="C2997" s="2" t="str">
        <f>"76190230"</f>
        <v>76190230</v>
      </c>
      <c r="D2997" s="2" t="s">
        <v>2398</v>
      </c>
      <c r="E2997" s="4">
        <v>5500</v>
      </c>
    </row>
    <row r="2998" spans="1:5" ht="26.25" x14ac:dyDescent="0.25">
      <c r="A2998" s="2" t="s">
        <v>1981</v>
      </c>
      <c r="B2998" s="2" t="str">
        <f>"13190010"</f>
        <v>13190010</v>
      </c>
      <c r="C2998" s="2" t="str">
        <f>"13190010"</f>
        <v>13190010</v>
      </c>
      <c r="D2998" s="2" t="s">
        <v>2399</v>
      </c>
      <c r="E2998" s="4">
        <v>15990</v>
      </c>
    </row>
    <row r="2999" spans="1:5" ht="26.25" x14ac:dyDescent="0.25">
      <c r="A2999" s="2" t="s">
        <v>1981</v>
      </c>
      <c r="B2999" s="2" t="str">
        <f>"13190008"</f>
        <v>13190008</v>
      </c>
      <c r="C2999" s="2" t="str">
        <f>"13190008"</f>
        <v>13190008</v>
      </c>
      <c r="D2999" s="2" t="s">
        <v>2400</v>
      </c>
      <c r="E2999" s="4">
        <v>13990</v>
      </c>
    </row>
    <row r="3000" spans="1:5" ht="26.25" x14ac:dyDescent="0.25">
      <c r="A3000" s="2" t="s">
        <v>30</v>
      </c>
      <c r="B3000" s="2" t="str">
        <f>"4260113520673"</f>
        <v>4260113520673</v>
      </c>
      <c r="C3000" s="2" t="str">
        <f>"110104323"</f>
        <v>110104323</v>
      </c>
      <c r="D3000" s="2" t="s">
        <v>2401</v>
      </c>
      <c r="E3000" s="4">
        <v>1000</v>
      </c>
    </row>
    <row r="3001" spans="1:5" ht="26.25" x14ac:dyDescent="0.25">
      <c r="A3001" s="2" t="s">
        <v>971</v>
      </c>
      <c r="B3001" s="2" t="str">
        <f>"6905631114017"</f>
        <v>6905631114017</v>
      </c>
      <c r="C3001" s="2" t="str">
        <f>"40280066"</f>
        <v>40280066</v>
      </c>
      <c r="D3001" s="2" t="s">
        <v>2402</v>
      </c>
      <c r="E3001" s="4">
        <v>3990</v>
      </c>
    </row>
    <row r="3002" spans="1:5" ht="26.25" x14ac:dyDescent="0.25">
      <c r="A3002" s="2" t="s">
        <v>201</v>
      </c>
      <c r="B3002" s="2" t="str">
        <f>"2019033556031"</f>
        <v>2019033556031</v>
      </c>
      <c r="C3002" s="2" t="str">
        <f>"18525603"</f>
        <v>18525603</v>
      </c>
      <c r="D3002" s="2" t="s">
        <v>2403</v>
      </c>
      <c r="E3002" s="4">
        <v>4990</v>
      </c>
    </row>
    <row r="3003" spans="1:5" ht="26.25" x14ac:dyDescent="0.25">
      <c r="A3003" s="2" t="s">
        <v>971</v>
      </c>
      <c r="B3003" s="2" t="str">
        <f>"7252816068986"</f>
        <v>7252816068986</v>
      </c>
      <c r="C3003" s="2" t="str">
        <f>"87286292"</f>
        <v>87286292</v>
      </c>
      <c r="D3003" s="2" t="s">
        <v>2404</v>
      </c>
      <c r="E3003" s="4">
        <v>11990</v>
      </c>
    </row>
    <row r="3004" spans="1:5" ht="26.25" x14ac:dyDescent="0.25">
      <c r="A3004" s="2" t="s">
        <v>21</v>
      </c>
      <c r="B3004" s="2" t="str">
        <f>"2019033555980"</f>
        <v>2019033555980</v>
      </c>
      <c r="C3004" s="2" t="str">
        <f>"18525598"</f>
        <v>18525598</v>
      </c>
      <c r="D3004" s="2" t="s">
        <v>2405</v>
      </c>
      <c r="E3004" s="4">
        <v>3500</v>
      </c>
    </row>
    <row r="3005" spans="1:5" ht="26.25" x14ac:dyDescent="0.25">
      <c r="A3005" s="2" t="s">
        <v>971</v>
      </c>
      <c r="B3005" s="2" t="str">
        <f>"8745125896528"</f>
        <v>8745125896528</v>
      </c>
      <c r="C3005" s="2" t="str">
        <f>"40280016"</f>
        <v>40280016</v>
      </c>
      <c r="D3005" s="2" t="s">
        <v>2406</v>
      </c>
      <c r="E3005" s="4">
        <v>4500</v>
      </c>
    </row>
    <row r="3006" spans="1:5" ht="26.25" x14ac:dyDescent="0.25">
      <c r="A3006" s="2" t="s">
        <v>971</v>
      </c>
      <c r="B3006" s="2" t="str">
        <f>"7858816061813"</f>
        <v>7858816061813</v>
      </c>
      <c r="C3006" s="2" t="str">
        <f>"87286181"</f>
        <v>87286181</v>
      </c>
      <c r="D3006" s="2" t="s">
        <v>2407</v>
      </c>
      <c r="E3006" s="4">
        <v>3500</v>
      </c>
    </row>
    <row r="3007" spans="1:5" ht="26.25" x14ac:dyDescent="0.25">
      <c r="A3007" s="2" t="s">
        <v>21</v>
      </c>
      <c r="B3007" s="2" t="str">
        <f>"6971835790128"</f>
        <v>6971835790128</v>
      </c>
      <c r="C3007" s="2" t="str">
        <f>"10001011"</f>
        <v>10001011</v>
      </c>
      <c r="D3007" s="2" t="s">
        <v>2408</v>
      </c>
      <c r="E3007" s="4">
        <v>6500</v>
      </c>
    </row>
    <row r="3008" spans="1:5" ht="26.25" x14ac:dyDescent="0.25">
      <c r="A3008" s="2" t="s">
        <v>971</v>
      </c>
      <c r="B3008" s="2" t="str">
        <f>"10013627"</f>
        <v>10013627</v>
      </c>
      <c r="C3008" s="2" t="str">
        <f>"10013627"</f>
        <v>10013627</v>
      </c>
      <c r="D3008" s="2" t="s">
        <v>2409</v>
      </c>
      <c r="E3008" s="4">
        <v>6990</v>
      </c>
    </row>
    <row r="3009" spans="1:5" ht="26.25" x14ac:dyDescent="0.25">
      <c r="A3009" s="2" t="s">
        <v>971</v>
      </c>
      <c r="B3009" s="2" t="str">
        <f>"10000673"</f>
        <v>10000673</v>
      </c>
      <c r="C3009" s="2" t="str">
        <f>"10000673"</f>
        <v>10000673</v>
      </c>
      <c r="D3009" s="2" t="s">
        <v>2410</v>
      </c>
      <c r="E3009" s="4">
        <v>5990</v>
      </c>
    </row>
    <row r="3010" spans="1:5" ht="26.25" x14ac:dyDescent="0.25">
      <c r="A3010" s="2" t="s">
        <v>971</v>
      </c>
      <c r="B3010" s="2" t="str">
        <f>"7858816059100"</f>
        <v>7858816059100</v>
      </c>
      <c r="C3010" s="2" t="str">
        <f>"87285910"</f>
        <v>87285910</v>
      </c>
      <c r="D3010" s="2" t="s">
        <v>2411</v>
      </c>
      <c r="E3010" s="4">
        <v>3990</v>
      </c>
    </row>
    <row r="3011" spans="1:5" ht="26.25" x14ac:dyDescent="0.25">
      <c r="A3011" s="2" t="s">
        <v>1590</v>
      </c>
      <c r="B3011" s="2" t="str">
        <f>"345714276"</f>
        <v>345714276</v>
      </c>
      <c r="C3011" s="2" t="str">
        <f>"345714276"</f>
        <v>345714276</v>
      </c>
      <c r="D3011" s="2" t="s">
        <v>2412</v>
      </c>
      <c r="E3011" s="4">
        <v>4000</v>
      </c>
    </row>
    <row r="3012" spans="1:5" ht="26.25" x14ac:dyDescent="0.25">
      <c r="A3012" s="2" t="s">
        <v>1590</v>
      </c>
      <c r="B3012" s="2" t="str">
        <f>"110347062"</f>
        <v>110347062</v>
      </c>
      <c r="C3012" s="2" t="str">
        <f>"110347062"</f>
        <v>110347062</v>
      </c>
      <c r="D3012" s="2" t="s">
        <v>2413</v>
      </c>
      <c r="E3012" s="4">
        <v>3500</v>
      </c>
    </row>
    <row r="3013" spans="1:5" ht="26.25" x14ac:dyDescent="0.25">
      <c r="A3013" s="2" t="s">
        <v>1590</v>
      </c>
      <c r="B3013" s="2" t="str">
        <f>"11002835"</f>
        <v>11002835</v>
      </c>
      <c r="C3013" s="2" t="str">
        <f>"11002835"</f>
        <v>11002835</v>
      </c>
      <c r="D3013" s="2" t="s">
        <v>2414</v>
      </c>
      <c r="E3013" s="4">
        <v>6000</v>
      </c>
    </row>
    <row r="3014" spans="1:5" ht="26.25" x14ac:dyDescent="0.25">
      <c r="A3014" s="2" t="s">
        <v>30</v>
      </c>
      <c r="B3014" s="2" t="str">
        <f>"63020439"</f>
        <v>63020439</v>
      </c>
      <c r="C3014" s="2" t="str">
        <f>"63020439"</f>
        <v>63020439</v>
      </c>
      <c r="D3014" s="2" t="s">
        <v>2415</v>
      </c>
      <c r="E3014" s="4">
        <v>39990</v>
      </c>
    </row>
    <row r="3015" spans="1:5" ht="26.25" x14ac:dyDescent="0.25">
      <c r="A3015" s="2" t="s">
        <v>30</v>
      </c>
      <c r="B3015" s="2" t="str">
        <f>"842776106131"</f>
        <v>842776106131</v>
      </c>
      <c r="C3015" s="2" t="str">
        <f>"29GGL0CH3R"</f>
        <v>29GGL0CH3R</v>
      </c>
      <c r="D3015" s="2" t="s">
        <v>2416</v>
      </c>
      <c r="E3015" s="4">
        <v>39990</v>
      </c>
    </row>
    <row r="3016" spans="1:5" ht="26.25" x14ac:dyDescent="0.25">
      <c r="A3016" s="2" t="s">
        <v>154</v>
      </c>
      <c r="B3016" s="2" t="str">
        <f>"6927696368136"</f>
        <v>6927696368136</v>
      </c>
      <c r="C3016" s="2" t="str">
        <f>"25700303"</f>
        <v>25700303</v>
      </c>
      <c r="D3016" s="2" t="s">
        <v>2417</v>
      </c>
      <c r="E3016" s="4">
        <v>46850</v>
      </c>
    </row>
    <row r="3017" spans="1:5" ht="26.25" x14ac:dyDescent="0.25">
      <c r="A3017" s="2" t="s">
        <v>154</v>
      </c>
      <c r="B3017" s="2" t="str">
        <f>"10002942"</f>
        <v>10002942</v>
      </c>
      <c r="C3017" s="2" t="str">
        <f>"10002942"</f>
        <v>10002942</v>
      </c>
      <c r="D3017" s="2" t="s">
        <v>2418</v>
      </c>
      <c r="E3017" s="4">
        <v>29900</v>
      </c>
    </row>
    <row r="3018" spans="1:5" ht="26.25" x14ac:dyDescent="0.25">
      <c r="A3018" s="2" t="s">
        <v>154</v>
      </c>
      <c r="B3018" s="2" t="str">
        <f>"25700548"</f>
        <v>25700548</v>
      </c>
      <c r="C3018" s="2" t="str">
        <f>"25700548"</f>
        <v>25700548</v>
      </c>
      <c r="D3018" s="2" t="s">
        <v>2419</v>
      </c>
      <c r="E3018" s="4">
        <v>56000</v>
      </c>
    </row>
    <row r="3019" spans="1:5" ht="26.25" x14ac:dyDescent="0.25">
      <c r="A3019" s="2" t="s">
        <v>21</v>
      </c>
      <c r="B3019" s="2" t="str">
        <f>"10002749"</f>
        <v>10002749</v>
      </c>
      <c r="C3019" s="2" t="str">
        <f>"10002749"</f>
        <v>10002749</v>
      </c>
      <c r="D3019" s="2" t="s">
        <v>2420</v>
      </c>
      <c r="E3019" s="4">
        <v>8990</v>
      </c>
    </row>
    <row r="3020" spans="1:5" ht="26.25" x14ac:dyDescent="0.25">
      <c r="A3020" s="2" t="s">
        <v>21</v>
      </c>
      <c r="B3020" s="2" t="str">
        <f>"10000482"</f>
        <v>10000482</v>
      </c>
      <c r="C3020" s="2" t="str">
        <f>"10000482"</f>
        <v>10000482</v>
      </c>
      <c r="D3020" s="2" t="s">
        <v>2421</v>
      </c>
      <c r="E3020" s="4">
        <v>7190</v>
      </c>
    </row>
    <row r="3021" spans="1:5" ht="26.25" x14ac:dyDescent="0.25">
      <c r="A3021" s="2" t="s">
        <v>21</v>
      </c>
      <c r="B3021" s="2" t="str">
        <f>"3800123110184"</f>
        <v>3800123110184</v>
      </c>
      <c r="C3021" s="2" t="str">
        <f>"10003346"</f>
        <v>10003346</v>
      </c>
      <c r="D3021" s="2" t="s">
        <v>2422</v>
      </c>
      <c r="E3021" s="4">
        <v>7490</v>
      </c>
    </row>
    <row r="3022" spans="1:5" ht="26.25" x14ac:dyDescent="0.25">
      <c r="A3022" s="2" t="s">
        <v>21</v>
      </c>
      <c r="B3022" s="2" t="str">
        <f>"7858816001031"</f>
        <v>7858816001031</v>
      </c>
      <c r="C3022" s="2" t="str">
        <f>"87520103"</f>
        <v>87520103</v>
      </c>
      <c r="D3022" s="2" t="s">
        <v>2423</v>
      </c>
      <c r="E3022" s="4">
        <v>6500</v>
      </c>
    </row>
    <row r="3023" spans="1:5" ht="26.25" x14ac:dyDescent="0.25">
      <c r="A3023" s="2" t="s">
        <v>21</v>
      </c>
      <c r="B3023" s="2" t="str">
        <f>"10000933"</f>
        <v>10000933</v>
      </c>
      <c r="C3023" s="2" t="str">
        <f>"10000933"</f>
        <v>10000933</v>
      </c>
      <c r="D3023" s="2" t="s">
        <v>2424</v>
      </c>
      <c r="E3023" s="4">
        <v>34000</v>
      </c>
    </row>
    <row r="3024" spans="1:5" ht="26.25" x14ac:dyDescent="0.25">
      <c r="A3024" s="2" t="s">
        <v>2388</v>
      </c>
      <c r="B3024" s="2" t="str">
        <f>"67200005"</f>
        <v>67200005</v>
      </c>
      <c r="C3024" s="2" t="str">
        <f>"67200005"</f>
        <v>67200005</v>
      </c>
      <c r="D3024" s="2" t="s">
        <v>2425</v>
      </c>
      <c r="E3024" s="4">
        <v>4900</v>
      </c>
    </row>
    <row r="3025" spans="1:5" ht="26.25" x14ac:dyDescent="0.25">
      <c r="A3025" s="2" t="s">
        <v>2388</v>
      </c>
      <c r="B3025" s="2" t="str">
        <f>"69380937"</f>
        <v>69380937</v>
      </c>
      <c r="C3025" s="2" t="str">
        <f>"69380937"</f>
        <v>69380937</v>
      </c>
      <c r="D3025" s="2" t="s">
        <v>2426</v>
      </c>
      <c r="E3025" s="4">
        <v>3500</v>
      </c>
    </row>
    <row r="3026" spans="1:5" ht="26.25" x14ac:dyDescent="0.25">
      <c r="A3026" s="2" t="s">
        <v>2037</v>
      </c>
      <c r="B3026" s="2" t="str">
        <f>"1495836362124"</f>
        <v>1495836362124</v>
      </c>
      <c r="C3026" s="2" t="str">
        <f>"123456"</f>
        <v>123456</v>
      </c>
      <c r="D3026" s="2" t="s">
        <v>2427</v>
      </c>
      <c r="E3026" s="4">
        <v>4734</v>
      </c>
    </row>
    <row r="3027" spans="1:5" ht="26.25" x14ac:dyDescent="0.25">
      <c r="A3027" s="2" t="s">
        <v>20</v>
      </c>
      <c r="B3027" s="2" t="str">
        <f>"4897005980287"</f>
        <v>4897005980287</v>
      </c>
      <c r="C3027" s="2" t="str">
        <f>"10000738"</f>
        <v>10000738</v>
      </c>
      <c r="D3027" s="2" t="s">
        <v>2428</v>
      </c>
      <c r="E3027" s="4">
        <v>3990</v>
      </c>
    </row>
    <row r="3028" spans="1:5" ht="26.25" x14ac:dyDescent="0.25">
      <c r="A3028" s="2" t="s">
        <v>20</v>
      </c>
      <c r="B3028" s="2" t="str">
        <f>"6957107316012"</f>
        <v>6957107316012</v>
      </c>
      <c r="C3028" s="2" t="str">
        <f>"10002293"</f>
        <v>10002293</v>
      </c>
      <c r="D3028" s="2" t="s">
        <v>2429</v>
      </c>
      <c r="E3028" s="4">
        <v>6500</v>
      </c>
    </row>
    <row r="3029" spans="1:5" ht="26.25" x14ac:dyDescent="0.25">
      <c r="A3029" s="2" t="s">
        <v>21</v>
      </c>
      <c r="B3029" s="2" t="str">
        <f>"7858816012686"</f>
        <v>7858816012686</v>
      </c>
      <c r="C3029" s="2" t="str">
        <f>"87521268"</f>
        <v>87521268</v>
      </c>
      <c r="D3029" s="2" t="s">
        <v>2430</v>
      </c>
      <c r="E3029" s="4">
        <v>3000</v>
      </c>
    </row>
    <row r="3030" spans="1:5" ht="26.25" x14ac:dyDescent="0.25">
      <c r="A3030" s="2" t="s">
        <v>21</v>
      </c>
      <c r="B3030" s="2" t="str">
        <f>"6908620061125"</f>
        <v>6908620061125</v>
      </c>
      <c r="C3030" s="2" t="str">
        <f>"10522437"</f>
        <v>10522437</v>
      </c>
      <c r="D3030" s="2" t="s">
        <v>2431</v>
      </c>
      <c r="E3030" s="4">
        <v>10500</v>
      </c>
    </row>
    <row r="3031" spans="1:5" ht="26.25" x14ac:dyDescent="0.25">
      <c r="A3031" s="2" t="s">
        <v>21</v>
      </c>
      <c r="B3031" s="2" t="str">
        <f>"10001220"</f>
        <v>10001220</v>
      </c>
      <c r="C3031" s="2" t="str">
        <f>"10001220"</f>
        <v>10001220</v>
      </c>
      <c r="D3031" s="2" t="s">
        <v>2432</v>
      </c>
      <c r="E3031" s="4">
        <v>5600</v>
      </c>
    </row>
    <row r="3032" spans="1:5" ht="26.25" x14ac:dyDescent="0.25">
      <c r="A3032" s="2" t="s">
        <v>21</v>
      </c>
      <c r="B3032" s="2" t="str">
        <f>"7858816043925"</f>
        <v>7858816043925</v>
      </c>
      <c r="C3032" s="2" t="str">
        <f>"87524392"</f>
        <v>87524392</v>
      </c>
      <c r="D3032" s="2" t="s">
        <v>2433</v>
      </c>
      <c r="E3032" s="4">
        <v>6000</v>
      </c>
    </row>
    <row r="3033" spans="1:5" ht="26.25" x14ac:dyDescent="0.25">
      <c r="A3033" s="2" t="s">
        <v>30</v>
      </c>
      <c r="B3033" s="2" t="str">
        <f>"49000044"</f>
        <v>49000044</v>
      </c>
      <c r="C3033" s="2" t="str">
        <f>"49000044"</f>
        <v>49000044</v>
      </c>
      <c r="D3033" s="2" t="s">
        <v>2434</v>
      </c>
      <c r="E3033" s="4">
        <v>11500</v>
      </c>
    </row>
    <row r="3034" spans="1:5" ht="26.25" x14ac:dyDescent="0.25">
      <c r="A3034" s="2" t="s">
        <v>49</v>
      </c>
      <c r="B3034" s="2" t="str">
        <f>"98931011"</f>
        <v>98931011</v>
      </c>
      <c r="C3034" s="2" t="str">
        <f>"98931011"</f>
        <v>98931011</v>
      </c>
      <c r="D3034" s="2" t="s">
        <v>2435</v>
      </c>
      <c r="E3034" s="4">
        <v>5500</v>
      </c>
    </row>
    <row r="3035" spans="1:5" ht="26.25" x14ac:dyDescent="0.25">
      <c r="A3035" s="2" t="s">
        <v>49</v>
      </c>
      <c r="B3035" s="2" t="str">
        <f>"87938041"</f>
        <v>87938041</v>
      </c>
      <c r="C3035" s="2" t="str">
        <f>"87938041"</f>
        <v>87938041</v>
      </c>
      <c r="D3035" s="2" t="s">
        <v>2436</v>
      </c>
      <c r="E3035" s="4">
        <v>3500</v>
      </c>
    </row>
    <row r="3036" spans="1:5" ht="26.25" x14ac:dyDescent="0.25">
      <c r="A3036" s="2" t="s">
        <v>21</v>
      </c>
      <c r="B3036" s="2" t="str">
        <f>"766623160605"</f>
        <v>766623160605</v>
      </c>
      <c r="C3036" s="2" t="str">
        <f>"98520605"</f>
        <v>98520605</v>
      </c>
      <c r="D3036" s="2" t="s">
        <v>2437</v>
      </c>
      <c r="E3036" s="4">
        <v>4500</v>
      </c>
    </row>
    <row r="3037" spans="1:5" ht="26.25" x14ac:dyDescent="0.25">
      <c r="A3037" s="2" t="s">
        <v>49</v>
      </c>
      <c r="B3037" s="2" t="str">
        <f>"6931326001843"</f>
        <v>6931326001843</v>
      </c>
      <c r="C3037" s="2" t="str">
        <f>"40081843"</f>
        <v>40081843</v>
      </c>
      <c r="D3037" s="2" t="s">
        <v>2438</v>
      </c>
      <c r="E3037" s="4">
        <v>11990</v>
      </c>
    </row>
    <row r="3038" spans="1:5" ht="26.25" x14ac:dyDescent="0.25">
      <c r="A3038" s="2" t="s">
        <v>49</v>
      </c>
      <c r="B3038" s="2" t="str">
        <f>"7858816066887"</f>
        <v>7858816066887</v>
      </c>
      <c r="C3038" s="2" t="str">
        <f>"87726688"</f>
        <v>87726688</v>
      </c>
      <c r="D3038" s="2" t="s">
        <v>2439</v>
      </c>
      <c r="E3038" s="4">
        <v>7990</v>
      </c>
    </row>
    <row r="3039" spans="1:5" ht="26.25" x14ac:dyDescent="0.25">
      <c r="A3039" s="2" t="s">
        <v>30</v>
      </c>
      <c r="B3039" s="2" t="str">
        <f>"7858816043932"</f>
        <v>7858816043932</v>
      </c>
      <c r="C3039" s="2" t="str">
        <f>"87524393"</f>
        <v>87524393</v>
      </c>
      <c r="D3039" s="2" t="s">
        <v>2440</v>
      </c>
      <c r="E3039" s="4">
        <v>5500</v>
      </c>
    </row>
    <row r="3040" spans="1:5" ht="26.25" x14ac:dyDescent="0.25">
      <c r="A3040" s="2" t="s">
        <v>49</v>
      </c>
      <c r="B3040" s="2" t="str">
        <f>"7168298825118"</f>
        <v>7168298825118</v>
      </c>
      <c r="C3040" s="2" t="str">
        <f>"98930024"</f>
        <v>98930024</v>
      </c>
      <c r="D3040" s="2" t="s">
        <v>2441</v>
      </c>
      <c r="E3040" s="4">
        <v>5500</v>
      </c>
    </row>
    <row r="3041" spans="1:5" ht="26.25" x14ac:dyDescent="0.25">
      <c r="A3041" s="2" t="s">
        <v>49</v>
      </c>
      <c r="B3041" s="2" t="str">
        <f>"4710007746301"</f>
        <v>4710007746301</v>
      </c>
      <c r="C3041" s="2" t="str">
        <f>"98930061"</f>
        <v>98930061</v>
      </c>
      <c r="D3041" s="2" t="s">
        <v>2442</v>
      </c>
      <c r="E3041" s="4">
        <v>8990</v>
      </c>
    </row>
    <row r="3042" spans="1:5" ht="26.25" x14ac:dyDescent="0.25">
      <c r="A3042" s="2" t="s">
        <v>20</v>
      </c>
      <c r="B3042" s="2" t="str">
        <f>"6925871603140"</f>
        <v>6925871603140</v>
      </c>
      <c r="C3042" s="2" t="str">
        <f>"22080314"</f>
        <v>22080314</v>
      </c>
      <c r="D3042" s="2" t="s">
        <v>2443</v>
      </c>
      <c r="E3042" s="4">
        <v>2500</v>
      </c>
    </row>
    <row r="3043" spans="1:5" ht="26.25" x14ac:dyDescent="0.25">
      <c r="A3043" s="2" t="s">
        <v>30</v>
      </c>
      <c r="B3043" s="2" t="str">
        <f>"42120100"</f>
        <v>42120100</v>
      </c>
      <c r="C3043" s="2" t="str">
        <f>"42120100"</f>
        <v>42120100</v>
      </c>
      <c r="D3043" s="2" t="s">
        <v>2444</v>
      </c>
      <c r="E3043" s="4">
        <v>3900</v>
      </c>
    </row>
    <row r="3044" spans="1:5" ht="26.25" x14ac:dyDescent="0.25">
      <c r="A3044" s="2" t="s">
        <v>30</v>
      </c>
      <c r="B3044" s="2" t="str">
        <f>"10002939"</f>
        <v>10002939</v>
      </c>
      <c r="C3044" s="2" t="str">
        <f>"10002939"</f>
        <v>10002939</v>
      </c>
      <c r="D3044" s="2" t="s">
        <v>2445</v>
      </c>
      <c r="E3044" s="4">
        <v>9990</v>
      </c>
    </row>
    <row r="3045" spans="1:5" ht="26.25" x14ac:dyDescent="0.25">
      <c r="A3045" s="2" t="s">
        <v>30</v>
      </c>
      <c r="B3045" s="2" t="str">
        <f>"6192085658116"</f>
        <v>6192085658116</v>
      </c>
      <c r="C3045" s="2" t="str">
        <f>"40028116"</f>
        <v>40028116</v>
      </c>
      <c r="D3045" s="2" t="s">
        <v>2446</v>
      </c>
      <c r="E3045" s="4">
        <v>29990</v>
      </c>
    </row>
    <row r="3046" spans="1:5" ht="26.25" x14ac:dyDescent="0.25">
      <c r="A3046" s="2" t="s">
        <v>49</v>
      </c>
      <c r="B3046" s="2" t="str">
        <f>"6956846536361"</f>
        <v>6956846536361</v>
      </c>
      <c r="C3046" s="2" t="str">
        <f>"40926361"</f>
        <v>40926361</v>
      </c>
      <c r="D3046" s="2" t="s">
        <v>2447</v>
      </c>
      <c r="E3046" s="4">
        <v>14990</v>
      </c>
    </row>
    <row r="3047" spans="1:5" ht="26.25" x14ac:dyDescent="0.25">
      <c r="A3047" s="2" t="s">
        <v>49</v>
      </c>
      <c r="B3047" s="2" t="str">
        <f>"40925011"</f>
        <v>40925011</v>
      </c>
      <c r="C3047" s="2" t="str">
        <f>"40925011"</f>
        <v>40925011</v>
      </c>
      <c r="D3047" s="2" t="s">
        <v>2448</v>
      </c>
      <c r="E3047" s="4">
        <v>14990</v>
      </c>
    </row>
    <row r="3048" spans="1:5" ht="26.25" x14ac:dyDescent="0.25">
      <c r="A3048" s="2" t="s">
        <v>20</v>
      </c>
      <c r="B3048" s="2" t="str">
        <f>"6957107331015"</f>
        <v>6957107331015</v>
      </c>
      <c r="C3048" s="2" t="str">
        <f>"10001512"</f>
        <v>10001512</v>
      </c>
      <c r="D3048" s="2" t="s">
        <v>2449</v>
      </c>
      <c r="E3048" s="4">
        <v>5900</v>
      </c>
    </row>
    <row r="3049" spans="1:5" ht="26.25" x14ac:dyDescent="0.25">
      <c r="A3049" s="2" t="s">
        <v>147</v>
      </c>
      <c r="B3049" s="2" t="str">
        <f>"7805040001825"</f>
        <v>7805040001825</v>
      </c>
      <c r="C3049" s="2" t="str">
        <f>"47881825"</f>
        <v>47881825</v>
      </c>
      <c r="D3049" s="2" t="s">
        <v>2450</v>
      </c>
      <c r="E3049" s="4">
        <v>1290</v>
      </c>
    </row>
    <row r="3050" spans="1:5" ht="26.25" x14ac:dyDescent="0.25">
      <c r="A3050" s="2" t="s">
        <v>21</v>
      </c>
      <c r="B3050" s="2" t="str">
        <f>"2021030101"</f>
        <v>2021030101</v>
      </c>
      <c r="C3050" s="2" t="str">
        <f>"10007555"</f>
        <v>10007555</v>
      </c>
      <c r="D3050" s="2" t="s">
        <v>2451</v>
      </c>
      <c r="E3050" s="4">
        <v>44990</v>
      </c>
    </row>
    <row r="3051" spans="1:5" ht="26.25" x14ac:dyDescent="0.25">
      <c r="A3051" s="2" t="s">
        <v>971</v>
      </c>
      <c r="B3051" s="2" t="str">
        <f>"66003164"</f>
        <v>66003164</v>
      </c>
      <c r="C3051" s="2" t="str">
        <f>"66003164"</f>
        <v>66003164</v>
      </c>
      <c r="D3051" s="2" t="s">
        <v>2452</v>
      </c>
      <c r="E3051" s="4">
        <v>10500</v>
      </c>
    </row>
    <row r="3052" spans="1:5" ht="26.25" x14ac:dyDescent="0.25">
      <c r="A3052" s="2" t="s">
        <v>971</v>
      </c>
      <c r="B3052" s="2" t="str">
        <f>"6925871600507"</f>
        <v>6925871600507</v>
      </c>
      <c r="C3052" s="2" t="str">
        <f>"22280950"</f>
        <v>22280950</v>
      </c>
      <c r="D3052" s="2" t="s">
        <v>2453</v>
      </c>
      <c r="E3052" s="4">
        <v>15990</v>
      </c>
    </row>
    <row r="3053" spans="1:5" ht="26.25" x14ac:dyDescent="0.25">
      <c r="A3053" s="2" t="s">
        <v>971</v>
      </c>
      <c r="B3053" s="2" t="str">
        <f>"6925871691468"</f>
        <v>6925871691468</v>
      </c>
      <c r="C3053" s="2" t="str">
        <f>"22280956"</f>
        <v>22280956</v>
      </c>
      <c r="D3053" s="2" t="s">
        <v>2454</v>
      </c>
      <c r="E3053" s="4">
        <v>19990</v>
      </c>
    </row>
    <row r="3054" spans="1:5" ht="26.25" x14ac:dyDescent="0.25">
      <c r="A3054" s="2" t="s">
        <v>971</v>
      </c>
      <c r="B3054" s="2" t="str">
        <f>"6925871691444"</f>
        <v>6925871691444</v>
      </c>
      <c r="C3054" s="2" t="str">
        <f>"22280958"</f>
        <v>22280958</v>
      </c>
      <c r="D3054" s="2" t="s">
        <v>2455</v>
      </c>
      <c r="E3054" s="4">
        <v>15990</v>
      </c>
    </row>
    <row r="3055" spans="1:5" ht="26.25" x14ac:dyDescent="0.25">
      <c r="A3055" s="2" t="s">
        <v>971</v>
      </c>
      <c r="B3055" s="2" t="str">
        <f>"7858816071492"</f>
        <v>7858816071492</v>
      </c>
      <c r="C3055" s="2" t="str">
        <f>"87287149"</f>
        <v>87287149</v>
      </c>
      <c r="D3055" s="2" t="s">
        <v>2456</v>
      </c>
      <c r="E3055" s="4">
        <v>16990</v>
      </c>
    </row>
    <row r="3056" spans="1:5" ht="26.25" x14ac:dyDescent="0.25">
      <c r="A3056" s="2" t="s">
        <v>971</v>
      </c>
      <c r="B3056" s="2" t="str">
        <f>"18280000"</f>
        <v>18280000</v>
      </c>
      <c r="C3056" s="2" t="str">
        <f>"18280000"</f>
        <v>18280000</v>
      </c>
      <c r="D3056" s="2" t="s">
        <v>2457</v>
      </c>
      <c r="E3056" s="4">
        <v>19900</v>
      </c>
    </row>
    <row r="3057" spans="1:5" ht="26.25" x14ac:dyDescent="0.25">
      <c r="A3057" s="2" t="s">
        <v>971</v>
      </c>
      <c r="B3057" s="2" t="str">
        <f>"22280000"</f>
        <v>22280000</v>
      </c>
      <c r="C3057" s="2" t="str">
        <f>"22280000"</f>
        <v>22280000</v>
      </c>
      <c r="D3057" s="2" t="s">
        <v>2458</v>
      </c>
      <c r="E3057" s="4">
        <v>19900</v>
      </c>
    </row>
    <row r="3058" spans="1:5" ht="26.25" x14ac:dyDescent="0.25">
      <c r="A3058" s="2" t="s">
        <v>971</v>
      </c>
      <c r="B3058" s="2" t="str">
        <f>"7297932319109"</f>
        <v>7297932319109</v>
      </c>
      <c r="C3058" s="2" t="str">
        <f>"31FJXPG910"</f>
        <v>31FJXPG910</v>
      </c>
      <c r="D3058" s="2" t="s">
        <v>2459</v>
      </c>
      <c r="E3058" s="4">
        <v>18990</v>
      </c>
    </row>
    <row r="3059" spans="1:5" ht="26.25" x14ac:dyDescent="0.25">
      <c r="A3059" s="2" t="s">
        <v>971</v>
      </c>
      <c r="B3059" s="2" t="str">
        <f>"8713439204919"</f>
        <v>8713439204919</v>
      </c>
      <c r="C3059" s="2" t="str">
        <f>"92280545"</f>
        <v>92280545</v>
      </c>
      <c r="D3059" s="2" t="s">
        <v>2460</v>
      </c>
      <c r="E3059" s="4">
        <v>39990</v>
      </c>
    </row>
    <row r="3060" spans="1:5" ht="26.25" x14ac:dyDescent="0.25">
      <c r="A3060" s="2" t="s">
        <v>971</v>
      </c>
      <c r="B3060" s="2" t="str">
        <f>"10003405"</f>
        <v>10003405</v>
      </c>
      <c r="C3060" s="2" t="str">
        <f>"10003405"</f>
        <v>10003405</v>
      </c>
      <c r="D3060" s="2" t="s">
        <v>2461</v>
      </c>
      <c r="E3060" s="4">
        <v>9900</v>
      </c>
    </row>
    <row r="3061" spans="1:5" ht="26.25" x14ac:dyDescent="0.25">
      <c r="A3061" s="2" t="s">
        <v>971</v>
      </c>
      <c r="B3061" s="2" t="str">
        <f>"872800883"</f>
        <v>872800883</v>
      </c>
      <c r="C3061" s="2" t="str">
        <f>"872800883"</f>
        <v>872800883</v>
      </c>
      <c r="D3061" s="2" t="s">
        <v>2462</v>
      </c>
      <c r="E3061" s="4">
        <v>18900</v>
      </c>
    </row>
    <row r="3062" spans="1:5" ht="26.25" x14ac:dyDescent="0.25">
      <c r="A3062" s="2" t="s">
        <v>971</v>
      </c>
      <c r="B3062" s="2" t="str">
        <f>"10001782"</f>
        <v>10001782</v>
      </c>
      <c r="C3062" s="2" t="str">
        <f>"10001782"</f>
        <v>10001782</v>
      </c>
      <c r="D3062" s="2" t="s">
        <v>2463</v>
      </c>
      <c r="E3062" s="4">
        <v>16000</v>
      </c>
    </row>
    <row r="3063" spans="1:5" ht="26.25" x14ac:dyDescent="0.25">
      <c r="A3063" s="2" t="s">
        <v>971</v>
      </c>
      <c r="B3063" s="2" t="str">
        <f>"6987245391282"</f>
        <v>6987245391282</v>
      </c>
      <c r="C3063" s="2" t="str">
        <f>"10002227"</f>
        <v>10002227</v>
      </c>
      <c r="D3063" s="2" t="s">
        <v>2464</v>
      </c>
      <c r="E3063" s="4">
        <v>16990</v>
      </c>
    </row>
    <row r="3064" spans="1:5" ht="26.25" x14ac:dyDescent="0.25">
      <c r="A3064" s="2" t="s">
        <v>971</v>
      </c>
      <c r="B3064" s="2" t="str">
        <f>"6931534500039"</f>
        <v>6931534500039</v>
      </c>
      <c r="C3064" s="2" t="str">
        <f>"10000040"</f>
        <v>10000040</v>
      </c>
      <c r="D3064" s="2" t="s">
        <v>2465</v>
      </c>
      <c r="E3064" s="4">
        <v>15990</v>
      </c>
    </row>
    <row r="3065" spans="1:5" ht="26.25" x14ac:dyDescent="0.25">
      <c r="A3065" s="2" t="s">
        <v>971</v>
      </c>
      <c r="B3065" s="2" t="str">
        <f>"98280001"</f>
        <v>98280001</v>
      </c>
      <c r="C3065" s="2" t="str">
        <f>"98280001"</f>
        <v>98280001</v>
      </c>
      <c r="D3065" s="2" t="s">
        <v>2466</v>
      </c>
      <c r="E3065" s="4">
        <v>6500</v>
      </c>
    </row>
    <row r="3066" spans="1:5" ht="26.25" x14ac:dyDescent="0.25">
      <c r="A3066" s="2" t="s">
        <v>971</v>
      </c>
      <c r="B3066" s="2" t="str">
        <f>"4260294560222"</f>
        <v>4260294560222</v>
      </c>
      <c r="C3066" s="2" t="str">
        <f>"31SNE49116"</f>
        <v>31SNE49116</v>
      </c>
      <c r="D3066" s="2" t="s">
        <v>2466</v>
      </c>
      <c r="E3066" s="4">
        <v>6000</v>
      </c>
    </row>
    <row r="3067" spans="1:5" ht="26.25" x14ac:dyDescent="0.25">
      <c r="A3067" s="2" t="s">
        <v>971</v>
      </c>
      <c r="B3067" s="2" t="str">
        <f>"6926868810053"</f>
        <v>6926868810053</v>
      </c>
      <c r="C3067" s="2" t="str">
        <f>"10000734"</f>
        <v>10000734</v>
      </c>
      <c r="D3067" s="2" t="s">
        <v>2467</v>
      </c>
      <c r="E3067" s="4">
        <v>14990</v>
      </c>
    </row>
    <row r="3068" spans="1:5" ht="26.25" x14ac:dyDescent="0.25">
      <c r="A3068" s="2" t="s">
        <v>21</v>
      </c>
      <c r="B3068" s="2" t="str">
        <f>"6987246390383"</f>
        <v>6987246390383</v>
      </c>
      <c r="C3068" s="2" t="str">
        <f>"10001474"</f>
        <v>10001474</v>
      </c>
      <c r="D3068" s="2" t="s">
        <v>2468</v>
      </c>
      <c r="E3068" s="4">
        <v>22500</v>
      </c>
    </row>
    <row r="3069" spans="1:5" ht="26.25" x14ac:dyDescent="0.25">
      <c r="A3069" s="2" t="s">
        <v>21</v>
      </c>
      <c r="B3069" s="2" t="str">
        <f>"4710345738525"</f>
        <v>4710345738525</v>
      </c>
      <c r="C3069" s="2" t="str">
        <f>"65528525"</f>
        <v>65528525</v>
      </c>
      <c r="D3069" s="2" t="s">
        <v>2469</v>
      </c>
      <c r="E3069" s="4">
        <v>5500</v>
      </c>
    </row>
    <row r="3070" spans="1:5" ht="26.25" x14ac:dyDescent="0.25">
      <c r="A3070" s="2" t="s">
        <v>971</v>
      </c>
      <c r="B3070" s="2" t="str">
        <f>"6926556542310"</f>
        <v>6926556542310</v>
      </c>
      <c r="C3070" s="2" t="str">
        <f>"98282310"</f>
        <v>98282310</v>
      </c>
      <c r="D3070" s="2" t="s">
        <v>2470</v>
      </c>
      <c r="E3070" s="4">
        <v>29990</v>
      </c>
    </row>
    <row r="3071" spans="1:5" ht="26.25" x14ac:dyDescent="0.25">
      <c r="A3071" s="2" t="s">
        <v>971</v>
      </c>
      <c r="B3071" s="2" t="str">
        <f>"6937867731218"</f>
        <v>6937867731218</v>
      </c>
      <c r="C3071" s="2" t="str">
        <f>"10001777"</f>
        <v>10001777</v>
      </c>
      <c r="D3071" s="2" t="s">
        <v>2471</v>
      </c>
      <c r="E3071" s="4">
        <v>6500</v>
      </c>
    </row>
    <row r="3072" spans="1:5" ht="26.25" x14ac:dyDescent="0.25">
      <c r="A3072" s="2" t="s">
        <v>971</v>
      </c>
      <c r="B3072" s="2" t="str">
        <f>"2020050060647"</f>
        <v>2020050060647</v>
      </c>
      <c r="C3072" s="2" t="str">
        <f>"18286064"</f>
        <v>18286064</v>
      </c>
      <c r="D3072" s="2" t="s">
        <v>2472</v>
      </c>
      <c r="E3072" s="4">
        <v>8990</v>
      </c>
    </row>
    <row r="3073" spans="1:5" ht="26.25" x14ac:dyDescent="0.25">
      <c r="A3073" s="2" t="s">
        <v>971</v>
      </c>
      <c r="B3073" s="2" t="str">
        <f>"7858816046025"</f>
        <v>7858816046025</v>
      </c>
      <c r="C3073" s="2" t="str">
        <f>"87284602"</f>
        <v>87284602</v>
      </c>
      <c r="D3073" s="2" t="s">
        <v>2473</v>
      </c>
      <c r="E3073" s="4">
        <v>4990</v>
      </c>
    </row>
    <row r="3074" spans="1:5" ht="26.25" x14ac:dyDescent="0.25">
      <c r="A3074" s="2" t="s">
        <v>971</v>
      </c>
      <c r="B3074" s="2" t="str">
        <f>"6905631118015"</f>
        <v>6905631118015</v>
      </c>
      <c r="C3074" s="2" t="str">
        <f>"40280760"</f>
        <v>40280760</v>
      </c>
      <c r="D3074" s="2" t="s">
        <v>2474</v>
      </c>
      <c r="E3074" s="4">
        <v>7990</v>
      </c>
    </row>
    <row r="3075" spans="1:5" ht="26.25" x14ac:dyDescent="0.25">
      <c r="A3075" s="2" t="s">
        <v>147</v>
      </c>
      <c r="B3075" s="2" t="str">
        <f>"47880190"</f>
        <v>47880190</v>
      </c>
      <c r="C3075" s="2" t="str">
        <f>"47880190"</f>
        <v>47880190</v>
      </c>
      <c r="D3075" s="2" t="s">
        <v>2475</v>
      </c>
      <c r="E3075" s="4">
        <v>5990</v>
      </c>
    </row>
    <row r="3076" spans="1:5" ht="26.25" x14ac:dyDescent="0.25">
      <c r="A3076" s="2" t="s">
        <v>925</v>
      </c>
      <c r="B3076" s="2" t="str">
        <f>"853700694"</f>
        <v>853700694</v>
      </c>
      <c r="C3076" s="2" t="str">
        <f>"853700694"</f>
        <v>853700694</v>
      </c>
      <c r="D3076" s="2" t="s">
        <v>2476</v>
      </c>
      <c r="E3076" s="4">
        <v>46500</v>
      </c>
    </row>
    <row r="3077" spans="1:5" ht="26.25" x14ac:dyDescent="0.25">
      <c r="A3077" s="2" t="s">
        <v>21</v>
      </c>
      <c r="B3077" s="2" t="str">
        <f>"10001666"</f>
        <v>10001666</v>
      </c>
      <c r="C3077" s="2" t="str">
        <f>"10001666"</f>
        <v>10001666</v>
      </c>
      <c r="D3077" s="2" t="s">
        <v>2477</v>
      </c>
      <c r="E3077" s="4">
        <v>22500</v>
      </c>
    </row>
    <row r="3078" spans="1:5" ht="26.25" x14ac:dyDescent="0.25">
      <c r="A3078" s="2" t="s">
        <v>21</v>
      </c>
      <c r="B3078" s="2" t="str">
        <f>"10002928"</f>
        <v>10002928</v>
      </c>
      <c r="C3078" s="2" t="str">
        <f>"10002928"</f>
        <v>10002928</v>
      </c>
      <c r="D3078" s="2" t="s">
        <v>2478</v>
      </c>
      <c r="E3078" s="4">
        <v>24990</v>
      </c>
    </row>
    <row r="3079" spans="1:5" ht="26.25" x14ac:dyDescent="0.25">
      <c r="A3079" s="2" t="s">
        <v>21</v>
      </c>
      <c r="B3079" s="2" t="str">
        <f>"10520350"</f>
        <v>10520350</v>
      </c>
      <c r="C3079" s="2" t="str">
        <f>"10520350"</f>
        <v>10520350</v>
      </c>
      <c r="D3079" s="2" t="s">
        <v>2479</v>
      </c>
      <c r="E3079" s="4">
        <v>33500</v>
      </c>
    </row>
    <row r="3080" spans="1:5" ht="26.25" x14ac:dyDescent="0.25">
      <c r="A3080" s="2" t="s">
        <v>21</v>
      </c>
      <c r="B3080" s="2" t="str">
        <f>"10112606"</f>
        <v>10112606</v>
      </c>
      <c r="C3080" s="2" t="str">
        <f>"10112606"</f>
        <v>10112606</v>
      </c>
      <c r="D3080" s="2" t="s">
        <v>2480</v>
      </c>
      <c r="E3080" s="4">
        <v>23990</v>
      </c>
    </row>
    <row r="3081" spans="1:5" ht="26.25" x14ac:dyDescent="0.25">
      <c r="A3081" s="2" t="s">
        <v>21</v>
      </c>
      <c r="B3081" s="2" t="str">
        <f>"10520329"</f>
        <v>10520329</v>
      </c>
      <c r="C3081" s="2" t="str">
        <f>"10520329"</f>
        <v>10520329</v>
      </c>
      <c r="D3081" s="2" t="s">
        <v>2481</v>
      </c>
      <c r="E3081" s="4">
        <v>24990</v>
      </c>
    </row>
    <row r="3082" spans="1:5" ht="26.25" x14ac:dyDescent="0.25">
      <c r="A3082" s="2" t="s">
        <v>1602</v>
      </c>
      <c r="B3082" s="2" t="str">
        <f>"10000189"</f>
        <v>10000189</v>
      </c>
      <c r="C3082" s="2" t="str">
        <f>"10000189"</f>
        <v>10000189</v>
      </c>
      <c r="D3082" s="2" t="s">
        <v>2482</v>
      </c>
      <c r="E3082" s="4">
        <v>5990</v>
      </c>
    </row>
    <row r="3083" spans="1:5" ht="26.25" x14ac:dyDescent="0.25">
      <c r="A3083" s="2" t="s">
        <v>21</v>
      </c>
      <c r="B3083" s="2" t="str">
        <f>"7858816084997"</f>
        <v>7858816084997</v>
      </c>
      <c r="C3083" s="2" t="str">
        <f>"87528499"</f>
        <v>87528499</v>
      </c>
      <c r="D3083" s="2" t="s">
        <v>2483</v>
      </c>
      <c r="E3083" s="4">
        <v>3000</v>
      </c>
    </row>
    <row r="3084" spans="1:5" ht="26.25" x14ac:dyDescent="0.25">
      <c r="A3084" s="2" t="s">
        <v>49</v>
      </c>
      <c r="B3084" s="2" t="str">
        <f>"6922951500122"</f>
        <v>6922951500122</v>
      </c>
      <c r="C3084" s="2" t="str">
        <f>"10119866"</f>
        <v>10119866</v>
      </c>
      <c r="D3084" s="2" t="s">
        <v>2484</v>
      </c>
      <c r="E3084" s="4">
        <v>35990</v>
      </c>
    </row>
    <row r="3085" spans="1:5" ht="26.25" x14ac:dyDescent="0.25">
      <c r="A3085" s="2" t="s">
        <v>21</v>
      </c>
      <c r="B3085" s="2" t="str">
        <f>"105213198"</f>
        <v>105213198</v>
      </c>
      <c r="C3085" s="2" t="str">
        <f>"105213198"</f>
        <v>105213198</v>
      </c>
      <c r="D3085" s="2" t="s">
        <v>2485</v>
      </c>
      <c r="E3085" s="4">
        <v>3000</v>
      </c>
    </row>
    <row r="3086" spans="1:5" ht="26.25" x14ac:dyDescent="0.25">
      <c r="A3086" s="2" t="s">
        <v>327</v>
      </c>
      <c r="B3086" s="2" t="str">
        <f>"110401001"</f>
        <v>110401001</v>
      </c>
      <c r="C3086" s="2" t="str">
        <f>"110401001"</f>
        <v>110401001</v>
      </c>
      <c r="D3086" s="2" t="s">
        <v>2486</v>
      </c>
      <c r="E3086" s="4">
        <v>39500</v>
      </c>
    </row>
    <row r="3087" spans="1:5" ht="26.25" x14ac:dyDescent="0.25">
      <c r="A3087" s="2" t="s">
        <v>30</v>
      </c>
      <c r="B3087" s="2" t="str">
        <f>"10003932"</f>
        <v>10003932</v>
      </c>
      <c r="C3087" s="2" t="str">
        <f>"10003932"</f>
        <v>10003932</v>
      </c>
      <c r="D3087" s="2" t="s">
        <v>2487</v>
      </c>
      <c r="E3087" s="4">
        <v>3000</v>
      </c>
    </row>
    <row r="3088" spans="1:5" ht="26.25" x14ac:dyDescent="0.25">
      <c r="A3088" s="2" t="s">
        <v>2488</v>
      </c>
      <c r="B3088" s="2" t="str">
        <f>"342714208"</f>
        <v>342714208</v>
      </c>
      <c r="C3088" s="2" t="str">
        <f>"342714208"</f>
        <v>342714208</v>
      </c>
      <c r="D3088" s="2" t="s">
        <v>2489</v>
      </c>
      <c r="E3088" s="4">
        <v>6000</v>
      </c>
    </row>
    <row r="3089" spans="1:5" ht="26.25" x14ac:dyDescent="0.25">
      <c r="A3089" s="2" t="s">
        <v>2488</v>
      </c>
      <c r="B3089" s="2" t="str">
        <f>"766614269"</f>
        <v>766614269</v>
      </c>
      <c r="C3089" s="2" t="str">
        <f>"766614269"</f>
        <v>766614269</v>
      </c>
      <c r="D3089" s="2" t="s">
        <v>2490</v>
      </c>
      <c r="E3089" s="4">
        <v>9990</v>
      </c>
    </row>
    <row r="3090" spans="1:5" ht="26.25" x14ac:dyDescent="0.25">
      <c r="A3090" s="2" t="s">
        <v>2491</v>
      </c>
      <c r="B3090" s="2" t="str">
        <f>"50291454"</f>
        <v>50291454</v>
      </c>
      <c r="C3090" s="2" t="str">
        <f>"50291454"</f>
        <v>50291454</v>
      </c>
      <c r="D3090" s="2" t="s">
        <v>2492</v>
      </c>
      <c r="E3090" s="4">
        <v>2500</v>
      </c>
    </row>
    <row r="3091" spans="1:5" ht="26.25" x14ac:dyDescent="0.25">
      <c r="A3091" s="2" t="s">
        <v>2488</v>
      </c>
      <c r="B3091" s="2" t="str">
        <f>"342714191"</f>
        <v>342714191</v>
      </c>
      <c r="C3091" s="2" t="str">
        <f>"342714191"</f>
        <v>342714191</v>
      </c>
      <c r="D3091" s="2" t="s">
        <v>2493</v>
      </c>
      <c r="E3091" s="4">
        <v>6000</v>
      </c>
    </row>
    <row r="3092" spans="1:5" ht="26.25" x14ac:dyDescent="0.25">
      <c r="A3092" s="2" t="s">
        <v>2488</v>
      </c>
      <c r="B3092" s="2" t="str">
        <f>"342714200"</f>
        <v>342714200</v>
      </c>
      <c r="C3092" s="2" t="str">
        <f>"342714200"</f>
        <v>342714200</v>
      </c>
      <c r="D3092" s="2" t="s">
        <v>2494</v>
      </c>
      <c r="E3092" s="4">
        <v>6000</v>
      </c>
    </row>
    <row r="3093" spans="1:5" ht="26.25" x14ac:dyDescent="0.25">
      <c r="A3093" s="2" t="s">
        <v>2488</v>
      </c>
      <c r="B3093" s="2" t="str">
        <f>"342714201"</f>
        <v>342714201</v>
      </c>
      <c r="C3093" s="2" t="str">
        <f>"342714201"</f>
        <v>342714201</v>
      </c>
      <c r="D3093" s="2" t="s">
        <v>2495</v>
      </c>
      <c r="E3093" s="4">
        <v>6000</v>
      </c>
    </row>
    <row r="3094" spans="1:5" ht="26.25" x14ac:dyDescent="0.25">
      <c r="A3094" s="2" t="s">
        <v>2488</v>
      </c>
      <c r="B3094" s="2" t="str">
        <f>"766614203"</f>
        <v>766614203</v>
      </c>
      <c r="C3094" s="2" t="str">
        <f>"766614203"</f>
        <v>766614203</v>
      </c>
      <c r="D3094" s="2" t="s">
        <v>2496</v>
      </c>
      <c r="E3094" s="4">
        <v>9990</v>
      </c>
    </row>
    <row r="3095" spans="1:5" ht="26.25" x14ac:dyDescent="0.25">
      <c r="A3095" s="2" t="s">
        <v>2488</v>
      </c>
      <c r="B3095" s="2" t="str">
        <f>"766614204"</f>
        <v>766614204</v>
      </c>
      <c r="C3095" s="2" t="str">
        <f>"766614204"</f>
        <v>766614204</v>
      </c>
      <c r="D3095" s="2" t="s">
        <v>2497</v>
      </c>
      <c r="E3095" s="4">
        <v>9990</v>
      </c>
    </row>
    <row r="3096" spans="1:5" ht="26.25" x14ac:dyDescent="0.25">
      <c r="A3096" s="2" t="s">
        <v>13</v>
      </c>
      <c r="B3096" s="2" t="str">
        <f>"1908070125021"</f>
        <v>1908070125021</v>
      </c>
      <c r="C3096" s="2" t="str">
        <f>"345205303"</f>
        <v>345205303</v>
      </c>
      <c r="D3096" s="2" t="s">
        <v>2498</v>
      </c>
      <c r="E3096" s="4">
        <v>5000</v>
      </c>
    </row>
    <row r="3097" spans="1:5" ht="26.25" x14ac:dyDescent="0.25">
      <c r="A3097" s="2" t="s">
        <v>2488</v>
      </c>
      <c r="B3097" s="2" t="str">
        <f>"1908070129494"</f>
        <v>1908070129494</v>
      </c>
      <c r="C3097" s="2" t="str">
        <f>"343407601"</f>
        <v>343407601</v>
      </c>
      <c r="D3097" s="2" t="s">
        <v>2499</v>
      </c>
      <c r="E3097" s="4">
        <v>6000</v>
      </c>
    </row>
    <row r="3098" spans="1:5" ht="26.25" x14ac:dyDescent="0.25">
      <c r="A3098" s="2" t="s">
        <v>2488</v>
      </c>
      <c r="B3098" s="2" t="str">
        <f>"1908070129517"</f>
        <v>1908070129517</v>
      </c>
      <c r="C3098" s="2" t="str">
        <f>"343407603"</f>
        <v>343407603</v>
      </c>
      <c r="D3098" s="2" t="s">
        <v>2500</v>
      </c>
      <c r="E3098" s="4">
        <v>6000</v>
      </c>
    </row>
    <row r="3099" spans="1:5" ht="26.25" x14ac:dyDescent="0.25">
      <c r="A3099" s="2" t="s">
        <v>13</v>
      </c>
      <c r="B3099" s="2" t="str">
        <f>"1908070124970"</f>
        <v>1908070124970</v>
      </c>
      <c r="C3099" s="2" t="str">
        <f>"345207253"</f>
        <v>345207253</v>
      </c>
      <c r="D3099" s="2" t="s">
        <v>2501</v>
      </c>
      <c r="E3099" s="4">
        <v>5000</v>
      </c>
    </row>
    <row r="3100" spans="1:5" ht="26.25" x14ac:dyDescent="0.25">
      <c r="A3100" s="2" t="s">
        <v>13</v>
      </c>
      <c r="B3100" s="2" t="str">
        <f>"1908070126066"</f>
        <v>1908070126066</v>
      </c>
      <c r="C3100" s="2" t="str">
        <f>"343407253"</f>
        <v>343407253</v>
      </c>
      <c r="D3100" s="2" t="s">
        <v>2501</v>
      </c>
      <c r="E3100" s="4">
        <v>6000</v>
      </c>
    </row>
    <row r="3101" spans="1:5" ht="26.25" x14ac:dyDescent="0.25">
      <c r="A3101" s="2" t="s">
        <v>13</v>
      </c>
      <c r="B3101" s="2" t="str">
        <f>"1908070124987"</f>
        <v>1908070124987</v>
      </c>
      <c r="C3101" s="2" t="str">
        <f>"345207254"</f>
        <v>345207254</v>
      </c>
      <c r="D3101" s="2" t="s">
        <v>2502</v>
      </c>
      <c r="E3101" s="4">
        <v>5000</v>
      </c>
    </row>
    <row r="3102" spans="1:5" ht="26.25" x14ac:dyDescent="0.25">
      <c r="A3102" s="2" t="s">
        <v>13</v>
      </c>
      <c r="B3102" s="2" t="str">
        <f>"1908070124994"</f>
        <v>1908070124994</v>
      </c>
      <c r="C3102" s="2" t="str">
        <f>"345207258"</f>
        <v>345207258</v>
      </c>
      <c r="D3102" s="2" t="s">
        <v>2503</v>
      </c>
      <c r="E3102" s="4">
        <v>5000</v>
      </c>
    </row>
    <row r="3103" spans="1:5" ht="26.25" x14ac:dyDescent="0.25">
      <c r="A3103" s="2" t="s">
        <v>13</v>
      </c>
      <c r="B3103" s="2" t="str">
        <f>"1908070125007"</f>
        <v>1908070125007</v>
      </c>
      <c r="C3103" s="2" t="str">
        <f>"345207600"</f>
        <v>345207600</v>
      </c>
      <c r="D3103" s="2" t="s">
        <v>2504</v>
      </c>
      <c r="E3103" s="4">
        <v>5000</v>
      </c>
    </row>
    <row r="3104" spans="1:5" ht="26.25" x14ac:dyDescent="0.25">
      <c r="A3104" s="2" t="s">
        <v>13</v>
      </c>
      <c r="B3104" s="2" t="str">
        <f>"345214263"</f>
        <v>345214263</v>
      </c>
      <c r="C3104" s="2" t="str">
        <f>"345214263"</f>
        <v>345214263</v>
      </c>
      <c r="D3104" s="2" t="s">
        <v>2505</v>
      </c>
      <c r="E3104" s="4">
        <v>5000</v>
      </c>
    </row>
    <row r="3105" spans="1:5" ht="26.25" x14ac:dyDescent="0.25">
      <c r="A3105" s="2" t="s">
        <v>13</v>
      </c>
      <c r="B3105" s="2" t="str">
        <f>"345214264"</f>
        <v>345214264</v>
      </c>
      <c r="C3105" s="2" t="str">
        <f>"345214264"</f>
        <v>345214264</v>
      </c>
      <c r="D3105" s="2" t="s">
        <v>2506</v>
      </c>
      <c r="E3105" s="4">
        <v>5000</v>
      </c>
    </row>
    <row r="3106" spans="1:5" ht="26.25" x14ac:dyDescent="0.25">
      <c r="A3106" s="2" t="s">
        <v>13</v>
      </c>
      <c r="B3106" s="2" t="str">
        <f>"1908070125052"</f>
        <v>1908070125052</v>
      </c>
      <c r="C3106" s="2" t="str">
        <f>"345214200"</f>
        <v>345214200</v>
      </c>
      <c r="D3106" s="2" t="s">
        <v>2507</v>
      </c>
      <c r="E3106" s="4">
        <v>5000</v>
      </c>
    </row>
    <row r="3107" spans="1:5" ht="26.25" x14ac:dyDescent="0.25">
      <c r="A3107" s="2" t="s">
        <v>13</v>
      </c>
      <c r="B3107" s="2" t="str">
        <f>"1908070125045"</f>
        <v>1908070125045</v>
      </c>
      <c r="C3107" s="2" t="str">
        <f>"345214203"</f>
        <v>345214203</v>
      </c>
      <c r="D3107" s="2" t="s">
        <v>2508</v>
      </c>
      <c r="E3107" s="4">
        <v>5000</v>
      </c>
    </row>
    <row r="3108" spans="1:5" ht="26.25" x14ac:dyDescent="0.25">
      <c r="A3108" s="2" t="s">
        <v>2488</v>
      </c>
      <c r="B3108" s="2" t="str">
        <f>"110769007"</f>
        <v>110769007</v>
      </c>
      <c r="C3108" s="2" t="str">
        <f>"110769007"</f>
        <v>110769007</v>
      </c>
      <c r="D3108" s="2" t="s">
        <v>2509</v>
      </c>
      <c r="E3108" s="4">
        <v>5500</v>
      </c>
    </row>
    <row r="3109" spans="1:5" ht="26.25" x14ac:dyDescent="0.25">
      <c r="A3109" s="2" t="s">
        <v>2488</v>
      </c>
      <c r="B3109" s="2" t="str">
        <f>"76907255"</f>
        <v>76907255</v>
      </c>
      <c r="C3109" s="2" t="str">
        <f>"76907255"</f>
        <v>76907255</v>
      </c>
      <c r="D3109" s="2" t="s">
        <v>2510</v>
      </c>
      <c r="E3109" s="4">
        <v>5000</v>
      </c>
    </row>
    <row r="3110" spans="1:5" ht="26.25" x14ac:dyDescent="0.25">
      <c r="A3110" s="2" t="s">
        <v>2488</v>
      </c>
      <c r="B3110" s="2" t="str">
        <f>"768207257"</f>
        <v>768207257</v>
      </c>
      <c r="C3110" s="2" t="str">
        <f>"768207257"</f>
        <v>768207257</v>
      </c>
      <c r="D3110" s="2" t="s">
        <v>2511</v>
      </c>
      <c r="E3110" s="4">
        <v>5000</v>
      </c>
    </row>
    <row r="3111" spans="1:5" ht="26.25" x14ac:dyDescent="0.25">
      <c r="A3111" s="2" t="s">
        <v>2491</v>
      </c>
      <c r="B3111" s="2" t="str">
        <f>"762614200"</f>
        <v>762614200</v>
      </c>
      <c r="C3111" s="2" t="str">
        <f>"762614200"</f>
        <v>762614200</v>
      </c>
      <c r="D3111" s="2" t="s">
        <v>2512</v>
      </c>
      <c r="E3111" s="4">
        <v>7900</v>
      </c>
    </row>
    <row r="3112" spans="1:5" ht="26.25" x14ac:dyDescent="0.25">
      <c r="A3112" s="2" t="s">
        <v>13</v>
      </c>
      <c r="B3112" s="2" t="str">
        <f>"54335454"</f>
        <v>54335454</v>
      </c>
      <c r="C3112" s="2" t="str">
        <f>"54335454"</f>
        <v>54335454</v>
      </c>
      <c r="D3112" s="2" t="s">
        <v>2513</v>
      </c>
      <c r="E3112" s="4">
        <v>7500</v>
      </c>
    </row>
    <row r="3113" spans="1:5" ht="26.25" x14ac:dyDescent="0.25">
      <c r="A3113" s="2" t="s">
        <v>2514</v>
      </c>
      <c r="B3113" s="2" t="str">
        <f>"86321454"</f>
        <v>86321454</v>
      </c>
      <c r="C3113" s="2" t="str">
        <f>"86321454"</f>
        <v>86321454</v>
      </c>
      <c r="D3113" s="2" t="s">
        <v>2515</v>
      </c>
      <c r="E3113" s="4">
        <v>6000</v>
      </c>
    </row>
    <row r="3114" spans="1:5" ht="26.25" x14ac:dyDescent="0.25">
      <c r="A3114" s="2" t="s">
        <v>2514</v>
      </c>
      <c r="B3114" s="2" t="str">
        <f>"863214191"</f>
        <v>863214191</v>
      </c>
      <c r="C3114" s="2" t="str">
        <f>"863214191"</f>
        <v>863214191</v>
      </c>
      <c r="D3114" s="2" t="s">
        <v>2516</v>
      </c>
      <c r="E3114" s="4">
        <v>6000</v>
      </c>
    </row>
    <row r="3115" spans="1:5" ht="26.25" x14ac:dyDescent="0.25">
      <c r="A3115" s="2" t="s">
        <v>2514</v>
      </c>
      <c r="B3115" s="2" t="str">
        <f>"863214203"</f>
        <v>863214203</v>
      </c>
      <c r="C3115" s="2" t="str">
        <f>"863214203"</f>
        <v>863214203</v>
      </c>
      <c r="D3115" s="2" t="s">
        <v>2517</v>
      </c>
      <c r="E3115" s="4">
        <v>6000</v>
      </c>
    </row>
    <row r="3116" spans="1:5" ht="26.25" x14ac:dyDescent="0.25">
      <c r="A3116" s="2" t="s">
        <v>2514</v>
      </c>
      <c r="B3116" s="2" t="str">
        <f>"863214204"</f>
        <v>863214204</v>
      </c>
      <c r="C3116" s="2" t="str">
        <f>"863214204"</f>
        <v>863214204</v>
      </c>
      <c r="D3116" s="2" t="s">
        <v>2518</v>
      </c>
      <c r="E3116" s="4">
        <v>6000</v>
      </c>
    </row>
    <row r="3117" spans="1:5" ht="26.25" x14ac:dyDescent="0.25">
      <c r="A3117" s="2" t="s">
        <v>2491</v>
      </c>
      <c r="B3117" s="2" t="str">
        <f>"34291454"</f>
        <v>34291454</v>
      </c>
      <c r="C3117" s="2" t="str">
        <f>"34291454"</f>
        <v>34291454</v>
      </c>
      <c r="D3117" s="2" t="s">
        <v>2519</v>
      </c>
      <c r="E3117" s="4">
        <v>3000</v>
      </c>
    </row>
    <row r="3118" spans="1:5" ht="26.25" x14ac:dyDescent="0.25">
      <c r="A3118" s="2" t="s">
        <v>2491</v>
      </c>
      <c r="B3118" s="2" t="str">
        <f>"34290716"</f>
        <v>34290716</v>
      </c>
      <c r="C3118" s="2" t="str">
        <f>"34290716"</f>
        <v>34290716</v>
      </c>
      <c r="D3118" s="2" t="s">
        <v>2520</v>
      </c>
      <c r="E3118" s="4">
        <v>3000</v>
      </c>
    </row>
    <row r="3119" spans="1:5" ht="26.25" x14ac:dyDescent="0.25">
      <c r="A3119" s="2" t="s">
        <v>2491</v>
      </c>
      <c r="B3119" s="2" t="str">
        <f>"342907254"</f>
        <v>342907254</v>
      </c>
      <c r="C3119" s="2" t="str">
        <f>"342907254"</f>
        <v>342907254</v>
      </c>
      <c r="D3119" s="2" t="s">
        <v>2521</v>
      </c>
      <c r="E3119" s="4">
        <v>3000</v>
      </c>
    </row>
    <row r="3120" spans="1:5" ht="26.25" x14ac:dyDescent="0.25">
      <c r="A3120" s="2" t="s">
        <v>2491</v>
      </c>
      <c r="B3120" s="2" t="str">
        <f>"342907253"</f>
        <v>342907253</v>
      </c>
      <c r="C3120" s="2" t="str">
        <f>"342907253"</f>
        <v>342907253</v>
      </c>
      <c r="D3120" s="2" t="s">
        <v>2522</v>
      </c>
      <c r="E3120" s="4">
        <v>3000</v>
      </c>
    </row>
    <row r="3121" spans="1:5" ht="26.25" x14ac:dyDescent="0.25">
      <c r="A3121" s="2" t="s">
        <v>2491</v>
      </c>
      <c r="B3121" s="2" t="str">
        <f>"34291430"</f>
        <v>34291430</v>
      </c>
      <c r="C3121" s="2" t="str">
        <f>"34291430"</f>
        <v>34291430</v>
      </c>
      <c r="D3121" s="2" t="s">
        <v>2523</v>
      </c>
      <c r="E3121" s="4">
        <v>3000</v>
      </c>
    </row>
    <row r="3122" spans="1:5" ht="26.25" x14ac:dyDescent="0.25">
      <c r="A3122" s="2" t="s">
        <v>2491</v>
      </c>
      <c r="B3122" s="2" t="str">
        <f>"342914108"</f>
        <v>342914108</v>
      </c>
      <c r="C3122" s="2" t="str">
        <f>"342914108"</f>
        <v>342914108</v>
      </c>
      <c r="D3122" s="2" t="s">
        <v>2524</v>
      </c>
      <c r="E3122" s="4">
        <v>3000</v>
      </c>
    </row>
    <row r="3123" spans="1:5" ht="26.25" x14ac:dyDescent="0.25">
      <c r="A3123" s="2" t="s">
        <v>2491</v>
      </c>
      <c r="B3123" s="2" t="str">
        <f>"34291445"</f>
        <v>34291445</v>
      </c>
      <c r="C3123" s="2" t="str">
        <f>"34291445"</f>
        <v>34291445</v>
      </c>
      <c r="D3123" s="2" t="s">
        <v>2525</v>
      </c>
      <c r="E3123" s="4">
        <v>3000</v>
      </c>
    </row>
    <row r="3124" spans="1:5" ht="26.25" x14ac:dyDescent="0.25">
      <c r="A3124" s="2" t="s">
        <v>2491</v>
      </c>
      <c r="B3124" s="2" t="str">
        <f>"342914270"</f>
        <v>342914270</v>
      </c>
      <c r="C3124" s="2" t="str">
        <f>"342914270"</f>
        <v>342914270</v>
      </c>
      <c r="D3124" s="2" t="s">
        <v>2526</v>
      </c>
      <c r="E3124" s="4">
        <v>3000</v>
      </c>
    </row>
    <row r="3125" spans="1:5" ht="26.25" x14ac:dyDescent="0.25">
      <c r="A3125" s="2" t="s">
        <v>2491</v>
      </c>
      <c r="B3125" s="2" t="str">
        <f>"342914126"</f>
        <v>342914126</v>
      </c>
      <c r="C3125" s="2" t="str">
        <f>"342914126"</f>
        <v>342914126</v>
      </c>
      <c r="D3125" s="2" t="s">
        <v>2527</v>
      </c>
      <c r="E3125" s="4">
        <v>3000</v>
      </c>
    </row>
    <row r="3126" spans="1:5" ht="26.25" x14ac:dyDescent="0.25">
      <c r="A3126" s="2" t="s">
        <v>2491</v>
      </c>
      <c r="B3126" s="2" t="str">
        <f>"34291447"</f>
        <v>34291447</v>
      </c>
      <c r="C3126" s="2" t="str">
        <f>"34291447"</f>
        <v>34291447</v>
      </c>
      <c r="D3126" s="2" t="s">
        <v>2528</v>
      </c>
      <c r="E3126" s="4">
        <v>3000</v>
      </c>
    </row>
    <row r="3127" spans="1:5" ht="26.25" x14ac:dyDescent="0.25">
      <c r="A3127" s="2" t="s">
        <v>2491</v>
      </c>
      <c r="B3127" s="2" t="str">
        <f>"342914266"</f>
        <v>342914266</v>
      </c>
      <c r="C3127" s="2" t="str">
        <f>"342914266"</f>
        <v>342914266</v>
      </c>
      <c r="D3127" s="2" t="s">
        <v>2529</v>
      </c>
      <c r="E3127" s="4">
        <v>3000</v>
      </c>
    </row>
    <row r="3128" spans="1:5" ht="26.25" x14ac:dyDescent="0.25">
      <c r="A3128" s="2" t="s">
        <v>2491</v>
      </c>
      <c r="B3128" s="2" t="str">
        <f>"342914127"</f>
        <v>342914127</v>
      </c>
      <c r="C3128" s="2" t="str">
        <f>"342914127"</f>
        <v>342914127</v>
      </c>
      <c r="D3128" s="2" t="s">
        <v>2530</v>
      </c>
      <c r="E3128" s="4">
        <v>3000</v>
      </c>
    </row>
    <row r="3129" spans="1:5" ht="26.25" x14ac:dyDescent="0.25">
      <c r="A3129" s="2" t="s">
        <v>2491</v>
      </c>
      <c r="B3129" s="2" t="str">
        <f>"342914191"</f>
        <v>342914191</v>
      </c>
      <c r="C3129" s="2" t="str">
        <f>"342914191"</f>
        <v>342914191</v>
      </c>
      <c r="D3129" s="2" t="s">
        <v>2531</v>
      </c>
      <c r="E3129" s="4">
        <v>3000</v>
      </c>
    </row>
    <row r="3130" spans="1:5" ht="26.25" x14ac:dyDescent="0.25">
      <c r="A3130" s="2" t="s">
        <v>21</v>
      </c>
      <c r="B3130" s="2" t="str">
        <f>"42600100"</f>
        <v>42600100</v>
      </c>
      <c r="C3130" s="2" t="str">
        <f>"42600100"</f>
        <v>42600100</v>
      </c>
      <c r="D3130" s="2" t="s">
        <v>2532</v>
      </c>
      <c r="E3130" s="4">
        <v>10900</v>
      </c>
    </row>
    <row r="3131" spans="1:5" ht="26.25" x14ac:dyDescent="0.25">
      <c r="A3131" s="2" t="s">
        <v>2379</v>
      </c>
      <c r="B3131" s="2" t="str">
        <f>"6925871661232"</f>
        <v>6925871661232</v>
      </c>
      <c r="C3131" s="2" t="str">
        <f>"22276123"</f>
        <v>22276123</v>
      </c>
      <c r="D3131" s="2" t="s">
        <v>2533</v>
      </c>
      <c r="E3131" s="4">
        <v>8300</v>
      </c>
    </row>
    <row r="3132" spans="1:5" ht="26.25" x14ac:dyDescent="0.25">
      <c r="A3132" s="2" t="s">
        <v>2379</v>
      </c>
      <c r="B3132" s="2" t="str">
        <f>"6925871661270"</f>
        <v>6925871661270</v>
      </c>
      <c r="C3132" s="2" t="str">
        <f>"22276127"</f>
        <v>22276127</v>
      </c>
      <c r="D3132" s="2" t="s">
        <v>2534</v>
      </c>
      <c r="E3132" s="4">
        <v>9500</v>
      </c>
    </row>
    <row r="3133" spans="1:5" ht="26.25" x14ac:dyDescent="0.25">
      <c r="A3133" s="2" t="s">
        <v>21</v>
      </c>
      <c r="B3133" s="2" t="str">
        <f>"6942205269551"</f>
        <v>6942205269551</v>
      </c>
      <c r="C3133" s="2" t="str">
        <f>"22525852"</f>
        <v>22525852</v>
      </c>
      <c r="D3133" s="2" t="s">
        <v>2535</v>
      </c>
      <c r="E3133" s="4">
        <v>9500</v>
      </c>
    </row>
    <row r="3134" spans="1:5" ht="26.25" x14ac:dyDescent="0.25">
      <c r="A3134" s="2" t="s">
        <v>21</v>
      </c>
      <c r="B3134" s="2" t="str">
        <f>"66000776"</f>
        <v>66000776</v>
      </c>
      <c r="C3134" s="2" t="str">
        <f>"66000776"</f>
        <v>66000776</v>
      </c>
      <c r="D3134" s="2" t="s">
        <v>2536</v>
      </c>
      <c r="E3134" s="4">
        <v>5600</v>
      </c>
    </row>
    <row r="3135" spans="1:5" ht="26.25" x14ac:dyDescent="0.25">
      <c r="A3135" s="2" t="s">
        <v>49</v>
      </c>
      <c r="B3135" s="2" t="str">
        <f>"7168297320072"</f>
        <v>7168297320072</v>
      </c>
      <c r="C3135" s="2" t="str">
        <f>"29LED24198"</f>
        <v>29LED24198</v>
      </c>
      <c r="D3135" s="2" t="s">
        <v>2537</v>
      </c>
      <c r="E3135" s="4">
        <v>1990</v>
      </c>
    </row>
    <row r="3136" spans="1:5" ht="26.25" x14ac:dyDescent="0.25">
      <c r="A3136" s="2" t="s">
        <v>21</v>
      </c>
      <c r="B3136" s="2" t="str">
        <f>"10003005"</f>
        <v>10003005</v>
      </c>
      <c r="C3136" s="2" t="str">
        <f>"10003005"</f>
        <v>10003005</v>
      </c>
      <c r="D3136" s="2" t="s">
        <v>2538</v>
      </c>
      <c r="E3136" s="4">
        <v>4990</v>
      </c>
    </row>
    <row r="3137" spans="1:5" ht="26.25" x14ac:dyDescent="0.25">
      <c r="A3137" s="2" t="s">
        <v>2379</v>
      </c>
      <c r="B3137" s="2" t="str">
        <f>"42600030"</f>
        <v>42600030</v>
      </c>
      <c r="C3137" s="2" t="str">
        <f>"42600030"</f>
        <v>42600030</v>
      </c>
      <c r="D3137" s="2" t="s">
        <v>2539</v>
      </c>
      <c r="E3137" s="4">
        <v>6500</v>
      </c>
    </row>
    <row r="3138" spans="1:5" ht="26.25" x14ac:dyDescent="0.25">
      <c r="A3138" s="2" t="s">
        <v>21</v>
      </c>
      <c r="B3138" s="2" t="str">
        <f>"22520907"</f>
        <v>22520907</v>
      </c>
      <c r="C3138" s="2" t="str">
        <f>"22520907"</f>
        <v>22520907</v>
      </c>
      <c r="D3138" s="2" t="s">
        <v>2540</v>
      </c>
      <c r="E3138" s="4">
        <v>22350</v>
      </c>
    </row>
    <row r="3139" spans="1:5" ht="26.25" x14ac:dyDescent="0.25">
      <c r="A3139" s="2" t="s">
        <v>21</v>
      </c>
      <c r="B3139" s="2" t="str">
        <f>"7858816086618"</f>
        <v>7858816086618</v>
      </c>
      <c r="C3139" s="2" t="str">
        <f>"87528661"</f>
        <v>87528661</v>
      </c>
      <c r="D3139" s="2" t="s">
        <v>2541</v>
      </c>
      <c r="E3139" s="4">
        <v>16990</v>
      </c>
    </row>
    <row r="3140" spans="1:5" ht="26.25" x14ac:dyDescent="0.25">
      <c r="A3140" s="2" t="s">
        <v>21</v>
      </c>
      <c r="B3140" s="2" t="str">
        <f>"7858816088704"</f>
        <v>7858816088704</v>
      </c>
      <c r="C3140" s="2" t="str">
        <f>"87528870"</f>
        <v>87528870</v>
      </c>
      <c r="D3140" s="2" t="s">
        <v>2542</v>
      </c>
      <c r="E3140" s="4">
        <v>15990</v>
      </c>
    </row>
    <row r="3141" spans="1:5" ht="26.25" x14ac:dyDescent="0.25">
      <c r="A3141" s="2" t="s">
        <v>21</v>
      </c>
      <c r="B3141" s="2" t="str">
        <f>"6956116796600"</f>
        <v>6956116796600</v>
      </c>
      <c r="C3141" s="2" t="str">
        <f>"40520560"</f>
        <v>40520560</v>
      </c>
      <c r="D3141" s="2" t="s">
        <v>2543</v>
      </c>
      <c r="E3141" s="4">
        <v>24990</v>
      </c>
    </row>
    <row r="3142" spans="1:5" ht="26.25" x14ac:dyDescent="0.25">
      <c r="A3142" s="2" t="s">
        <v>21</v>
      </c>
      <c r="B3142" s="2" t="str">
        <f>"34520111"</f>
        <v>34520111</v>
      </c>
      <c r="C3142" s="2" t="str">
        <f>"34520111"</f>
        <v>34520111</v>
      </c>
      <c r="D3142" s="2" t="s">
        <v>2544</v>
      </c>
      <c r="E3142" s="4">
        <v>29990</v>
      </c>
    </row>
    <row r="3143" spans="1:5" ht="26.25" x14ac:dyDescent="0.25">
      <c r="A3143" s="2" t="s">
        <v>201</v>
      </c>
      <c r="B3143" s="2" t="str">
        <f>"8017040428406"</f>
        <v>8017040428406</v>
      </c>
      <c r="C3143" s="2" t="str">
        <f>"305242840"</f>
        <v>305242840</v>
      </c>
      <c r="D3143" s="2" t="s">
        <v>2545</v>
      </c>
      <c r="E3143" s="4">
        <v>3500</v>
      </c>
    </row>
    <row r="3144" spans="1:5" ht="26.25" x14ac:dyDescent="0.25">
      <c r="A3144" s="2" t="s">
        <v>201</v>
      </c>
      <c r="B3144" s="2" t="str">
        <f>"28524755"</f>
        <v>28524755</v>
      </c>
      <c r="C3144" s="2" t="str">
        <f>"28524755"</f>
        <v>28524755</v>
      </c>
      <c r="D3144" s="2" t="s">
        <v>2546</v>
      </c>
      <c r="E3144" s="4">
        <v>1500</v>
      </c>
    </row>
    <row r="3145" spans="1:5" ht="26.25" x14ac:dyDescent="0.25">
      <c r="A3145" s="2" t="s">
        <v>21</v>
      </c>
      <c r="B3145" s="2" t="str">
        <f>"10106369"</f>
        <v>10106369</v>
      </c>
      <c r="C3145" s="2" t="str">
        <f>"10106369"</f>
        <v>10106369</v>
      </c>
      <c r="D3145" s="2" t="s">
        <v>2547</v>
      </c>
      <c r="E3145" s="4">
        <v>2000</v>
      </c>
    </row>
    <row r="3146" spans="1:5" ht="26.25" x14ac:dyDescent="0.25">
      <c r="A3146" s="2" t="s">
        <v>21</v>
      </c>
      <c r="B3146" s="2" t="str">
        <f>"10002198"</f>
        <v>10002198</v>
      </c>
      <c r="C3146" s="2" t="str">
        <f>"10002198"</f>
        <v>10002198</v>
      </c>
      <c r="D3146" s="2" t="s">
        <v>2548</v>
      </c>
      <c r="E3146" s="2">
        <v>1</v>
      </c>
    </row>
    <row r="3147" spans="1:5" ht="26.25" x14ac:dyDescent="0.25">
      <c r="A3147" s="2" t="s">
        <v>21</v>
      </c>
      <c r="B3147" s="2" t="str">
        <f>"10002478"</f>
        <v>10002478</v>
      </c>
      <c r="C3147" s="2" t="str">
        <f>"10002478"</f>
        <v>10002478</v>
      </c>
      <c r="D3147" s="2" t="s">
        <v>2549</v>
      </c>
      <c r="E3147" s="4">
        <v>1000</v>
      </c>
    </row>
    <row r="3148" spans="1:5" ht="26.25" x14ac:dyDescent="0.25">
      <c r="A3148" s="2" t="s">
        <v>30</v>
      </c>
      <c r="B3148" s="2" t="str">
        <f>"7858816043963"</f>
        <v>7858816043963</v>
      </c>
      <c r="C3148" s="2" t="str">
        <f>"87024396"</f>
        <v>87024396</v>
      </c>
      <c r="D3148" s="2" t="s">
        <v>2550</v>
      </c>
      <c r="E3148" s="4">
        <v>1000</v>
      </c>
    </row>
    <row r="3149" spans="1:5" ht="26.25" x14ac:dyDescent="0.25">
      <c r="A3149" s="2" t="s">
        <v>40</v>
      </c>
      <c r="B3149" s="2" t="str">
        <f>"7858816053771"</f>
        <v>7858816053771</v>
      </c>
      <c r="C3149" s="2" t="str">
        <f>"87025377"</f>
        <v>87025377</v>
      </c>
      <c r="D3149" s="2" t="s">
        <v>2551</v>
      </c>
      <c r="E3149" s="4">
        <v>1500</v>
      </c>
    </row>
    <row r="3150" spans="1:5" ht="26.25" x14ac:dyDescent="0.25">
      <c r="A3150" s="2" t="s">
        <v>21</v>
      </c>
      <c r="B3150" s="2" t="str">
        <f>"87000010"</f>
        <v>87000010</v>
      </c>
      <c r="C3150" s="2" t="str">
        <f>"87000010"</f>
        <v>87000010</v>
      </c>
      <c r="D3150" s="2" t="s">
        <v>2552</v>
      </c>
      <c r="E3150" s="4">
        <v>2000</v>
      </c>
    </row>
    <row r="3151" spans="1:5" ht="26.25" x14ac:dyDescent="0.25">
      <c r="A3151" s="2" t="s">
        <v>30</v>
      </c>
      <c r="B3151" s="2" t="str">
        <f>"4712366966581"</f>
        <v>4712366966581</v>
      </c>
      <c r="C3151" s="2" t="str">
        <f>"98020910"</f>
        <v>98020910</v>
      </c>
      <c r="D3151" s="2" t="s">
        <v>2553</v>
      </c>
      <c r="E3151" s="4">
        <v>24290</v>
      </c>
    </row>
    <row r="3152" spans="1:5" ht="26.25" x14ac:dyDescent="0.25">
      <c r="A3152" s="2" t="s">
        <v>30</v>
      </c>
      <c r="B3152" s="2" t="str">
        <f>"10015871"</f>
        <v>10015871</v>
      </c>
      <c r="C3152" s="2" t="str">
        <f>"10015871"</f>
        <v>10015871</v>
      </c>
      <c r="D3152" s="2" t="s">
        <v>2554</v>
      </c>
      <c r="E3152" s="4">
        <v>1500</v>
      </c>
    </row>
    <row r="3153" spans="1:5" ht="26.25" x14ac:dyDescent="0.25">
      <c r="A3153" s="2" t="s">
        <v>49</v>
      </c>
      <c r="B3153" s="2" t="str">
        <f>"6981307247609"</f>
        <v>6981307247609</v>
      </c>
      <c r="C3153" s="2" t="str">
        <f>"40527609"</f>
        <v>40527609</v>
      </c>
      <c r="D3153" s="2" t="s">
        <v>2555</v>
      </c>
      <c r="E3153" s="4">
        <v>28990</v>
      </c>
    </row>
    <row r="3154" spans="1:5" ht="26.25" x14ac:dyDescent="0.25">
      <c r="A3154" s="2" t="s">
        <v>21</v>
      </c>
      <c r="B3154" s="2" t="str">
        <f>"10000900"</f>
        <v>10000900</v>
      </c>
      <c r="C3154" s="2" t="str">
        <f>"10000900"</f>
        <v>10000900</v>
      </c>
      <c r="D3154" s="2" t="s">
        <v>2556</v>
      </c>
      <c r="E3154" s="4">
        <v>3500</v>
      </c>
    </row>
    <row r="3155" spans="1:5" ht="26.25" x14ac:dyDescent="0.25">
      <c r="A3155" s="2" t="s">
        <v>21</v>
      </c>
      <c r="B3155" s="2" t="str">
        <f>"10000903"</f>
        <v>10000903</v>
      </c>
      <c r="C3155" s="2" t="str">
        <f>"10000903"</f>
        <v>10000903</v>
      </c>
      <c r="D3155" s="2" t="s">
        <v>2557</v>
      </c>
      <c r="E3155" s="4">
        <v>3500</v>
      </c>
    </row>
    <row r="3156" spans="1:5" ht="26.25" x14ac:dyDescent="0.25">
      <c r="A3156" s="2" t="s">
        <v>21</v>
      </c>
      <c r="B3156" s="2" t="str">
        <f>"10000902"</f>
        <v>10000902</v>
      </c>
      <c r="C3156" s="2" t="str">
        <f>"10000902"</f>
        <v>10000902</v>
      </c>
      <c r="D3156" s="2" t="s">
        <v>2558</v>
      </c>
      <c r="E3156" s="4">
        <v>3500</v>
      </c>
    </row>
    <row r="3157" spans="1:5" ht="26.25" x14ac:dyDescent="0.25">
      <c r="A3157" s="2" t="s">
        <v>201</v>
      </c>
      <c r="B3157" s="2" t="str">
        <f>"10523384"</f>
        <v>10523384</v>
      </c>
      <c r="C3157" s="2" t="str">
        <f>"10523384"</f>
        <v>10523384</v>
      </c>
      <c r="D3157" s="2" t="s">
        <v>2559</v>
      </c>
      <c r="E3157" s="4">
        <v>4500</v>
      </c>
    </row>
    <row r="3158" spans="1:5" ht="26.25" x14ac:dyDescent="0.25">
      <c r="A3158" s="2" t="s">
        <v>201</v>
      </c>
      <c r="B3158" s="2" t="str">
        <f>"10003384"</f>
        <v>10003384</v>
      </c>
      <c r="C3158" s="2" t="str">
        <f>"10003384"</f>
        <v>10003384</v>
      </c>
      <c r="D3158" s="2" t="s">
        <v>2560</v>
      </c>
      <c r="E3158" s="4">
        <v>8500</v>
      </c>
    </row>
    <row r="3159" spans="1:5" ht="26.25" x14ac:dyDescent="0.25">
      <c r="A3159" s="2" t="s">
        <v>201</v>
      </c>
      <c r="B3159" s="2" t="str">
        <f>"10000346"</f>
        <v>10000346</v>
      </c>
      <c r="C3159" s="2" t="str">
        <f>"10000346"</f>
        <v>10000346</v>
      </c>
      <c r="D3159" s="2" t="s">
        <v>2561</v>
      </c>
      <c r="E3159" s="4">
        <v>3990</v>
      </c>
    </row>
    <row r="3160" spans="1:5" ht="26.25" x14ac:dyDescent="0.25">
      <c r="A3160" s="2" t="s">
        <v>201</v>
      </c>
      <c r="B3160" s="2" t="str">
        <f>"10529700"</f>
        <v>10529700</v>
      </c>
      <c r="C3160" s="2" t="str">
        <f>"10529700"</f>
        <v>10529700</v>
      </c>
      <c r="D3160" s="2" t="s">
        <v>2562</v>
      </c>
      <c r="E3160" s="4">
        <v>11500</v>
      </c>
    </row>
    <row r="3161" spans="1:5" ht="26.25" x14ac:dyDescent="0.25">
      <c r="A3161" s="2" t="s">
        <v>201</v>
      </c>
      <c r="B3161" s="2" t="str">
        <f>"7858816019579"</f>
        <v>7858816019579</v>
      </c>
      <c r="C3161" s="2" t="str">
        <f>"87521957"</f>
        <v>87521957</v>
      </c>
      <c r="D3161" s="2" t="s">
        <v>2563</v>
      </c>
      <c r="E3161" s="4">
        <v>2500</v>
      </c>
    </row>
    <row r="3162" spans="1:5" ht="26.25" x14ac:dyDescent="0.25">
      <c r="A3162" s="2" t="s">
        <v>201</v>
      </c>
      <c r="B3162" s="2" t="str">
        <f>"105210129"</f>
        <v>105210129</v>
      </c>
      <c r="C3162" s="2" t="str">
        <f>"105210129"</f>
        <v>105210129</v>
      </c>
      <c r="D3162" s="2" t="s">
        <v>2564</v>
      </c>
      <c r="E3162" s="4">
        <v>8990</v>
      </c>
    </row>
    <row r="3163" spans="1:5" ht="26.25" x14ac:dyDescent="0.25">
      <c r="A3163" s="2" t="s">
        <v>201</v>
      </c>
      <c r="B3163" s="2" t="str">
        <f>"67200003"</f>
        <v>67200003</v>
      </c>
      <c r="C3163" s="2" t="str">
        <f>"67200003"</f>
        <v>67200003</v>
      </c>
      <c r="D3163" s="2" t="s">
        <v>2565</v>
      </c>
      <c r="E3163" s="4">
        <v>34990</v>
      </c>
    </row>
    <row r="3164" spans="1:5" ht="26.25" x14ac:dyDescent="0.25">
      <c r="A3164" s="2" t="s">
        <v>21</v>
      </c>
      <c r="B3164" s="2" t="str">
        <f>"34520001"</f>
        <v>34520001</v>
      </c>
      <c r="C3164" s="2" t="str">
        <f>"34520001"</f>
        <v>34520001</v>
      </c>
      <c r="D3164" s="2" t="s">
        <v>2566</v>
      </c>
      <c r="E3164" s="4">
        <v>85000</v>
      </c>
    </row>
    <row r="3165" spans="1:5" ht="26.25" x14ac:dyDescent="0.25">
      <c r="A3165" s="2" t="s">
        <v>21</v>
      </c>
      <c r="B3165" s="2" t="str">
        <f>"10013198"</f>
        <v>10013198</v>
      </c>
      <c r="C3165" s="2" t="str">
        <f>"10013198"</f>
        <v>10013198</v>
      </c>
      <c r="D3165" s="2" t="s">
        <v>2567</v>
      </c>
      <c r="E3165" s="4">
        <v>2500</v>
      </c>
    </row>
    <row r="3166" spans="1:5" ht="26.25" x14ac:dyDescent="0.25">
      <c r="A3166" s="2" t="s">
        <v>21</v>
      </c>
      <c r="B3166" s="2" t="str">
        <f>"10104257"</f>
        <v>10104257</v>
      </c>
      <c r="C3166" s="2" t="str">
        <f>"10104257"</f>
        <v>10104257</v>
      </c>
      <c r="D3166" s="2" t="s">
        <v>2568</v>
      </c>
      <c r="E3166" s="4">
        <v>1800</v>
      </c>
    </row>
    <row r="3167" spans="1:5" ht="26.25" x14ac:dyDescent="0.25">
      <c r="A3167" s="2" t="s">
        <v>147</v>
      </c>
      <c r="B3167" s="2" t="str">
        <f>"7793253002893"</f>
        <v>7793253002893</v>
      </c>
      <c r="C3167" s="2" t="str">
        <f>"47882893"</f>
        <v>47882893</v>
      </c>
      <c r="D3167" s="2" t="s">
        <v>2569</v>
      </c>
      <c r="E3167" s="4">
        <v>1390</v>
      </c>
    </row>
    <row r="3168" spans="1:5" ht="26.25" x14ac:dyDescent="0.25">
      <c r="A3168" s="2" t="s">
        <v>147</v>
      </c>
      <c r="B3168" s="2" t="str">
        <f>"7806810016568"</f>
        <v>7806810016568</v>
      </c>
      <c r="C3168" s="2" t="str">
        <f>"47886568"</f>
        <v>47886568</v>
      </c>
      <c r="D3168" s="2" t="s">
        <v>2570</v>
      </c>
      <c r="E3168" s="4">
        <v>2390</v>
      </c>
    </row>
    <row r="3169" spans="1:5" ht="26.25" x14ac:dyDescent="0.25">
      <c r="A3169" s="2" t="s">
        <v>147</v>
      </c>
      <c r="B3169" s="2" t="str">
        <f>"7806810016544"</f>
        <v>7806810016544</v>
      </c>
      <c r="C3169" s="2" t="str">
        <f>"47880002"</f>
        <v>47880002</v>
      </c>
      <c r="D3169" s="2" t="s">
        <v>2571</v>
      </c>
      <c r="E3169" s="4">
        <v>2390</v>
      </c>
    </row>
    <row r="3170" spans="1:5" ht="26.25" x14ac:dyDescent="0.25">
      <c r="A3170" s="2" t="s">
        <v>21</v>
      </c>
      <c r="B3170" s="2" t="str">
        <f>"11002350"</f>
        <v>11002350</v>
      </c>
      <c r="C3170" s="2" t="str">
        <f>"11002350"</f>
        <v>11002350</v>
      </c>
      <c r="D3170" s="2" t="s">
        <v>2572</v>
      </c>
      <c r="E3170" s="4">
        <v>3000</v>
      </c>
    </row>
    <row r="3171" spans="1:5" ht="26.25" x14ac:dyDescent="0.25">
      <c r="A3171" s="2" t="s">
        <v>2379</v>
      </c>
      <c r="B3171" s="2" t="str">
        <f>"10273861"</f>
        <v>10273861</v>
      </c>
      <c r="C3171" s="2" t="str">
        <f>"10273861"</f>
        <v>10273861</v>
      </c>
      <c r="D3171" s="2" t="s">
        <v>2573</v>
      </c>
      <c r="E3171" s="4">
        <v>13900</v>
      </c>
    </row>
    <row r="3172" spans="1:5" ht="26.25" x14ac:dyDescent="0.25">
      <c r="A3172" s="2" t="s">
        <v>2379</v>
      </c>
      <c r="B3172" s="2" t="str">
        <f>"22270896"</f>
        <v>22270896</v>
      </c>
      <c r="C3172" s="2" t="str">
        <f>"22270896"</f>
        <v>22270896</v>
      </c>
      <c r="D3172" s="2" t="s">
        <v>2574</v>
      </c>
      <c r="E3172" s="4">
        <v>1600</v>
      </c>
    </row>
    <row r="3173" spans="1:5" ht="26.25" x14ac:dyDescent="0.25">
      <c r="A3173" s="2" t="s">
        <v>2379</v>
      </c>
      <c r="B3173" s="2" t="str">
        <f>"6925871650342"</f>
        <v>6925871650342</v>
      </c>
      <c r="C3173" s="2" t="str">
        <f>"22275034"</f>
        <v>22275034</v>
      </c>
      <c r="D3173" s="2" t="s">
        <v>2575</v>
      </c>
      <c r="E3173" s="4">
        <v>3500</v>
      </c>
    </row>
    <row r="3174" spans="1:5" ht="26.25" x14ac:dyDescent="0.25">
      <c r="A3174" s="2" t="s">
        <v>2379</v>
      </c>
      <c r="B3174" s="2" t="str">
        <f>"6925871653916"</f>
        <v>6925871653916</v>
      </c>
      <c r="C3174" s="2" t="str">
        <f>"22275391"</f>
        <v>22275391</v>
      </c>
      <c r="D3174" s="2" t="s">
        <v>2576</v>
      </c>
      <c r="E3174" s="4">
        <v>1500</v>
      </c>
    </row>
    <row r="3175" spans="1:5" ht="26.25" x14ac:dyDescent="0.25">
      <c r="A3175" s="2" t="s">
        <v>2379</v>
      </c>
      <c r="B3175" s="2" t="str">
        <f>"6925871657808"</f>
        <v>6925871657808</v>
      </c>
      <c r="C3175" s="2" t="str">
        <f>"22275780"</f>
        <v>22275780</v>
      </c>
      <c r="D3175" s="2" t="s">
        <v>2577</v>
      </c>
      <c r="E3175" s="4">
        <v>6500</v>
      </c>
    </row>
    <row r="3176" spans="1:5" ht="26.25" x14ac:dyDescent="0.25">
      <c r="A3176" s="2" t="s">
        <v>2379</v>
      </c>
      <c r="B3176" s="2" t="str">
        <f>"6925871659512"</f>
        <v>6925871659512</v>
      </c>
      <c r="C3176" s="2" t="str">
        <f>"22275951"</f>
        <v>22275951</v>
      </c>
      <c r="D3176" s="2" t="s">
        <v>2578</v>
      </c>
      <c r="E3176" s="4">
        <v>6990</v>
      </c>
    </row>
    <row r="3177" spans="1:5" ht="26.25" x14ac:dyDescent="0.25">
      <c r="A3177" s="2" t="s">
        <v>2379</v>
      </c>
      <c r="B3177" s="2" t="str">
        <f>"6925871663519"</f>
        <v>6925871663519</v>
      </c>
      <c r="C3177" s="2" t="str">
        <f>"22276351"</f>
        <v>22276351</v>
      </c>
      <c r="D3177" s="2" t="s">
        <v>2579</v>
      </c>
      <c r="E3177" s="4">
        <v>6990</v>
      </c>
    </row>
    <row r="3178" spans="1:5" ht="26.25" x14ac:dyDescent="0.25">
      <c r="A3178" s="2" t="s">
        <v>2379</v>
      </c>
      <c r="B3178" s="2" t="str">
        <f>"6925871684118"</f>
        <v>6925871684118</v>
      </c>
      <c r="C3178" s="2" t="str">
        <f>"22278411"</f>
        <v>22278411</v>
      </c>
      <c r="D3178" s="2" t="s">
        <v>2580</v>
      </c>
      <c r="E3178" s="4">
        <v>4000</v>
      </c>
    </row>
    <row r="3179" spans="1:5" ht="26.25" x14ac:dyDescent="0.25">
      <c r="A3179" s="2" t="s">
        <v>2379</v>
      </c>
      <c r="B3179" s="2" t="str">
        <f>"10014760"</f>
        <v>10014760</v>
      </c>
      <c r="C3179" s="2" t="str">
        <f>"10014760"</f>
        <v>10014760</v>
      </c>
      <c r="D3179" s="2" t="s">
        <v>2581</v>
      </c>
      <c r="E3179" s="4">
        <v>11500</v>
      </c>
    </row>
    <row r="3180" spans="1:5" ht="26.25" x14ac:dyDescent="0.25">
      <c r="A3180" s="2" t="s">
        <v>2379</v>
      </c>
      <c r="B3180" s="2" t="str">
        <f>"7898357937000"</f>
        <v>7898357937000</v>
      </c>
      <c r="C3180" s="2" t="str">
        <f>"402793700"</f>
        <v>402793700</v>
      </c>
      <c r="D3180" s="2" t="s">
        <v>2582</v>
      </c>
      <c r="E3180" s="4">
        <v>5990</v>
      </c>
    </row>
    <row r="3181" spans="1:5" ht="26.25" x14ac:dyDescent="0.25">
      <c r="A3181" s="2" t="s">
        <v>2379</v>
      </c>
      <c r="B3181" s="2" t="str">
        <f>"7882375154327"</f>
        <v>7882375154327</v>
      </c>
      <c r="C3181" s="2" t="str">
        <f>"10014683"</f>
        <v>10014683</v>
      </c>
      <c r="D3181" s="2" t="s">
        <v>2583</v>
      </c>
      <c r="E3181" s="4">
        <v>7500</v>
      </c>
    </row>
    <row r="3182" spans="1:5" ht="26.25" x14ac:dyDescent="0.25">
      <c r="A3182" s="2" t="s">
        <v>2379</v>
      </c>
      <c r="B3182" s="2" t="str">
        <f>"10000314"</f>
        <v>10000314</v>
      </c>
      <c r="C3182" s="2" t="str">
        <f>"10000314"</f>
        <v>10000314</v>
      </c>
      <c r="D3182" s="2" t="s">
        <v>2584</v>
      </c>
      <c r="E3182" s="4">
        <v>9500</v>
      </c>
    </row>
    <row r="3183" spans="1:5" ht="26.25" x14ac:dyDescent="0.25">
      <c r="A3183" s="2" t="s">
        <v>21</v>
      </c>
      <c r="B3183" s="2" t="str">
        <f>"7300166201352"</f>
        <v>7300166201352</v>
      </c>
      <c r="C3183" s="2" t="str">
        <f>"11002349"</f>
        <v>11002349</v>
      </c>
      <c r="D3183" s="2" t="s">
        <v>2585</v>
      </c>
      <c r="E3183" s="4">
        <v>3570</v>
      </c>
    </row>
    <row r="3184" spans="1:5" ht="26.25" x14ac:dyDescent="0.25">
      <c r="A3184" s="2" t="s">
        <v>2379</v>
      </c>
      <c r="B3184" s="2" t="str">
        <f>"6925871682336"</f>
        <v>6925871682336</v>
      </c>
      <c r="C3184" s="2" t="str">
        <f>"22278233"</f>
        <v>22278233</v>
      </c>
      <c r="D3184" s="2" t="s">
        <v>2586</v>
      </c>
      <c r="E3184" s="4">
        <v>9990</v>
      </c>
    </row>
    <row r="3185" spans="1:5" ht="26.25" x14ac:dyDescent="0.25">
      <c r="A3185" s="2" t="s">
        <v>2379</v>
      </c>
      <c r="B3185" s="2" t="str">
        <f>"22278240"</f>
        <v>22278240</v>
      </c>
      <c r="C3185" s="2" t="str">
        <f>"22278240"</f>
        <v>22278240</v>
      </c>
      <c r="D3185" s="2" t="s">
        <v>2587</v>
      </c>
      <c r="E3185" s="4">
        <v>1000</v>
      </c>
    </row>
    <row r="3186" spans="1:5" ht="26.25" x14ac:dyDescent="0.25">
      <c r="A3186" s="2" t="s">
        <v>2379</v>
      </c>
      <c r="B3186" s="2" t="str">
        <f>"8669885005375"</f>
        <v>8669885005375</v>
      </c>
      <c r="C3186" s="2" t="str">
        <f>"66270537"</f>
        <v>66270537</v>
      </c>
      <c r="D3186" s="2" t="s">
        <v>2588</v>
      </c>
      <c r="E3186" s="4">
        <v>12990</v>
      </c>
    </row>
    <row r="3187" spans="1:5" ht="26.25" x14ac:dyDescent="0.25">
      <c r="A3187" s="2" t="s">
        <v>2379</v>
      </c>
      <c r="B3187" s="2" t="str">
        <f>"6925871656207"</f>
        <v>6925871656207</v>
      </c>
      <c r="C3187" s="2" t="str">
        <f>"22275620"</f>
        <v>22275620</v>
      </c>
      <c r="D3187" s="2" t="s">
        <v>2589</v>
      </c>
      <c r="E3187" s="4">
        <v>16950</v>
      </c>
    </row>
    <row r="3188" spans="1:5" ht="26.25" x14ac:dyDescent="0.25">
      <c r="A3188" s="2" t="s">
        <v>2379</v>
      </c>
      <c r="B3188" s="2" t="str">
        <f>"6925871688895"</f>
        <v>6925871688895</v>
      </c>
      <c r="C3188" s="2" t="str">
        <f>"22278889"</f>
        <v>22278889</v>
      </c>
      <c r="D3188" s="2" t="s">
        <v>2590</v>
      </c>
      <c r="E3188" s="4">
        <v>3990</v>
      </c>
    </row>
    <row r="3189" spans="1:5" ht="26.25" x14ac:dyDescent="0.25">
      <c r="A3189" s="2" t="s">
        <v>2379</v>
      </c>
      <c r="B3189" s="2" t="str">
        <f>"6925871661614"</f>
        <v>6925871661614</v>
      </c>
      <c r="C3189" s="2" t="str">
        <f>"22276161"</f>
        <v>22276161</v>
      </c>
      <c r="D3189" s="2" t="s">
        <v>2591</v>
      </c>
      <c r="E3189" s="4">
        <v>4200</v>
      </c>
    </row>
    <row r="3190" spans="1:5" ht="26.25" x14ac:dyDescent="0.25">
      <c r="A3190" s="2" t="s">
        <v>21</v>
      </c>
      <c r="B3190" s="2" t="str">
        <f>"975548698869"</f>
        <v>975548698869</v>
      </c>
      <c r="C3190" s="2" t="str">
        <f>"10522038"</f>
        <v>10522038</v>
      </c>
      <c r="D3190" s="2" t="s">
        <v>2592</v>
      </c>
      <c r="E3190" s="4">
        <v>11000</v>
      </c>
    </row>
    <row r="3191" spans="1:5" ht="26.25" x14ac:dyDescent="0.25">
      <c r="A3191" s="2" t="s">
        <v>21</v>
      </c>
      <c r="B3191" s="2" t="str">
        <f>"76521010"</f>
        <v>76521010</v>
      </c>
      <c r="C3191" s="2" t="str">
        <f>"76521010"</f>
        <v>76521010</v>
      </c>
      <c r="D3191" s="2" t="s">
        <v>2593</v>
      </c>
      <c r="E3191" s="4">
        <v>18990</v>
      </c>
    </row>
    <row r="3192" spans="1:5" ht="26.25" x14ac:dyDescent="0.25">
      <c r="A3192" s="2" t="s">
        <v>21</v>
      </c>
      <c r="B3192" s="2" t="str">
        <f>"1606174937587"</f>
        <v>1606174937587</v>
      </c>
      <c r="C3192" s="2" t="str">
        <f>"40527587"</f>
        <v>40527587</v>
      </c>
      <c r="D3192" s="2" t="s">
        <v>2594</v>
      </c>
      <c r="E3192" s="4">
        <v>11990</v>
      </c>
    </row>
    <row r="3193" spans="1:5" ht="26.25" x14ac:dyDescent="0.25">
      <c r="A3193" s="2" t="s">
        <v>21</v>
      </c>
      <c r="B3193" s="2" t="str">
        <f>"76520005"</f>
        <v>76520005</v>
      </c>
      <c r="C3193" s="2" t="str">
        <f>"76520005"</f>
        <v>76520005</v>
      </c>
      <c r="D3193" s="2" t="s">
        <v>2595</v>
      </c>
      <c r="E3193" s="4">
        <v>14990</v>
      </c>
    </row>
    <row r="3194" spans="1:5" ht="26.25" x14ac:dyDescent="0.25">
      <c r="A3194" s="2" t="s">
        <v>21</v>
      </c>
      <c r="B3194" s="2" t="str">
        <f>"10106666"</f>
        <v>10106666</v>
      </c>
      <c r="C3194" s="2" t="str">
        <f>"10106666"</f>
        <v>10106666</v>
      </c>
      <c r="D3194" s="2" t="s">
        <v>2596</v>
      </c>
      <c r="E3194" s="4">
        <v>9990</v>
      </c>
    </row>
    <row r="3195" spans="1:5" ht="26.25" x14ac:dyDescent="0.25">
      <c r="A3195" s="2" t="s">
        <v>21</v>
      </c>
      <c r="B3195" s="2" t="str">
        <f>"10002503"</f>
        <v>10002503</v>
      </c>
      <c r="C3195" s="2" t="str">
        <f>"10002503"</f>
        <v>10002503</v>
      </c>
      <c r="D3195" s="2" t="s">
        <v>2597</v>
      </c>
      <c r="E3195" s="4">
        <v>21990</v>
      </c>
    </row>
    <row r="3196" spans="1:5" ht="26.25" x14ac:dyDescent="0.25">
      <c r="A3196" s="2" t="s">
        <v>21</v>
      </c>
      <c r="B3196" s="2" t="str">
        <f>"6925871670500"</f>
        <v>6925871670500</v>
      </c>
      <c r="C3196" s="2" t="str">
        <f>"22527050"</f>
        <v>22527050</v>
      </c>
      <c r="D3196" s="2" t="s">
        <v>2598</v>
      </c>
      <c r="E3196" s="4">
        <v>21990</v>
      </c>
    </row>
    <row r="3197" spans="1:5" ht="26.25" x14ac:dyDescent="0.25">
      <c r="A3197" s="2" t="s">
        <v>21</v>
      </c>
      <c r="B3197" s="2" t="str">
        <f>"6925871676359"</f>
        <v>6925871676359</v>
      </c>
      <c r="C3197" s="2" t="str">
        <f>"22527635"</f>
        <v>22527635</v>
      </c>
      <c r="D3197" s="2" t="s">
        <v>2599</v>
      </c>
      <c r="E3197" s="4">
        <v>11990</v>
      </c>
    </row>
    <row r="3198" spans="1:5" ht="26.25" x14ac:dyDescent="0.25">
      <c r="A3198" s="2" t="s">
        <v>21</v>
      </c>
      <c r="B3198" s="2" t="str">
        <f>"10003028"</f>
        <v>10003028</v>
      </c>
      <c r="C3198" s="2" t="str">
        <f>"10003028"</f>
        <v>10003028</v>
      </c>
      <c r="D3198" s="2" t="s">
        <v>2600</v>
      </c>
      <c r="E3198" s="2">
        <v>1</v>
      </c>
    </row>
    <row r="3199" spans="1:5" ht="26.25" x14ac:dyDescent="0.25">
      <c r="A3199" s="2" t="s">
        <v>2379</v>
      </c>
      <c r="B3199" s="2" t="str">
        <f>"10003372"</f>
        <v>10003372</v>
      </c>
      <c r="C3199" s="2" t="str">
        <f>"10003372"</f>
        <v>10003372</v>
      </c>
      <c r="D3199" s="2" t="s">
        <v>2601</v>
      </c>
      <c r="E3199" s="4">
        <v>8500</v>
      </c>
    </row>
    <row r="3200" spans="1:5" ht="26.25" x14ac:dyDescent="0.25">
      <c r="A3200" s="2" t="s">
        <v>2379</v>
      </c>
      <c r="B3200" s="2" t="str">
        <f>"10001411"</f>
        <v>10001411</v>
      </c>
      <c r="C3200" s="2" t="str">
        <f>"10001411"</f>
        <v>10001411</v>
      </c>
      <c r="D3200" s="2" t="s">
        <v>2602</v>
      </c>
      <c r="E3200" s="4">
        <v>3900</v>
      </c>
    </row>
    <row r="3201" spans="1:5" ht="26.25" x14ac:dyDescent="0.25">
      <c r="A3201" s="2" t="s">
        <v>2379</v>
      </c>
      <c r="B3201" s="2" t="str">
        <f>"10001503"</f>
        <v>10001503</v>
      </c>
      <c r="C3201" s="2" t="str">
        <f>"10001503"</f>
        <v>10001503</v>
      </c>
      <c r="D3201" s="2" t="s">
        <v>2603</v>
      </c>
      <c r="E3201" s="4">
        <v>3900</v>
      </c>
    </row>
    <row r="3202" spans="1:5" ht="26.25" x14ac:dyDescent="0.25">
      <c r="A3202" s="2" t="s">
        <v>21</v>
      </c>
      <c r="B3202" s="2" t="str">
        <f>"7858816053658"</f>
        <v>7858816053658</v>
      </c>
      <c r="C3202" s="2" t="str">
        <f>"87525365"</f>
        <v>87525365</v>
      </c>
      <c r="D3202" s="2" t="s">
        <v>2604</v>
      </c>
      <c r="E3202" s="4">
        <v>1600</v>
      </c>
    </row>
    <row r="3203" spans="1:5" ht="26.25" x14ac:dyDescent="0.25">
      <c r="A3203" s="2" t="s">
        <v>205</v>
      </c>
      <c r="B3203" s="2" t="str">
        <f>"41130009"</f>
        <v>41130009</v>
      </c>
      <c r="C3203" s="2" t="str">
        <f>"41130009"</f>
        <v>41130009</v>
      </c>
      <c r="D3203" s="2" t="s">
        <v>2605</v>
      </c>
      <c r="E3203" s="4">
        <v>4900</v>
      </c>
    </row>
    <row r="3204" spans="1:5" ht="26.25" x14ac:dyDescent="0.25">
      <c r="A3204" s="2" t="s">
        <v>205</v>
      </c>
      <c r="B3204" s="2" t="str">
        <f>"303009611"</f>
        <v>303009611</v>
      </c>
      <c r="C3204" s="2" t="str">
        <f>"303009611"</f>
        <v>303009611</v>
      </c>
      <c r="D3204" s="2" t="s">
        <v>2606</v>
      </c>
      <c r="E3204" s="4">
        <v>18900</v>
      </c>
    </row>
    <row r="3205" spans="1:5" ht="26.25" x14ac:dyDescent="0.25">
      <c r="A3205" s="2" t="s">
        <v>2388</v>
      </c>
      <c r="B3205" s="2" t="str">
        <f>"10389425"</f>
        <v>10389425</v>
      </c>
      <c r="C3205" s="2" t="str">
        <f>"10389425"</f>
        <v>10389425</v>
      </c>
      <c r="D3205" s="2" t="s">
        <v>2607</v>
      </c>
      <c r="E3205" s="4">
        <v>5900</v>
      </c>
    </row>
    <row r="3206" spans="1:5" ht="26.25" x14ac:dyDescent="0.25">
      <c r="A3206" s="2" t="s">
        <v>205</v>
      </c>
      <c r="B3206" s="2" t="str">
        <f>"17350714"</f>
        <v>17350714</v>
      </c>
      <c r="C3206" s="2" t="str">
        <f>"17350714"</f>
        <v>17350714</v>
      </c>
      <c r="D3206" s="2" t="s">
        <v>2608</v>
      </c>
      <c r="E3206" s="4">
        <v>4500</v>
      </c>
    </row>
    <row r="3207" spans="1:5" ht="26.25" x14ac:dyDescent="0.25">
      <c r="A3207" s="2" t="s">
        <v>205</v>
      </c>
      <c r="B3207" s="2" t="str">
        <f>"25033525"</f>
        <v>25033525</v>
      </c>
      <c r="C3207" s="2" t="str">
        <f>"25033525"</f>
        <v>25033525</v>
      </c>
      <c r="D3207" s="2" t="s">
        <v>2609</v>
      </c>
      <c r="E3207" s="4">
        <v>11900</v>
      </c>
    </row>
    <row r="3208" spans="1:5" ht="26.25" x14ac:dyDescent="0.25">
      <c r="A3208" s="2" t="s">
        <v>205</v>
      </c>
      <c r="B3208" s="2" t="str">
        <f>"25033425"</f>
        <v>25033425</v>
      </c>
      <c r="C3208" s="2" t="str">
        <f>"25033425"</f>
        <v>25033425</v>
      </c>
      <c r="D3208" s="2" t="s">
        <v>2610</v>
      </c>
      <c r="E3208" s="4">
        <v>11900</v>
      </c>
    </row>
    <row r="3209" spans="1:5" ht="26.25" x14ac:dyDescent="0.25">
      <c r="A3209" s="2" t="s">
        <v>205</v>
      </c>
      <c r="B3209" s="2" t="str">
        <f>"86351445"</f>
        <v>86351445</v>
      </c>
      <c r="C3209" s="2" t="str">
        <f>"86351445"</f>
        <v>86351445</v>
      </c>
      <c r="D3209" s="2" t="s">
        <v>2611</v>
      </c>
      <c r="E3209" s="4">
        <v>3500</v>
      </c>
    </row>
    <row r="3210" spans="1:5" ht="26.25" x14ac:dyDescent="0.25">
      <c r="A3210" s="2" t="s">
        <v>205</v>
      </c>
      <c r="B3210" s="2" t="str">
        <f>"86351400"</f>
        <v>86351400</v>
      </c>
      <c r="C3210" s="2" t="str">
        <f>"86351400"</f>
        <v>86351400</v>
      </c>
      <c r="D3210" s="2" t="s">
        <v>2612</v>
      </c>
      <c r="E3210" s="4">
        <v>6500</v>
      </c>
    </row>
    <row r="3211" spans="1:5" ht="26.25" x14ac:dyDescent="0.25">
      <c r="A3211" s="2" t="s">
        <v>205</v>
      </c>
      <c r="B3211" s="2" t="str">
        <f>"6922309819906"</f>
        <v>6922309819906</v>
      </c>
      <c r="C3211" s="2" t="str">
        <f>"76351408"</f>
        <v>76351408</v>
      </c>
      <c r="D3211" s="2" t="s">
        <v>2613</v>
      </c>
      <c r="E3211" s="4">
        <v>4500</v>
      </c>
    </row>
    <row r="3212" spans="1:5" ht="26.25" x14ac:dyDescent="0.25">
      <c r="A3212" s="2" t="s">
        <v>205</v>
      </c>
      <c r="B3212" s="2" t="str">
        <f>"46351400"</f>
        <v>46351400</v>
      </c>
      <c r="C3212" s="2" t="str">
        <f>"46351400"</f>
        <v>46351400</v>
      </c>
      <c r="D3212" s="2" t="s">
        <v>2614</v>
      </c>
      <c r="E3212" s="4">
        <v>6000</v>
      </c>
    </row>
    <row r="3213" spans="1:5" ht="26.25" x14ac:dyDescent="0.25">
      <c r="A3213" s="2" t="s">
        <v>205</v>
      </c>
      <c r="B3213" s="2" t="str">
        <f>"34351408"</f>
        <v>34351408</v>
      </c>
      <c r="C3213" s="2" t="str">
        <f>"34351408"</f>
        <v>34351408</v>
      </c>
      <c r="D3213" s="2" t="s">
        <v>2615</v>
      </c>
      <c r="E3213" s="4">
        <v>7000</v>
      </c>
    </row>
    <row r="3214" spans="1:5" ht="26.25" x14ac:dyDescent="0.25">
      <c r="A3214" s="2" t="s">
        <v>205</v>
      </c>
      <c r="B3214" s="2" t="str">
        <f>"6930481583553"</f>
        <v>6930481583553</v>
      </c>
      <c r="C3214" s="2" t="str">
        <f>"110346011"</f>
        <v>110346011</v>
      </c>
      <c r="D3214" s="2" t="s">
        <v>2616</v>
      </c>
      <c r="E3214" s="4">
        <v>5000</v>
      </c>
    </row>
    <row r="3215" spans="1:5" ht="26.25" x14ac:dyDescent="0.25">
      <c r="A3215" s="2" t="s">
        <v>205</v>
      </c>
      <c r="B3215" s="2" t="str">
        <f>"6952120100068"</f>
        <v>6952120100068</v>
      </c>
      <c r="C3215" s="2" t="str">
        <f>"10352009"</f>
        <v>10352009</v>
      </c>
      <c r="D3215" s="2" t="s">
        <v>2617</v>
      </c>
      <c r="E3215" s="4">
        <v>13500</v>
      </c>
    </row>
    <row r="3216" spans="1:5" ht="26.25" x14ac:dyDescent="0.25">
      <c r="A3216" s="2" t="s">
        <v>11</v>
      </c>
      <c r="B3216" s="2" t="str">
        <f>"4121840635248"</f>
        <v>4121840635248</v>
      </c>
      <c r="C3216" s="2" t="str">
        <f>"10742192"</f>
        <v>10742192</v>
      </c>
      <c r="D3216" s="2" t="s">
        <v>2618</v>
      </c>
      <c r="E3216" s="4">
        <v>8000</v>
      </c>
    </row>
    <row r="3217" spans="1:5" ht="26.25" x14ac:dyDescent="0.25">
      <c r="A3217" s="2" t="s">
        <v>11</v>
      </c>
      <c r="B3217" s="2" t="str">
        <f>"7804625561167"</f>
        <v>7804625561167</v>
      </c>
      <c r="C3217" s="2" t="str">
        <f>"42060100"</f>
        <v>42060100</v>
      </c>
      <c r="D3217" s="2" t="s">
        <v>2619</v>
      </c>
      <c r="E3217" s="4">
        <v>14500</v>
      </c>
    </row>
    <row r="3218" spans="1:5" ht="26.25" x14ac:dyDescent="0.25">
      <c r="A3218" s="2" t="s">
        <v>11</v>
      </c>
      <c r="B3218" s="2" t="str">
        <f>"7804625561174"</f>
        <v>7804625561174</v>
      </c>
      <c r="C3218" s="2" t="str">
        <f>"42060090"</f>
        <v>42060090</v>
      </c>
      <c r="D3218" s="2" t="s">
        <v>2620</v>
      </c>
      <c r="E3218" s="4">
        <v>5690</v>
      </c>
    </row>
    <row r="3219" spans="1:5" ht="26.25" x14ac:dyDescent="0.25">
      <c r="A3219" s="2" t="s">
        <v>11</v>
      </c>
      <c r="B3219" s="2" t="str">
        <f>"816479013591"</f>
        <v>816479013591</v>
      </c>
      <c r="C3219" s="2" t="str">
        <f>"98060115"</f>
        <v>98060115</v>
      </c>
      <c r="D3219" s="2" t="s">
        <v>2621</v>
      </c>
      <c r="E3219" s="4">
        <v>19500</v>
      </c>
    </row>
    <row r="3220" spans="1:5" ht="26.25" x14ac:dyDescent="0.25">
      <c r="A3220" s="2" t="s">
        <v>205</v>
      </c>
      <c r="B3220" s="2" t="str">
        <f>"609585244696"</f>
        <v>609585244696</v>
      </c>
      <c r="C3220" s="2" t="str">
        <f>"25351200"</f>
        <v>25351200</v>
      </c>
      <c r="D3220" s="2" t="s">
        <v>2622</v>
      </c>
      <c r="E3220" s="4">
        <v>9900</v>
      </c>
    </row>
    <row r="3221" spans="1:5" ht="26.25" x14ac:dyDescent="0.25">
      <c r="A3221" s="2" t="s">
        <v>11</v>
      </c>
      <c r="B3221" s="2" t="str">
        <f>"7858816038150"</f>
        <v>7858816038150</v>
      </c>
      <c r="C3221" s="2" t="str">
        <f>"87063815"</f>
        <v>87063815</v>
      </c>
      <c r="D3221" s="2" t="s">
        <v>2623</v>
      </c>
      <c r="E3221" s="4">
        <v>11500</v>
      </c>
    </row>
    <row r="3222" spans="1:5" ht="26.25" x14ac:dyDescent="0.25">
      <c r="A3222" s="2" t="s">
        <v>11</v>
      </c>
      <c r="B3222" s="2" t="str">
        <f>"7858816019135"</f>
        <v>7858816019135</v>
      </c>
      <c r="C3222" s="2" t="str">
        <f>"87061913"</f>
        <v>87061913</v>
      </c>
      <c r="D3222" s="2" t="s">
        <v>2624</v>
      </c>
      <c r="E3222" s="4">
        <v>12500</v>
      </c>
    </row>
    <row r="3223" spans="1:5" ht="26.25" x14ac:dyDescent="0.25">
      <c r="A3223" s="2" t="s">
        <v>205</v>
      </c>
      <c r="B3223" s="2" t="str">
        <f>"34030000"</f>
        <v>34030000</v>
      </c>
      <c r="C3223" s="2" t="str">
        <f>"34030000"</f>
        <v>34030000</v>
      </c>
      <c r="D3223" s="2" t="s">
        <v>2625</v>
      </c>
      <c r="E3223" s="4">
        <v>2650</v>
      </c>
    </row>
    <row r="3224" spans="1:5" ht="26.25" x14ac:dyDescent="0.25">
      <c r="A3224" s="2" t="s">
        <v>205</v>
      </c>
      <c r="B3224" s="2" t="str">
        <f>"6925871615563"</f>
        <v>6925871615563</v>
      </c>
      <c r="C3224" s="2" t="str">
        <f>"22351556"</f>
        <v>22351556</v>
      </c>
      <c r="D3224" s="2" t="s">
        <v>2626</v>
      </c>
      <c r="E3224" s="4">
        <v>4100</v>
      </c>
    </row>
    <row r="3225" spans="1:5" ht="26.25" x14ac:dyDescent="0.25">
      <c r="A3225" s="2" t="s">
        <v>205</v>
      </c>
      <c r="B3225" s="2" t="str">
        <f>"8469201311018"</f>
        <v>8469201311018</v>
      </c>
      <c r="C3225" s="2" t="str">
        <f>"86350700"</f>
        <v>86350700</v>
      </c>
      <c r="D3225" s="2" t="s">
        <v>2627</v>
      </c>
      <c r="E3225" s="4">
        <v>3500</v>
      </c>
    </row>
    <row r="3226" spans="1:5" ht="26.25" x14ac:dyDescent="0.25">
      <c r="A3226" s="2" t="s">
        <v>205</v>
      </c>
      <c r="B3226" s="2" t="str">
        <f>"34350716"</f>
        <v>34350716</v>
      </c>
      <c r="C3226" s="2" t="str">
        <f>"34350716"</f>
        <v>34350716</v>
      </c>
      <c r="D3226" s="2" t="s">
        <v>2628</v>
      </c>
      <c r="E3226" s="4">
        <v>8990</v>
      </c>
    </row>
    <row r="3227" spans="1:5" ht="26.25" x14ac:dyDescent="0.25">
      <c r="A3227" s="2" t="s">
        <v>209</v>
      </c>
      <c r="B3227" s="2" t="str">
        <f>"25353500"</f>
        <v>25353500</v>
      </c>
      <c r="C3227" s="2" t="str">
        <f>"25353500"</f>
        <v>25353500</v>
      </c>
      <c r="D3227" s="2" t="s">
        <v>2629</v>
      </c>
      <c r="E3227" s="4">
        <v>3800</v>
      </c>
    </row>
    <row r="3228" spans="1:5" ht="26.25" x14ac:dyDescent="0.25">
      <c r="A3228" s="2" t="s">
        <v>205</v>
      </c>
      <c r="B3228" s="2" t="str">
        <f>"8669885018832"</f>
        <v>8669885018832</v>
      </c>
      <c r="C3228" s="2" t="str">
        <f>"66350750"</f>
        <v>66350750</v>
      </c>
      <c r="D3228" s="2" t="s">
        <v>2630</v>
      </c>
      <c r="E3228" s="4">
        <v>7000</v>
      </c>
    </row>
    <row r="3229" spans="1:5" ht="26.25" x14ac:dyDescent="0.25">
      <c r="A3229" s="2" t="s">
        <v>205</v>
      </c>
      <c r="B3229" s="2" t="str">
        <f>"11003194"</f>
        <v>11003194</v>
      </c>
      <c r="C3229" s="2" t="str">
        <f>"11003194"</f>
        <v>11003194</v>
      </c>
      <c r="D3229" s="2" t="s">
        <v>2631</v>
      </c>
      <c r="E3229" s="4">
        <v>1500</v>
      </c>
    </row>
    <row r="3230" spans="1:5" ht="26.25" x14ac:dyDescent="0.25">
      <c r="A3230" s="2" t="s">
        <v>205</v>
      </c>
      <c r="B3230" s="2" t="str">
        <f>"33355142"</f>
        <v>33355142</v>
      </c>
      <c r="C3230" s="2" t="str">
        <f>"33355142"</f>
        <v>33355142</v>
      </c>
      <c r="D3230" s="2" t="s">
        <v>2632</v>
      </c>
      <c r="E3230" s="4">
        <v>19500</v>
      </c>
    </row>
    <row r="3231" spans="1:5" ht="26.25" x14ac:dyDescent="0.25">
      <c r="A3231" s="2" t="s">
        <v>205</v>
      </c>
      <c r="B3231" s="2" t="str">
        <f>"303508138"</f>
        <v>303508138</v>
      </c>
      <c r="C3231" s="2" t="str">
        <f>"303508138"</f>
        <v>303508138</v>
      </c>
      <c r="D3231" s="2" t="s">
        <v>2633</v>
      </c>
      <c r="E3231" s="4">
        <v>12900</v>
      </c>
    </row>
    <row r="3232" spans="1:5" ht="26.25" x14ac:dyDescent="0.25">
      <c r="A3232" s="2" t="s">
        <v>205</v>
      </c>
      <c r="B3232" s="2" t="str">
        <f>"50351445"</f>
        <v>50351445</v>
      </c>
      <c r="C3232" s="2" t="str">
        <f>"50351445"</f>
        <v>50351445</v>
      </c>
      <c r="D3232" s="2" t="s">
        <v>2634</v>
      </c>
      <c r="E3232" s="4">
        <v>6000</v>
      </c>
    </row>
    <row r="3233" spans="1:5" ht="26.25" x14ac:dyDescent="0.25">
      <c r="A3233" s="2" t="s">
        <v>205</v>
      </c>
      <c r="B3233" s="2" t="str">
        <f>"303007784"</f>
        <v>303007784</v>
      </c>
      <c r="C3233" s="2" t="str">
        <f>"303007784"</f>
        <v>303007784</v>
      </c>
      <c r="D3233" s="2" t="s">
        <v>2635</v>
      </c>
      <c r="E3233" s="4">
        <v>11900</v>
      </c>
    </row>
    <row r="3234" spans="1:5" ht="26.25" x14ac:dyDescent="0.25">
      <c r="A3234" s="2" t="s">
        <v>205</v>
      </c>
      <c r="B3234" s="2" t="str">
        <f>"66079130"</f>
        <v>66079130</v>
      </c>
      <c r="C3234" s="2" t="str">
        <f>"66079130"</f>
        <v>66079130</v>
      </c>
      <c r="D3234" s="2" t="s">
        <v>2636</v>
      </c>
      <c r="E3234" s="4">
        <v>13900</v>
      </c>
    </row>
    <row r="3235" spans="1:5" ht="26.25" x14ac:dyDescent="0.25">
      <c r="A3235" s="2" t="s">
        <v>205</v>
      </c>
      <c r="B3235" s="2" t="str">
        <f>"86353350"</f>
        <v>86353350</v>
      </c>
      <c r="C3235" s="2" t="str">
        <f>"86353350"</f>
        <v>86353350</v>
      </c>
      <c r="D3235" s="2" t="s">
        <v>2637</v>
      </c>
      <c r="E3235" s="4">
        <v>4900</v>
      </c>
    </row>
    <row r="3236" spans="1:5" ht="26.25" x14ac:dyDescent="0.25">
      <c r="A3236" s="2" t="s">
        <v>205</v>
      </c>
      <c r="B3236" s="2" t="str">
        <f>"8806088353388"</f>
        <v>8806088353388</v>
      </c>
      <c r="C3236" s="2" t="str">
        <f>"30351401"</f>
        <v>30351401</v>
      </c>
      <c r="D3236" s="2" t="s">
        <v>2638</v>
      </c>
      <c r="E3236" s="4">
        <v>15150</v>
      </c>
    </row>
    <row r="3237" spans="1:5" ht="26.25" x14ac:dyDescent="0.25">
      <c r="A3237" s="2" t="s">
        <v>205</v>
      </c>
      <c r="B3237" s="2" t="str">
        <f>"8806088353395"</f>
        <v>8806088353395</v>
      </c>
      <c r="C3237" s="2" t="str">
        <f>"30351400"</f>
        <v>30351400</v>
      </c>
      <c r="D3237" s="2" t="s">
        <v>2639</v>
      </c>
      <c r="E3237" s="4">
        <v>15150</v>
      </c>
    </row>
    <row r="3238" spans="1:5" ht="26.25" x14ac:dyDescent="0.25">
      <c r="A3238" s="2" t="s">
        <v>205</v>
      </c>
      <c r="B3238" s="2" t="str">
        <f>"1000001075686"</f>
        <v>1000001075686</v>
      </c>
      <c r="C3238" s="2" t="str">
        <f>"76350018"</f>
        <v>76350018</v>
      </c>
      <c r="D3238" s="2" t="s">
        <v>2640</v>
      </c>
      <c r="E3238" s="4">
        <v>4900</v>
      </c>
    </row>
    <row r="3239" spans="1:5" ht="26.25" x14ac:dyDescent="0.25">
      <c r="A3239" s="2" t="s">
        <v>205</v>
      </c>
      <c r="B3239" s="2" t="str">
        <f>"1000001075679"</f>
        <v>1000001075679</v>
      </c>
      <c r="C3239" s="2" t="str">
        <f>"76350019"</f>
        <v>76350019</v>
      </c>
      <c r="D3239" s="2" t="s">
        <v>2641</v>
      </c>
      <c r="E3239" s="4">
        <v>4900</v>
      </c>
    </row>
    <row r="3240" spans="1:5" ht="26.25" x14ac:dyDescent="0.25">
      <c r="A3240" s="2" t="s">
        <v>205</v>
      </c>
      <c r="B3240" s="2" t="str">
        <f>"7858816043802"</f>
        <v>7858816043802</v>
      </c>
      <c r="C3240" s="2" t="str">
        <f>"87064380"</f>
        <v>87064380</v>
      </c>
      <c r="D3240" s="2" t="s">
        <v>2642</v>
      </c>
      <c r="E3240" s="4">
        <v>8500</v>
      </c>
    </row>
    <row r="3241" spans="1:5" ht="26.25" x14ac:dyDescent="0.25">
      <c r="A3241" s="2" t="s">
        <v>147</v>
      </c>
      <c r="B3241" s="2" t="str">
        <f>"10002020"</f>
        <v>10002020</v>
      </c>
      <c r="C3241" s="2" t="str">
        <f>"10002020"</f>
        <v>10002020</v>
      </c>
      <c r="D3241" s="2" t="s">
        <v>2643</v>
      </c>
      <c r="E3241" s="4">
        <v>1100</v>
      </c>
    </row>
    <row r="3242" spans="1:5" ht="26.25" x14ac:dyDescent="0.25">
      <c r="A3242" s="2" t="s">
        <v>147</v>
      </c>
      <c r="B3242" s="2" t="str">
        <f>"6947662229247"</f>
        <v>6947662229247</v>
      </c>
      <c r="C3242" s="2" t="str">
        <f>"10002021"</f>
        <v>10002021</v>
      </c>
      <c r="D3242" s="2" t="s">
        <v>2644</v>
      </c>
      <c r="E3242" s="4">
        <v>2200</v>
      </c>
    </row>
    <row r="3243" spans="1:5" ht="26.25" x14ac:dyDescent="0.25">
      <c r="A3243" s="2" t="s">
        <v>147</v>
      </c>
      <c r="B3243" s="2" t="str">
        <f>"8995192042131"</f>
        <v>8995192042131</v>
      </c>
      <c r="C3243" s="2" t="str">
        <f>"40880095"</f>
        <v>40880095</v>
      </c>
      <c r="D3243" s="2" t="s">
        <v>2645</v>
      </c>
      <c r="E3243" s="4">
        <v>4990</v>
      </c>
    </row>
    <row r="3244" spans="1:5" ht="26.25" x14ac:dyDescent="0.25">
      <c r="A3244" s="2" t="s">
        <v>147</v>
      </c>
      <c r="B3244" s="2" t="str">
        <f>"7512441721008"</f>
        <v>7512441721008</v>
      </c>
      <c r="C3244" s="2" t="str">
        <f>"40881008"</f>
        <v>40881008</v>
      </c>
      <c r="D3244" s="2" t="s">
        <v>2646</v>
      </c>
      <c r="E3244" s="4">
        <v>1500</v>
      </c>
    </row>
    <row r="3245" spans="1:5" ht="26.25" x14ac:dyDescent="0.25">
      <c r="A3245" s="2" t="s">
        <v>21</v>
      </c>
      <c r="B3245" s="2" t="str">
        <f>"7858816080562"</f>
        <v>7858816080562</v>
      </c>
      <c r="C3245" s="2" t="str">
        <f>"87528056"</f>
        <v>87528056</v>
      </c>
      <c r="D3245" s="2" t="s">
        <v>2647</v>
      </c>
      <c r="E3245" s="4">
        <v>22990</v>
      </c>
    </row>
    <row r="3246" spans="1:5" ht="26.25" x14ac:dyDescent="0.25">
      <c r="A3246" s="2" t="s">
        <v>147</v>
      </c>
      <c r="B3246" s="2" t="str">
        <f>"6973227960003"</f>
        <v>6973227960003</v>
      </c>
      <c r="C3246" s="2" t="str">
        <f>"76880003"</f>
        <v>76880003</v>
      </c>
      <c r="D3246" s="2" t="s">
        <v>2648</v>
      </c>
      <c r="E3246" s="4">
        <v>39990</v>
      </c>
    </row>
    <row r="3247" spans="1:5" ht="26.25" x14ac:dyDescent="0.25">
      <c r="A3247" s="2" t="s">
        <v>2514</v>
      </c>
      <c r="B3247" s="2" t="str">
        <f>"34320717"</f>
        <v>34320717</v>
      </c>
      <c r="C3247" s="2" t="str">
        <f>"34320717"</f>
        <v>34320717</v>
      </c>
      <c r="D3247" s="2" t="s">
        <v>2649</v>
      </c>
      <c r="E3247" s="4">
        <v>4000</v>
      </c>
    </row>
    <row r="3248" spans="1:5" ht="26.25" x14ac:dyDescent="0.25">
      <c r="A3248" s="2" t="s">
        <v>2514</v>
      </c>
      <c r="B3248" s="2" t="str">
        <f>"34320716"</f>
        <v>34320716</v>
      </c>
      <c r="C3248" s="2" t="str">
        <f>"34320716"</f>
        <v>34320716</v>
      </c>
      <c r="D3248" s="2" t="s">
        <v>2650</v>
      </c>
      <c r="E3248" s="4">
        <v>4000</v>
      </c>
    </row>
    <row r="3249" spans="1:5" ht="26.25" x14ac:dyDescent="0.25">
      <c r="A3249" s="2" t="s">
        <v>2514</v>
      </c>
      <c r="B3249" s="2" t="str">
        <f>"343209221"</f>
        <v>343209221</v>
      </c>
      <c r="C3249" s="2" t="str">
        <f>"343209221"</f>
        <v>343209221</v>
      </c>
      <c r="D3249" s="2" t="s">
        <v>2651</v>
      </c>
      <c r="E3249" s="4">
        <v>4000</v>
      </c>
    </row>
    <row r="3250" spans="1:5" ht="26.25" x14ac:dyDescent="0.25">
      <c r="A3250" s="2" t="s">
        <v>2514</v>
      </c>
      <c r="B3250" s="2" t="str">
        <f>"34321430"</f>
        <v>34321430</v>
      </c>
      <c r="C3250" s="2" t="str">
        <f>"34321430"</f>
        <v>34321430</v>
      </c>
      <c r="D3250" s="2" t="s">
        <v>2652</v>
      </c>
      <c r="E3250" s="4">
        <v>4000</v>
      </c>
    </row>
    <row r="3251" spans="1:5" ht="26.25" x14ac:dyDescent="0.25">
      <c r="A3251" s="2" t="s">
        <v>2514</v>
      </c>
      <c r="B3251" s="2" t="str">
        <f>"34321445"</f>
        <v>34321445</v>
      </c>
      <c r="C3251" s="2" t="str">
        <f>"34321445"</f>
        <v>34321445</v>
      </c>
      <c r="D3251" s="2" t="s">
        <v>2653</v>
      </c>
      <c r="E3251" s="4">
        <v>4000</v>
      </c>
    </row>
    <row r="3252" spans="1:5" ht="26.25" x14ac:dyDescent="0.25">
      <c r="A3252" s="2" t="s">
        <v>2514</v>
      </c>
      <c r="B3252" s="2" t="str">
        <f>"34321486"</f>
        <v>34321486</v>
      </c>
      <c r="C3252" s="2" t="str">
        <f>"34321486"</f>
        <v>34321486</v>
      </c>
      <c r="D3252" s="2" t="s">
        <v>2654</v>
      </c>
      <c r="E3252" s="4">
        <v>4000</v>
      </c>
    </row>
    <row r="3253" spans="1:5" ht="26.25" x14ac:dyDescent="0.25">
      <c r="A3253" s="2" t="s">
        <v>2655</v>
      </c>
      <c r="B3253" s="2" t="str">
        <f>"619659185107"</f>
        <v>619659185107</v>
      </c>
      <c r="C3253" s="2" t="str">
        <f>"92360128"</f>
        <v>92360128</v>
      </c>
      <c r="D3253" s="2" t="s">
        <v>2656</v>
      </c>
      <c r="E3253" s="4">
        <v>29490</v>
      </c>
    </row>
    <row r="3254" spans="1:5" ht="26.25" x14ac:dyDescent="0.25">
      <c r="A3254" s="2" t="s">
        <v>2655</v>
      </c>
      <c r="B3254" s="2" t="str">
        <f>"17361716"</f>
        <v>17361716</v>
      </c>
      <c r="C3254" s="2" t="str">
        <f>"17361716"</f>
        <v>17361716</v>
      </c>
      <c r="D3254" s="2" t="s">
        <v>2657</v>
      </c>
      <c r="E3254" s="4">
        <v>5990</v>
      </c>
    </row>
    <row r="3255" spans="1:5" ht="26.25" x14ac:dyDescent="0.25">
      <c r="A3255" s="2" t="s">
        <v>2655</v>
      </c>
      <c r="B3255" s="2" t="str">
        <f>"32361716"</f>
        <v>32361716</v>
      </c>
      <c r="C3255" s="2" t="str">
        <f>"32361716"</f>
        <v>32361716</v>
      </c>
      <c r="D3255" s="2" t="s">
        <v>2657</v>
      </c>
      <c r="E3255" s="4">
        <v>5990</v>
      </c>
    </row>
    <row r="3256" spans="1:5" ht="26.25" x14ac:dyDescent="0.25">
      <c r="A3256" s="2" t="s">
        <v>2655</v>
      </c>
      <c r="B3256" s="2" t="str">
        <f>"66360016"</f>
        <v>66360016</v>
      </c>
      <c r="C3256" s="2" t="str">
        <f>"66360016"</f>
        <v>66360016</v>
      </c>
      <c r="D3256" s="2" t="s">
        <v>2657</v>
      </c>
      <c r="E3256" s="4">
        <v>5990</v>
      </c>
    </row>
    <row r="3257" spans="1:5" ht="26.25" x14ac:dyDescent="0.25">
      <c r="A3257" s="2" t="s">
        <v>2655</v>
      </c>
      <c r="B3257" s="2" t="str">
        <f>"95363516"</f>
        <v>95363516</v>
      </c>
      <c r="C3257" s="2" t="str">
        <f>"95363516"</f>
        <v>95363516</v>
      </c>
      <c r="D3257" s="2" t="s">
        <v>2657</v>
      </c>
      <c r="E3257" s="4">
        <v>5990</v>
      </c>
    </row>
    <row r="3258" spans="1:5" ht="26.25" x14ac:dyDescent="0.25">
      <c r="A3258" s="2" t="s">
        <v>2655</v>
      </c>
      <c r="B3258" s="2" t="str">
        <f>"98361016"</f>
        <v>98361016</v>
      </c>
      <c r="C3258" s="2" t="str">
        <f>"98361016"</f>
        <v>98361016</v>
      </c>
      <c r="D3258" s="2" t="s">
        <v>2658</v>
      </c>
      <c r="E3258" s="4">
        <v>5990</v>
      </c>
    </row>
    <row r="3259" spans="1:5" ht="26.25" x14ac:dyDescent="0.25">
      <c r="A3259" s="2" t="s">
        <v>2655</v>
      </c>
      <c r="B3259" s="2" t="str">
        <f>"4713435794043"</f>
        <v>4713435794043</v>
      </c>
      <c r="C3259" s="2" t="str">
        <f>"63360160"</f>
        <v>63360160</v>
      </c>
      <c r="D3259" s="2" t="s">
        <v>2658</v>
      </c>
      <c r="E3259" s="4">
        <v>5990</v>
      </c>
    </row>
    <row r="3260" spans="1:5" ht="26.25" x14ac:dyDescent="0.25">
      <c r="A3260" s="2" t="s">
        <v>2655</v>
      </c>
      <c r="B3260" s="2" t="str">
        <f>"18360016"</f>
        <v>18360016</v>
      </c>
      <c r="C3260" s="2" t="str">
        <f>"18360016"</f>
        <v>18360016</v>
      </c>
      <c r="D3260" s="2" t="s">
        <v>2659</v>
      </c>
      <c r="E3260" s="4">
        <v>5990</v>
      </c>
    </row>
    <row r="3261" spans="1:5" ht="26.25" x14ac:dyDescent="0.25">
      <c r="A3261" s="2" t="s">
        <v>2655</v>
      </c>
      <c r="B3261" s="2" t="str">
        <f>"740617183009"</f>
        <v>740617183009</v>
      </c>
      <c r="C3261" s="2" t="str">
        <f>"97367116"</f>
        <v>97367116</v>
      </c>
      <c r="D3261" s="2" t="s">
        <v>2660</v>
      </c>
      <c r="E3261" s="4">
        <v>5990</v>
      </c>
    </row>
    <row r="3262" spans="1:5" ht="26.25" x14ac:dyDescent="0.25">
      <c r="A3262" s="2" t="s">
        <v>2655</v>
      </c>
      <c r="B3262" s="2" t="str">
        <f>"740617274646"</f>
        <v>740617274646</v>
      </c>
      <c r="C3262" s="2" t="str">
        <f>"10109218"</f>
        <v>10109218</v>
      </c>
      <c r="D3262" s="2" t="s">
        <v>2661</v>
      </c>
      <c r="E3262" s="4">
        <v>5990</v>
      </c>
    </row>
    <row r="3263" spans="1:5" ht="26.25" x14ac:dyDescent="0.25">
      <c r="A3263" s="2" t="s">
        <v>2655</v>
      </c>
      <c r="B3263" s="2" t="str">
        <f>"740617289145"</f>
        <v>740617289145</v>
      </c>
      <c r="C3263" s="2" t="str">
        <f>"92362373"</f>
        <v>92362373</v>
      </c>
      <c r="D3263" s="2" t="s">
        <v>2662</v>
      </c>
      <c r="E3263" s="4">
        <v>7000</v>
      </c>
    </row>
    <row r="3264" spans="1:5" ht="26.25" x14ac:dyDescent="0.25">
      <c r="A3264" s="2" t="s">
        <v>2655</v>
      </c>
      <c r="B3264" s="2" t="str">
        <f>"025215492563"</f>
        <v>025215492563</v>
      </c>
      <c r="C3264" s="2" t="str">
        <f>"60360016"</f>
        <v>60360016</v>
      </c>
      <c r="D3264" s="2" t="s">
        <v>2663</v>
      </c>
      <c r="E3264" s="4">
        <v>5990</v>
      </c>
    </row>
    <row r="3265" spans="1:5" ht="26.25" x14ac:dyDescent="0.25">
      <c r="A3265" s="2" t="s">
        <v>2655</v>
      </c>
      <c r="B3265" s="2" t="str">
        <f>"66362616"</f>
        <v>66362616</v>
      </c>
      <c r="C3265" s="2" t="str">
        <f>"66362616"</f>
        <v>66362616</v>
      </c>
      <c r="D3265" s="2" t="s">
        <v>2664</v>
      </c>
      <c r="E3265" s="4">
        <v>5990</v>
      </c>
    </row>
    <row r="3266" spans="1:5" ht="26.25" x14ac:dyDescent="0.25">
      <c r="A3266" s="2" t="s">
        <v>2655</v>
      </c>
      <c r="B3266" s="2" t="str">
        <f>"619659161590"</f>
        <v>619659161590</v>
      </c>
      <c r="C3266" s="2" t="str">
        <f>"92360016"</f>
        <v>92360016</v>
      </c>
      <c r="D3266" s="2" t="s">
        <v>2664</v>
      </c>
      <c r="E3266" s="4">
        <v>5990</v>
      </c>
    </row>
    <row r="3267" spans="1:5" ht="26.25" x14ac:dyDescent="0.25">
      <c r="A3267" s="2" t="s">
        <v>2655</v>
      </c>
      <c r="B3267" s="2" t="str">
        <f>"92360533"</f>
        <v>92360533</v>
      </c>
      <c r="C3267" s="2" t="str">
        <f>"92360533"</f>
        <v>92360533</v>
      </c>
      <c r="D3267" s="2" t="s">
        <v>2664</v>
      </c>
      <c r="E3267" s="4">
        <v>5990</v>
      </c>
    </row>
    <row r="3268" spans="1:5" ht="26.25" x14ac:dyDescent="0.25">
      <c r="A3268" s="2" t="s">
        <v>2655</v>
      </c>
      <c r="B3268" s="2" t="str">
        <f>"3048"</f>
        <v>3048</v>
      </c>
      <c r="C3268" s="2" t="str">
        <f>"63363048"</f>
        <v>63363048</v>
      </c>
      <c r="D3268" s="2" t="s">
        <v>2664</v>
      </c>
      <c r="E3268" s="4">
        <v>5990</v>
      </c>
    </row>
    <row r="3269" spans="1:5" ht="26.25" x14ac:dyDescent="0.25">
      <c r="A3269" s="2" t="s">
        <v>2655</v>
      </c>
      <c r="B3269" s="2" t="str">
        <f>"57360016"</f>
        <v>57360016</v>
      </c>
      <c r="C3269" s="2" t="str">
        <f>"57360016"</f>
        <v>57360016</v>
      </c>
      <c r="D3269" s="2" t="s">
        <v>2664</v>
      </c>
      <c r="E3269" s="4">
        <v>5990</v>
      </c>
    </row>
    <row r="3270" spans="1:5" ht="26.25" x14ac:dyDescent="0.25">
      <c r="A3270" s="2" t="s">
        <v>2655</v>
      </c>
      <c r="B3270" s="2" t="str">
        <f>"04SDK16C10"</f>
        <v>04SDK16C10</v>
      </c>
      <c r="C3270" s="2" t="str">
        <f>"04SDK16C10"</f>
        <v>04SDK16C10</v>
      </c>
      <c r="D3270" s="2" t="s">
        <v>2664</v>
      </c>
      <c r="E3270" s="4">
        <v>5990</v>
      </c>
    </row>
    <row r="3271" spans="1:5" ht="26.25" x14ac:dyDescent="0.25">
      <c r="A3271" s="2" t="s">
        <v>2655</v>
      </c>
      <c r="B3271" s="2" t="str">
        <f>"740617173741"</f>
        <v>740617173741</v>
      </c>
      <c r="C3271" s="2" t="str">
        <f>"97367878"</f>
        <v>97367878</v>
      </c>
      <c r="D3271" s="2" t="s">
        <v>2664</v>
      </c>
      <c r="E3271" s="4">
        <v>5990</v>
      </c>
    </row>
    <row r="3272" spans="1:5" ht="26.25" x14ac:dyDescent="0.25">
      <c r="A3272" s="2" t="s">
        <v>2655</v>
      </c>
      <c r="B3272" s="2" t="str">
        <f>"98360016"</f>
        <v>98360016</v>
      </c>
      <c r="C3272" s="2" t="str">
        <f>"98360016"</f>
        <v>98360016</v>
      </c>
      <c r="D3272" s="2" t="s">
        <v>2664</v>
      </c>
      <c r="E3272" s="4">
        <v>5990</v>
      </c>
    </row>
    <row r="3273" spans="1:5" ht="26.25" x14ac:dyDescent="0.25">
      <c r="A3273" s="2" t="s">
        <v>2655</v>
      </c>
      <c r="B3273" s="2" t="str">
        <f>"63360016"</f>
        <v>63360016</v>
      </c>
      <c r="C3273" s="2" t="str">
        <f>"63360016"</f>
        <v>63360016</v>
      </c>
      <c r="D3273" s="2" t="s">
        <v>2664</v>
      </c>
      <c r="E3273" s="4">
        <v>5990</v>
      </c>
    </row>
    <row r="3274" spans="1:5" ht="26.25" x14ac:dyDescent="0.25">
      <c r="A3274" s="2" t="s">
        <v>2655</v>
      </c>
      <c r="B3274" s="2" t="str">
        <f>"32362916"</f>
        <v>32362916</v>
      </c>
      <c r="C3274" s="2" t="str">
        <f>"32362916"</f>
        <v>32362916</v>
      </c>
      <c r="D3274" s="2" t="s">
        <v>2665</v>
      </c>
      <c r="E3274" s="4">
        <v>5990</v>
      </c>
    </row>
    <row r="3275" spans="1:5" ht="26.25" x14ac:dyDescent="0.25">
      <c r="A3275" s="2" t="s">
        <v>2655</v>
      </c>
      <c r="B3275" s="2" t="str">
        <f>"10111066"</f>
        <v>10111066</v>
      </c>
      <c r="C3275" s="2" t="str">
        <f>"10111066"</f>
        <v>10111066</v>
      </c>
      <c r="D3275" s="2" t="s">
        <v>2666</v>
      </c>
      <c r="E3275" s="4">
        <v>5990</v>
      </c>
    </row>
    <row r="3276" spans="1:5" ht="26.25" x14ac:dyDescent="0.25">
      <c r="A3276" s="2" t="s">
        <v>2655</v>
      </c>
      <c r="B3276" s="2" t="str">
        <f>"17361732"</f>
        <v>17361732</v>
      </c>
      <c r="C3276" s="2" t="str">
        <f>"17361732"</f>
        <v>17361732</v>
      </c>
      <c r="D3276" s="2" t="s">
        <v>2667</v>
      </c>
      <c r="E3276" s="4">
        <v>19500</v>
      </c>
    </row>
    <row r="3277" spans="1:5" ht="26.25" x14ac:dyDescent="0.25">
      <c r="A3277" s="2" t="s">
        <v>2655</v>
      </c>
      <c r="B3277" s="2" t="str">
        <f>"66360032"</f>
        <v>66360032</v>
      </c>
      <c r="C3277" s="2" t="str">
        <f>"66360032"</f>
        <v>66360032</v>
      </c>
      <c r="D3277" s="2" t="s">
        <v>2667</v>
      </c>
      <c r="E3277" s="4">
        <v>15500</v>
      </c>
    </row>
    <row r="3278" spans="1:5" ht="26.25" x14ac:dyDescent="0.25">
      <c r="A3278" s="2" t="s">
        <v>2655</v>
      </c>
      <c r="B3278" s="2" t="str">
        <f>"95363532"</f>
        <v>95363532</v>
      </c>
      <c r="C3278" s="2" t="str">
        <f>"95363532"</f>
        <v>95363532</v>
      </c>
      <c r="D3278" s="2" t="s">
        <v>2667</v>
      </c>
      <c r="E3278" s="4">
        <v>15500</v>
      </c>
    </row>
    <row r="3279" spans="1:5" ht="26.25" x14ac:dyDescent="0.25">
      <c r="A3279" s="2" t="s">
        <v>2655</v>
      </c>
      <c r="B3279" s="2" t="str">
        <f>"18360032"</f>
        <v>18360032</v>
      </c>
      <c r="C3279" s="2" t="str">
        <f>"18360032"</f>
        <v>18360032</v>
      </c>
      <c r="D3279" s="2" t="s">
        <v>2667</v>
      </c>
      <c r="E3279" s="4">
        <v>15500</v>
      </c>
    </row>
    <row r="3280" spans="1:5" ht="26.25" x14ac:dyDescent="0.25">
      <c r="A3280" s="2" t="s">
        <v>2655</v>
      </c>
      <c r="B3280" s="2" t="str">
        <f>"4713435793947"</f>
        <v>4713435793947</v>
      </c>
      <c r="C3280" s="2" t="str">
        <f>"98360032"</f>
        <v>98360032</v>
      </c>
      <c r="D3280" s="2" t="s">
        <v>2668</v>
      </c>
      <c r="E3280" s="4">
        <v>7990</v>
      </c>
    </row>
    <row r="3281" spans="1:5" ht="26.25" x14ac:dyDescent="0.25">
      <c r="A3281" s="2" t="s">
        <v>2655</v>
      </c>
      <c r="B3281" s="2" t="str">
        <f>"740617298680"</f>
        <v>740617298680</v>
      </c>
      <c r="C3281" s="2" t="str">
        <f>"10002399"</f>
        <v>10002399</v>
      </c>
      <c r="D3281" s="2" t="s">
        <v>2669</v>
      </c>
      <c r="E3281" s="4">
        <v>7990</v>
      </c>
    </row>
    <row r="3282" spans="1:5" ht="26.25" x14ac:dyDescent="0.25">
      <c r="A3282" s="2" t="s">
        <v>2655</v>
      </c>
      <c r="B3282" s="2" t="str">
        <f>"025215492570"</f>
        <v>025215492570</v>
      </c>
      <c r="C3282" s="2" t="str">
        <f>"60361032"</f>
        <v>60361032</v>
      </c>
      <c r="D3282" s="2" t="s">
        <v>2670</v>
      </c>
      <c r="E3282" s="4">
        <v>7990</v>
      </c>
    </row>
    <row r="3283" spans="1:5" ht="26.25" x14ac:dyDescent="0.25">
      <c r="A3283" s="2" t="s">
        <v>2655</v>
      </c>
      <c r="B3283" s="2" t="str">
        <f>"25363932"</f>
        <v>25363932</v>
      </c>
      <c r="C3283" s="2" t="str">
        <f>"25363932"</f>
        <v>25363932</v>
      </c>
      <c r="D3283" s="2" t="s">
        <v>2671</v>
      </c>
      <c r="E3283" s="4">
        <v>19900</v>
      </c>
    </row>
    <row r="3284" spans="1:5" ht="26.25" x14ac:dyDescent="0.25">
      <c r="A3284" s="2" t="s">
        <v>2655</v>
      </c>
      <c r="B3284" s="2" t="str">
        <f>"97367885"</f>
        <v>97367885</v>
      </c>
      <c r="C3284" s="2" t="str">
        <f>"97367885"</f>
        <v>97367885</v>
      </c>
      <c r="D3284" s="2" t="s">
        <v>2672</v>
      </c>
      <c r="E3284" s="4">
        <v>7990</v>
      </c>
    </row>
    <row r="3285" spans="1:5" ht="26.25" x14ac:dyDescent="0.25">
      <c r="A3285" s="2" t="s">
        <v>2655</v>
      </c>
      <c r="B3285" s="2" t="str">
        <f>"619659184407"</f>
        <v>619659184407</v>
      </c>
      <c r="C3285" s="2" t="str">
        <f>"92360032"</f>
        <v>92360032</v>
      </c>
      <c r="D3285" s="2" t="s">
        <v>2672</v>
      </c>
      <c r="E3285" s="4">
        <v>7990</v>
      </c>
    </row>
    <row r="3286" spans="1:5" ht="26.25" x14ac:dyDescent="0.25">
      <c r="A3286" s="2" t="s">
        <v>2655</v>
      </c>
      <c r="B3286" s="2" t="str">
        <f>"619659161644"</f>
        <v>619659161644</v>
      </c>
      <c r="C3286" s="2" t="str">
        <f>"57360032"</f>
        <v>57360032</v>
      </c>
      <c r="D3286" s="2" t="s">
        <v>2672</v>
      </c>
      <c r="E3286" s="4">
        <v>7990</v>
      </c>
    </row>
    <row r="3287" spans="1:5" ht="26.25" x14ac:dyDescent="0.25">
      <c r="A3287" s="2" t="s">
        <v>2655</v>
      </c>
      <c r="B3287" s="2" t="str">
        <f>"619659161637"</f>
        <v>619659161637</v>
      </c>
      <c r="C3287" s="2" t="str">
        <f>"92362746"</f>
        <v>92362746</v>
      </c>
      <c r="D3287" s="2" t="s">
        <v>2672</v>
      </c>
      <c r="E3287" s="4">
        <v>7990</v>
      </c>
    </row>
    <row r="3288" spans="1:5" ht="26.25" x14ac:dyDescent="0.25">
      <c r="A3288" s="2" t="s">
        <v>2655</v>
      </c>
      <c r="B3288" s="2" t="str">
        <f>"32362932"</f>
        <v>32362932</v>
      </c>
      <c r="C3288" s="2" t="str">
        <f>"32362932"</f>
        <v>32362932</v>
      </c>
      <c r="D3288" s="2" t="s">
        <v>2673</v>
      </c>
      <c r="E3288" s="4">
        <v>7990</v>
      </c>
    </row>
    <row r="3289" spans="1:5" ht="26.25" x14ac:dyDescent="0.25">
      <c r="A3289" s="2" t="s">
        <v>2655</v>
      </c>
      <c r="B3289" s="2" t="str">
        <f>"619659155414"</f>
        <v>619659155414</v>
      </c>
      <c r="C3289" s="2" t="str">
        <f>"92360232"</f>
        <v>92360232</v>
      </c>
      <c r="D3289" s="2" t="s">
        <v>2674</v>
      </c>
      <c r="E3289" s="4">
        <v>19990</v>
      </c>
    </row>
    <row r="3290" spans="1:5" ht="26.25" x14ac:dyDescent="0.25">
      <c r="A3290" s="2" t="s">
        <v>2655</v>
      </c>
      <c r="B3290" s="2" t="str">
        <f>"4713435796849"</f>
        <v>4713435796849</v>
      </c>
      <c r="C3290" s="2" t="str">
        <f>"98710064"</f>
        <v>98710064</v>
      </c>
      <c r="D3290" s="2" t="s">
        <v>2675</v>
      </c>
      <c r="E3290" s="4">
        <v>12990</v>
      </c>
    </row>
    <row r="3291" spans="1:5" ht="26.25" x14ac:dyDescent="0.25">
      <c r="A3291" s="2" t="s">
        <v>2655</v>
      </c>
      <c r="B3291" s="2" t="str">
        <f>"740617274769"</f>
        <v>740617274769</v>
      </c>
      <c r="C3291" s="2" t="str">
        <f>"10003345"</f>
        <v>10003345</v>
      </c>
      <c r="D3291" s="2" t="s">
        <v>2676</v>
      </c>
      <c r="E3291" s="4">
        <v>12900</v>
      </c>
    </row>
    <row r="3292" spans="1:5" ht="26.25" x14ac:dyDescent="0.25">
      <c r="A3292" s="2" t="s">
        <v>2655</v>
      </c>
      <c r="B3292" s="2" t="str">
        <f>"025215492587"</f>
        <v>025215492587</v>
      </c>
      <c r="C3292" s="2" t="str">
        <f>"60366400"</f>
        <v>60366400</v>
      </c>
      <c r="D3292" s="2" t="s">
        <v>2677</v>
      </c>
      <c r="E3292" s="4">
        <v>8490</v>
      </c>
    </row>
    <row r="3293" spans="1:5" ht="26.25" x14ac:dyDescent="0.25">
      <c r="A3293" s="2" t="s">
        <v>2655</v>
      </c>
      <c r="B3293" s="2" t="str">
        <f>"619659184414"</f>
        <v>619659184414</v>
      </c>
      <c r="C3293" s="2" t="str">
        <f>"92360064"</f>
        <v>92360064</v>
      </c>
      <c r="D3293" s="2" t="s">
        <v>2678</v>
      </c>
      <c r="E3293" s="4">
        <v>14990</v>
      </c>
    </row>
    <row r="3294" spans="1:5" ht="26.25" x14ac:dyDescent="0.25">
      <c r="A3294" s="2" t="s">
        <v>2655</v>
      </c>
      <c r="B3294" s="2" t="str">
        <f>"619659161705"</f>
        <v>619659161705</v>
      </c>
      <c r="C3294" s="2" t="str">
        <f>"57380064"</f>
        <v>57380064</v>
      </c>
      <c r="D3294" s="2" t="s">
        <v>2678</v>
      </c>
      <c r="E3294" s="4">
        <v>14490</v>
      </c>
    </row>
    <row r="3295" spans="1:5" ht="26.25" x14ac:dyDescent="0.25">
      <c r="A3295" s="2" t="s">
        <v>2655</v>
      </c>
      <c r="B3295" s="2" t="str">
        <f>"92360264"</f>
        <v>92360264</v>
      </c>
      <c r="C3295" s="2" t="str">
        <f>"92360264"</f>
        <v>92360264</v>
      </c>
      <c r="D3295" s="2" t="s">
        <v>2679</v>
      </c>
      <c r="E3295" s="4">
        <v>34990</v>
      </c>
    </row>
    <row r="3296" spans="1:5" ht="26.25" x14ac:dyDescent="0.25">
      <c r="A3296" s="2" t="s">
        <v>203</v>
      </c>
      <c r="B3296" s="2" t="str">
        <f>"4710007725979"</f>
        <v>4710007725979</v>
      </c>
      <c r="C3296" s="2" t="str">
        <f>"65810008"</f>
        <v>65810008</v>
      </c>
      <c r="D3296" s="2" t="s">
        <v>2680</v>
      </c>
      <c r="E3296" s="4">
        <v>5900</v>
      </c>
    </row>
    <row r="3297" spans="1:5" ht="26.25" x14ac:dyDescent="0.25">
      <c r="A3297" s="2" t="s">
        <v>203</v>
      </c>
      <c r="B3297" s="2" t="str">
        <f>"10118854"</f>
        <v>10118854</v>
      </c>
      <c r="C3297" s="2" t="str">
        <f>"10118854"</f>
        <v>10118854</v>
      </c>
      <c r="D3297" s="2" t="s">
        <v>2681</v>
      </c>
      <c r="E3297" s="4">
        <v>3990</v>
      </c>
    </row>
    <row r="3298" spans="1:5" ht="26.25" x14ac:dyDescent="0.25">
      <c r="A3298" s="2" t="s">
        <v>203</v>
      </c>
      <c r="B3298" s="2" t="str">
        <f>"8713439216714"</f>
        <v>8713439216714</v>
      </c>
      <c r="C3298" s="2" t="str">
        <f>"92306714"</f>
        <v>92306714</v>
      </c>
      <c r="D3298" s="2" t="s">
        <v>2682</v>
      </c>
      <c r="E3298" s="4">
        <v>14990</v>
      </c>
    </row>
    <row r="3299" spans="1:5" ht="26.25" x14ac:dyDescent="0.25">
      <c r="A3299" s="2" t="s">
        <v>203</v>
      </c>
      <c r="B3299" s="2" t="str">
        <f>"22307521"</f>
        <v>22307521</v>
      </c>
      <c r="C3299" s="2" t="str">
        <f>"22307521"</f>
        <v>22307521</v>
      </c>
      <c r="D3299" s="2" t="s">
        <v>2683</v>
      </c>
      <c r="E3299" s="4">
        <v>3500</v>
      </c>
    </row>
    <row r="3300" spans="1:5" ht="26.25" x14ac:dyDescent="0.25">
      <c r="A3300" s="2" t="s">
        <v>203</v>
      </c>
      <c r="B3300" s="2" t="str">
        <f>"52303700"</f>
        <v>52303700</v>
      </c>
      <c r="C3300" s="2" t="str">
        <f>"52303700"</f>
        <v>52303700</v>
      </c>
      <c r="D3300" s="2" t="s">
        <v>2684</v>
      </c>
      <c r="E3300" s="4">
        <v>11990</v>
      </c>
    </row>
    <row r="3301" spans="1:5" ht="26.25" x14ac:dyDescent="0.25">
      <c r="A3301" s="2" t="s">
        <v>203</v>
      </c>
      <c r="B3301" s="2" t="str">
        <f>"7858816042133"</f>
        <v>7858816042133</v>
      </c>
      <c r="C3301" s="2" t="str">
        <f>"87304213"</f>
        <v>87304213</v>
      </c>
      <c r="D3301" s="2" t="s">
        <v>2685</v>
      </c>
      <c r="E3301" s="4">
        <v>11990</v>
      </c>
    </row>
    <row r="3302" spans="1:5" ht="26.25" x14ac:dyDescent="0.25">
      <c r="A3302" s="2" t="s">
        <v>203</v>
      </c>
      <c r="B3302" s="2" t="str">
        <f>"10122418"</f>
        <v>10122418</v>
      </c>
      <c r="C3302" s="2" t="str">
        <f>"10122418"</f>
        <v>10122418</v>
      </c>
      <c r="D3302" s="2" t="s">
        <v>2686</v>
      </c>
      <c r="E3302" s="4">
        <v>24990</v>
      </c>
    </row>
    <row r="3303" spans="1:5" ht="26.25" x14ac:dyDescent="0.25">
      <c r="A3303" s="2" t="s">
        <v>203</v>
      </c>
      <c r="B3303" s="2" t="str">
        <f>"6918888888501"</f>
        <v>6918888888501</v>
      </c>
      <c r="C3303" s="2" t="str">
        <f>"40300001"</f>
        <v>40300001</v>
      </c>
      <c r="D3303" s="2" t="s">
        <v>2687</v>
      </c>
      <c r="E3303" s="4">
        <v>18990</v>
      </c>
    </row>
    <row r="3304" spans="1:5" ht="26.25" x14ac:dyDescent="0.25">
      <c r="A3304" s="2" t="s">
        <v>203</v>
      </c>
      <c r="B3304" s="2" t="str">
        <f>"6918888885173"</f>
        <v>6918888885173</v>
      </c>
      <c r="C3304" s="2" t="str">
        <f>"40305173"</f>
        <v>40305173</v>
      </c>
      <c r="D3304" s="2" t="s">
        <v>2688</v>
      </c>
      <c r="E3304" s="4">
        <v>34990</v>
      </c>
    </row>
    <row r="3305" spans="1:5" ht="26.25" x14ac:dyDescent="0.25">
      <c r="A3305" s="2" t="s">
        <v>203</v>
      </c>
      <c r="B3305" s="2" t="str">
        <f>"7858816075674"</f>
        <v>7858816075674</v>
      </c>
      <c r="C3305" s="2" t="str">
        <f>"87307567"</f>
        <v>87307567</v>
      </c>
      <c r="D3305" s="2" t="s">
        <v>2689</v>
      </c>
      <c r="E3305" s="4">
        <v>35990</v>
      </c>
    </row>
    <row r="3306" spans="1:5" ht="26.25" x14ac:dyDescent="0.25">
      <c r="A3306" s="2" t="s">
        <v>203</v>
      </c>
      <c r="B3306" s="2" t="str">
        <f>"7858816075681"</f>
        <v>7858816075681</v>
      </c>
      <c r="C3306" s="2" t="str">
        <f>"87817568"</f>
        <v>87817568</v>
      </c>
      <c r="D3306" s="2" t="s">
        <v>2690</v>
      </c>
      <c r="E3306" s="4">
        <v>19990</v>
      </c>
    </row>
    <row r="3307" spans="1:5" ht="26.25" x14ac:dyDescent="0.25">
      <c r="A3307" s="2" t="s">
        <v>203</v>
      </c>
      <c r="B3307" s="2" t="str">
        <f>"7858816075698"</f>
        <v>7858816075698</v>
      </c>
      <c r="C3307" s="2" t="str">
        <f>"87817569"</f>
        <v>87817569</v>
      </c>
      <c r="D3307" s="2" t="s">
        <v>2691</v>
      </c>
      <c r="E3307" s="4">
        <v>21990</v>
      </c>
    </row>
    <row r="3308" spans="1:5" ht="26.25" x14ac:dyDescent="0.25">
      <c r="A3308" s="2" t="s">
        <v>203</v>
      </c>
      <c r="B3308" s="2" t="str">
        <f>"7858816075704"</f>
        <v>7858816075704</v>
      </c>
      <c r="C3308" s="2" t="str">
        <f>"87307570"</f>
        <v>87307570</v>
      </c>
      <c r="D3308" s="2" t="s">
        <v>2692</v>
      </c>
      <c r="E3308" s="4">
        <v>18990</v>
      </c>
    </row>
    <row r="3309" spans="1:5" ht="26.25" x14ac:dyDescent="0.25">
      <c r="A3309" s="2" t="s">
        <v>203</v>
      </c>
      <c r="B3309" s="2" t="str">
        <f>"10119525"</f>
        <v>10119525</v>
      </c>
      <c r="C3309" s="2" t="str">
        <f>"10119525"</f>
        <v>10119525</v>
      </c>
      <c r="D3309" s="2" t="s">
        <v>2693</v>
      </c>
      <c r="E3309" s="4">
        <v>3000</v>
      </c>
    </row>
    <row r="3310" spans="1:5" ht="26.25" x14ac:dyDescent="0.25">
      <c r="A3310" s="2" t="s">
        <v>203</v>
      </c>
      <c r="B3310" s="2" t="str">
        <f>"87810001"</f>
        <v>87810001</v>
      </c>
      <c r="C3310" s="2" t="str">
        <f>"87810001"</f>
        <v>87810001</v>
      </c>
      <c r="D3310" s="2" t="s">
        <v>2694</v>
      </c>
      <c r="E3310" s="4">
        <v>12990</v>
      </c>
    </row>
    <row r="3311" spans="1:5" ht="26.25" x14ac:dyDescent="0.25">
      <c r="A3311" s="2" t="s">
        <v>203</v>
      </c>
      <c r="B3311" s="2" t="str">
        <f>"7858816077906"</f>
        <v>7858816077906</v>
      </c>
      <c r="C3311" s="2" t="str">
        <f>"87817790"</f>
        <v>87817790</v>
      </c>
      <c r="D3311" s="2" t="s">
        <v>2695</v>
      </c>
      <c r="E3311" s="4">
        <v>3990</v>
      </c>
    </row>
    <row r="3312" spans="1:5" ht="26.25" x14ac:dyDescent="0.25">
      <c r="A3312" s="2" t="s">
        <v>203</v>
      </c>
      <c r="B3312" s="2" t="str">
        <f>"7858816077913"</f>
        <v>7858816077913</v>
      </c>
      <c r="C3312" s="2" t="str">
        <f>"87807791"</f>
        <v>87807791</v>
      </c>
      <c r="D3312" s="2" t="s">
        <v>2696</v>
      </c>
      <c r="E3312" s="4">
        <v>4000</v>
      </c>
    </row>
    <row r="3313" spans="1:5" ht="26.25" x14ac:dyDescent="0.25">
      <c r="A3313" s="2" t="s">
        <v>203</v>
      </c>
      <c r="B3313" s="2" t="str">
        <f>"7858816078521"</f>
        <v>7858816078521</v>
      </c>
      <c r="C3313" s="2" t="str">
        <f>"87387852"</f>
        <v>87387852</v>
      </c>
      <c r="D3313" s="2" t="s">
        <v>2697</v>
      </c>
      <c r="E3313" s="4">
        <v>4990</v>
      </c>
    </row>
    <row r="3314" spans="1:5" ht="26.25" x14ac:dyDescent="0.25">
      <c r="A3314" s="2" t="s">
        <v>203</v>
      </c>
      <c r="B3314" s="2" t="str">
        <f>"7858816078538"</f>
        <v>7858816078538</v>
      </c>
      <c r="C3314" s="2" t="str">
        <f>"87817853"</f>
        <v>87817853</v>
      </c>
      <c r="D3314" s="2" t="s">
        <v>2698</v>
      </c>
      <c r="E3314" s="4">
        <v>5990</v>
      </c>
    </row>
    <row r="3315" spans="1:5" ht="26.25" x14ac:dyDescent="0.25">
      <c r="A3315" s="2" t="s">
        <v>203</v>
      </c>
      <c r="B3315" s="2" t="str">
        <f>"76300001"</f>
        <v>76300001</v>
      </c>
      <c r="C3315" s="2" t="str">
        <f>"76300001"</f>
        <v>76300001</v>
      </c>
      <c r="D3315" s="2" t="s">
        <v>2699</v>
      </c>
      <c r="E3315" s="4">
        <v>30000</v>
      </c>
    </row>
    <row r="3316" spans="1:5" ht="26.25" x14ac:dyDescent="0.25">
      <c r="A3316" s="2" t="s">
        <v>203</v>
      </c>
      <c r="B3316" s="2" t="str">
        <f>"6925871674133"</f>
        <v>6925871674133</v>
      </c>
      <c r="C3316" s="2" t="str">
        <f>"22307413"</f>
        <v>22307413</v>
      </c>
      <c r="D3316" s="2" t="s">
        <v>2700</v>
      </c>
      <c r="E3316" s="4">
        <v>5500</v>
      </c>
    </row>
    <row r="3317" spans="1:5" ht="26.25" x14ac:dyDescent="0.25">
      <c r="A3317" s="2" t="s">
        <v>203</v>
      </c>
      <c r="B3317" s="2" t="str">
        <f>"878100353"</f>
        <v>878100353</v>
      </c>
      <c r="C3317" s="2" t="str">
        <f>"878100353"</f>
        <v>878100353</v>
      </c>
      <c r="D3317" s="2" t="s">
        <v>2701</v>
      </c>
      <c r="E3317" s="4">
        <v>19500</v>
      </c>
    </row>
    <row r="3318" spans="1:5" ht="26.25" x14ac:dyDescent="0.25">
      <c r="A3318" s="2" t="s">
        <v>203</v>
      </c>
      <c r="B3318" s="2" t="str">
        <f>"2000358710239"</f>
        <v>2000358710239</v>
      </c>
      <c r="C3318" s="2" t="str">
        <f>"98304030"</f>
        <v>98304030</v>
      </c>
      <c r="D3318" s="2" t="s">
        <v>2702</v>
      </c>
      <c r="E3318" s="4">
        <v>10990</v>
      </c>
    </row>
    <row r="3319" spans="1:5" ht="26.25" x14ac:dyDescent="0.25">
      <c r="A3319" s="2" t="s">
        <v>203</v>
      </c>
      <c r="B3319" s="2" t="str">
        <f>"8414533043847"</f>
        <v>8414533043847</v>
      </c>
      <c r="C3319" s="2" t="str">
        <f>"10001070"</f>
        <v>10001070</v>
      </c>
      <c r="D3319" s="2" t="s">
        <v>2703</v>
      </c>
      <c r="E3319" s="4">
        <v>12990</v>
      </c>
    </row>
    <row r="3320" spans="1:5" ht="26.25" x14ac:dyDescent="0.25">
      <c r="A3320" s="2" t="s">
        <v>203</v>
      </c>
      <c r="B3320" s="2" t="str">
        <f>"10003749"</f>
        <v>10003749</v>
      </c>
      <c r="C3320" s="2" t="str">
        <f>"10003749"</f>
        <v>10003749</v>
      </c>
      <c r="D3320" s="2" t="s">
        <v>2704</v>
      </c>
      <c r="E3320" s="4">
        <v>12990</v>
      </c>
    </row>
    <row r="3321" spans="1:5" ht="26.25" x14ac:dyDescent="0.25">
      <c r="A3321" s="2" t="s">
        <v>203</v>
      </c>
      <c r="B3321" s="2" t="str">
        <f>"7858816003530"</f>
        <v>7858816003530</v>
      </c>
      <c r="C3321" s="2" t="str">
        <f>"87300353"</f>
        <v>87300353</v>
      </c>
      <c r="D3321" s="2" t="s">
        <v>2705</v>
      </c>
      <c r="E3321" s="4">
        <v>13990</v>
      </c>
    </row>
    <row r="3322" spans="1:5" ht="26.25" x14ac:dyDescent="0.25">
      <c r="A3322" s="2" t="s">
        <v>203</v>
      </c>
      <c r="B3322" s="2" t="str">
        <f>"6924494004051"</f>
        <v>6924494004051</v>
      </c>
      <c r="C3322" s="2" t="str">
        <f>"98810308"</f>
        <v>98810308</v>
      </c>
      <c r="D3322" s="2" t="s">
        <v>2706</v>
      </c>
      <c r="E3322" s="4">
        <v>10500</v>
      </c>
    </row>
    <row r="3323" spans="1:5" ht="26.25" x14ac:dyDescent="0.25">
      <c r="A3323" s="2" t="s">
        <v>203</v>
      </c>
      <c r="B3323" s="2" t="str">
        <f>"4710007716243"</f>
        <v>4710007716243</v>
      </c>
      <c r="C3323" s="2" t="str">
        <f>"65816243"</f>
        <v>65816243</v>
      </c>
      <c r="D3323" s="2" t="s">
        <v>2707</v>
      </c>
      <c r="E3323" s="4">
        <v>20900</v>
      </c>
    </row>
    <row r="3324" spans="1:5" ht="26.25" x14ac:dyDescent="0.25">
      <c r="A3324" s="2" t="s">
        <v>203</v>
      </c>
      <c r="B3324" s="2" t="str">
        <f>"7168232650035"</f>
        <v>7168232650035</v>
      </c>
      <c r="C3324" s="2" t="str">
        <f>"32PRXMK003"</f>
        <v>32PRXMK003</v>
      </c>
      <c r="D3324" s="2" t="s">
        <v>2708</v>
      </c>
      <c r="E3324" s="4">
        <v>10500</v>
      </c>
    </row>
    <row r="3325" spans="1:5" ht="26.25" x14ac:dyDescent="0.25">
      <c r="A3325" s="2" t="s">
        <v>203</v>
      </c>
      <c r="B3325" s="2" t="str">
        <f>"7858816085741"</f>
        <v>7858816085741</v>
      </c>
      <c r="C3325" s="2" t="str">
        <f>"87818574"</f>
        <v>87818574</v>
      </c>
      <c r="D3325" s="2" t="s">
        <v>2709</v>
      </c>
      <c r="E3325" s="4">
        <v>14990</v>
      </c>
    </row>
    <row r="3326" spans="1:5" ht="26.25" x14ac:dyDescent="0.25">
      <c r="A3326" s="2" t="s">
        <v>203</v>
      </c>
      <c r="B3326" s="2" t="str">
        <f>"7168232650042"</f>
        <v>7168232650042</v>
      </c>
      <c r="C3326" s="2" t="str">
        <f>"32PRXMK004"</f>
        <v>32PRXMK004</v>
      </c>
      <c r="D3326" s="2" t="s">
        <v>2710</v>
      </c>
      <c r="E3326" s="4">
        <v>9990</v>
      </c>
    </row>
    <row r="3327" spans="1:5" ht="26.25" x14ac:dyDescent="0.25">
      <c r="A3327" s="2" t="s">
        <v>203</v>
      </c>
      <c r="B3327" s="2" t="str">
        <f>"7168232650059"</f>
        <v>7168232650059</v>
      </c>
      <c r="C3327" s="2" t="str">
        <f>"32PRXMK005"</f>
        <v>32PRXMK005</v>
      </c>
      <c r="D3327" s="2" t="s">
        <v>2711</v>
      </c>
      <c r="E3327" s="4">
        <v>9990</v>
      </c>
    </row>
    <row r="3328" spans="1:5" ht="26.25" x14ac:dyDescent="0.25">
      <c r="A3328" s="2" t="s">
        <v>203</v>
      </c>
      <c r="B3328" s="2" t="str">
        <f>"22810001"</f>
        <v>22810001</v>
      </c>
      <c r="C3328" s="2" t="str">
        <f>"22810001"</f>
        <v>22810001</v>
      </c>
      <c r="D3328" s="2" t="s">
        <v>2712</v>
      </c>
      <c r="E3328" s="4">
        <v>2500</v>
      </c>
    </row>
    <row r="3329" spans="1:5" ht="26.25" x14ac:dyDescent="0.25">
      <c r="A3329" s="2" t="s">
        <v>203</v>
      </c>
      <c r="B3329" s="2" t="str">
        <f>"4710007730768"</f>
        <v>4710007730768</v>
      </c>
      <c r="C3329" s="2" t="str">
        <f>"65810012"</f>
        <v>65810012</v>
      </c>
      <c r="D3329" s="2" t="s">
        <v>2713</v>
      </c>
      <c r="E3329" s="4">
        <v>9290</v>
      </c>
    </row>
    <row r="3330" spans="1:5" ht="26.25" x14ac:dyDescent="0.25">
      <c r="A3330" s="2" t="s">
        <v>203</v>
      </c>
      <c r="B3330" s="2" t="str">
        <f>"5626890043085"</f>
        <v>5626890043085</v>
      </c>
      <c r="C3330" s="2" t="str">
        <f>"28814308"</f>
        <v>28814308</v>
      </c>
      <c r="D3330" s="2" t="s">
        <v>2714</v>
      </c>
      <c r="E3330" s="4">
        <v>2200</v>
      </c>
    </row>
    <row r="3331" spans="1:5" ht="26.25" x14ac:dyDescent="0.25">
      <c r="A3331" s="2" t="s">
        <v>203</v>
      </c>
      <c r="B3331" s="2" t="str">
        <f>"8713439216745"</f>
        <v>8713439216745</v>
      </c>
      <c r="C3331" s="2" t="str">
        <f>"988121964"</f>
        <v>988121964</v>
      </c>
      <c r="D3331" s="2" t="s">
        <v>2715</v>
      </c>
      <c r="E3331" s="4">
        <v>9990</v>
      </c>
    </row>
    <row r="3332" spans="1:5" ht="26.25" x14ac:dyDescent="0.25">
      <c r="A3332" s="2" t="s">
        <v>203</v>
      </c>
      <c r="B3332" s="2" t="str">
        <f>"76300350"</f>
        <v>76300350</v>
      </c>
      <c r="C3332" s="2" t="str">
        <f>"76300350"</f>
        <v>76300350</v>
      </c>
      <c r="D3332" s="2" t="s">
        <v>2716</v>
      </c>
      <c r="E3332" s="4">
        <v>19500</v>
      </c>
    </row>
    <row r="3333" spans="1:5" ht="26.25" x14ac:dyDescent="0.25">
      <c r="A3333" s="2" t="s">
        <v>203</v>
      </c>
      <c r="B3333" s="2" t="str">
        <f>"5626890043092"</f>
        <v>5626890043092</v>
      </c>
      <c r="C3333" s="2" t="str">
        <f>"2830913056"</f>
        <v>2830913056</v>
      </c>
      <c r="D3333" s="2" t="s">
        <v>2717</v>
      </c>
      <c r="E3333" s="4">
        <v>5000</v>
      </c>
    </row>
    <row r="3334" spans="1:5" ht="26.25" x14ac:dyDescent="0.25">
      <c r="A3334" s="2" t="s">
        <v>203</v>
      </c>
      <c r="B3334" s="2" t="str">
        <f>"10000989"</f>
        <v>10000989</v>
      </c>
      <c r="C3334" s="2" t="str">
        <f>"10000989"</f>
        <v>10000989</v>
      </c>
      <c r="D3334" s="2" t="s">
        <v>2718</v>
      </c>
      <c r="E3334" s="4">
        <v>20000</v>
      </c>
    </row>
    <row r="3335" spans="1:5" ht="26.25" x14ac:dyDescent="0.25">
      <c r="A3335" s="2" t="s">
        <v>203</v>
      </c>
      <c r="B3335" s="2" t="str">
        <f>"10001096"</f>
        <v>10001096</v>
      </c>
      <c r="C3335" s="2" t="str">
        <f>"10001096"</f>
        <v>10001096</v>
      </c>
      <c r="D3335" s="2" t="s">
        <v>2719</v>
      </c>
      <c r="E3335" s="4">
        <v>7990</v>
      </c>
    </row>
    <row r="3336" spans="1:5" ht="26.25" x14ac:dyDescent="0.25">
      <c r="A3336" s="2" t="s">
        <v>21</v>
      </c>
      <c r="B3336" s="2" t="str">
        <f>"10001194"</f>
        <v>10001194</v>
      </c>
      <c r="C3336" s="2" t="str">
        <f>"10001194"</f>
        <v>10001194</v>
      </c>
      <c r="D3336" s="2" t="s">
        <v>2720</v>
      </c>
      <c r="E3336" s="2">
        <v>1</v>
      </c>
    </row>
    <row r="3337" spans="1:5" ht="26.25" x14ac:dyDescent="0.25">
      <c r="A3337" s="2" t="s">
        <v>30</v>
      </c>
      <c r="B3337" s="2" t="str">
        <f>"9289"</f>
        <v>9289</v>
      </c>
      <c r="C3337" s="2" t="str">
        <f>"98029289"</f>
        <v>98029289</v>
      </c>
      <c r="D3337" s="2" t="s">
        <v>2721</v>
      </c>
      <c r="E3337" s="4">
        <v>15990</v>
      </c>
    </row>
    <row r="3338" spans="1:5" ht="26.25" x14ac:dyDescent="0.25">
      <c r="A3338" s="2" t="s">
        <v>21</v>
      </c>
      <c r="B3338" s="2" t="str">
        <f>"66000003"</f>
        <v>66000003</v>
      </c>
      <c r="C3338" s="2" t="str">
        <f>"66000003"</f>
        <v>66000003</v>
      </c>
      <c r="D3338" s="2" t="s">
        <v>2722</v>
      </c>
      <c r="E3338" s="4">
        <v>4900</v>
      </c>
    </row>
    <row r="3339" spans="1:5" ht="26.25" x14ac:dyDescent="0.25">
      <c r="A3339" s="2" t="s">
        <v>21</v>
      </c>
      <c r="B3339" s="2" t="str">
        <f>"42104000"</f>
        <v>42104000</v>
      </c>
      <c r="C3339" s="2" t="str">
        <f>"42104000"</f>
        <v>42104000</v>
      </c>
      <c r="D3339" s="2" t="s">
        <v>2723</v>
      </c>
      <c r="E3339" s="4">
        <v>18500</v>
      </c>
    </row>
    <row r="3340" spans="1:5" ht="26.25" x14ac:dyDescent="0.25">
      <c r="A3340" s="2" t="s">
        <v>21</v>
      </c>
      <c r="B3340" s="2" t="str">
        <f>"42104010"</f>
        <v>42104010</v>
      </c>
      <c r="C3340" s="2" t="str">
        <f>"42104010"</f>
        <v>42104010</v>
      </c>
      <c r="D3340" s="2" t="s">
        <v>2724</v>
      </c>
      <c r="E3340" s="4">
        <v>21700</v>
      </c>
    </row>
    <row r="3341" spans="1:5" ht="26.25" x14ac:dyDescent="0.25">
      <c r="A3341" s="2" t="s">
        <v>2725</v>
      </c>
      <c r="B3341" s="2" t="str">
        <f>"42100260"</f>
        <v>42100260</v>
      </c>
      <c r="C3341" s="2" t="str">
        <f>"42100260"</f>
        <v>42100260</v>
      </c>
      <c r="D3341" s="2" t="s">
        <v>2726</v>
      </c>
      <c r="E3341" s="4">
        <v>6900</v>
      </c>
    </row>
    <row r="3342" spans="1:5" ht="26.25" x14ac:dyDescent="0.25">
      <c r="A3342" s="2" t="s">
        <v>921</v>
      </c>
      <c r="B3342" s="2" t="str">
        <f>"10109317"</f>
        <v>10109317</v>
      </c>
      <c r="C3342" s="2" t="str">
        <f>"10109317"</f>
        <v>10109317</v>
      </c>
      <c r="D3342" s="2" t="s">
        <v>2727</v>
      </c>
      <c r="E3342" s="4">
        <v>5500</v>
      </c>
    </row>
    <row r="3343" spans="1:5" ht="26.25" x14ac:dyDescent="0.25">
      <c r="A3343" s="2" t="s">
        <v>921</v>
      </c>
      <c r="B3343" s="2" t="str">
        <f>"66032350"</f>
        <v>66032350</v>
      </c>
      <c r="C3343" s="2" t="str">
        <f>"66032350"</f>
        <v>66032350</v>
      </c>
      <c r="D3343" s="2" t="s">
        <v>2728</v>
      </c>
      <c r="E3343" s="4">
        <v>9000</v>
      </c>
    </row>
    <row r="3344" spans="1:5" ht="26.25" x14ac:dyDescent="0.25">
      <c r="A3344" s="2" t="s">
        <v>921</v>
      </c>
      <c r="B3344" s="2" t="str">
        <f>"87001127"</f>
        <v>87001127</v>
      </c>
      <c r="C3344" s="2" t="str">
        <f>"87001127"</f>
        <v>87001127</v>
      </c>
      <c r="D3344" s="2" t="s">
        <v>2729</v>
      </c>
      <c r="E3344" s="4">
        <v>8900</v>
      </c>
    </row>
    <row r="3345" spans="1:5" ht="26.25" x14ac:dyDescent="0.25">
      <c r="A3345" s="2" t="s">
        <v>921</v>
      </c>
      <c r="B3345" s="2" t="str">
        <f>"4710007726433"</f>
        <v>4710007726433</v>
      </c>
      <c r="C3345" s="2" t="str">
        <f>"65076433"</f>
        <v>65076433</v>
      </c>
      <c r="D3345" s="2" t="s">
        <v>2730</v>
      </c>
      <c r="E3345" s="4">
        <v>6000</v>
      </c>
    </row>
    <row r="3346" spans="1:5" ht="26.25" x14ac:dyDescent="0.25">
      <c r="A3346" s="2" t="s">
        <v>925</v>
      </c>
      <c r="B3346" s="2" t="str">
        <f>"6925871617130"</f>
        <v>6925871617130</v>
      </c>
      <c r="C3346" s="2" t="str">
        <f>"22071713"</f>
        <v>22071713</v>
      </c>
      <c r="D3346" s="2" t="s">
        <v>2731</v>
      </c>
      <c r="E3346" s="4">
        <v>7490</v>
      </c>
    </row>
    <row r="3347" spans="1:5" ht="26.25" x14ac:dyDescent="0.25">
      <c r="A3347" s="2" t="s">
        <v>921</v>
      </c>
      <c r="B3347" s="2" t="str">
        <f>"6925871617345"</f>
        <v>6925871617345</v>
      </c>
      <c r="C3347" s="2" t="str">
        <f>"22071734"</f>
        <v>22071734</v>
      </c>
      <c r="D3347" s="2" t="s">
        <v>2732</v>
      </c>
      <c r="E3347" s="4">
        <v>6200</v>
      </c>
    </row>
    <row r="3348" spans="1:5" ht="26.25" x14ac:dyDescent="0.25">
      <c r="A3348" s="2" t="s">
        <v>921</v>
      </c>
      <c r="B3348" s="2" t="str">
        <f>"25622310"</f>
        <v>25622310</v>
      </c>
      <c r="C3348" s="2" t="str">
        <f>"25622310"</f>
        <v>25622310</v>
      </c>
      <c r="D3348" s="2" t="s">
        <v>2733</v>
      </c>
      <c r="E3348" s="4">
        <v>6990</v>
      </c>
    </row>
    <row r="3349" spans="1:5" ht="26.25" x14ac:dyDescent="0.25">
      <c r="A3349" s="2" t="s">
        <v>925</v>
      </c>
      <c r="B3349" s="2" t="str">
        <f>"22001413"</f>
        <v>22001413</v>
      </c>
      <c r="C3349" s="2" t="str">
        <f>"22001413"</f>
        <v>22001413</v>
      </c>
      <c r="D3349" s="2" t="s">
        <v>2734</v>
      </c>
      <c r="E3349" s="4">
        <v>9000</v>
      </c>
    </row>
    <row r="3350" spans="1:5" ht="26.25" x14ac:dyDescent="0.25">
      <c r="A3350" s="2" t="s">
        <v>925</v>
      </c>
      <c r="B3350" s="2" t="str">
        <f>"22001630"</f>
        <v>22001630</v>
      </c>
      <c r="C3350" s="2" t="str">
        <f>"22001630"</f>
        <v>22001630</v>
      </c>
      <c r="D3350" s="2" t="s">
        <v>2735</v>
      </c>
      <c r="E3350" s="4">
        <v>7500</v>
      </c>
    </row>
    <row r="3351" spans="1:5" ht="26.25" x14ac:dyDescent="0.25">
      <c r="A3351" s="2" t="s">
        <v>925</v>
      </c>
      <c r="B3351" s="2" t="str">
        <f>"6925871612104"</f>
        <v>6925871612104</v>
      </c>
      <c r="C3351" s="2" t="str">
        <f>"22071210"</f>
        <v>22071210</v>
      </c>
      <c r="D3351" s="2" t="s">
        <v>2736</v>
      </c>
      <c r="E3351" s="4">
        <v>21300</v>
      </c>
    </row>
    <row r="3352" spans="1:5" ht="26.25" x14ac:dyDescent="0.25">
      <c r="A3352" s="2" t="s">
        <v>925</v>
      </c>
      <c r="B3352" s="2" t="str">
        <f>"6925871613439"</f>
        <v>6925871613439</v>
      </c>
      <c r="C3352" s="2" t="str">
        <f>"22071343"</f>
        <v>22071343</v>
      </c>
      <c r="D3352" s="2" t="s">
        <v>2737</v>
      </c>
      <c r="E3352" s="4">
        <v>11400</v>
      </c>
    </row>
    <row r="3353" spans="1:5" ht="26.25" x14ac:dyDescent="0.25">
      <c r="A3353" s="2" t="s">
        <v>925</v>
      </c>
      <c r="B3353" s="2" t="str">
        <f>"22001573"</f>
        <v>22001573</v>
      </c>
      <c r="C3353" s="2" t="str">
        <f>"22001573"</f>
        <v>22001573</v>
      </c>
      <c r="D3353" s="2" t="s">
        <v>2738</v>
      </c>
      <c r="E3353" s="4">
        <v>12500</v>
      </c>
    </row>
    <row r="3354" spans="1:5" ht="26.25" x14ac:dyDescent="0.25">
      <c r="A3354" s="2" t="s">
        <v>925</v>
      </c>
      <c r="B3354" s="2" t="str">
        <f>"6925871617109"</f>
        <v>6925871617109</v>
      </c>
      <c r="C3354" s="2" t="str">
        <f>"22071710"</f>
        <v>22071710</v>
      </c>
      <c r="D3354" s="2" t="s">
        <v>2739</v>
      </c>
      <c r="E3354" s="4">
        <v>10990</v>
      </c>
    </row>
    <row r="3355" spans="1:5" ht="26.25" x14ac:dyDescent="0.25">
      <c r="A3355" s="2" t="s">
        <v>925</v>
      </c>
      <c r="B3355" s="2" t="str">
        <f>"6925871617635"</f>
        <v>6925871617635</v>
      </c>
      <c r="C3355" s="2" t="str">
        <f>"22071763"</f>
        <v>22071763</v>
      </c>
      <c r="D3355" s="2" t="s">
        <v>2740</v>
      </c>
      <c r="E3355" s="4">
        <v>11200</v>
      </c>
    </row>
    <row r="3356" spans="1:5" ht="26.25" x14ac:dyDescent="0.25">
      <c r="A3356" s="2" t="s">
        <v>889</v>
      </c>
      <c r="B3356" s="2" t="str">
        <f>"17730053"</f>
        <v>17730053</v>
      </c>
      <c r="C3356" s="2" t="str">
        <f>"17730053"</f>
        <v>17730053</v>
      </c>
      <c r="D3356" s="2" t="s">
        <v>2741</v>
      </c>
      <c r="E3356" s="4">
        <v>6600</v>
      </c>
    </row>
    <row r="3357" spans="1:5" ht="26.25" x14ac:dyDescent="0.25">
      <c r="A3357" s="2" t="s">
        <v>2742</v>
      </c>
      <c r="B3357" s="2" t="str">
        <f>"7894762916234"</f>
        <v>7894762916234</v>
      </c>
      <c r="C3357" s="2" t="str">
        <f>"29PLCBK701"</f>
        <v>29PLCBK701</v>
      </c>
      <c r="D3357" s="2" t="s">
        <v>2743</v>
      </c>
      <c r="E3357" s="4">
        <v>13990</v>
      </c>
    </row>
    <row r="3358" spans="1:5" ht="26.25" x14ac:dyDescent="0.25">
      <c r="A3358" s="2" t="s">
        <v>2742</v>
      </c>
      <c r="B3358" s="2" t="str">
        <f>"10003497"</f>
        <v>10003497</v>
      </c>
      <c r="C3358" s="2" t="str">
        <f>"10003497"</f>
        <v>10003497</v>
      </c>
      <c r="D3358" s="2" t="s">
        <v>2744</v>
      </c>
      <c r="E3358" s="4">
        <v>10990</v>
      </c>
    </row>
    <row r="3359" spans="1:5" ht="26.25" x14ac:dyDescent="0.25">
      <c r="A3359" s="2" t="s">
        <v>2742</v>
      </c>
      <c r="B3359" s="2" t="str">
        <f>"7803864181150"</f>
        <v>7803864181150</v>
      </c>
      <c r="C3359" s="2" t="str">
        <f>"40501150"</f>
        <v>40501150</v>
      </c>
      <c r="D3359" s="2" t="s">
        <v>2745</v>
      </c>
      <c r="E3359" s="4">
        <v>11990</v>
      </c>
    </row>
    <row r="3360" spans="1:5" ht="26.25" x14ac:dyDescent="0.25">
      <c r="A3360" s="2" t="s">
        <v>2742</v>
      </c>
      <c r="B3360" s="2" t="str">
        <f>"7858816041907"</f>
        <v>7858816041907</v>
      </c>
      <c r="C3360" s="2" t="str">
        <f>"87504190"</f>
        <v>87504190</v>
      </c>
      <c r="D3360" s="2" t="s">
        <v>2746</v>
      </c>
      <c r="E3360" s="4">
        <v>11990</v>
      </c>
    </row>
    <row r="3361" spans="1:5" ht="26.25" x14ac:dyDescent="0.25">
      <c r="A3361" s="2" t="s">
        <v>2742</v>
      </c>
      <c r="B3361" s="2" t="str">
        <f>"1456873738578"</f>
        <v>1456873738578</v>
      </c>
      <c r="C3361" s="2" t="str">
        <f>"40500003"</f>
        <v>40500003</v>
      </c>
      <c r="D3361" s="2" t="s">
        <v>2747</v>
      </c>
      <c r="E3361" s="4">
        <v>14990</v>
      </c>
    </row>
    <row r="3362" spans="1:5" ht="26.25" x14ac:dyDescent="0.25">
      <c r="A3362" s="2" t="s">
        <v>21</v>
      </c>
      <c r="B3362" s="2" t="str">
        <f>"135702668491"</f>
        <v>135702668491</v>
      </c>
      <c r="C3362" s="2" t="str">
        <f>"88520000"</f>
        <v>88520000</v>
      </c>
      <c r="D3362" s="2" t="s">
        <v>2748</v>
      </c>
      <c r="E3362" s="4">
        <v>1500</v>
      </c>
    </row>
    <row r="3363" spans="1:5" ht="26.25" x14ac:dyDescent="0.25">
      <c r="A3363" s="2" t="s">
        <v>21</v>
      </c>
      <c r="B3363" s="2" t="str">
        <f>"8669885019167"</f>
        <v>8669885019167</v>
      </c>
      <c r="C3363" s="2" t="str">
        <f>"66521916"</f>
        <v>66521916</v>
      </c>
      <c r="D3363" s="2" t="s">
        <v>2749</v>
      </c>
      <c r="E3363" s="4">
        <v>4000</v>
      </c>
    </row>
    <row r="3364" spans="1:5" ht="26.25" x14ac:dyDescent="0.25">
      <c r="A3364" s="2" t="s">
        <v>21</v>
      </c>
      <c r="B3364" s="2" t="str">
        <f>"10003435"</f>
        <v>10003435</v>
      </c>
      <c r="C3364" s="2" t="str">
        <f>"10003435"</f>
        <v>10003435</v>
      </c>
      <c r="D3364" s="2" t="s">
        <v>2750</v>
      </c>
      <c r="E3364" s="4">
        <v>29900</v>
      </c>
    </row>
    <row r="3365" spans="1:5" ht="26.25" x14ac:dyDescent="0.25">
      <c r="A3365" s="2" t="s">
        <v>21</v>
      </c>
      <c r="B3365" s="2" t="str">
        <f>"98520506"</f>
        <v>98520506</v>
      </c>
      <c r="C3365" s="2" t="str">
        <f>"98520506"</f>
        <v>98520506</v>
      </c>
      <c r="D3365" s="2" t="s">
        <v>2751</v>
      </c>
      <c r="E3365" s="4">
        <v>8134</v>
      </c>
    </row>
    <row r="3366" spans="1:5" ht="26.25" x14ac:dyDescent="0.25">
      <c r="A3366" s="2" t="s">
        <v>889</v>
      </c>
      <c r="B3366" s="2" t="str">
        <f>"46730000"</f>
        <v>46730000</v>
      </c>
      <c r="C3366" s="2" t="str">
        <f>"46730000"</f>
        <v>46730000</v>
      </c>
      <c r="D3366" s="2" t="s">
        <v>2752</v>
      </c>
      <c r="E3366" s="4">
        <v>5500</v>
      </c>
    </row>
    <row r="3367" spans="1:5" ht="26.25" x14ac:dyDescent="0.25">
      <c r="A3367" s="2" t="s">
        <v>889</v>
      </c>
      <c r="B3367" s="2" t="str">
        <f>"10001388"</f>
        <v>10001388</v>
      </c>
      <c r="C3367" s="2" t="str">
        <f>"10001388"</f>
        <v>10001388</v>
      </c>
      <c r="D3367" s="2" t="s">
        <v>2753</v>
      </c>
      <c r="E3367" s="4">
        <v>11990</v>
      </c>
    </row>
    <row r="3368" spans="1:5" ht="26.25" x14ac:dyDescent="0.25">
      <c r="A3368" s="2" t="s">
        <v>889</v>
      </c>
      <c r="B3368" s="2" t="str">
        <f>"10001286"</f>
        <v>10001286</v>
      </c>
      <c r="C3368" s="2" t="str">
        <f>"10001286"</f>
        <v>10001286</v>
      </c>
      <c r="D3368" s="2" t="s">
        <v>2754</v>
      </c>
      <c r="E3368" s="4">
        <v>9000</v>
      </c>
    </row>
    <row r="3369" spans="1:5" ht="26.25" x14ac:dyDescent="0.25">
      <c r="A3369" s="2" t="s">
        <v>2725</v>
      </c>
      <c r="B3369" s="2" t="str">
        <f>"10003716"</f>
        <v>10003716</v>
      </c>
      <c r="C3369" s="2" t="str">
        <f>"10003716"</f>
        <v>10003716</v>
      </c>
      <c r="D3369" s="2" t="s">
        <v>2755</v>
      </c>
      <c r="E3369" s="4">
        <v>5100</v>
      </c>
    </row>
    <row r="3370" spans="1:5" x14ac:dyDescent="0.25">
      <c r="A3370" s="2" t="s">
        <v>2037</v>
      </c>
      <c r="B3370" s="2" t="str">
        <f>"1495836291335"</f>
        <v>1495836291335</v>
      </c>
      <c r="C3370" s="2" t="str">
        <f>"12345"</f>
        <v>12345</v>
      </c>
      <c r="D3370" s="2" t="s">
        <v>2756</v>
      </c>
      <c r="E3370" s="4">
        <v>6700</v>
      </c>
    </row>
    <row r="3371" spans="1:5" ht="26.25" x14ac:dyDescent="0.25">
      <c r="A3371" s="2" t="s">
        <v>2725</v>
      </c>
      <c r="B3371" s="2" t="str">
        <f>"6923408919689"</f>
        <v>6923408919689</v>
      </c>
      <c r="C3371" s="2" t="str">
        <f>"40200110"</f>
        <v>40200110</v>
      </c>
      <c r="D3371" s="2" t="s">
        <v>2757</v>
      </c>
      <c r="E3371" s="4">
        <v>6990</v>
      </c>
    </row>
    <row r="3372" spans="1:5" ht="26.25" x14ac:dyDescent="0.25">
      <c r="A3372" s="2" t="s">
        <v>2725</v>
      </c>
      <c r="B3372" s="2" t="str">
        <f>"6925871636063"</f>
        <v>6925871636063</v>
      </c>
      <c r="C3372" s="2" t="str">
        <f>"98203606"</f>
        <v>98203606</v>
      </c>
      <c r="D3372" s="2" t="s">
        <v>2758</v>
      </c>
      <c r="E3372" s="4">
        <v>4990</v>
      </c>
    </row>
    <row r="3373" spans="1:5" ht="26.25" x14ac:dyDescent="0.25">
      <c r="A3373" s="2" t="s">
        <v>2725</v>
      </c>
      <c r="B3373" s="2" t="str">
        <f>"7809601115983"</f>
        <v>7809601115983</v>
      </c>
      <c r="C3373" s="2" t="str">
        <f>"92300304"</f>
        <v>92300304</v>
      </c>
      <c r="D3373" s="2" t="s">
        <v>2759</v>
      </c>
      <c r="E3373" s="4">
        <v>7990</v>
      </c>
    </row>
    <row r="3374" spans="1:5" ht="26.25" x14ac:dyDescent="0.25">
      <c r="A3374" s="2" t="s">
        <v>2725</v>
      </c>
      <c r="B3374" s="2" t="str">
        <f>"7809601116010"</f>
        <v>7809601116010</v>
      </c>
      <c r="C3374" s="2" t="str">
        <f>"92300520"</f>
        <v>92300520</v>
      </c>
      <c r="D3374" s="2" t="s">
        <v>2760</v>
      </c>
      <c r="E3374" s="4">
        <v>14990</v>
      </c>
    </row>
    <row r="3375" spans="1:5" ht="26.25" x14ac:dyDescent="0.25">
      <c r="A3375" s="2" t="s">
        <v>2725</v>
      </c>
      <c r="B3375" s="2" t="str">
        <f>"7809601115990"</f>
        <v>7809601115990</v>
      </c>
      <c r="C3375" s="2" t="str">
        <f>"92300532"</f>
        <v>92300532</v>
      </c>
      <c r="D3375" s="2" t="s">
        <v>2761</v>
      </c>
      <c r="E3375" s="4">
        <v>9990</v>
      </c>
    </row>
    <row r="3376" spans="1:5" ht="26.25" x14ac:dyDescent="0.25">
      <c r="A3376" s="2" t="s">
        <v>2725</v>
      </c>
      <c r="B3376" s="2" t="str">
        <f>"7809601116003"</f>
        <v>7809601116003</v>
      </c>
      <c r="C3376" s="2" t="str">
        <f>"92300539"</f>
        <v>92300539</v>
      </c>
      <c r="D3376" s="2" t="s">
        <v>2762</v>
      </c>
      <c r="E3376" s="4">
        <v>14990</v>
      </c>
    </row>
    <row r="3377" spans="1:5" ht="26.25" x14ac:dyDescent="0.25">
      <c r="A3377" s="2" t="s">
        <v>2725</v>
      </c>
      <c r="B3377" s="2" t="str">
        <f>"7858816038761"</f>
        <v>7858816038761</v>
      </c>
      <c r="C3377" s="2" t="str">
        <f>"87203876"</f>
        <v>87203876</v>
      </c>
      <c r="D3377" s="2" t="s">
        <v>2763</v>
      </c>
      <c r="E3377" s="4">
        <v>14990</v>
      </c>
    </row>
    <row r="3378" spans="1:5" ht="26.25" x14ac:dyDescent="0.25">
      <c r="A3378" s="2" t="s">
        <v>2725</v>
      </c>
      <c r="B3378" s="2" t="str">
        <f>"7858816081750"</f>
        <v>7858816081750</v>
      </c>
      <c r="C3378" s="2" t="str">
        <f>"87208175"</f>
        <v>87208175</v>
      </c>
      <c r="D3378" s="2" t="s">
        <v>2764</v>
      </c>
      <c r="E3378" s="4">
        <v>11990</v>
      </c>
    </row>
    <row r="3379" spans="1:5" ht="26.25" x14ac:dyDescent="0.25">
      <c r="A3379" s="2" t="s">
        <v>2725</v>
      </c>
      <c r="B3379" s="2" t="str">
        <f>"7858816083334"</f>
        <v>7858816083334</v>
      </c>
      <c r="C3379" s="2" t="str">
        <f>"87208333"</f>
        <v>87208333</v>
      </c>
      <c r="D3379" s="2" t="s">
        <v>2765</v>
      </c>
      <c r="E3379" s="4">
        <v>15000</v>
      </c>
    </row>
    <row r="3380" spans="1:5" ht="26.25" x14ac:dyDescent="0.25">
      <c r="A3380" s="2" t="s">
        <v>2725</v>
      </c>
      <c r="B3380" s="2" t="str">
        <f>"6927900010219"</f>
        <v>6927900010219</v>
      </c>
      <c r="C3380" s="2" t="str">
        <f>"25200007"</f>
        <v>25200007</v>
      </c>
      <c r="D3380" s="2" t="s">
        <v>2766</v>
      </c>
      <c r="E3380" s="4">
        <v>16990</v>
      </c>
    </row>
    <row r="3381" spans="1:5" ht="26.25" x14ac:dyDescent="0.25">
      <c r="A3381" s="2" t="s">
        <v>2725</v>
      </c>
      <c r="B3381" s="2" t="str">
        <f>"798302162341"</f>
        <v>798302162341</v>
      </c>
      <c r="C3381" s="2" t="str">
        <f>"92200410"</f>
        <v>92200410</v>
      </c>
      <c r="D3381" s="2" t="s">
        <v>2767</v>
      </c>
      <c r="E3381" s="4">
        <v>12990</v>
      </c>
    </row>
    <row r="3382" spans="1:5" ht="26.25" x14ac:dyDescent="0.25">
      <c r="A3382" s="2" t="s">
        <v>2725</v>
      </c>
      <c r="B3382" s="2" t="str">
        <f>"4710268251477"</f>
        <v>4710268251477</v>
      </c>
      <c r="C3382" s="2" t="str">
        <f>"92300110"</f>
        <v>92300110</v>
      </c>
      <c r="D3382" s="2" t="s">
        <v>2768</v>
      </c>
      <c r="E3382" s="4">
        <v>5990</v>
      </c>
    </row>
    <row r="3383" spans="1:5" ht="26.25" x14ac:dyDescent="0.25">
      <c r="A3383" s="2" t="s">
        <v>2725</v>
      </c>
      <c r="B3383" s="2" t="str">
        <f>"091163251477"</f>
        <v>091163251477</v>
      </c>
      <c r="C3383" s="2" t="str">
        <f>"98200110"</f>
        <v>98200110</v>
      </c>
      <c r="D3383" s="2" t="s">
        <v>2768</v>
      </c>
      <c r="E3383" s="4">
        <v>5990</v>
      </c>
    </row>
    <row r="3384" spans="1:5" ht="26.25" x14ac:dyDescent="0.25">
      <c r="A3384" s="2" t="s">
        <v>2725</v>
      </c>
      <c r="B3384" s="2" t="str">
        <f>"091163251484"</f>
        <v>091163251484</v>
      </c>
      <c r="C3384" s="2" t="str">
        <f>"29GEND110B"</f>
        <v>29GEND110B</v>
      </c>
      <c r="D3384" s="2" t="s">
        <v>2768</v>
      </c>
      <c r="E3384" s="4">
        <v>5990</v>
      </c>
    </row>
    <row r="3385" spans="1:5" ht="26.25" x14ac:dyDescent="0.25">
      <c r="A3385" s="2" t="s">
        <v>2725</v>
      </c>
      <c r="B3385" s="2" t="str">
        <f>"4710268250975"</f>
        <v>4710268250975</v>
      </c>
      <c r="C3385" s="2" t="str">
        <f>"92200120"</f>
        <v>92200120</v>
      </c>
      <c r="D3385" s="2" t="s">
        <v>2769</v>
      </c>
      <c r="E3385" s="4">
        <v>5990</v>
      </c>
    </row>
    <row r="3386" spans="1:5" ht="26.25" x14ac:dyDescent="0.25">
      <c r="A3386" s="2" t="s">
        <v>2725</v>
      </c>
      <c r="B3386" s="2" t="str">
        <f>"4710268252269"</f>
        <v>4710268252269</v>
      </c>
      <c r="C3386" s="2" t="str">
        <f>"29GEN150XN"</f>
        <v>29GEN150XN</v>
      </c>
      <c r="D3386" s="2" t="s">
        <v>2770</v>
      </c>
      <c r="E3386" s="4">
        <v>6990</v>
      </c>
    </row>
    <row r="3387" spans="1:5" ht="26.25" x14ac:dyDescent="0.25">
      <c r="A3387" s="2" t="s">
        <v>2725</v>
      </c>
      <c r="B3387" s="2" t="str">
        <f>"4710268227885"</f>
        <v>4710268227885</v>
      </c>
      <c r="C3387" s="2" t="str">
        <f>"92507885"</f>
        <v>92507885</v>
      </c>
      <c r="D3387" s="2" t="s">
        <v>2771</v>
      </c>
      <c r="E3387" s="4">
        <v>8990</v>
      </c>
    </row>
    <row r="3388" spans="1:5" ht="26.25" x14ac:dyDescent="0.25">
      <c r="A3388" s="2" t="s">
        <v>2725</v>
      </c>
      <c r="B3388" s="2" t="str">
        <f>"6948391225708"</f>
        <v>6948391225708</v>
      </c>
      <c r="C3388" s="2" t="str">
        <f>"40200160"</f>
        <v>40200160</v>
      </c>
      <c r="D3388" s="2" t="s">
        <v>2772</v>
      </c>
      <c r="E3388" s="4">
        <v>19990</v>
      </c>
    </row>
    <row r="3389" spans="1:5" ht="26.25" x14ac:dyDescent="0.25">
      <c r="A3389" s="2" t="s">
        <v>2725</v>
      </c>
      <c r="B3389" s="2" t="str">
        <f>"6948391225111"</f>
        <v>6948391225111</v>
      </c>
      <c r="C3389" s="2" t="str">
        <f>"92200100"</f>
        <v>92200100</v>
      </c>
      <c r="D3389" s="2" t="s">
        <v>2773</v>
      </c>
      <c r="E3389" s="4">
        <v>8990</v>
      </c>
    </row>
    <row r="3390" spans="1:5" ht="26.25" x14ac:dyDescent="0.25">
      <c r="A3390" s="2" t="s">
        <v>2725</v>
      </c>
      <c r="B3390" s="2" t="str">
        <f>"6948391225517"</f>
        <v>6948391225517</v>
      </c>
      <c r="C3390" s="2" t="str">
        <f>"92209470"</f>
        <v>92209470</v>
      </c>
      <c r="D3390" s="2" t="s">
        <v>2774</v>
      </c>
      <c r="E3390" s="4">
        <v>12990</v>
      </c>
    </row>
    <row r="3391" spans="1:5" ht="26.25" x14ac:dyDescent="0.25">
      <c r="A3391" s="2" t="s">
        <v>2725</v>
      </c>
      <c r="B3391" s="2" t="str">
        <f>"798302076266"</f>
        <v>798302076266</v>
      </c>
      <c r="C3391" s="2" t="str">
        <f>"92200111"</f>
        <v>92200111</v>
      </c>
      <c r="D3391" s="2" t="s">
        <v>2775</v>
      </c>
      <c r="E3391" s="4">
        <v>5990</v>
      </c>
    </row>
    <row r="3392" spans="1:5" ht="26.25" x14ac:dyDescent="0.25">
      <c r="A3392" s="2" t="s">
        <v>2725</v>
      </c>
      <c r="B3392" s="2" t="str">
        <f>"097855142702"</f>
        <v>097855142702</v>
      </c>
      <c r="C3392" s="2" t="str">
        <f>"29LOG110BK"</f>
        <v>29LOG110BK</v>
      </c>
      <c r="D3392" s="2" t="s">
        <v>2776</v>
      </c>
      <c r="E3392" s="4">
        <v>7990</v>
      </c>
    </row>
    <row r="3393" spans="1:5" ht="26.25" x14ac:dyDescent="0.25">
      <c r="A3393" s="2" t="s">
        <v>2725</v>
      </c>
      <c r="B3393" s="2" t="str">
        <f>"097855102355"</f>
        <v>097855102355</v>
      </c>
      <c r="C3393" s="2" t="str">
        <f>"29LOGMA900"</f>
        <v>29LOGMA900</v>
      </c>
      <c r="D3393" s="2" t="s">
        <v>2777</v>
      </c>
      <c r="E3393" s="4">
        <v>6500</v>
      </c>
    </row>
    <row r="3394" spans="1:5" ht="26.25" x14ac:dyDescent="0.25">
      <c r="A3394" s="2" t="s">
        <v>2725</v>
      </c>
      <c r="B3394" s="2" t="str">
        <f>"8712581757984"</f>
        <v>8712581757984</v>
      </c>
      <c r="C3394" s="2" t="str">
        <f>"92207325"</f>
        <v>92207325</v>
      </c>
      <c r="D3394" s="2" t="s">
        <v>2778</v>
      </c>
      <c r="E3394" s="4">
        <v>6990</v>
      </c>
    </row>
    <row r="3395" spans="1:5" ht="26.25" x14ac:dyDescent="0.25">
      <c r="A3395" s="2" t="s">
        <v>2725</v>
      </c>
      <c r="B3395" s="2" t="str">
        <f>"8712581758004"</f>
        <v>8712581758004</v>
      </c>
      <c r="C3395" s="2" t="str">
        <f>"92200297"</f>
        <v>92200297</v>
      </c>
      <c r="D3395" s="2" t="s">
        <v>2779</v>
      </c>
      <c r="E3395" s="4">
        <v>8000</v>
      </c>
    </row>
    <row r="3396" spans="1:5" ht="26.25" x14ac:dyDescent="0.25">
      <c r="A3396" s="2" t="s">
        <v>2725</v>
      </c>
      <c r="B3396" s="2" t="str">
        <f>"8712581754723"</f>
        <v>8712581754723</v>
      </c>
      <c r="C3396" s="2" t="str">
        <f>"98209413"</f>
        <v>98209413</v>
      </c>
      <c r="D3396" s="2" t="s">
        <v>2780</v>
      </c>
      <c r="E3396" s="4">
        <v>21990</v>
      </c>
    </row>
    <row r="3397" spans="1:5" ht="26.25" x14ac:dyDescent="0.25">
      <c r="A3397" s="2" t="s">
        <v>2725</v>
      </c>
      <c r="B3397" s="2" t="str">
        <f>"10000868"</f>
        <v>10000868</v>
      </c>
      <c r="C3397" s="2" t="str">
        <f>"10000868"</f>
        <v>10000868</v>
      </c>
      <c r="D3397" s="2" t="s">
        <v>2781</v>
      </c>
      <c r="E3397" s="4">
        <v>4990</v>
      </c>
    </row>
    <row r="3398" spans="1:5" ht="26.25" x14ac:dyDescent="0.25">
      <c r="A3398" s="2" t="s">
        <v>2725</v>
      </c>
      <c r="B3398" s="2" t="str">
        <f>"7796941037900"</f>
        <v>7796941037900</v>
      </c>
      <c r="C3398" s="2" t="str">
        <f>"98100460"</f>
        <v>98100460</v>
      </c>
      <c r="D3398" s="2" t="s">
        <v>2782</v>
      </c>
      <c r="E3398" s="4">
        <v>6000</v>
      </c>
    </row>
    <row r="3399" spans="1:5" ht="26.25" x14ac:dyDescent="0.25">
      <c r="A3399" s="2" t="s">
        <v>2725</v>
      </c>
      <c r="B3399" s="2" t="str">
        <f>"8713439237337"</f>
        <v>8713439237337</v>
      </c>
      <c r="C3399" s="2" t="str">
        <f>"92307337"</f>
        <v>92307337</v>
      </c>
      <c r="D3399" s="2" t="s">
        <v>2783</v>
      </c>
      <c r="E3399" s="4">
        <v>6990</v>
      </c>
    </row>
    <row r="3400" spans="1:5" ht="26.25" x14ac:dyDescent="0.25">
      <c r="A3400" s="2" t="s">
        <v>2725</v>
      </c>
      <c r="B3400" s="2" t="str">
        <f>"8713439229349"</f>
        <v>8713439229349</v>
      </c>
      <c r="C3400" s="2" t="str">
        <f>"92204111"</f>
        <v>92204111</v>
      </c>
      <c r="D3400" s="2" t="s">
        <v>2784</v>
      </c>
      <c r="E3400" s="4">
        <v>21990</v>
      </c>
    </row>
    <row r="3401" spans="1:5" ht="26.25" x14ac:dyDescent="0.25">
      <c r="A3401" s="2" t="s">
        <v>2725</v>
      </c>
      <c r="B3401" s="2" t="str">
        <f>"8713439219470"</f>
        <v>8713439219470</v>
      </c>
      <c r="C3401" s="2" t="str">
        <f>"92309470"</f>
        <v>92309470</v>
      </c>
      <c r="D3401" s="2" t="s">
        <v>2785</v>
      </c>
      <c r="E3401" s="4">
        <v>5990</v>
      </c>
    </row>
    <row r="3402" spans="1:5" ht="26.25" x14ac:dyDescent="0.25">
      <c r="A3402" s="2" t="s">
        <v>2725</v>
      </c>
      <c r="B3402" s="2" t="str">
        <f>"7168297107772"</f>
        <v>7168297107772</v>
      </c>
      <c r="C3402" s="2" t="str">
        <f>"98200120"</f>
        <v>98200120</v>
      </c>
      <c r="D3402" s="2" t="s">
        <v>2786</v>
      </c>
      <c r="E3402" s="4">
        <v>3500</v>
      </c>
    </row>
    <row r="3403" spans="1:5" ht="26.25" x14ac:dyDescent="0.25">
      <c r="A3403" s="2" t="s">
        <v>2725</v>
      </c>
      <c r="B3403" s="2" t="str">
        <f>"798302162204"</f>
        <v>798302162204</v>
      </c>
      <c r="C3403" s="2" t="str">
        <f>"92200165"</f>
        <v>92200165</v>
      </c>
      <c r="D3403" s="2" t="s">
        <v>2787</v>
      </c>
      <c r="E3403" s="4">
        <v>6000</v>
      </c>
    </row>
    <row r="3404" spans="1:5" ht="26.25" x14ac:dyDescent="0.25">
      <c r="A3404" s="2" t="s">
        <v>2725</v>
      </c>
      <c r="B3404" s="2" t="str">
        <f>"798302165021"</f>
        <v>798302165021</v>
      </c>
      <c r="C3404" s="2" t="str">
        <f>"92200175"</f>
        <v>92200175</v>
      </c>
      <c r="D3404" s="2" t="s">
        <v>2788</v>
      </c>
      <c r="E3404" s="4">
        <v>6500</v>
      </c>
    </row>
    <row r="3405" spans="1:5" ht="26.25" x14ac:dyDescent="0.25">
      <c r="A3405" s="2" t="s">
        <v>2725</v>
      </c>
      <c r="B3405" s="2" t="str">
        <f>"10002283"</f>
        <v>10002283</v>
      </c>
      <c r="C3405" s="2" t="str">
        <f>"10002283"</f>
        <v>10002283</v>
      </c>
      <c r="D3405" s="2" t="s">
        <v>2789</v>
      </c>
      <c r="E3405" s="4">
        <v>4500</v>
      </c>
    </row>
    <row r="3406" spans="1:5" ht="26.25" x14ac:dyDescent="0.25">
      <c r="A3406" s="2" t="s">
        <v>2725</v>
      </c>
      <c r="B3406" s="2" t="str">
        <f>"10002752"</f>
        <v>10002752</v>
      </c>
      <c r="C3406" s="2" t="str">
        <f>"10002752"</f>
        <v>10002752</v>
      </c>
      <c r="D3406" s="2" t="s">
        <v>2790</v>
      </c>
      <c r="E3406" s="4">
        <v>2500</v>
      </c>
    </row>
    <row r="3407" spans="1:5" ht="26.25" x14ac:dyDescent="0.25">
      <c r="A3407" s="2" t="s">
        <v>2725</v>
      </c>
      <c r="B3407" s="2" t="str">
        <f>"6927900067817"</f>
        <v>6927900067817</v>
      </c>
      <c r="C3407" s="2" t="str">
        <f>"98206781"</f>
        <v>98206781</v>
      </c>
      <c r="D3407" s="2" t="s">
        <v>2791</v>
      </c>
      <c r="E3407" s="4">
        <v>7990</v>
      </c>
    </row>
    <row r="3408" spans="1:5" ht="26.25" x14ac:dyDescent="0.25">
      <c r="A3408" s="2" t="s">
        <v>2725</v>
      </c>
      <c r="B3408" s="2" t="str">
        <f>"7796941037894"</f>
        <v>7796941037894</v>
      </c>
      <c r="C3408" s="2" t="str">
        <f>"42100455"</f>
        <v>42100455</v>
      </c>
      <c r="D3408" s="2" t="s">
        <v>2792</v>
      </c>
      <c r="E3408" s="4">
        <v>3500</v>
      </c>
    </row>
    <row r="3409" spans="1:5" ht="26.25" x14ac:dyDescent="0.25">
      <c r="A3409" s="2" t="s">
        <v>2725</v>
      </c>
      <c r="B3409" s="2" t="str">
        <f>"4865985426650"</f>
        <v>4865985426650</v>
      </c>
      <c r="C3409" s="2" t="str">
        <f>"10001398"</f>
        <v>10001398</v>
      </c>
      <c r="D3409" s="2" t="s">
        <v>2793</v>
      </c>
      <c r="E3409" s="4">
        <v>2500</v>
      </c>
    </row>
    <row r="3410" spans="1:5" ht="26.25" x14ac:dyDescent="0.25">
      <c r="A3410" s="2" t="s">
        <v>2725</v>
      </c>
      <c r="B3410" s="2" t="str">
        <f>"8518783700014"</f>
        <v>8518783700014</v>
      </c>
      <c r="C3410" s="2" t="str">
        <f>"100015926"</f>
        <v>100015926</v>
      </c>
      <c r="D3410" s="2" t="s">
        <v>2794</v>
      </c>
      <c r="E3410" s="4">
        <v>1990</v>
      </c>
    </row>
    <row r="3411" spans="1:5" ht="26.25" x14ac:dyDescent="0.25">
      <c r="A3411" s="2" t="s">
        <v>2725</v>
      </c>
      <c r="B3411" s="2" t="str">
        <f>"6925871635776"</f>
        <v>6925871635776</v>
      </c>
      <c r="C3411" s="2" t="str">
        <f>"22203577"</f>
        <v>22203577</v>
      </c>
      <c r="D3411" s="2" t="s">
        <v>2795</v>
      </c>
      <c r="E3411" s="4">
        <v>6300</v>
      </c>
    </row>
    <row r="3412" spans="1:5" ht="26.25" x14ac:dyDescent="0.25">
      <c r="A3412" s="2" t="s">
        <v>2725</v>
      </c>
      <c r="B3412" s="2" t="str">
        <f>"10003262"</f>
        <v>10003262</v>
      </c>
      <c r="C3412" s="2" t="str">
        <f>"10003262"</f>
        <v>10003262</v>
      </c>
      <c r="D3412" s="2" t="s">
        <v>2796</v>
      </c>
      <c r="E3412" s="4">
        <v>7200</v>
      </c>
    </row>
    <row r="3413" spans="1:5" ht="26.25" x14ac:dyDescent="0.25">
      <c r="A3413" s="2" t="s">
        <v>2725</v>
      </c>
      <c r="B3413" s="2" t="str">
        <f>"10003740"</f>
        <v>10003740</v>
      </c>
      <c r="C3413" s="2" t="str">
        <f>"10003740"</f>
        <v>10003740</v>
      </c>
      <c r="D3413" s="2" t="s">
        <v>2797</v>
      </c>
      <c r="E3413" s="4">
        <v>5500</v>
      </c>
    </row>
    <row r="3414" spans="1:5" ht="26.25" x14ac:dyDescent="0.25">
      <c r="A3414" s="2" t="s">
        <v>2725</v>
      </c>
      <c r="B3414" s="2" t="str">
        <f>"85200001"</f>
        <v>85200001</v>
      </c>
      <c r="C3414" s="2" t="str">
        <f>"85200001"</f>
        <v>85200001</v>
      </c>
      <c r="D3414" s="2" t="s">
        <v>2798</v>
      </c>
      <c r="E3414" s="4">
        <v>9990</v>
      </c>
    </row>
    <row r="3415" spans="1:5" ht="26.25" x14ac:dyDescent="0.25">
      <c r="A3415" s="2" t="s">
        <v>2725</v>
      </c>
      <c r="B3415" s="2" t="str">
        <f>"6925871635202"</f>
        <v>6925871635202</v>
      </c>
      <c r="C3415" s="2" t="str">
        <f>"98203520"</f>
        <v>98203520</v>
      </c>
      <c r="D3415" s="2" t="s">
        <v>2799</v>
      </c>
      <c r="E3415" s="4">
        <v>3990</v>
      </c>
    </row>
    <row r="3416" spans="1:5" ht="26.25" x14ac:dyDescent="0.25">
      <c r="A3416" s="2" t="s">
        <v>2725</v>
      </c>
      <c r="B3416" s="2" t="str">
        <f>"6925871636513"</f>
        <v>6925871636513</v>
      </c>
      <c r="C3416" s="2" t="str">
        <f>"22203651"</f>
        <v>22203651</v>
      </c>
      <c r="D3416" s="2" t="s">
        <v>2800</v>
      </c>
      <c r="E3416" s="4">
        <v>9990</v>
      </c>
    </row>
    <row r="3417" spans="1:5" ht="26.25" x14ac:dyDescent="0.25">
      <c r="A3417" s="2" t="s">
        <v>2725</v>
      </c>
      <c r="B3417" s="2" t="str">
        <f>"6925871636520"</f>
        <v>6925871636520</v>
      </c>
      <c r="C3417" s="2" t="str">
        <f>"22203652"</f>
        <v>22203652</v>
      </c>
      <c r="D3417" s="2" t="s">
        <v>2801</v>
      </c>
      <c r="E3417" s="4">
        <v>9990</v>
      </c>
    </row>
    <row r="3418" spans="1:5" ht="26.25" x14ac:dyDescent="0.25">
      <c r="A3418" s="2" t="s">
        <v>2725</v>
      </c>
      <c r="B3418" s="2" t="str">
        <f>"85200015"</f>
        <v>85200015</v>
      </c>
      <c r="C3418" s="2" t="str">
        <f>"85200015"</f>
        <v>85200015</v>
      </c>
      <c r="D3418" s="2" t="s">
        <v>2802</v>
      </c>
      <c r="E3418" s="4">
        <v>14990</v>
      </c>
    </row>
    <row r="3419" spans="1:5" ht="26.25" x14ac:dyDescent="0.25">
      <c r="A3419" s="2" t="s">
        <v>2725</v>
      </c>
      <c r="B3419" s="2" t="str">
        <f>"6977881231004"</f>
        <v>6977881231004</v>
      </c>
      <c r="C3419" s="2" t="str">
        <f>"10202212"</f>
        <v>10202212</v>
      </c>
      <c r="D3419" s="2" t="s">
        <v>2803</v>
      </c>
      <c r="E3419" s="4">
        <v>8900</v>
      </c>
    </row>
    <row r="3420" spans="1:5" ht="26.25" x14ac:dyDescent="0.25">
      <c r="A3420" s="2" t="s">
        <v>2725</v>
      </c>
      <c r="B3420" s="2" t="str">
        <f>"85200550"</f>
        <v>85200550</v>
      </c>
      <c r="C3420" s="2" t="str">
        <f>"85200550"</f>
        <v>85200550</v>
      </c>
      <c r="D3420" s="2" t="s">
        <v>2804</v>
      </c>
      <c r="E3420" s="4">
        <v>14990</v>
      </c>
    </row>
    <row r="3421" spans="1:5" ht="26.25" x14ac:dyDescent="0.25">
      <c r="A3421" s="2" t="s">
        <v>2725</v>
      </c>
      <c r="B3421" s="2" t="str">
        <f>"10202410"</f>
        <v>10202410</v>
      </c>
      <c r="C3421" s="2" t="str">
        <f>"10202410"</f>
        <v>10202410</v>
      </c>
      <c r="D3421" s="2" t="s">
        <v>2805</v>
      </c>
      <c r="E3421" s="4">
        <v>5900</v>
      </c>
    </row>
    <row r="3422" spans="1:5" ht="26.25" x14ac:dyDescent="0.25">
      <c r="A3422" s="2" t="s">
        <v>2725</v>
      </c>
      <c r="B3422" s="2" t="str">
        <f>"7858816073014"</f>
        <v>7858816073014</v>
      </c>
      <c r="C3422" s="2" t="str">
        <f>"87107301"</f>
        <v>87107301</v>
      </c>
      <c r="D3422" s="2" t="s">
        <v>2806</v>
      </c>
      <c r="E3422" s="4">
        <v>9990</v>
      </c>
    </row>
    <row r="3423" spans="1:5" ht="26.25" x14ac:dyDescent="0.25">
      <c r="A3423" s="2" t="s">
        <v>2725</v>
      </c>
      <c r="B3423" s="2" t="str">
        <f>"6972543651336"</f>
        <v>6972543651336</v>
      </c>
      <c r="C3423" s="2" t="str">
        <f>"22200090"</f>
        <v>22200090</v>
      </c>
      <c r="D3423" s="2" t="s">
        <v>2807</v>
      </c>
      <c r="E3423" s="4">
        <v>11990</v>
      </c>
    </row>
    <row r="3424" spans="1:5" ht="26.25" x14ac:dyDescent="0.25">
      <c r="A3424" s="2" t="s">
        <v>2725</v>
      </c>
      <c r="B3424" s="2" t="str">
        <f>"2017081100091"</f>
        <v>2017081100091</v>
      </c>
      <c r="C3424" s="2" t="str">
        <f>"10002773"</f>
        <v>10002773</v>
      </c>
      <c r="D3424" s="2" t="s">
        <v>2808</v>
      </c>
      <c r="E3424" s="4">
        <v>10900</v>
      </c>
    </row>
    <row r="3425" spans="1:5" ht="26.25" x14ac:dyDescent="0.25">
      <c r="A3425" s="2" t="s">
        <v>2725</v>
      </c>
      <c r="B3425" s="2" t="str">
        <f>"8699045800076"</f>
        <v>8699045800076</v>
      </c>
      <c r="C3425" s="2" t="str">
        <f>"10002956"</f>
        <v>10002956</v>
      </c>
      <c r="D3425" s="2" t="s">
        <v>2809</v>
      </c>
      <c r="E3425" s="4">
        <v>10500</v>
      </c>
    </row>
    <row r="3426" spans="1:5" ht="26.25" x14ac:dyDescent="0.25">
      <c r="A3426" s="2" t="s">
        <v>2725</v>
      </c>
      <c r="B3426" s="2" t="str">
        <f>"20200905T91"</f>
        <v>20200905T91</v>
      </c>
      <c r="C3426" s="2" t="str">
        <f>"76200091"</f>
        <v>76200091</v>
      </c>
      <c r="D3426" s="2" t="s">
        <v>2810</v>
      </c>
      <c r="E3426" s="4">
        <v>14990</v>
      </c>
    </row>
    <row r="3427" spans="1:5" ht="26.25" x14ac:dyDescent="0.25">
      <c r="A3427" s="2" t="s">
        <v>2725</v>
      </c>
      <c r="B3427" s="2" t="str">
        <f>"20190901000X7"</f>
        <v>20190901000X7</v>
      </c>
      <c r="C3427" s="2" t="str">
        <f>"76201007"</f>
        <v>76201007</v>
      </c>
      <c r="D3427" s="2" t="s">
        <v>2811</v>
      </c>
      <c r="E3427" s="4">
        <v>11990</v>
      </c>
    </row>
    <row r="3428" spans="1:5" ht="26.25" x14ac:dyDescent="0.25">
      <c r="A3428" s="2" t="s">
        <v>2725</v>
      </c>
      <c r="B3428" s="2" t="str">
        <f>"20200905000X8"</f>
        <v>20200905000X8</v>
      </c>
      <c r="C3428" s="2" t="str">
        <f>"76205008"</f>
        <v>76205008</v>
      </c>
      <c r="D3428" s="2" t="s">
        <v>2812</v>
      </c>
      <c r="E3428" s="4">
        <v>11990</v>
      </c>
    </row>
    <row r="3429" spans="1:5" ht="26.25" x14ac:dyDescent="0.25">
      <c r="A3429" s="2" t="s">
        <v>2725</v>
      </c>
      <c r="B3429" s="2" t="str">
        <f>"76200903"</f>
        <v>76200903</v>
      </c>
      <c r="C3429" s="2" t="str">
        <f>"76200903"</f>
        <v>76200903</v>
      </c>
      <c r="D3429" s="2" t="s">
        <v>2813</v>
      </c>
      <c r="E3429" s="4">
        <v>17990</v>
      </c>
    </row>
    <row r="3430" spans="1:5" ht="26.25" x14ac:dyDescent="0.25">
      <c r="A3430" s="2" t="s">
        <v>2725</v>
      </c>
      <c r="B3430" s="2" t="str">
        <f>"8712581762414"</f>
        <v>8712581762414</v>
      </c>
      <c r="C3430" s="2" t="str">
        <f>"10117457"</f>
        <v>10117457</v>
      </c>
      <c r="D3430" s="2" t="s">
        <v>2814</v>
      </c>
      <c r="E3430" s="4">
        <v>8990</v>
      </c>
    </row>
    <row r="3431" spans="1:5" ht="26.25" x14ac:dyDescent="0.25">
      <c r="A3431" s="2" t="s">
        <v>2725</v>
      </c>
      <c r="B3431" s="2" t="str">
        <f>"10000863"</f>
        <v>10000863</v>
      </c>
      <c r="C3431" s="2" t="str">
        <f>"10000863"</f>
        <v>10000863</v>
      </c>
      <c r="D3431" s="2" t="s">
        <v>2815</v>
      </c>
      <c r="E3431" s="4">
        <v>8990</v>
      </c>
    </row>
    <row r="3432" spans="1:5" ht="26.25" x14ac:dyDescent="0.25">
      <c r="A3432" s="2" t="s">
        <v>2725</v>
      </c>
      <c r="B3432" s="2" t="str">
        <f>"7168297048068"</f>
        <v>7168297048068</v>
      </c>
      <c r="C3432" s="2" t="str">
        <f>"98204000"</f>
        <v>98204000</v>
      </c>
      <c r="D3432" s="2" t="s">
        <v>2816</v>
      </c>
      <c r="E3432" s="4">
        <v>9990</v>
      </c>
    </row>
    <row r="3433" spans="1:5" ht="26.25" x14ac:dyDescent="0.25">
      <c r="A3433" s="2" t="s">
        <v>2725</v>
      </c>
      <c r="B3433" s="2" t="str">
        <f>"10003482"</f>
        <v>10003482</v>
      </c>
      <c r="C3433" s="2" t="str">
        <f>"10003482"</f>
        <v>10003482</v>
      </c>
      <c r="D3433" s="2" t="s">
        <v>2817</v>
      </c>
      <c r="E3433" s="4">
        <v>9900</v>
      </c>
    </row>
    <row r="3434" spans="1:5" ht="26.25" x14ac:dyDescent="0.25">
      <c r="A3434" s="2" t="s">
        <v>2725</v>
      </c>
      <c r="B3434" s="2" t="str">
        <f>"5626890049834"</f>
        <v>5626890049834</v>
      </c>
      <c r="C3434" s="2" t="str">
        <f>"28204983"</f>
        <v>28204983</v>
      </c>
      <c r="D3434" s="2" t="s">
        <v>2818</v>
      </c>
      <c r="E3434" s="4">
        <v>6000</v>
      </c>
    </row>
    <row r="3435" spans="1:5" ht="26.25" x14ac:dyDescent="0.25">
      <c r="A3435" s="2" t="s">
        <v>2725</v>
      </c>
      <c r="B3435" s="2" t="str">
        <f>"7796941037771"</f>
        <v>7796941037771</v>
      </c>
      <c r="C3435" s="2" t="str">
        <f>"42100151"</f>
        <v>42100151</v>
      </c>
      <c r="D3435" s="2" t="s">
        <v>2819</v>
      </c>
      <c r="E3435" s="4">
        <v>6900</v>
      </c>
    </row>
    <row r="3436" spans="1:5" ht="26.25" x14ac:dyDescent="0.25">
      <c r="A3436" s="2" t="s">
        <v>2725</v>
      </c>
      <c r="B3436" s="2" t="str">
        <f>"697226002254"</f>
        <v>697226002254</v>
      </c>
      <c r="C3436" s="2" t="str">
        <f>"10117853"</f>
        <v>10117853</v>
      </c>
      <c r="D3436" s="2" t="s">
        <v>2820</v>
      </c>
      <c r="E3436" s="4">
        <v>5990</v>
      </c>
    </row>
    <row r="3437" spans="1:5" ht="26.25" x14ac:dyDescent="0.25">
      <c r="A3437" s="2" t="s">
        <v>2725</v>
      </c>
      <c r="B3437" s="2" t="str">
        <f>"6950269332357"</f>
        <v>6950269332357</v>
      </c>
      <c r="C3437" s="2" t="str">
        <f>"10118502"</f>
        <v>10118502</v>
      </c>
      <c r="D3437" s="2" t="s">
        <v>2821</v>
      </c>
      <c r="E3437" s="4">
        <v>6500</v>
      </c>
    </row>
    <row r="3438" spans="1:5" ht="26.25" x14ac:dyDescent="0.25">
      <c r="A3438" s="2" t="s">
        <v>2725</v>
      </c>
      <c r="B3438" s="2" t="str">
        <f>"1710006755033"</f>
        <v>1710006755033</v>
      </c>
      <c r="C3438" s="2" t="str">
        <f>"10119844"</f>
        <v>10119844</v>
      </c>
      <c r="D3438" s="2" t="s">
        <v>2822</v>
      </c>
      <c r="E3438" s="4">
        <v>6000</v>
      </c>
    </row>
    <row r="3439" spans="1:5" ht="26.25" x14ac:dyDescent="0.25">
      <c r="A3439" s="2" t="s">
        <v>2725</v>
      </c>
      <c r="B3439" s="2" t="str">
        <f>"7891345213117"</f>
        <v>7891345213117</v>
      </c>
      <c r="C3439" s="2" t="str">
        <f>"10001578"</f>
        <v>10001578</v>
      </c>
      <c r="D3439" s="2" t="s">
        <v>2823</v>
      </c>
      <c r="E3439" s="4">
        <v>5500</v>
      </c>
    </row>
    <row r="3440" spans="1:5" ht="26.25" x14ac:dyDescent="0.25">
      <c r="A3440" s="2" t="s">
        <v>2725</v>
      </c>
      <c r="B3440" s="2" t="str">
        <f>"6957226002254"</f>
        <v>6957226002254</v>
      </c>
      <c r="C3440" s="2" t="str">
        <f>"10002301"</f>
        <v>10002301</v>
      </c>
      <c r="D3440" s="2" t="s">
        <v>2824</v>
      </c>
      <c r="E3440" s="4">
        <v>4990</v>
      </c>
    </row>
    <row r="3441" spans="1:5" ht="26.25" x14ac:dyDescent="0.25">
      <c r="A3441" s="2" t="s">
        <v>2725</v>
      </c>
      <c r="B3441" s="2" t="str">
        <f>"10003003"</f>
        <v>10003003</v>
      </c>
      <c r="C3441" s="2" t="str">
        <f>"10003003"</f>
        <v>10003003</v>
      </c>
      <c r="D3441" s="2" t="s">
        <v>2825</v>
      </c>
      <c r="E3441" s="4">
        <v>4500</v>
      </c>
    </row>
    <row r="3442" spans="1:5" ht="26.25" x14ac:dyDescent="0.25">
      <c r="A3442" s="2" t="s">
        <v>2725</v>
      </c>
      <c r="B3442" s="2" t="str">
        <f>"10003162"</f>
        <v>10003162</v>
      </c>
      <c r="C3442" s="2" t="str">
        <f>"10003162"</f>
        <v>10003162</v>
      </c>
      <c r="D3442" s="2" t="s">
        <v>2826</v>
      </c>
      <c r="E3442" s="4">
        <v>6000</v>
      </c>
    </row>
    <row r="3443" spans="1:5" ht="26.25" x14ac:dyDescent="0.25">
      <c r="A3443" s="2" t="s">
        <v>2725</v>
      </c>
      <c r="B3443" s="2" t="str">
        <f>"8669201506180"</f>
        <v>8669201506180</v>
      </c>
      <c r="C3443" s="2" t="str">
        <f>"10003357"</f>
        <v>10003357</v>
      </c>
      <c r="D3443" s="2" t="s">
        <v>2827</v>
      </c>
      <c r="E3443" s="4">
        <v>8500</v>
      </c>
    </row>
    <row r="3444" spans="1:5" ht="26.25" x14ac:dyDescent="0.25">
      <c r="A3444" s="2" t="s">
        <v>2725</v>
      </c>
      <c r="B3444" s="2" t="str">
        <f>"6925871635677"</f>
        <v>6925871635677</v>
      </c>
      <c r="C3444" s="2" t="str">
        <f>"98203567"</f>
        <v>98203567</v>
      </c>
      <c r="D3444" s="2" t="s">
        <v>2828</v>
      </c>
      <c r="E3444" s="4">
        <v>8990</v>
      </c>
    </row>
    <row r="3445" spans="1:5" ht="26.25" x14ac:dyDescent="0.25">
      <c r="A3445" s="2" t="s">
        <v>2725</v>
      </c>
      <c r="B3445" s="2" t="str">
        <f>"7809601112692"</f>
        <v>7809601112692</v>
      </c>
      <c r="C3445" s="2" t="str">
        <f>"98200223"</f>
        <v>98200223</v>
      </c>
      <c r="D3445" s="2" t="s">
        <v>2829</v>
      </c>
      <c r="E3445" s="4">
        <v>9990</v>
      </c>
    </row>
    <row r="3446" spans="1:5" ht="26.25" x14ac:dyDescent="0.25">
      <c r="A3446" s="2" t="s">
        <v>2725</v>
      </c>
      <c r="B3446" s="2" t="str">
        <f>"4710268232612"</f>
        <v>4710268232612</v>
      </c>
      <c r="C3446" s="2" t="str">
        <f>"92079000"</f>
        <v>92079000</v>
      </c>
      <c r="D3446" s="2" t="s">
        <v>2830</v>
      </c>
      <c r="E3446" s="4">
        <v>14490</v>
      </c>
    </row>
    <row r="3447" spans="1:5" ht="26.25" x14ac:dyDescent="0.25">
      <c r="A3447" s="2" t="s">
        <v>2725</v>
      </c>
      <c r="B3447" s="2" t="str">
        <f>"92207001"</f>
        <v>92207001</v>
      </c>
      <c r="C3447" s="2" t="str">
        <f>"92207001"</f>
        <v>92207001</v>
      </c>
      <c r="D3447" s="2" t="s">
        <v>2831</v>
      </c>
      <c r="E3447" s="4">
        <v>7490</v>
      </c>
    </row>
    <row r="3448" spans="1:5" ht="26.25" x14ac:dyDescent="0.25">
      <c r="A3448" s="2" t="s">
        <v>2725</v>
      </c>
      <c r="B3448" s="2" t="str">
        <f>"4710268250838"</f>
        <v>4710268250838</v>
      </c>
      <c r="C3448" s="2" t="str">
        <f>"29GEN7NXBL"</f>
        <v>29GEN7NXBL</v>
      </c>
      <c r="D3448" s="2" t="s">
        <v>2831</v>
      </c>
      <c r="E3448" s="4">
        <v>10990</v>
      </c>
    </row>
    <row r="3449" spans="1:5" ht="26.25" x14ac:dyDescent="0.25">
      <c r="A3449" s="2" t="s">
        <v>2725</v>
      </c>
      <c r="B3449" s="2" t="str">
        <f>"4710268250074"</f>
        <v>4710268250074</v>
      </c>
      <c r="C3449" s="2" t="str">
        <f>"92207000"</f>
        <v>92207000</v>
      </c>
      <c r="D3449" s="2" t="s">
        <v>2832</v>
      </c>
      <c r="E3449" s="4">
        <v>8500</v>
      </c>
    </row>
    <row r="3450" spans="1:5" ht="26.25" x14ac:dyDescent="0.25">
      <c r="A3450" s="2" t="s">
        <v>2725</v>
      </c>
      <c r="B3450" s="2" t="str">
        <f>"4710268250951"</f>
        <v>4710268250951</v>
      </c>
      <c r="C3450" s="2" t="str">
        <f>"92207015"</f>
        <v>92207015</v>
      </c>
      <c r="D3450" s="2" t="s">
        <v>2833</v>
      </c>
      <c r="E3450" s="4">
        <v>12990</v>
      </c>
    </row>
    <row r="3451" spans="1:5" ht="26.25" x14ac:dyDescent="0.25">
      <c r="A3451" s="2" t="s">
        <v>2725</v>
      </c>
      <c r="B3451" s="2" t="str">
        <f>"7858816060618"</f>
        <v>7858816060618</v>
      </c>
      <c r="C3451" s="2" t="str">
        <f>"87206061"</f>
        <v>87206061</v>
      </c>
      <c r="D3451" s="2" t="s">
        <v>2834</v>
      </c>
      <c r="E3451" s="4">
        <v>6000</v>
      </c>
    </row>
    <row r="3452" spans="1:5" ht="26.25" x14ac:dyDescent="0.25">
      <c r="A3452" s="2" t="s">
        <v>2725</v>
      </c>
      <c r="B3452" s="2" t="str">
        <f>"7796941037788"</f>
        <v>7796941037788</v>
      </c>
      <c r="C3452" s="2" t="str">
        <f>"42100150"</f>
        <v>42100150</v>
      </c>
      <c r="D3452" s="2" t="s">
        <v>2835</v>
      </c>
      <c r="E3452" s="4">
        <v>6500</v>
      </c>
    </row>
    <row r="3453" spans="1:5" ht="26.25" x14ac:dyDescent="0.25">
      <c r="A3453" s="2" t="s">
        <v>2725</v>
      </c>
      <c r="B3453" s="2" t="str">
        <f>"7293290210966"</f>
        <v>7293290210966</v>
      </c>
      <c r="C3453" s="2" t="str">
        <f>"98200250"</f>
        <v>98200250</v>
      </c>
      <c r="D3453" s="2" t="s">
        <v>2836</v>
      </c>
      <c r="E3453" s="4">
        <v>8500</v>
      </c>
    </row>
    <row r="3454" spans="1:5" ht="26.25" x14ac:dyDescent="0.25">
      <c r="A3454" s="2" t="s">
        <v>2725</v>
      </c>
      <c r="B3454" s="2" t="str">
        <f>"8712581754716"</f>
        <v>8712581754716</v>
      </c>
      <c r="C3454" s="2" t="str">
        <f>"10016696"</f>
        <v>10016696</v>
      </c>
      <c r="D3454" s="2" t="s">
        <v>2837</v>
      </c>
      <c r="E3454" s="4">
        <v>9990</v>
      </c>
    </row>
    <row r="3455" spans="1:5" ht="26.25" x14ac:dyDescent="0.25">
      <c r="A3455" s="2" t="s">
        <v>2725</v>
      </c>
      <c r="B3455" s="2" t="str">
        <f>"8712581767037"</f>
        <v>8712581767037</v>
      </c>
      <c r="C3455" s="2" t="str">
        <f>"29PHL7305G"</f>
        <v>29PHL7305G</v>
      </c>
      <c r="D3455" s="2" t="s">
        <v>2838</v>
      </c>
      <c r="E3455" s="4">
        <v>10990</v>
      </c>
    </row>
    <row r="3456" spans="1:5" ht="26.25" x14ac:dyDescent="0.25">
      <c r="A3456" s="2" t="s">
        <v>2725</v>
      </c>
      <c r="B3456" s="2" t="str">
        <f>"8712581767006"</f>
        <v>8712581767006</v>
      </c>
      <c r="C3456" s="2" t="str">
        <f>"29PHL7305B"</f>
        <v>29PHL7305B</v>
      </c>
      <c r="D3456" s="2" t="s">
        <v>2839</v>
      </c>
      <c r="E3456" s="4">
        <v>10990</v>
      </c>
    </row>
    <row r="3457" spans="1:5" ht="26.25" x14ac:dyDescent="0.25">
      <c r="A3457" s="2" t="s">
        <v>2725</v>
      </c>
      <c r="B3457" s="2" t="str">
        <f>"8712581757199"</f>
        <v>8712581757199</v>
      </c>
      <c r="C3457" s="2" t="str">
        <f>"98207314"</f>
        <v>98207314</v>
      </c>
      <c r="D3457" s="2" t="s">
        <v>2840</v>
      </c>
      <c r="E3457" s="4">
        <v>6990</v>
      </c>
    </row>
    <row r="3458" spans="1:5" ht="26.25" x14ac:dyDescent="0.25">
      <c r="A3458" s="2" t="s">
        <v>2725</v>
      </c>
      <c r="B3458" s="2" t="str">
        <f>"8712581762476"</f>
        <v>8712581762476</v>
      </c>
      <c r="C3458" s="2" t="str">
        <f>"98200374"</f>
        <v>98200374</v>
      </c>
      <c r="D3458" s="2" t="s">
        <v>2841</v>
      </c>
      <c r="E3458" s="4">
        <v>11990</v>
      </c>
    </row>
    <row r="3459" spans="1:5" ht="26.25" x14ac:dyDescent="0.25">
      <c r="A3459" s="2" t="s">
        <v>2725</v>
      </c>
      <c r="B3459" s="2" t="str">
        <f>"8712581757007"</f>
        <v>8712581757007</v>
      </c>
      <c r="C3459" s="2" t="str">
        <f>"29PHL7314B"</f>
        <v>29PHL7314B</v>
      </c>
      <c r="D3459" s="2" t="s">
        <v>2842</v>
      </c>
      <c r="E3459" s="4">
        <v>9990</v>
      </c>
    </row>
    <row r="3460" spans="1:5" ht="26.25" x14ac:dyDescent="0.25">
      <c r="A3460" s="2" t="s">
        <v>2725</v>
      </c>
      <c r="B3460" s="2" t="str">
        <f>"8712581762483"</f>
        <v>8712581762483</v>
      </c>
      <c r="C3460" s="2" t="str">
        <f>"98200624"</f>
        <v>98200624</v>
      </c>
      <c r="D3460" s="2" t="s">
        <v>2843</v>
      </c>
      <c r="E3460" s="4">
        <v>17990</v>
      </c>
    </row>
    <row r="3461" spans="1:5" ht="26.25" x14ac:dyDescent="0.25">
      <c r="A3461" s="2" t="s">
        <v>2725</v>
      </c>
      <c r="B3461" s="2" t="str">
        <f>"8712581766993"</f>
        <v>8712581766993</v>
      </c>
      <c r="C3461" s="2" t="str">
        <f>"98207315"</f>
        <v>98207315</v>
      </c>
      <c r="D3461" s="2" t="s">
        <v>2844</v>
      </c>
      <c r="E3461" s="4">
        <v>9990</v>
      </c>
    </row>
    <row r="3462" spans="1:5" ht="26.25" x14ac:dyDescent="0.25">
      <c r="A3462" s="2" t="s">
        <v>2725</v>
      </c>
      <c r="B3462" s="2" t="str">
        <f>"6927900010134"</f>
        <v>6927900010134</v>
      </c>
      <c r="C3462" s="2" t="str">
        <f>"25305500"</f>
        <v>25305500</v>
      </c>
      <c r="D3462" s="2" t="s">
        <v>2845</v>
      </c>
      <c r="E3462" s="4">
        <v>6500</v>
      </c>
    </row>
    <row r="3463" spans="1:5" ht="26.25" x14ac:dyDescent="0.25">
      <c r="A3463" s="2" t="s">
        <v>2725</v>
      </c>
      <c r="B3463" s="2" t="str">
        <f>"6927900010158"</f>
        <v>6927900010158</v>
      </c>
      <c r="C3463" s="2" t="str">
        <f>"25200550"</f>
        <v>25200550</v>
      </c>
      <c r="D3463" s="2" t="s">
        <v>2846</v>
      </c>
      <c r="E3463" s="4">
        <v>6990</v>
      </c>
    </row>
    <row r="3464" spans="1:5" ht="26.25" x14ac:dyDescent="0.25">
      <c r="A3464" s="2" t="s">
        <v>2725</v>
      </c>
      <c r="B3464" s="2" t="str">
        <f>"10000251"</f>
        <v>10000251</v>
      </c>
      <c r="C3464" s="2" t="str">
        <f>"10000251"</f>
        <v>10000251</v>
      </c>
      <c r="D3464" s="2" t="s">
        <v>2847</v>
      </c>
      <c r="E3464" s="4">
        <v>6500</v>
      </c>
    </row>
    <row r="3465" spans="1:5" ht="26.25" x14ac:dyDescent="0.25">
      <c r="A3465" s="2" t="s">
        <v>2725</v>
      </c>
      <c r="B3465" s="2" t="str">
        <f>"8713439165364"</f>
        <v>8713439165364</v>
      </c>
      <c r="C3465" s="2" t="str">
        <f>"92305364"</f>
        <v>92305364</v>
      </c>
      <c r="D3465" s="2" t="s">
        <v>2848</v>
      </c>
      <c r="E3465" s="4">
        <v>13990</v>
      </c>
    </row>
    <row r="3466" spans="1:5" ht="26.25" x14ac:dyDescent="0.25">
      <c r="A3466" s="2" t="s">
        <v>2725</v>
      </c>
      <c r="B3466" s="2" t="str">
        <f>"8713439203226"</f>
        <v>8713439203226</v>
      </c>
      <c r="C3466" s="2" t="str">
        <f>"92300322"</f>
        <v>92300322</v>
      </c>
      <c r="D3466" s="2" t="s">
        <v>2849</v>
      </c>
      <c r="E3466" s="4">
        <v>9990</v>
      </c>
    </row>
    <row r="3467" spans="1:5" ht="26.25" x14ac:dyDescent="0.25">
      <c r="A3467" s="2" t="s">
        <v>2725</v>
      </c>
      <c r="B3467" s="2" t="str">
        <f>"8713439185195"</f>
        <v>8713439185195</v>
      </c>
      <c r="C3467" s="2" t="str">
        <f>"92305195"</f>
        <v>92305195</v>
      </c>
      <c r="D3467" s="2" t="s">
        <v>2850</v>
      </c>
      <c r="E3467" s="4">
        <v>11990</v>
      </c>
    </row>
    <row r="3468" spans="1:5" ht="26.25" x14ac:dyDescent="0.25">
      <c r="A3468" s="2" t="s">
        <v>2725</v>
      </c>
      <c r="B3468" s="2" t="str">
        <f>"8713439196634"</f>
        <v>8713439196634</v>
      </c>
      <c r="C3468" s="2" t="str">
        <f>"92306634"</f>
        <v>92306634</v>
      </c>
      <c r="D3468" s="2" t="s">
        <v>2851</v>
      </c>
      <c r="E3468" s="4">
        <v>11990</v>
      </c>
    </row>
    <row r="3469" spans="1:5" ht="26.25" x14ac:dyDescent="0.25">
      <c r="A3469" s="2" t="s">
        <v>2725</v>
      </c>
      <c r="B3469" s="2" t="str">
        <f>"8713439195224"</f>
        <v>8713439195224</v>
      </c>
      <c r="C3469" s="2" t="str">
        <f>"92305224"</f>
        <v>92305224</v>
      </c>
      <c r="D3469" s="2" t="s">
        <v>2852</v>
      </c>
      <c r="E3469" s="4">
        <v>11990</v>
      </c>
    </row>
    <row r="3470" spans="1:5" ht="26.25" x14ac:dyDescent="0.25">
      <c r="A3470" s="2" t="s">
        <v>2725</v>
      </c>
      <c r="B3470" s="2" t="str">
        <f>"7297290250151"</f>
        <v>7297290250151</v>
      </c>
      <c r="C3470" s="2" t="str">
        <f>"98200151"</f>
        <v>98200151</v>
      </c>
      <c r="D3470" s="2" t="s">
        <v>2853</v>
      </c>
      <c r="E3470" s="4">
        <v>8500</v>
      </c>
    </row>
    <row r="3471" spans="1:5" ht="26.25" x14ac:dyDescent="0.25">
      <c r="A3471" s="2" t="s">
        <v>2725</v>
      </c>
      <c r="B3471" s="2" t="str">
        <f>"7796941037924"</f>
        <v>7796941037924</v>
      </c>
      <c r="C3471" s="2" t="str">
        <f>"42100250"</f>
        <v>42100250</v>
      </c>
      <c r="D3471" s="2" t="s">
        <v>2854</v>
      </c>
      <c r="E3471" s="4">
        <v>6900</v>
      </c>
    </row>
    <row r="3472" spans="1:5" ht="26.25" x14ac:dyDescent="0.25">
      <c r="A3472" s="2" t="s">
        <v>2725</v>
      </c>
      <c r="B3472" s="2" t="str">
        <f>"8201756716852"</f>
        <v>8201756716852</v>
      </c>
      <c r="C3472" s="2" t="str">
        <f>"40200005"</f>
        <v>40200005</v>
      </c>
      <c r="D3472" s="2" t="s">
        <v>2855</v>
      </c>
      <c r="E3472" s="4">
        <v>14990</v>
      </c>
    </row>
    <row r="3473" spans="1:5" ht="26.25" x14ac:dyDescent="0.25">
      <c r="A3473" s="2" t="s">
        <v>2725</v>
      </c>
      <c r="B3473" s="2" t="str">
        <f>"798302161702"</f>
        <v>798302161702</v>
      </c>
      <c r="C3473" s="2" t="str">
        <f>"92200300"</f>
        <v>92200300</v>
      </c>
      <c r="D3473" s="2" t="s">
        <v>2856</v>
      </c>
      <c r="E3473" s="4">
        <v>8990</v>
      </c>
    </row>
    <row r="3474" spans="1:5" ht="26.25" x14ac:dyDescent="0.25">
      <c r="A3474" s="2" t="s">
        <v>2725</v>
      </c>
      <c r="B3474" s="2" t="str">
        <f>"81050715"</f>
        <v>81050715</v>
      </c>
      <c r="C3474" s="2" t="str">
        <f>"81050715"</f>
        <v>81050715</v>
      </c>
      <c r="D3474" s="2" t="s">
        <v>2856</v>
      </c>
      <c r="E3474" s="4">
        <v>25000</v>
      </c>
    </row>
    <row r="3475" spans="1:5" ht="26.25" x14ac:dyDescent="0.25">
      <c r="A3475" s="2" t="s">
        <v>2725</v>
      </c>
      <c r="B3475" s="2" t="str">
        <f>"10003167"</f>
        <v>10003167</v>
      </c>
      <c r="C3475" s="2" t="str">
        <f>"10003167"</f>
        <v>10003167</v>
      </c>
      <c r="D3475" s="2" t="s">
        <v>2857</v>
      </c>
      <c r="E3475" s="4">
        <v>4500</v>
      </c>
    </row>
    <row r="3476" spans="1:5" ht="26.25" x14ac:dyDescent="0.25">
      <c r="A3476" s="2" t="s">
        <v>2725</v>
      </c>
      <c r="B3476" s="2" t="str">
        <f>"10106765"</f>
        <v>10106765</v>
      </c>
      <c r="C3476" s="2" t="str">
        <f>"10106765"</f>
        <v>10106765</v>
      </c>
      <c r="D3476" s="2" t="s">
        <v>2858</v>
      </c>
      <c r="E3476" s="4">
        <v>4500</v>
      </c>
    </row>
    <row r="3477" spans="1:5" ht="26.25" x14ac:dyDescent="0.25">
      <c r="A3477" s="2" t="s">
        <v>2725</v>
      </c>
      <c r="B3477" s="2" t="str">
        <f>"6911756730803"</f>
        <v>6911756730803</v>
      </c>
      <c r="C3477" s="2" t="str">
        <f>"40207030"</f>
        <v>40207030</v>
      </c>
      <c r="D3477" s="2" t="s">
        <v>2859</v>
      </c>
      <c r="E3477" s="4">
        <v>9990</v>
      </c>
    </row>
    <row r="3478" spans="1:5" ht="26.25" x14ac:dyDescent="0.25">
      <c r="A3478" s="2" t="s">
        <v>2725</v>
      </c>
      <c r="B3478" s="2" t="str">
        <f>"4710268228684"</f>
        <v>4710268228684</v>
      </c>
      <c r="C3478" s="2" t="str">
        <f>"98200001"</f>
        <v>98200001</v>
      </c>
      <c r="D3478" s="2" t="s">
        <v>2860</v>
      </c>
      <c r="E3478" s="4">
        <v>4990</v>
      </c>
    </row>
    <row r="3479" spans="1:5" ht="26.25" x14ac:dyDescent="0.25">
      <c r="A3479" s="2" t="s">
        <v>2725</v>
      </c>
      <c r="B3479" s="2" t="str">
        <f>"10002756"</f>
        <v>10002756</v>
      </c>
      <c r="C3479" s="2" t="str">
        <f>"10002756"</f>
        <v>10002756</v>
      </c>
      <c r="D3479" s="2" t="s">
        <v>2861</v>
      </c>
      <c r="E3479" s="4">
        <v>11500</v>
      </c>
    </row>
    <row r="3480" spans="1:5" ht="26.25" x14ac:dyDescent="0.25">
      <c r="A3480" s="2" t="s">
        <v>2725</v>
      </c>
      <c r="B3480" s="2" t="str">
        <f>"7858816072895"</f>
        <v>7858816072895</v>
      </c>
      <c r="C3480" s="2" t="str">
        <f>"87207289"</f>
        <v>87207289</v>
      </c>
      <c r="D3480" s="2" t="s">
        <v>2862</v>
      </c>
      <c r="E3480" s="4">
        <v>13990</v>
      </c>
    </row>
    <row r="3481" spans="1:5" ht="26.25" x14ac:dyDescent="0.25">
      <c r="A3481" s="2" t="s">
        <v>2725</v>
      </c>
      <c r="B3481" s="2" t="str">
        <f>"6944881800660"</f>
        <v>6944881800660</v>
      </c>
      <c r="C3481" s="2" t="str">
        <f>"40209212"</f>
        <v>40209212</v>
      </c>
      <c r="D3481" s="2" t="s">
        <v>2863</v>
      </c>
      <c r="E3481" s="4">
        <v>3500</v>
      </c>
    </row>
    <row r="3482" spans="1:5" ht="26.25" x14ac:dyDescent="0.25">
      <c r="A3482" s="2" t="s">
        <v>2725</v>
      </c>
      <c r="B3482" s="2" t="str">
        <f>"766623434386"</f>
        <v>766623434386</v>
      </c>
      <c r="C3482" s="2" t="str">
        <f>"56524386"</f>
        <v>56524386</v>
      </c>
      <c r="D3482" s="2" t="s">
        <v>2864</v>
      </c>
      <c r="E3482" s="4">
        <v>7990</v>
      </c>
    </row>
    <row r="3483" spans="1:5" ht="26.25" x14ac:dyDescent="0.25">
      <c r="A3483" s="2" t="s">
        <v>2725</v>
      </c>
      <c r="B3483" s="2" t="str">
        <f>"98201000"</f>
        <v>98201000</v>
      </c>
      <c r="C3483" s="2" t="str">
        <f>"92201000"</f>
        <v>92201000</v>
      </c>
      <c r="D3483" s="2" t="s">
        <v>2865</v>
      </c>
      <c r="E3483" s="4">
        <v>2000</v>
      </c>
    </row>
    <row r="3484" spans="1:5" ht="26.25" x14ac:dyDescent="0.25">
      <c r="A3484" s="2" t="s">
        <v>2725</v>
      </c>
      <c r="B3484" s="2" t="str">
        <f>"10000156"</f>
        <v>10000156</v>
      </c>
      <c r="C3484" s="2" t="str">
        <f>"10000156"</f>
        <v>10000156</v>
      </c>
      <c r="D3484" s="2" t="s">
        <v>2866</v>
      </c>
      <c r="E3484" s="4">
        <v>4500</v>
      </c>
    </row>
    <row r="3485" spans="1:5" ht="26.25" x14ac:dyDescent="0.25">
      <c r="A3485" s="2" t="s">
        <v>2725</v>
      </c>
      <c r="B3485" s="2" t="str">
        <f>"5620009160045"</f>
        <v>5620009160045</v>
      </c>
      <c r="C3485" s="2" t="str">
        <f>"2852916004"</f>
        <v>2852916004</v>
      </c>
      <c r="D3485" s="2" t="s">
        <v>2867</v>
      </c>
      <c r="E3485" s="4">
        <v>2500</v>
      </c>
    </row>
    <row r="3486" spans="1:5" ht="26.25" x14ac:dyDescent="0.25">
      <c r="A3486" s="2" t="s">
        <v>2725</v>
      </c>
      <c r="B3486" s="2" t="str">
        <f>"7809601116287"</f>
        <v>7809601116287</v>
      </c>
      <c r="C3486" s="2" t="str">
        <f>"98206287"</f>
        <v>98206287</v>
      </c>
      <c r="D3486" s="2" t="s">
        <v>2868</v>
      </c>
      <c r="E3486" s="4">
        <v>7990</v>
      </c>
    </row>
    <row r="3487" spans="1:5" ht="26.25" x14ac:dyDescent="0.25">
      <c r="A3487" s="2" t="s">
        <v>2725</v>
      </c>
      <c r="B3487" s="2" t="str">
        <f>"7809601116034"</f>
        <v>7809601116034</v>
      </c>
      <c r="C3487" s="2" t="str">
        <f>"92300012"</f>
        <v>92300012</v>
      </c>
      <c r="D3487" s="2" t="s">
        <v>2869</v>
      </c>
      <c r="E3487" s="4">
        <v>9990</v>
      </c>
    </row>
    <row r="3488" spans="1:5" ht="26.25" x14ac:dyDescent="0.25">
      <c r="A3488" s="2" t="s">
        <v>2725</v>
      </c>
      <c r="B3488" s="2" t="str">
        <f>"7809601116027"</f>
        <v>7809601116027</v>
      </c>
      <c r="C3488" s="2" t="str">
        <f>"92300013"</f>
        <v>92300013</v>
      </c>
      <c r="D3488" s="2" t="s">
        <v>2870</v>
      </c>
      <c r="E3488" s="4">
        <v>6000</v>
      </c>
    </row>
    <row r="3489" spans="1:5" ht="26.25" x14ac:dyDescent="0.25">
      <c r="A3489" s="2" t="s">
        <v>2725</v>
      </c>
      <c r="B3489" s="2" t="str">
        <f>"1000001075747"</f>
        <v>1000001075747</v>
      </c>
      <c r="C3489" s="2" t="str">
        <f>"76502000"</f>
        <v>76502000</v>
      </c>
      <c r="D3489" s="2" t="s">
        <v>2871</v>
      </c>
      <c r="E3489" s="4">
        <v>4500</v>
      </c>
    </row>
    <row r="3490" spans="1:5" ht="26.25" x14ac:dyDescent="0.25">
      <c r="A3490" s="2" t="s">
        <v>2725</v>
      </c>
      <c r="B3490" s="2" t="str">
        <f>"6944881800684"</f>
        <v>6944881800684</v>
      </c>
      <c r="C3490" s="2" t="str">
        <f>"10113948"</f>
        <v>10113948</v>
      </c>
      <c r="D3490" s="2" t="s">
        <v>2872</v>
      </c>
      <c r="E3490" s="4">
        <v>4990</v>
      </c>
    </row>
    <row r="3491" spans="1:5" ht="26.25" x14ac:dyDescent="0.25">
      <c r="A3491" s="2" t="s">
        <v>2725</v>
      </c>
      <c r="B3491" s="2" t="str">
        <f>"6972543651640"</f>
        <v>6972543651640</v>
      </c>
      <c r="C3491" s="2" t="str">
        <f>"40204000"</f>
        <v>40204000</v>
      </c>
      <c r="D3491" s="2" t="s">
        <v>2873</v>
      </c>
      <c r="E3491" s="4">
        <v>24990</v>
      </c>
    </row>
    <row r="3492" spans="1:5" ht="26.25" x14ac:dyDescent="0.25">
      <c r="A3492" s="2" t="s">
        <v>2725</v>
      </c>
      <c r="B3492" s="2" t="str">
        <f>"7858816080074"</f>
        <v>7858816080074</v>
      </c>
      <c r="C3492" s="2" t="str">
        <f>"87208007"</f>
        <v>87208007</v>
      </c>
      <c r="D3492" s="2" t="s">
        <v>2874</v>
      </c>
      <c r="E3492" s="4">
        <v>19990</v>
      </c>
    </row>
    <row r="3493" spans="1:5" ht="26.25" x14ac:dyDescent="0.25">
      <c r="A3493" s="2" t="s">
        <v>49</v>
      </c>
      <c r="B3493" s="2" t="str">
        <f>"001756730807"</f>
        <v>001756730807</v>
      </c>
      <c r="C3493" s="2" t="str">
        <f>"40930807"</f>
        <v>40930807</v>
      </c>
      <c r="D3493" s="2" t="s">
        <v>2875</v>
      </c>
      <c r="E3493" s="4">
        <v>24990</v>
      </c>
    </row>
    <row r="3494" spans="1:5" ht="26.25" x14ac:dyDescent="0.25">
      <c r="A3494" s="2" t="s">
        <v>2725</v>
      </c>
      <c r="B3494" s="2" t="str">
        <f>"7858816060649"</f>
        <v>7858816060649</v>
      </c>
      <c r="C3494" s="2" t="str">
        <f>"87206064"</f>
        <v>87206064</v>
      </c>
      <c r="D3494" s="2" t="s">
        <v>2876</v>
      </c>
      <c r="E3494" s="4">
        <v>7990</v>
      </c>
    </row>
    <row r="3495" spans="1:5" ht="26.25" x14ac:dyDescent="0.25">
      <c r="A3495" s="2" t="s">
        <v>2725</v>
      </c>
      <c r="B3495" s="2" t="str">
        <f>"87206063"</f>
        <v>87206063</v>
      </c>
      <c r="C3495" s="2" t="str">
        <f>"87206063"</f>
        <v>87206063</v>
      </c>
      <c r="D3495" s="2" t="s">
        <v>2877</v>
      </c>
      <c r="E3495" s="4">
        <v>6000</v>
      </c>
    </row>
    <row r="3496" spans="1:5" ht="26.25" x14ac:dyDescent="0.25">
      <c r="A3496" s="2" t="s">
        <v>2725</v>
      </c>
      <c r="B3496" s="2" t="str">
        <f>"7168229723018"</f>
        <v>7168229723018</v>
      </c>
      <c r="C3496" s="2" t="str">
        <f>"98203018"</f>
        <v>98203018</v>
      </c>
      <c r="D3496" s="2" t="s">
        <v>2878</v>
      </c>
      <c r="E3496" s="4">
        <v>5990</v>
      </c>
    </row>
    <row r="3497" spans="1:5" ht="26.25" x14ac:dyDescent="0.25">
      <c r="A3497" s="2" t="s">
        <v>2725</v>
      </c>
      <c r="B3497" s="2" t="str">
        <f>"10002013"</f>
        <v>10002013</v>
      </c>
      <c r="C3497" s="2" t="str">
        <f>"10002013"</f>
        <v>10002013</v>
      </c>
      <c r="D3497" s="2" t="s">
        <v>2879</v>
      </c>
      <c r="E3497" s="4">
        <v>1600</v>
      </c>
    </row>
    <row r="3498" spans="1:5" ht="26.25" x14ac:dyDescent="0.25">
      <c r="A3498" s="2" t="s">
        <v>2725</v>
      </c>
      <c r="B3498" s="2" t="str">
        <f>"10009579"</f>
        <v>10009579</v>
      </c>
      <c r="C3498" s="2" t="str">
        <f>"10009579"</f>
        <v>10009579</v>
      </c>
      <c r="D3498" s="2" t="s">
        <v>2880</v>
      </c>
      <c r="E3498" s="4">
        <v>4990</v>
      </c>
    </row>
    <row r="3499" spans="1:5" ht="26.25" x14ac:dyDescent="0.25">
      <c r="A3499" s="2" t="s">
        <v>2725</v>
      </c>
      <c r="B3499" s="2" t="str">
        <f>"6945682500028"</f>
        <v>6945682500028</v>
      </c>
      <c r="C3499" s="2" t="str">
        <f>"87207296"</f>
        <v>87207296</v>
      </c>
      <c r="D3499" s="2" t="s">
        <v>2881</v>
      </c>
      <c r="E3499" s="4">
        <v>2000</v>
      </c>
    </row>
    <row r="3500" spans="1:5" ht="26.25" x14ac:dyDescent="0.25">
      <c r="A3500" s="2" t="s">
        <v>2725</v>
      </c>
      <c r="B3500" s="2" t="str">
        <f>"7858816089466"</f>
        <v>7858816089466</v>
      </c>
      <c r="C3500" s="2" t="str">
        <f>"87208946"</f>
        <v>87208946</v>
      </c>
      <c r="D3500" s="2" t="s">
        <v>2882</v>
      </c>
      <c r="E3500" s="4">
        <v>9990</v>
      </c>
    </row>
    <row r="3501" spans="1:5" ht="26.25" x14ac:dyDescent="0.25">
      <c r="A3501" s="2" t="s">
        <v>2725</v>
      </c>
      <c r="B3501" s="2" t="str">
        <f>"766623434362"</f>
        <v>766623434362</v>
      </c>
      <c r="C3501" s="2" t="str">
        <f>"56524362"</f>
        <v>56524362</v>
      </c>
      <c r="D3501" s="2" t="s">
        <v>2883</v>
      </c>
      <c r="E3501" s="4">
        <v>7990</v>
      </c>
    </row>
    <row r="3502" spans="1:5" ht="26.25" x14ac:dyDescent="0.25">
      <c r="A3502" s="2" t="s">
        <v>2725</v>
      </c>
      <c r="B3502" s="2" t="str">
        <f>"798302090248"</f>
        <v>798302090248</v>
      </c>
      <c r="C3502" s="2" t="str">
        <f>"92200180"</f>
        <v>92200180</v>
      </c>
      <c r="D3502" s="2" t="s">
        <v>2884</v>
      </c>
      <c r="E3502" s="4">
        <v>1990</v>
      </c>
    </row>
    <row r="3503" spans="1:5" ht="26.25" x14ac:dyDescent="0.25">
      <c r="A3503" s="2" t="s">
        <v>2725</v>
      </c>
      <c r="B3503" s="2" t="str">
        <f>"798307162575"</f>
        <v>798307162575</v>
      </c>
      <c r="C3503" s="2" t="str">
        <f>"92200526"</f>
        <v>92200526</v>
      </c>
      <c r="D3503" s="2" t="s">
        <v>2885</v>
      </c>
      <c r="E3503" s="4">
        <v>7990</v>
      </c>
    </row>
    <row r="3504" spans="1:5" ht="26.25" x14ac:dyDescent="0.25">
      <c r="A3504" s="2" t="s">
        <v>21</v>
      </c>
      <c r="B3504" s="2" t="str">
        <f>"10002275"</f>
        <v>10002275</v>
      </c>
      <c r="C3504" s="2" t="str">
        <f>"10002275"</f>
        <v>10002275</v>
      </c>
      <c r="D3504" s="2" t="s">
        <v>2886</v>
      </c>
      <c r="E3504" s="4">
        <v>3600</v>
      </c>
    </row>
    <row r="3505" spans="1:5" ht="26.25" x14ac:dyDescent="0.25">
      <c r="A3505" s="2" t="s">
        <v>21</v>
      </c>
      <c r="B3505" s="2" t="str">
        <f>"10000946"</f>
        <v>10000946</v>
      </c>
      <c r="C3505" s="2" t="str">
        <f>"10000946"</f>
        <v>10000946</v>
      </c>
      <c r="D3505" s="2" t="s">
        <v>2887</v>
      </c>
      <c r="E3505" s="4">
        <v>3000</v>
      </c>
    </row>
    <row r="3506" spans="1:5" ht="26.25" x14ac:dyDescent="0.25">
      <c r="A3506" s="2" t="s">
        <v>21</v>
      </c>
      <c r="B3506" s="2" t="str">
        <f>"10002932"</f>
        <v>10002932</v>
      </c>
      <c r="C3506" s="2" t="str">
        <f>"10002932"</f>
        <v>10002932</v>
      </c>
      <c r="D3506" s="2" t="s">
        <v>2888</v>
      </c>
      <c r="E3506" s="4">
        <v>3000</v>
      </c>
    </row>
    <row r="3507" spans="1:5" ht="26.25" x14ac:dyDescent="0.25">
      <c r="A3507" s="2" t="s">
        <v>925</v>
      </c>
      <c r="B3507" s="2" t="str">
        <f>"1496160993507"</f>
        <v>1496160993507</v>
      </c>
      <c r="C3507" s="2" t="str">
        <f>"878200651"</f>
        <v>878200651</v>
      </c>
      <c r="D3507" s="2" t="s">
        <v>2889</v>
      </c>
      <c r="E3507" s="4">
        <v>8900</v>
      </c>
    </row>
    <row r="3508" spans="1:5" ht="26.25" x14ac:dyDescent="0.25">
      <c r="A3508" s="2" t="s">
        <v>21</v>
      </c>
      <c r="B3508" s="2" t="str">
        <f>"34520015"</f>
        <v>34520015</v>
      </c>
      <c r="C3508" s="2" t="str">
        <f>"34520015"</f>
        <v>34520015</v>
      </c>
      <c r="D3508" s="2" t="s">
        <v>2890</v>
      </c>
      <c r="E3508" s="4">
        <v>1155</v>
      </c>
    </row>
    <row r="3509" spans="1:5" ht="26.25" x14ac:dyDescent="0.25">
      <c r="A3509" s="2" t="s">
        <v>21</v>
      </c>
      <c r="B3509" s="2" t="str">
        <f>"4710007732540"</f>
        <v>4710007732540</v>
      </c>
      <c r="C3509" s="2" t="str">
        <f>"65522540"</f>
        <v>65522540</v>
      </c>
      <c r="D3509" s="2" t="s">
        <v>2891</v>
      </c>
      <c r="E3509" s="4">
        <v>39000</v>
      </c>
    </row>
    <row r="3510" spans="1:5" ht="26.25" x14ac:dyDescent="0.25">
      <c r="A3510" s="2" t="s">
        <v>21</v>
      </c>
      <c r="B3510" s="2" t="str">
        <f>"10523205"</f>
        <v>10523205</v>
      </c>
      <c r="C3510" s="2" t="str">
        <f>"10523205"</f>
        <v>10523205</v>
      </c>
      <c r="D3510" s="2" t="s">
        <v>2892</v>
      </c>
      <c r="E3510" s="4">
        <v>24990</v>
      </c>
    </row>
    <row r="3511" spans="1:5" ht="26.25" x14ac:dyDescent="0.25">
      <c r="A3511" s="2" t="s">
        <v>2893</v>
      </c>
      <c r="B3511" s="2" t="str">
        <f>"9000500"</f>
        <v>9000500</v>
      </c>
      <c r="C3511" s="2" t="str">
        <f>"9000500"</f>
        <v>9000500</v>
      </c>
      <c r="D3511" s="2" t="s">
        <v>2894</v>
      </c>
      <c r="E3511" s="2">
        <v>500</v>
      </c>
    </row>
    <row r="3512" spans="1:5" ht="26.25" x14ac:dyDescent="0.25">
      <c r="A3512" s="2" t="s">
        <v>2893</v>
      </c>
      <c r="B3512" s="2" t="str">
        <f>"9001000"</f>
        <v>9001000</v>
      </c>
      <c r="C3512" s="2" t="str">
        <f>"9001000"</f>
        <v>9001000</v>
      </c>
      <c r="D3512" s="2" t="s">
        <v>2894</v>
      </c>
      <c r="E3512" s="4">
        <v>1000</v>
      </c>
    </row>
    <row r="3513" spans="1:5" ht="26.25" x14ac:dyDescent="0.25">
      <c r="A3513" s="2" t="s">
        <v>2893</v>
      </c>
      <c r="B3513" s="2" t="str">
        <f>"9005000"</f>
        <v>9005000</v>
      </c>
      <c r="C3513" s="2" t="str">
        <f>"9005000"</f>
        <v>9005000</v>
      </c>
      <c r="D3513" s="2" t="s">
        <v>2894</v>
      </c>
      <c r="E3513" s="4">
        <v>5000</v>
      </c>
    </row>
    <row r="3514" spans="1:5" ht="26.25" x14ac:dyDescent="0.25">
      <c r="A3514" s="2" t="s">
        <v>2893</v>
      </c>
      <c r="B3514" s="2" t="str">
        <f>"910000"</f>
        <v>910000</v>
      </c>
      <c r="C3514" s="2" t="str">
        <f>"910000"</f>
        <v>910000</v>
      </c>
      <c r="D3514" s="2" t="s">
        <v>2894</v>
      </c>
      <c r="E3514" s="4">
        <v>10000</v>
      </c>
    </row>
    <row r="3515" spans="1:5" ht="26.25" x14ac:dyDescent="0.25">
      <c r="A3515" s="2" t="s">
        <v>2893</v>
      </c>
      <c r="B3515" s="2" t="str">
        <f>"920000"</f>
        <v>920000</v>
      </c>
      <c r="C3515" s="2" t="str">
        <f>"920000"</f>
        <v>920000</v>
      </c>
      <c r="D3515" s="2" t="s">
        <v>2894</v>
      </c>
      <c r="E3515" s="4">
        <v>20000</v>
      </c>
    </row>
    <row r="3516" spans="1:5" ht="26.25" x14ac:dyDescent="0.25">
      <c r="A3516" s="2" t="s">
        <v>21</v>
      </c>
      <c r="B3516" s="2" t="str">
        <f>"46000346"</f>
        <v>46000346</v>
      </c>
      <c r="C3516" s="2" t="str">
        <f>"46000346"</f>
        <v>46000346</v>
      </c>
      <c r="D3516" s="2" t="s">
        <v>2895</v>
      </c>
      <c r="E3516" s="4">
        <v>7500</v>
      </c>
    </row>
    <row r="3517" spans="1:5" ht="26.25" x14ac:dyDescent="0.25">
      <c r="A3517" s="2" t="s">
        <v>21</v>
      </c>
      <c r="B3517" s="2" t="str">
        <f>"8669885018214"</f>
        <v>8669885018214</v>
      </c>
      <c r="C3517" s="2" t="str">
        <f>"66521821"</f>
        <v>66521821</v>
      </c>
      <c r="D3517" s="2" t="s">
        <v>2896</v>
      </c>
      <c r="E3517" s="4">
        <v>4500</v>
      </c>
    </row>
    <row r="3518" spans="1:5" ht="26.25" x14ac:dyDescent="0.25">
      <c r="A3518" s="2" t="s">
        <v>21</v>
      </c>
      <c r="B3518" s="2" t="str">
        <f>"8002017231915"</f>
        <v>8002017231915</v>
      </c>
      <c r="C3518" s="2" t="str">
        <f>"18521915"</f>
        <v>18521915</v>
      </c>
      <c r="D3518" s="2" t="s">
        <v>2897</v>
      </c>
      <c r="E3518" s="4">
        <v>4500</v>
      </c>
    </row>
    <row r="3519" spans="1:5" ht="26.25" x14ac:dyDescent="0.25">
      <c r="A3519" s="2" t="s">
        <v>30</v>
      </c>
      <c r="B3519" s="2" t="str">
        <f>"87221542"</f>
        <v>87221542</v>
      </c>
      <c r="C3519" s="2" t="str">
        <f>"87221542"</f>
        <v>87221542</v>
      </c>
      <c r="D3519" s="2" t="s">
        <v>2898</v>
      </c>
      <c r="E3519" s="4">
        <v>2500</v>
      </c>
    </row>
    <row r="3520" spans="1:5" ht="26.25" x14ac:dyDescent="0.25">
      <c r="A3520" s="2" t="s">
        <v>21</v>
      </c>
      <c r="B3520" s="2" t="str">
        <f>"87001541"</f>
        <v>87001541</v>
      </c>
      <c r="C3520" s="2" t="str">
        <f>"87001541"</f>
        <v>87001541</v>
      </c>
      <c r="D3520" s="2" t="s">
        <v>2899</v>
      </c>
      <c r="E3520" s="4">
        <v>2500</v>
      </c>
    </row>
    <row r="3521" spans="1:5" ht="26.25" x14ac:dyDescent="0.25">
      <c r="A3521" s="2" t="s">
        <v>30</v>
      </c>
      <c r="B3521" s="2" t="str">
        <f>"10022422"</f>
        <v>10022422</v>
      </c>
      <c r="C3521" s="2" t="str">
        <f>"10022422"</f>
        <v>10022422</v>
      </c>
      <c r="D3521" s="2" t="s">
        <v>2900</v>
      </c>
      <c r="E3521" s="4">
        <v>1500</v>
      </c>
    </row>
    <row r="3522" spans="1:5" ht="26.25" x14ac:dyDescent="0.25">
      <c r="A3522" s="2" t="s">
        <v>9</v>
      </c>
      <c r="B3522" s="2" t="str">
        <f>"87001492"</f>
        <v>87001492</v>
      </c>
      <c r="C3522" s="2" t="str">
        <f>"87001492"</f>
        <v>87001492</v>
      </c>
      <c r="D3522" s="2" t="s">
        <v>2901</v>
      </c>
      <c r="E3522" s="4">
        <v>2500</v>
      </c>
    </row>
    <row r="3523" spans="1:5" ht="26.25" x14ac:dyDescent="0.25">
      <c r="A3523" s="2" t="s">
        <v>40</v>
      </c>
      <c r="B3523" s="2" t="str">
        <f>"10006554"</f>
        <v>10006554</v>
      </c>
      <c r="C3523" s="2" t="str">
        <f>"10006554"</f>
        <v>10006554</v>
      </c>
      <c r="D3523" s="2" t="s">
        <v>2902</v>
      </c>
      <c r="E3523" s="4">
        <v>1000</v>
      </c>
    </row>
    <row r="3524" spans="1:5" ht="26.25" x14ac:dyDescent="0.25">
      <c r="A3524" s="2" t="s">
        <v>21</v>
      </c>
      <c r="B3524" s="2" t="str">
        <f>"10000207"</f>
        <v>10000207</v>
      </c>
      <c r="C3524" s="2" t="str">
        <f>"10000207"</f>
        <v>10000207</v>
      </c>
      <c r="D3524" s="2" t="s">
        <v>2903</v>
      </c>
      <c r="E3524" s="4">
        <v>3700</v>
      </c>
    </row>
    <row r="3525" spans="1:5" ht="26.25" x14ac:dyDescent="0.25">
      <c r="A3525" s="2" t="s">
        <v>147</v>
      </c>
      <c r="B3525" s="2" t="str">
        <f>"7809604026644"</f>
        <v>7809604026644</v>
      </c>
      <c r="C3525" s="2" t="str">
        <f>"47886644"</f>
        <v>47886644</v>
      </c>
      <c r="D3525" s="2" t="s">
        <v>2904</v>
      </c>
      <c r="E3525" s="4">
        <v>1790</v>
      </c>
    </row>
    <row r="3526" spans="1:5" ht="26.25" x14ac:dyDescent="0.25">
      <c r="A3526" s="2" t="s">
        <v>921</v>
      </c>
      <c r="B3526" s="2" t="str">
        <f>"66370832"</f>
        <v>66370832</v>
      </c>
      <c r="C3526" s="2" t="str">
        <f>"66370832"</f>
        <v>66370832</v>
      </c>
      <c r="D3526" s="2" t="s">
        <v>2905</v>
      </c>
      <c r="E3526" s="4">
        <v>53900</v>
      </c>
    </row>
    <row r="3527" spans="1:5" ht="26.25" x14ac:dyDescent="0.25">
      <c r="A3527" s="2" t="s">
        <v>921</v>
      </c>
      <c r="B3527" s="2" t="str">
        <f>"42102522"</f>
        <v>42102522</v>
      </c>
      <c r="C3527" s="2" t="str">
        <f>"42102522"</f>
        <v>42102522</v>
      </c>
      <c r="D3527" s="2" t="s">
        <v>2906</v>
      </c>
      <c r="E3527" s="4">
        <v>53500</v>
      </c>
    </row>
    <row r="3528" spans="1:5" ht="26.25" x14ac:dyDescent="0.25">
      <c r="A3528" s="2" t="s">
        <v>921</v>
      </c>
      <c r="B3528" s="2" t="str">
        <f>"4840030015263"</f>
        <v>4840030015263</v>
      </c>
      <c r="C3528" s="2" t="str">
        <f>"76370168"</f>
        <v>76370168</v>
      </c>
      <c r="D3528" s="2" t="s">
        <v>2907</v>
      </c>
      <c r="E3528" s="4">
        <v>11990</v>
      </c>
    </row>
    <row r="3529" spans="1:5" ht="26.25" x14ac:dyDescent="0.25">
      <c r="A3529" s="2" t="s">
        <v>921</v>
      </c>
      <c r="B3529" s="2" t="str">
        <f>"6925871666350"</f>
        <v>6925871666350</v>
      </c>
      <c r="C3529" s="2" t="str">
        <f>"22376635"</f>
        <v>22376635</v>
      </c>
      <c r="D3529" s="2" t="s">
        <v>2908</v>
      </c>
      <c r="E3529" s="4">
        <v>9990</v>
      </c>
    </row>
    <row r="3530" spans="1:5" ht="26.25" x14ac:dyDescent="0.25">
      <c r="A3530" s="2" t="s">
        <v>921</v>
      </c>
      <c r="B3530" s="2" t="str">
        <f>"6925871663700"</f>
        <v>6925871663700</v>
      </c>
      <c r="C3530" s="2" t="str">
        <f>"22376370"</f>
        <v>22376370</v>
      </c>
      <c r="D3530" s="2" t="s">
        <v>2909</v>
      </c>
      <c r="E3530" s="4">
        <v>9990</v>
      </c>
    </row>
    <row r="3531" spans="1:5" ht="26.25" x14ac:dyDescent="0.25">
      <c r="A3531" s="2" t="s">
        <v>921</v>
      </c>
      <c r="B3531" s="2" t="str">
        <f>"6925871663861"</f>
        <v>6925871663861</v>
      </c>
      <c r="C3531" s="2" t="str">
        <f>"22376386"</f>
        <v>22376386</v>
      </c>
      <c r="D3531" s="2" t="s">
        <v>2910</v>
      </c>
      <c r="E3531" s="4">
        <v>9990</v>
      </c>
    </row>
    <row r="3532" spans="1:5" ht="26.25" x14ac:dyDescent="0.25">
      <c r="A3532" s="2" t="s">
        <v>921</v>
      </c>
      <c r="B3532" s="2" t="str">
        <f>"6925871663885"</f>
        <v>6925871663885</v>
      </c>
      <c r="C3532" s="2" t="str">
        <f>"22376388"</f>
        <v>22376388</v>
      </c>
      <c r="D3532" s="2" t="s">
        <v>2911</v>
      </c>
      <c r="E3532" s="4">
        <v>14990</v>
      </c>
    </row>
    <row r="3533" spans="1:5" ht="26.25" x14ac:dyDescent="0.25">
      <c r="A3533" s="2" t="s">
        <v>921</v>
      </c>
      <c r="B3533" s="2" t="str">
        <f>"6954284074483"</f>
        <v>6954284074483</v>
      </c>
      <c r="C3533" s="2" t="str">
        <f>"76370300"</f>
        <v>76370300</v>
      </c>
      <c r="D3533" s="2" t="s">
        <v>2912</v>
      </c>
      <c r="E3533" s="4">
        <v>22990</v>
      </c>
    </row>
    <row r="3534" spans="1:5" ht="26.25" x14ac:dyDescent="0.25">
      <c r="A3534" s="2" t="s">
        <v>921</v>
      </c>
      <c r="B3534" s="2" t="str">
        <f>"6931326001560"</f>
        <v>6931326001560</v>
      </c>
      <c r="C3534" s="2" t="str">
        <f>"40370129"</f>
        <v>40370129</v>
      </c>
      <c r="D3534" s="2" t="s">
        <v>2913</v>
      </c>
      <c r="E3534" s="4">
        <v>9990</v>
      </c>
    </row>
    <row r="3535" spans="1:5" ht="26.25" x14ac:dyDescent="0.25">
      <c r="A3535" s="2" t="s">
        <v>921</v>
      </c>
      <c r="B3535" s="2" t="str">
        <f>"10001728"</f>
        <v>10001728</v>
      </c>
      <c r="C3535" s="2" t="str">
        <f>"10001728"</f>
        <v>10001728</v>
      </c>
      <c r="D3535" s="2" t="s">
        <v>2914</v>
      </c>
      <c r="E3535" s="4">
        <v>26900</v>
      </c>
    </row>
    <row r="3536" spans="1:5" ht="26.25" x14ac:dyDescent="0.25">
      <c r="A3536" s="2" t="s">
        <v>921</v>
      </c>
      <c r="B3536" s="2" t="str">
        <f>"763700118"</f>
        <v>763700118</v>
      </c>
      <c r="C3536" s="2" t="str">
        <f>"763700118"</f>
        <v>763700118</v>
      </c>
      <c r="D3536" s="2" t="s">
        <v>2915</v>
      </c>
      <c r="E3536" s="4">
        <v>10900</v>
      </c>
    </row>
    <row r="3537" spans="1:5" ht="26.25" x14ac:dyDescent="0.25">
      <c r="A3537" s="2" t="s">
        <v>921</v>
      </c>
      <c r="B3537" s="2" t="str">
        <f>"10113013"</f>
        <v>10113013</v>
      </c>
      <c r="C3537" s="2" t="str">
        <f>"10113013"</f>
        <v>10113013</v>
      </c>
      <c r="D3537" s="2" t="s">
        <v>2916</v>
      </c>
      <c r="E3537" s="4">
        <v>10990</v>
      </c>
    </row>
    <row r="3538" spans="1:5" ht="26.25" x14ac:dyDescent="0.25">
      <c r="A3538" s="2" t="s">
        <v>925</v>
      </c>
      <c r="B3538" s="2" t="str">
        <f>"10118348"</f>
        <v>10118348</v>
      </c>
      <c r="C3538" s="2" t="str">
        <f>"10118348"</f>
        <v>10118348</v>
      </c>
      <c r="D3538" s="2" t="s">
        <v>2917</v>
      </c>
      <c r="E3538" s="4">
        <v>14990</v>
      </c>
    </row>
    <row r="3539" spans="1:5" ht="26.25" x14ac:dyDescent="0.25">
      <c r="A3539" s="2" t="s">
        <v>925</v>
      </c>
      <c r="B3539" s="2" t="str">
        <f>"10000134"</f>
        <v>10000134</v>
      </c>
      <c r="C3539" s="2" t="str">
        <f>"10000134"</f>
        <v>10000134</v>
      </c>
      <c r="D3539" s="2" t="s">
        <v>2918</v>
      </c>
      <c r="E3539" s="4">
        <v>5500</v>
      </c>
    </row>
    <row r="3540" spans="1:5" ht="26.25" x14ac:dyDescent="0.25">
      <c r="A3540" s="2" t="s">
        <v>921</v>
      </c>
      <c r="B3540" s="2" t="str">
        <f>"10001642"</f>
        <v>10001642</v>
      </c>
      <c r="C3540" s="2" t="str">
        <f>"10001642"</f>
        <v>10001642</v>
      </c>
      <c r="D3540" s="2" t="s">
        <v>2919</v>
      </c>
      <c r="E3540" s="4">
        <v>4990</v>
      </c>
    </row>
    <row r="3541" spans="1:5" ht="26.25" x14ac:dyDescent="0.25">
      <c r="A3541" s="2" t="s">
        <v>925</v>
      </c>
      <c r="B3541" s="2" t="str">
        <f>"10000278"</f>
        <v>10000278</v>
      </c>
      <c r="C3541" s="2" t="str">
        <f>"10000278"</f>
        <v>10000278</v>
      </c>
      <c r="D3541" s="2" t="s">
        <v>2920</v>
      </c>
      <c r="E3541" s="4">
        <v>9990</v>
      </c>
    </row>
    <row r="3542" spans="1:5" ht="26.25" x14ac:dyDescent="0.25">
      <c r="A3542" s="2" t="s">
        <v>925</v>
      </c>
      <c r="B3542" s="2" t="str">
        <f>"8669885028282"</f>
        <v>8669885028282</v>
      </c>
      <c r="C3542" s="2" t="str">
        <f>"66078282"</f>
        <v>66078282</v>
      </c>
      <c r="D3542" s="2" t="s">
        <v>2921</v>
      </c>
      <c r="E3542" s="4">
        <v>33900</v>
      </c>
    </row>
    <row r="3543" spans="1:5" ht="26.25" x14ac:dyDescent="0.25">
      <c r="A3543" s="2" t="s">
        <v>925</v>
      </c>
      <c r="B3543" s="2" t="str">
        <f>"6925871617789"</f>
        <v>6925871617789</v>
      </c>
      <c r="C3543" s="2" t="str">
        <f>"22071778"</f>
        <v>22071778</v>
      </c>
      <c r="D3543" s="2" t="s">
        <v>2922</v>
      </c>
      <c r="E3543" s="4">
        <v>10990</v>
      </c>
    </row>
    <row r="3544" spans="1:5" ht="26.25" x14ac:dyDescent="0.25">
      <c r="A3544" s="2" t="s">
        <v>921</v>
      </c>
      <c r="B3544" s="2" t="str">
        <f>"17440006"</f>
        <v>17440006</v>
      </c>
      <c r="C3544" s="2" t="str">
        <f>"17440006"</f>
        <v>17440006</v>
      </c>
      <c r="D3544" s="2" t="s">
        <v>2923</v>
      </c>
      <c r="E3544" s="4">
        <v>17500</v>
      </c>
    </row>
    <row r="3545" spans="1:5" ht="26.25" x14ac:dyDescent="0.25">
      <c r="A3545" s="2" t="s">
        <v>925</v>
      </c>
      <c r="B3545" s="2" t="str">
        <f>"7858816047923"</f>
        <v>7858816047923</v>
      </c>
      <c r="C3545" s="2" t="str">
        <f>"87074792"</f>
        <v>87074792</v>
      </c>
      <c r="D3545" s="2" t="s">
        <v>2924</v>
      </c>
      <c r="E3545" s="4">
        <v>21900</v>
      </c>
    </row>
    <row r="3546" spans="1:5" ht="26.25" x14ac:dyDescent="0.25">
      <c r="A3546" s="2" t="s">
        <v>921</v>
      </c>
      <c r="B3546" s="2" t="str">
        <f>"6925871610872"</f>
        <v>6925871610872</v>
      </c>
      <c r="C3546" s="2" t="str">
        <f>"22071087"</f>
        <v>22071087</v>
      </c>
      <c r="D3546" s="2" t="s">
        <v>2925</v>
      </c>
      <c r="E3546" s="4">
        <v>7500</v>
      </c>
    </row>
    <row r="3547" spans="1:5" ht="26.25" x14ac:dyDescent="0.25">
      <c r="A3547" s="2" t="s">
        <v>921</v>
      </c>
      <c r="B3547" s="2" t="str">
        <f>"6925871611367"</f>
        <v>6925871611367</v>
      </c>
      <c r="C3547" s="2" t="str">
        <f>"22371136"</f>
        <v>22371136</v>
      </c>
      <c r="D3547" s="2" t="s">
        <v>2926</v>
      </c>
      <c r="E3547" s="4">
        <v>12990</v>
      </c>
    </row>
    <row r="3548" spans="1:5" ht="26.25" x14ac:dyDescent="0.25">
      <c r="A3548" s="2" t="s">
        <v>921</v>
      </c>
      <c r="B3548" s="2" t="str">
        <f>"6925871611695"</f>
        <v>6925871611695</v>
      </c>
      <c r="C3548" s="2" t="str">
        <f>"22071169"</f>
        <v>22071169</v>
      </c>
      <c r="D3548" s="2" t="s">
        <v>2927</v>
      </c>
      <c r="E3548" s="4">
        <v>15990</v>
      </c>
    </row>
    <row r="3549" spans="1:5" ht="26.25" x14ac:dyDescent="0.25">
      <c r="A3549" s="2" t="s">
        <v>921</v>
      </c>
      <c r="B3549" s="2" t="str">
        <f>"6925871611954"</f>
        <v>6925871611954</v>
      </c>
      <c r="C3549" s="2" t="str">
        <f>"22371195"</f>
        <v>22371195</v>
      </c>
      <c r="D3549" s="2" t="s">
        <v>2928</v>
      </c>
      <c r="E3549" s="4">
        <v>18990</v>
      </c>
    </row>
    <row r="3550" spans="1:5" ht="26.25" x14ac:dyDescent="0.25">
      <c r="A3550" s="2" t="s">
        <v>921</v>
      </c>
      <c r="B3550" s="2" t="str">
        <f>"6925871612135"</f>
        <v>6925871612135</v>
      </c>
      <c r="C3550" s="2" t="str">
        <f>"22371213"</f>
        <v>22371213</v>
      </c>
      <c r="D3550" s="2" t="s">
        <v>2929</v>
      </c>
      <c r="E3550" s="4">
        <v>9990</v>
      </c>
    </row>
    <row r="3551" spans="1:5" ht="26.25" x14ac:dyDescent="0.25">
      <c r="A3551" s="2" t="s">
        <v>925</v>
      </c>
      <c r="B3551" s="2" t="str">
        <f>"6925871613286"</f>
        <v>6925871613286</v>
      </c>
      <c r="C3551" s="2" t="str">
        <f>"22371328"</f>
        <v>22371328</v>
      </c>
      <c r="D3551" s="2" t="s">
        <v>2930</v>
      </c>
      <c r="E3551" s="4">
        <v>5500</v>
      </c>
    </row>
    <row r="3552" spans="1:5" ht="26.25" x14ac:dyDescent="0.25">
      <c r="A3552" s="2" t="s">
        <v>921</v>
      </c>
      <c r="B3552" s="2" t="str">
        <f>"6925871613675"</f>
        <v>6925871613675</v>
      </c>
      <c r="C3552" s="2" t="str">
        <f>"22371367"</f>
        <v>22371367</v>
      </c>
      <c r="D3552" s="2" t="s">
        <v>2931</v>
      </c>
      <c r="E3552" s="4">
        <v>10500</v>
      </c>
    </row>
    <row r="3553" spans="1:5" ht="26.25" x14ac:dyDescent="0.25">
      <c r="A3553" s="2" t="s">
        <v>921</v>
      </c>
      <c r="B3553" s="2" t="str">
        <f>"6925871613729"</f>
        <v>6925871613729</v>
      </c>
      <c r="C3553" s="2" t="str">
        <f>"22071372"</f>
        <v>22071372</v>
      </c>
      <c r="D3553" s="2" t="s">
        <v>2932</v>
      </c>
      <c r="E3553" s="4">
        <v>34900</v>
      </c>
    </row>
    <row r="3554" spans="1:5" ht="26.25" x14ac:dyDescent="0.25">
      <c r="A3554" s="2" t="s">
        <v>921</v>
      </c>
      <c r="B3554" s="2" t="str">
        <f>"22071373"</f>
        <v>22071373</v>
      </c>
      <c r="C3554" s="2" t="str">
        <f>"22071373"</f>
        <v>22071373</v>
      </c>
      <c r="D3554" s="2" t="s">
        <v>2933</v>
      </c>
      <c r="E3554" s="4">
        <v>29990</v>
      </c>
    </row>
    <row r="3555" spans="1:5" ht="26.25" x14ac:dyDescent="0.25">
      <c r="A3555" s="2" t="s">
        <v>921</v>
      </c>
      <c r="B3555" s="2" t="str">
        <f>"6925871613866"</f>
        <v>6925871613866</v>
      </c>
      <c r="C3555" s="2" t="str">
        <f>"22371386"</f>
        <v>22371386</v>
      </c>
      <c r="D3555" s="2" t="s">
        <v>2934</v>
      </c>
      <c r="E3555" s="4">
        <v>10990</v>
      </c>
    </row>
    <row r="3556" spans="1:5" ht="26.25" x14ac:dyDescent="0.25">
      <c r="A3556" s="2" t="s">
        <v>921</v>
      </c>
      <c r="B3556" s="2" t="str">
        <f>"6925871614924"</f>
        <v>6925871614924</v>
      </c>
      <c r="C3556" s="2" t="str">
        <f>"22071492"</f>
        <v>22071492</v>
      </c>
      <c r="D3556" s="2" t="s">
        <v>2935</v>
      </c>
      <c r="E3556" s="4">
        <v>22990</v>
      </c>
    </row>
    <row r="3557" spans="1:5" ht="26.25" x14ac:dyDescent="0.25">
      <c r="A3557" s="2" t="s">
        <v>921</v>
      </c>
      <c r="B3557" s="2" t="str">
        <f>"6925871616485"</f>
        <v>6925871616485</v>
      </c>
      <c r="C3557" s="2" t="str">
        <f>"22071648"</f>
        <v>22071648</v>
      </c>
      <c r="D3557" s="2" t="s">
        <v>2935</v>
      </c>
      <c r="E3557" s="4">
        <v>18990</v>
      </c>
    </row>
    <row r="3558" spans="1:5" ht="26.25" x14ac:dyDescent="0.25">
      <c r="A3558" s="2" t="s">
        <v>921</v>
      </c>
      <c r="B3558" s="2" t="str">
        <f>"6925871615129"</f>
        <v>6925871615129</v>
      </c>
      <c r="C3558" s="2" t="str">
        <f>"22371512"</f>
        <v>22371512</v>
      </c>
      <c r="D3558" s="2" t="s">
        <v>2936</v>
      </c>
      <c r="E3558" s="4">
        <v>19990</v>
      </c>
    </row>
    <row r="3559" spans="1:5" ht="26.25" x14ac:dyDescent="0.25">
      <c r="A3559" s="2" t="s">
        <v>925</v>
      </c>
      <c r="B3559" s="2" t="str">
        <f>"6925871615327"</f>
        <v>6925871615327</v>
      </c>
      <c r="C3559" s="2" t="str">
        <f>"22071532"</f>
        <v>22071532</v>
      </c>
      <c r="D3559" s="2" t="s">
        <v>2937</v>
      </c>
      <c r="E3559" s="4">
        <v>11500</v>
      </c>
    </row>
    <row r="3560" spans="1:5" ht="26.25" x14ac:dyDescent="0.25">
      <c r="A3560" s="2" t="s">
        <v>921</v>
      </c>
      <c r="B3560" s="2" t="str">
        <f>"6925876116140"</f>
        <v>6925876116140</v>
      </c>
      <c r="C3560" s="2" t="str">
        <f>"22071614"</f>
        <v>22071614</v>
      </c>
      <c r="D3560" s="2" t="s">
        <v>2938</v>
      </c>
      <c r="E3560" s="4">
        <v>12990</v>
      </c>
    </row>
    <row r="3561" spans="1:5" ht="26.25" x14ac:dyDescent="0.25">
      <c r="A3561" s="2" t="s">
        <v>921</v>
      </c>
      <c r="B3561" s="2" t="str">
        <f>"6925871616492"</f>
        <v>6925871616492</v>
      </c>
      <c r="C3561" s="2" t="str">
        <f>"22741649"</f>
        <v>22741649</v>
      </c>
      <c r="D3561" s="2" t="s">
        <v>2939</v>
      </c>
      <c r="E3561" s="4">
        <v>8990</v>
      </c>
    </row>
    <row r="3562" spans="1:5" ht="26.25" x14ac:dyDescent="0.25">
      <c r="A3562" s="2" t="s">
        <v>925</v>
      </c>
      <c r="B3562" s="2" t="str">
        <f>"6925871617178"</f>
        <v>6925871617178</v>
      </c>
      <c r="C3562" s="2" t="str">
        <f>"22071717"</f>
        <v>22071717</v>
      </c>
      <c r="D3562" s="2" t="s">
        <v>2940</v>
      </c>
      <c r="E3562" s="4">
        <v>15300</v>
      </c>
    </row>
    <row r="3563" spans="1:5" ht="26.25" x14ac:dyDescent="0.25">
      <c r="A3563" s="2" t="s">
        <v>921</v>
      </c>
      <c r="B3563" s="2" t="str">
        <f>"6925871617222"</f>
        <v>6925871617222</v>
      </c>
      <c r="C3563" s="2" t="str">
        <f>"22371722"</f>
        <v>22371722</v>
      </c>
      <c r="D3563" s="2" t="s">
        <v>2941</v>
      </c>
      <c r="E3563" s="4">
        <v>10990</v>
      </c>
    </row>
    <row r="3564" spans="1:5" ht="26.25" x14ac:dyDescent="0.25">
      <c r="A3564" s="2" t="s">
        <v>921</v>
      </c>
      <c r="B3564" s="2" t="str">
        <f>"6925871619240"</f>
        <v>6925871619240</v>
      </c>
      <c r="C3564" s="2" t="str">
        <f>"22071924"</f>
        <v>22071924</v>
      </c>
      <c r="D3564" s="2" t="s">
        <v>2942</v>
      </c>
      <c r="E3564" s="4">
        <v>7500</v>
      </c>
    </row>
    <row r="3565" spans="1:5" ht="26.25" x14ac:dyDescent="0.25">
      <c r="A3565" s="2" t="s">
        <v>921</v>
      </c>
      <c r="B3565" s="2" t="str">
        <f>"6925871619257"</f>
        <v>6925871619257</v>
      </c>
      <c r="C3565" s="2" t="str">
        <f>"22371925"</f>
        <v>22371925</v>
      </c>
      <c r="D3565" s="2" t="s">
        <v>2943</v>
      </c>
      <c r="E3565" s="4">
        <v>7100</v>
      </c>
    </row>
    <row r="3566" spans="1:5" ht="26.25" x14ac:dyDescent="0.25">
      <c r="A3566" s="2" t="s">
        <v>921</v>
      </c>
      <c r="B3566" s="2" t="str">
        <f>"6925871621755"</f>
        <v>6925871621755</v>
      </c>
      <c r="C3566" s="2" t="str">
        <f>"22372175"</f>
        <v>22372175</v>
      </c>
      <c r="D3566" s="2" t="s">
        <v>2944</v>
      </c>
      <c r="E3566" s="4">
        <v>23990</v>
      </c>
    </row>
    <row r="3567" spans="1:5" ht="26.25" x14ac:dyDescent="0.25">
      <c r="A3567" s="2" t="s">
        <v>921</v>
      </c>
      <c r="B3567" s="2" t="str">
        <f>"6925871622400"</f>
        <v>6925871622400</v>
      </c>
      <c r="C3567" s="2" t="str">
        <f>"22372240"</f>
        <v>22372240</v>
      </c>
      <c r="D3567" s="2" t="s">
        <v>2945</v>
      </c>
      <c r="E3567" s="4">
        <v>20500</v>
      </c>
    </row>
    <row r="3568" spans="1:5" ht="26.25" x14ac:dyDescent="0.25">
      <c r="A3568" s="2" t="s">
        <v>921</v>
      </c>
      <c r="B3568" s="2" t="str">
        <f>"6925871625005"</f>
        <v>6925871625005</v>
      </c>
      <c r="C3568" s="2" t="str">
        <f>"22072500"</f>
        <v>22072500</v>
      </c>
      <c r="D3568" s="2" t="s">
        <v>2946</v>
      </c>
      <c r="E3568" s="4">
        <v>35990</v>
      </c>
    </row>
    <row r="3569" spans="1:5" ht="26.25" x14ac:dyDescent="0.25">
      <c r="A3569" s="2" t="s">
        <v>921</v>
      </c>
      <c r="B3569" s="2" t="str">
        <f>"6925871625036"</f>
        <v>6925871625036</v>
      </c>
      <c r="C3569" s="2" t="str">
        <f>"22072503"</f>
        <v>22072503</v>
      </c>
      <c r="D3569" s="2" t="s">
        <v>2947</v>
      </c>
      <c r="E3569" s="4">
        <v>41990</v>
      </c>
    </row>
    <row r="3570" spans="1:5" ht="26.25" x14ac:dyDescent="0.25">
      <c r="A3570" s="2" t="s">
        <v>921</v>
      </c>
      <c r="B3570" s="2" t="str">
        <f>"6925871625869"</f>
        <v>6925871625869</v>
      </c>
      <c r="C3570" s="2" t="str">
        <f>"22072586"</f>
        <v>22072586</v>
      </c>
      <c r="D3570" s="2" t="s">
        <v>2948</v>
      </c>
      <c r="E3570" s="4">
        <v>18990</v>
      </c>
    </row>
    <row r="3571" spans="1:5" ht="26.25" x14ac:dyDescent="0.25">
      <c r="A3571" s="2" t="s">
        <v>921</v>
      </c>
      <c r="B3571" s="2" t="str">
        <f>"6925871626293"</f>
        <v>6925871626293</v>
      </c>
      <c r="C3571" s="2" t="str">
        <f>"22372629"</f>
        <v>22372629</v>
      </c>
      <c r="D3571" s="2" t="s">
        <v>2949</v>
      </c>
      <c r="E3571" s="4">
        <v>8490</v>
      </c>
    </row>
    <row r="3572" spans="1:5" ht="26.25" x14ac:dyDescent="0.25">
      <c r="A3572" s="2" t="s">
        <v>921</v>
      </c>
      <c r="B3572" s="2" t="str">
        <f>"6925871626873"</f>
        <v>6925871626873</v>
      </c>
      <c r="C3572" s="2" t="str">
        <f>"22372687"</f>
        <v>22372687</v>
      </c>
      <c r="D3572" s="2" t="s">
        <v>2950</v>
      </c>
      <c r="E3572" s="4">
        <v>19990</v>
      </c>
    </row>
    <row r="3573" spans="1:5" ht="26.25" x14ac:dyDescent="0.25">
      <c r="A3573" s="2" t="s">
        <v>921</v>
      </c>
      <c r="B3573" s="2" t="str">
        <f>"6925871629478"</f>
        <v>6925871629478</v>
      </c>
      <c r="C3573" s="2" t="str">
        <f>"22372947"</f>
        <v>22372947</v>
      </c>
      <c r="D3573" s="2" t="s">
        <v>2951</v>
      </c>
      <c r="E3573" s="4">
        <v>19990</v>
      </c>
    </row>
    <row r="3574" spans="1:5" ht="26.25" x14ac:dyDescent="0.25">
      <c r="A3574" s="2" t="s">
        <v>921</v>
      </c>
      <c r="B3574" s="2" t="str">
        <f>"6925871629652"</f>
        <v>6925871629652</v>
      </c>
      <c r="C3574" s="2" t="str">
        <f>"22372965"</f>
        <v>22372965</v>
      </c>
      <c r="D3574" s="2" t="s">
        <v>2952</v>
      </c>
      <c r="E3574" s="4">
        <v>18990</v>
      </c>
    </row>
    <row r="3575" spans="1:5" ht="26.25" x14ac:dyDescent="0.25">
      <c r="A3575" s="2" t="s">
        <v>921</v>
      </c>
      <c r="B3575" s="2" t="str">
        <f>"22375280"</f>
        <v>22375280</v>
      </c>
      <c r="C3575" s="2" t="str">
        <f>"22375280"</f>
        <v>22375280</v>
      </c>
      <c r="D3575" s="2" t="s">
        <v>2953</v>
      </c>
      <c r="E3575" s="4">
        <v>57800</v>
      </c>
    </row>
    <row r="3576" spans="1:5" ht="26.25" x14ac:dyDescent="0.25">
      <c r="A3576" s="2" t="s">
        <v>921</v>
      </c>
      <c r="B3576" s="2" t="str">
        <f>"6925871612319"</f>
        <v>6925871612319</v>
      </c>
      <c r="C3576" s="2" t="str">
        <f>"22371231"</f>
        <v>22371231</v>
      </c>
      <c r="D3576" s="2" t="s">
        <v>2954</v>
      </c>
      <c r="E3576" s="4">
        <v>22990</v>
      </c>
    </row>
    <row r="3577" spans="1:5" ht="26.25" x14ac:dyDescent="0.25">
      <c r="A3577" s="2" t="s">
        <v>921</v>
      </c>
      <c r="B3577" s="2" t="str">
        <f>"6925871612432"</f>
        <v>6925871612432</v>
      </c>
      <c r="C3577" s="2" t="str">
        <f>"22371243"</f>
        <v>22371243</v>
      </c>
      <c r="D3577" s="2" t="s">
        <v>2955</v>
      </c>
      <c r="E3577" s="4">
        <v>19990</v>
      </c>
    </row>
    <row r="3578" spans="1:5" ht="26.25" x14ac:dyDescent="0.25">
      <c r="A3578" s="2" t="s">
        <v>921</v>
      </c>
      <c r="B3578" s="2" t="str">
        <f>"6925871619820"</f>
        <v>6925871619820</v>
      </c>
      <c r="C3578" s="2" t="str">
        <f>"22741982"</f>
        <v>22741982</v>
      </c>
      <c r="D3578" s="2" t="s">
        <v>2956</v>
      </c>
      <c r="E3578" s="4">
        <v>11990</v>
      </c>
    </row>
    <row r="3579" spans="1:5" ht="26.25" x14ac:dyDescent="0.25">
      <c r="A3579" s="2" t="s">
        <v>921</v>
      </c>
      <c r="B3579" s="2" t="str">
        <f>"7809601111909"</f>
        <v>7809601111909</v>
      </c>
      <c r="C3579" s="2" t="str">
        <f>"92370010"</f>
        <v>92370010</v>
      </c>
      <c r="D3579" s="2" t="s">
        <v>2957</v>
      </c>
      <c r="E3579" s="4">
        <v>9990</v>
      </c>
    </row>
    <row r="3580" spans="1:5" ht="26.25" x14ac:dyDescent="0.25">
      <c r="A3580" s="2" t="s">
        <v>921</v>
      </c>
      <c r="B3580" s="2" t="str">
        <f>"7809601112418"</f>
        <v>7809601112418</v>
      </c>
      <c r="C3580" s="2" t="str">
        <f>"92370002"</f>
        <v>92370002</v>
      </c>
      <c r="D3580" s="2" t="s">
        <v>2958</v>
      </c>
      <c r="E3580" s="4">
        <v>14990</v>
      </c>
    </row>
    <row r="3581" spans="1:5" ht="26.25" x14ac:dyDescent="0.25">
      <c r="A3581" s="2" t="s">
        <v>925</v>
      </c>
      <c r="B3581" s="2" t="str">
        <f>"6956822464640"</f>
        <v>6956822464640</v>
      </c>
      <c r="C3581" s="2" t="str">
        <f>"76370010"</f>
        <v>76370010</v>
      </c>
      <c r="D3581" s="2" t="s">
        <v>2959</v>
      </c>
      <c r="E3581" s="4">
        <v>11990</v>
      </c>
    </row>
    <row r="3582" spans="1:5" ht="26.25" x14ac:dyDescent="0.25">
      <c r="A3582" s="2" t="s">
        <v>925</v>
      </c>
      <c r="B3582" s="2" t="str">
        <f>"7858816081514"</f>
        <v>7858816081514</v>
      </c>
      <c r="C3582" s="2" t="str">
        <f>"87378151"</f>
        <v>87378151</v>
      </c>
      <c r="D3582" s="2" t="s">
        <v>2960</v>
      </c>
      <c r="E3582" s="4">
        <v>8990</v>
      </c>
    </row>
    <row r="3583" spans="1:5" ht="26.25" x14ac:dyDescent="0.25">
      <c r="A3583" s="2" t="s">
        <v>921</v>
      </c>
      <c r="B3583" s="2" t="str">
        <f>"7858816081538"</f>
        <v>7858816081538</v>
      </c>
      <c r="C3583" s="2" t="str">
        <f>"87748153"</f>
        <v>87748153</v>
      </c>
      <c r="D3583" s="2" t="s">
        <v>2961</v>
      </c>
      <c r="E3583" s="4">
        <v>12990</v>
      </c>
    </row>
    <row r="3584" spans="1:5" ht="26.25" x14ac:dyDescent="0.25">
      <c r="A3584" s="2" t="s">
        <v>921</v>
      </c>
      <c r="B3584" s="2" t="str">
        <f>"6925281948497"</f>
        <v>6925281948497</v>
      </c>
      <c r="C3584" s="2" t="str">
        <f>"92370115"</f>
        <v>92370115</v>
      </c>
      <c r="D3584" s="2" t="s">
        <v>2962</v>
      </c>
      <c r="E3584" s="4">
        <v>35990</v>
      </c>
    </row>
    <row r="3585" spans="1:5" ht="26.25" x14ac:dyDescent="0.25">
      <c r="A3585" s="2" t="s">
        <v>921</v>
      </c>
      <c r="B3585" s="2" t="str">
        <f>"10122715"</f>
        <v>10122715</v>
      </c>
      <c r="C3585" s="2" t="str">
        <f>"10122715"</f>
        <v>10122715</v>
      </c>
      <c r="D3585" s="2" t="s">
        <v>2963</v>
      </c>
      <c r="E3585" s="4">
        <v>39990</v>
      </c>
    </row>
    <row r="3586" spans="1:5" ht="26.25" x14ac:dyDescent="0.25">
      <c r="A3586" s="2" t="s">
        <v>921</v>
      </c>
      <c r="B3586" s="2" t="str">
        <f>"76071019"</f>
        <v>76071019</v>
      </c>
      <c r="C3586" s="2" t="str">
        <f>"76071019"</f>
        <v>76071019</v>
      </c>
      <c r="D3586" s="2" t="s">
        <v>2964</v>
      </c>
      <c r="E3586" s="4">
        <v>17990</v>
      </c>
    </row>
    <row r="3587" spans="1:5" ht="26.25" x14ac:dyDescent="0.25">
      <c r="A3587" s="2" t="s">
        <v>921</v>
      </c>
      <c r="B3587" s="2" t="str">
        <f>"7808748510958"</f>
        <v>7808748510958</v>
      </c>
      <c r="C3587" s="2" t="str">
        <f>"98370958"</f>
        <v>98370958</v>
      </c>
      <c r="D3587" s="2" t="s">
        <v>2965</v>
      </c>
      <c r="E3587" s="4">
        <v>11990</v>
      </c>
    </row>
    <row r="3588" spans="1:5" ht="26.25" x14ac:dyDescent="0.25">
      <c r="A3588" s="2" t="s">
        <v>921</v>
      </c>
      <c r="B3588" s="2" t="str">
        <f>"763700127"</f>
        <v>763700127</v>
      </c>
      <c r="C3588" s="2" t="str">
        <f>"763700127"</f>
        <v>763700127</v>
      </c>
      <c r="D3588" s="2" t="s">
        <v>2966</v>
      </c>
      <c r="E3588" s="4">
        <v>24900</v>
      </c>
    </row>
    <row r="3589" spans="1:5" ht="26.25" x14ac:dyDescent="0.25">
      <c r="A3589" s="2" t="s">
        <v>921</v>
      </c>
      <c r="B3589" s="2" t="str">
        <f>"10002737"</f>
        <v>10002737</v>
      </c>
      <c r="C3589" s="2" t="str">
        <f>"10002737"</f>
        <v>10002737</v>
      </c>
      <c r="D3589" s="2" t="s">
        <v>2967</v>
      </c>
      <c r="E3589" s="4">
        <v>13500</v>
      </c>
    </row>
    <row r="3590" spans="1:5" ht="26.25" x14ac:dyDescent="0.25">
      <c r="A3590" s="2" t="s">
        <v>925</v>
      </c>
      <c r="B3590" s="2" t="str">
        <f>"816479015731"</f>
        <v>816479015731</v>
      </c>
      <c r="C3590" s="2" t="str">
        <f>"10002886"</f>
        <v>10002886</v>
      </c>
      <c r="D3590" s="2" t="s">
        <v>2968</v>
      </c>
      <c r="E3590" s="4">
        <v>17990</v>
      </c>
    </row>
    <row r="3591" spans="1:5" ht="26.25" x14ac:dyDescent="0.25">
      <c r="A3591" s="2" t="s">
        <v>921</v>
      </c>
      <c r="B3591" s="2" t="str">
        <f>"7804625561129"</f>
        <v>7804625561129</v>
      </c>
      <c r="C3591" s="2" t="str">
        <f>"42140706"</f>
        <v>42140706</v>
      </c>
      <c r="D3591" s="2" t="s">
        <v>2969</v>
      </c>
      <c r="E3591" s="4">
        <v>6290</v>
      </c>
    </row>
    <row r="3592" spans="1:5" ht="26.25" x14ac:dyDescent="0.25">
      <c r="A3592" s="2" t="s">
        <v>921</v>
      </c>
      <c r="B3592" s="2" t="str">
        <f>"6925871682022"</f>
        <v>6925871682022</v>
      </c>
      <c r="C3592" s="2" t="str">
        <f>"22378202"</f>
        <v>22378202</v>
      </c>
      <c r="D3592" s="2" t="s">
        <v>2970</v>
      </c>
      <c r="E3592" s="4">
        <v>13900</v>
      </c>
    </row>
    <row r="3593" spans="1:5" ht="26.25" x14ac:dyDescent="0.25">
      <c r="A3593" s="2" t="s">
        <v>921</v>
      </c>
      <c r="B3593" s="2" t="str">
        <f>"6925871682039"</f>
        <v>6925871682039</v>
      </c>
      <c r="C3593" s="2" t="str">
        <f>"22378203"</f>
        <v>22378203</v>
      </c>
      <c r="D3593" s="2" t="s">
        <v>2971</v>
      </c>
      <c r="E3593" s="4">
        <v>13900</v>
      </c>
    </row>
    <row r="3594" spans="1:5" ht="26.25" x14ac:dyDescent="0.25">
      <c r="A3594" s="2" t="s">
        <v>921</v>
      </c>
      <c r="B3594" s="2" t="str">
        <f>"10001019"</f>
        <v>10001019</v>
      </c>
      <c r="C3594" s="2" t="str">
        <f>"10001019"</f>
        <v>10001019</v>
      </c>
      <c r="D3594" s="2" t="s">
        <v>2972</v>
      </c>
      <c r="E3594" s="4">
        <v>13900</v>
      </c>
    </row>
    <row r="3595" spans="1:5" ht="26.25" x14ac:dyDescent="0.25">
      <c r="A3595" s="2" t="s">
        <v>921</v>
      </c>
      <c r="B3595" s="2" t="str">
        <f>"66000465"</f>
        <v>66000465</v>
      </c>
      <c r="C3595" s="2" t="str">
        <f>"66000465"</f>
        <v>66000465</v>
      </c>
      <c r="D3595" s="2" t="s">
        <v>2973</v>
      </c>
      <c r="E3595" s="4">
        <v>14500</v>
      </c>
    </row>
    <row r="3596" spans="1:5" ht="26.25" x14ac:dyDescent="0.25">
      <c r="A3596" s="2" t="s">
        <v>925</v>
      </c>
      <c r="B3596" s="2" t="str">
        <f>"10002866"</f>
        <v>10002866</v>
      </c>
      <c r="C3596" s="2" t="str">
        <f>"10002866"</f>
        <v>10002866</v>
      </c>
      <c r="D3596" s="2" t="s">
        <v>2974</v>
      </c>
      <c r="E3596" s="4">
        <v>11500</v>
      </c>
    </row>
    <row r="3597" spans="1:5" ht="26.25" x14ac:dyDescent="0.25">
      <c r="A3597" s="2" t="s">
        <v>921</v>
      </c>
      <c r="B3597" s="2" t="str">
        <f>"1000001075563"</f>
        <v>1000001075563</v>
      </c>
      <c r="C3597" s="2" t="str">
        <f>"76370207"</f>
        <v>76370207</v>
      </c>
      <c r="D3597" s="2" t="s">
        <v>2975</v>
      </c>
      <c r="E3597" s="4">
        <v>16990</v>
      </c>
    </row>
    <row r="3598" spans="1:5" ht="26.25" x14ac:dyDescent="0.25">
      <c r="A3598" s="2" t="s">
        <v>921</v>
      </c>
      <c r="B3598" s="2" t="str">
        <f>"66000456"</f>
        <v>66000456</v>
      </c>
      <c r="C3598" s="2" t="str">
        <f>"66000456"</f>
        <v>66000456</v>
      </c>
      <c r="D3598" s="2" t="s">
        <v>2976</v>
      </c>
      <c r="E3598" s="4">
        <v>18900</v>
      </c>
    </row>
    <row r="3599" spans="1:5" ht="26.25" x14ac:dyDescent="0.25">
      <c r="A3599" s="2" t="s">
        <v>921</v>
      </c>
      <c r="B3599" s="2" t="str">
        <f>"76070035"</f>
        <v>76070035</v>
      </c>
      <c r="C3599" s="2" t="str">
        <f>"76070035"</f>
        <v>76070035</v>
      </c>
      <c r="D3599" s="2" t="s">
        <v>2977</v>
      </c>
      <c r="E3599" s="4">
        <v>12990</v>
      </c>
    </row>
    <row r="3600" spans="1:5" ht="26.25" x14ac:dyDescent="0.25">
      <c r="A3600" s="2" t="s">
        <v>921</v>
      </c>
      <c r="B3600" s="2" t="str">
        <f>"6931326001546"</f>
        <v>6931326001546</v>
      </c>
      <c r="C3600" s="2" t="str">
        <f>"40370009"</f>
        <v>40370009</v>
      </c>
      <c r="D3600" s="2" t="s">
        <v>2978</v>
      </c>
      <c r="E3600" s="4">
        <v>8990</v>
      </c>
    </row>
    <row r="3601" spans="1:5" ht="26.25" x14ac:dyDescent="0.25">
      <c r="A3601" s="2" t="s">
        <v>921</v>
      </c>
      <c r="B3601" s="2" t="str">
        <f>"87001777"</f>
        <v>87001777</v>
      </c>
      <c r="C3601" s="2" t="str">
        <f>"87001777"</f>
        <v>87001777</v>
      </c>
      <c r="D3601" s="2" t="s">
        <v>2979</v>
      </c>
      <c r="E3601" s="4">
        <v>11900</v>
      </c>
    </row>
    <row r="3602" spans="1:5" ht="26.25" x14ac:dyDescent="0.25">
      <c r="A3602" s="2" t="s">
        <v>921</v>
      </c>
      <c r="B3602" s="2" t="str">
        <f>"8669885010256"</f>
        <v>8669885010256</v>
      </c>
      <c r="C3602" s="2" t="str">
        <f>"66378602"</f>
        <v>66378602</v>
      </c>
      <c r="D3602" s="2" t="s">
        <v>2980</v>
      </c>
      <c r="E3602" s="4">
        <v>8490</v>
      </c>
    </row>
    <row r="3603" spans="1:5" ht="26.25" x14ac:dyDescent="0.25">
      <c r="A3603" s="2" t="s">
        <v>921</v>
      </c>
      <c r="B3603" s="2" t="str">
        <f>"8669885010317"</f>
        <v>8669885010317</v>
      </c>
      <c r="C3603" s="2" t="str">
        <f>"66378613"</f>
        <v>66378613</v>
      </c>
      <c r="D3603" s="2" t="s">
        <v>2981</v>
      </c>
      <c r="E3603" s="4">
        <v>9990</v>
      </c>
    </row>
    <row r="3604" spans="1:5" ht="26.25" x14ac:dyDescent="0.25">
      <c r="A3604" s="2" t="s">
        <v>921</v>
      </c>
      <c r="B3604" s="2" t="str">
        <f>"79371020"</f>
        <v>79371020</v>
      </c>
      <c r="C3604" s="2" t="str">
        <f>"79371020"</f>
        <v>79371020</v>
      </c>
      <c r="D3604" s="2" t="s">
        <v>2982</v>
      </c>
      <c r="E3604" s="4">
        <v>11500</v>
      </c>
    </row>
    <row r="3605" spans="1:5" ht="26.25" x14ac:dyDescent="0.25">
      <c r="A3605" s="2" t="s">
        <v>921</v>
      </c>
      <c r="B3605" s="2" t="str">
        <f>"9651236735252"</f>
        <v>9651236735252</v>
      </c>
      <c r="C3605" s="2" t="str">
        <f>"32PRXP295A"</f>
        <v>32PRXP295A</v>
      </c>
      <c r="D3605" s="2" t="s">
        <v>2983</v>
      </c>
      <c r="E3605" s="4">
        <v>5990</v>
      </c>
    </row>
    <row r="3606" spans="1:5" ht="26.25" x14ac:dyDescent="0.25">
      <c r="A3606" s="2" t="s">
        <v>921</v>
      </c>
      <c r="B3606" s="2" t="str">
        <f>"88370000"</f>
        <v>88370000</v>
      </c>
      <c r="C3606" s="2" t="str">
        <f>"88370000"</f>
        <v>88370000</v>
      </c>
      <c r="D3606" s="2" t="s">
        <v>2984</v>
      </c>
      <c r="E3606" s="4">
        <v>15900</v>
      </c>
    </row>
    <row r="3607" spans="1:5" ht="26.25" x14ac:dyDescent="0.25">
      <c r="A3607" s="2" t="s">
        <v>921</v>
      </c>
      <c r="B3607" s="2" t="str">
        <f>"7168232745021"</f>
        <v>7168232745021</v>
      </c>
      <c r="C3607" s="2" t="str">
        <f>"32PRXP450A"</f>
        <v>32PRXP450A</v>
      </c>
      <c r="D3607" s="2" t="s">
        <v>2985</v>
      </c>
      <c r="E3607" s="4">
        <v>10990</v>
      </c>
    </row>
    <row r="3608" spans="1:5" ht="26.25" x14ac:dyDescent="0.25">
      <c r="A3608" s="2" t="s">
        <v>921</v>
      </c>
      <c r="B3608" s="2" t="str">
        <f>"7168232745038"</f>
        <v>7168232745038</v>
      </c>
      <c r="C3608" s="2" t="str">
        <f>"32PRXP450D"</f>
        <v>32PRXP450D</v>
      </c>
      <c r="D3608" s="2" t="s">
        <v>2986</v>
      </c>
      <c r="E3608" s="4">
        <v>10990</v>
      </c>
    </row>
    <row r="3609" spans="1:5" ht="26.25" x14ac:dyDescent="0.25">
      <c r="A3609" s="2" t="s">
        <v>921</v>
      </c>
      <c r="B3609" s="2" t="str">
        <f>"7168232745007"</f>
        <v>7168232745007</v>
      </c>
      <c r="C3609" s="2" t="str">
        <f>"32PRXP450M"</f>
        <v>32PRXP450M</v>
      </c>
      <c r="D3609" s="2" t="s">
        <v>2987</v>
      </c>
      <c r="E3609" s="4">
        <v>10990</v>
      </c>
    </row>
    <row r="3610" spans="1:5" ht="26.25" x14ac:dyDescent="0.25">
      <c r="A3610" s="2" t="s">
        <v>921</v>
      </c>
      <c r="B3610" s="2" t="str">
        <f>"7168232745069"</f>
        <v>7168232745069</v>
      </c>
      <c r="C3610" s="2" t="str">
        <f>"32PRXP450N"</f>
        <v>32PRXP450N</v>
      </c>
      <c r="D3610" s="2" t="s">
        <v>2988</v>
      </c>
      <c r="E3610" s="4">
        <v>14990</v>
      </c>
    </row>
    <row r="3611" spans="1:5" ht="26.25" x14ac:dyDescent="0.25">
      <c r="A3611" s="2" t="s">
        <v>921</v>
      </c>
      <c r="B3611" s="2" t="str">
        <f>"7168232745076"</f>
        <v>7168232745076</v>
      </c>
      <c r="C3611" s="2" t="str">
        <f>"32PRXP450R"</f>
        <v>32PRXP450R</v>
      </c>
      <c r="D3611" s="2" t="s">
        <v>2989</v>
      </c>
      <c r="E3611" s="4">
        <v>10990</v>
      </c>
    </row>
    <row r="3612" spans="1:5" ht="26.25" x14ac:dyDescent="0.25">
      <c r="A3612" s="2" t="s">
        <v>921</v>
      </c>
      <c r="B3612" s="2" t="str">
        <f>"7168232793565"</f>
        <v>7168232793565</v>
      </c>
      <c r="C3612" s="2" t="str">
        <f>"32PLCPX35N"</f>
        <v>32PLCPX35N</v>
      </c>
      <c r="D3612" s="2" t="s">
        <v>2990</v>
      </c>
      <c r="E3612" s="4">
        <v>9990</v>
      </c>
    </row>
    <row r="3613" spans="1:5" ht="26.25" x14ac:dyDescent="0.25">
      <c r="A3613" s="2" t="s">
        <v>925</v>
      </c>
      <c r="B3613" s="2" t="str">
        <f>"94001561"</f>
        <v>94001561</v>
      </c>
      <c r="C3613" s="2" t="str">
        <f>"94001561"</f>
        <v>94001561</v>
      </c>
      <c r="D3613" s="2" t="s">
        <v>2991</v>
      </c>
      <c r="E3613" s="4">
        <v>18800</v>
      </c>
    </row>
    <row r="3614" spans="1:5" ht="26.25" x14ac:dyDescent="0.25">
      <c r="A3614" s="2" t="s">
        <v>925</v>
      </c>
      <c r="B3614" s="2" t="str">
        <f>"6925871621502"</f>
        <v>6925871621502</v>
      </c>
      <c r="C3614" s="2" t="str">
        <f>"22072150"</f>
        <v>22072150</v>
      </c>
      <c r="D3614" s="2" t="s">
        <v>2992</v>
      </c>
      <c r="E3614" s="4">
        <v>12990</v>
      </c>
    </row>
    <row r="3615" spans="1:5" ht="26.25" x14ac:dyDescent="0.25">
      <c r="A3615" s="2" t="s">
        <v>921</v>
      </c>
      <c r="B3615" s="2" t="str">
        <f>"22001551"</f>
        <v>22001551</v>
      </c>
      <c r="C3615" s="2" t="str">
        <f>"22001551"</f>
        <v>22001551</v>
      </c>
      <c r="D3615" s="2" t="s">
        <v>2993</v>
      </c>
      <c r="E3615" s="4">
        <v>18800</v>
      </c>
    </row>
    <row r="3616" spans="1:5" ht="26.25" x14ac:dyDescent="0.25">
      <c r="A3616" s="2" t="s">
        <v>921</v>
      </c>
      <c r="B3616" s="2" t="str">
        <f>"66000505"</f>
        <v>66000505</v>
      </c>
      <c r="C3616" s="2" t="str">
        <f>"66000505"</f>
        <v>66000505</v>
      </c>
      <c r="D3616" s="2" t="s">
        <v>2994</v>
      </c>
      <c r="E3616" s="4">
        <v>9000</v>
      </c>
    </row>
    <row r="3617" spans="1:5" ht="26.25" x14ac:dyDescent="0.25">
      <c r="A3617" s="2" t="s">
        <v>921</v>
      </c>
      <c r="B3617" s="2" t="str">
        <f>"66032200"</f>
        <v>66032200</v>
      </c>
      <c r="C3617" s="2" t="str">
        <f>"66032200"</f>
        <v>66032200</v>
      </c>
      <c r="D3617" s="2" t="s">
        <v>2995</v>
      </c>
      <c r="E3617" s="4">
        <v>6900</v>
      </c>
    </row>
    <row r="3618" spans="1:5" ht="26.25" x14ac:dyDescent="0.25">
      <c r="A3618" s="2" t="s">
        <v>921</v>
      </c>
      <c r="B3618" s="2" t="str">
        <f>"87000711"</f>
        <v>87000711</v>
      </c>
      <c r="C3618" s="2" t="str">
        <f>"87000711"</f>
        <v>87000711</v>
      </c>
      <c r="D3618" s="2" t="s">
        <v>2996</v>
      </c>
      <c r="E3618" s="4">
        <v>9900</v>
      </c>
    </row>
    <row r="3619" spans="1:5" ht="26.25" x14ac:dyDescent="0.25">
      <c r="A3619" s="2" t="s">
        <v>921</v>
      </c>
      <c r="B3619" s="2" t="str">
        <f>"10000709"</f>
        <v>10000709</v>
      </c>
      <c r="C3619" s="2" t="str">
        <f>"10000709"</f>
        <v>10000709</v>
      </c>
      <c r="D3619" s="2" t="s">
        <v>2997</v>
      </c>
      <c r="E3619" s="4">
        <v>9900</v>
      </c>
    </row>
    <row r="3620" spans="1:5" ht="26.25" x14ac:dyDescent="0.25">
      <c r="A3620" s="2" t="s">
        <v>921</v>
      </c>
      <c r="B3620" s="2" t="str">
        <f>"6925871615839"</f>
        <v>6925871615839</v>
      </c>
      <c r="C3620" s="2" t="str">
        <f>"22071583"</f>
        <v>22071583</v>
      </c>
      <c r="D3620" s="2" t="s">
        <v>2998</v>
      </c>
      <c r="E3620" s="4">
        <v>11990</v>
      </c>
    </row>
    <row r="3621" spans="1:5" ht="26.25" x14ac:dyDescent="0.25">
      <c r="A3621" s="2" t="s">
        <v>925</v>
      </c>
      <c r="B3621" s="2" t="str">
        <f>"6925871616393"</f>
        <v>6925871616393</v>
      </c>
      <c r="C3621" s="2" t="str">
        <f>"22071639"</f>
        <v>22071639</v>
      </c>
      <c r="D3621" s="2" t="s">
        <v>2999</v>
      </c>
      <c r="E3621" s="4">
        <v>9200</v>
      </c>
    </row>
    <row r="3622" spans="1:5" ht="26.25" x14ac:dyDescent="0.25">
      <c r="A3622" s="2" t="s">
        <v>921</v>
      </c>
      <c r="B3622" s="2" t="str">
        <f>"6925871616270"</f>
        <v>6925871616270</v>
      </c>
      <c r="C3622" s="2" t="str">
        <f>"22071627"</f>
        <v>22071627</v>
      </c>
      <c r="D3622" s="2" t="s">
        <v>3000</v>
      </c>
      <c r="E3622" s="4">
        <v>8800</v>
      </c>
    </row>
    <row r="3623" spans="1:5" ht="26.25" x14ac:dyDescent="0.25">
      <c r="A3623" s="2" t="s">
        <v>921</v>
      </c>
      <c r="B3623" s="2" t="str">
        <f>"6925871616355"</f>
        <v>6925871616355</v>
      </c>
      <c r="C3623" s="2" t="str">
        <f>"22071635"</f>
        <v>22071635</v>
      </c>
      <c r="D3623" s="2" t="s">
        <v>3001</v>
      </c>
      <c r="E3623" s="4">
        <v>7490</v>
      </c>
    </row>
    <row r="3624" spans="1:5" ht="26.25" x14ac:dyDescent="0.25">
      <c r="A3624" s="2" t="s">
        <v>921</v>
      </c>
      <c r="B3624" s="2" t="str">
        <f>"6925871618410"</f>
        <v>6925871618410</v>
      </c>
      <c r="C3624" s="2" t="str">
        <f>"22071841"</f>
        <v>22071841</v>
      </c>
      <c r="D3624" s="2" t="s">
        <v>3002</v>
      </c>
      <c r="E3624" s="4">
        <v>8990</v>
      </c>
    </row>
    <row r="3625" spans="1:5" ht="26.25" x14ac:dyDescent="0.25">
      <c r="A3625" s="2" t="s">
        <v>921</v>
      </c>
      <c r="B3625" s="2" t="str">
        <f>"6925871618748"</f>
        <v>6925871618748</v>
      </c>
      <c r="C3625" s="2" t="str">
        <f>"22071874"</f>
        <v>22071874</v>
      </c>
      <c r="D3625" s="2" t="s">
        <v>3003</v>
      </c>
      <c r="E3625" s="4">
        <v>26990</v>
      </c>
    </row>
    <row r="3626" spans="1:5" ht="26.25" x14ac:dyDescent="0.25">
      <c r="A3626" s="2" t="s">
        <v>925</v>
      </c>
      <c r="B3626" s="2" t="str">
        <f>"6925871624565"</f>
        <v>6925871624565</v>
      </c>
      <c r="C3626" s="2" t="str">
        <f>"22070456"</f>
        <v>22070456</v>
      </c>
      <c r="D3626" s="2" t="s">
        <v>3004</v>
      </c>
      <c r="E3626" s="4">
        <v>39990</v>
      </c>
    </row>
    <row r="3627" spans="1:5" ht="26.25" x14ac:dyDescent="0.25">
      <c r="A3627" s="2" t="s">
        <v>921</v>
      </c>
      <c r="B3627" s="2" t="str">
        <f>"873701105"</f>
        <v>873701105</v>
      </c>
      <c r="C3627" s="2" t="str">
        <f>"873701105"</f>
        <v>873701105</v>
      </c>
      <c r="D3627" s="2" t="s">
        <v>3005</v>
      </c>
      <c r="E3627" s="4">
        <v>69900</v>
      </c>
    </row>
    <row r="3628" spans="1:5" ht="26.25" x14ac:dyDescent="0.25">
      <c r="A3628" s="2" t="s">
        <v>921</v>
      </c>
      <c r="B3628" s="2" t="str">
        <f>"42102470"</f>
        <v>42102470</v>
      </c>
      <c r="C3628" s="2" t="str">
        <f>"42102470"</f>
        <v>42102470</v>
      </c>
      <c r="D3628" s="2" t="s">
        <v>3006</v>
      </c>
      <c r="E3628" s="4">
        <v>49900</v>
      </c>
    </row>
    <row r="3629" spans="1:5" ht="26.25" x14ac:dyDescent="0.25">
      <c r="A3629" s="2" t="s">
        <v>921</v>
      </c>
      <c r="B3629" s="2" t="str">
        <f>"94002159"</f>
        <v>94002159</v>
      </c>
      <c r="C3629" s="2" t="str">
        <f>"94002159"</f>
        <v>94002159</v>
      </c>
      <c r="D3629" s="2" t="s">
        <v>3007</v>
      </c>
      <c r="E3629" s="4">
        <v>31900</v>
      </c>
    </row>
    <row r="3630" spans="1:5" ht="26.25" x14ac:dyDescent="0.25">
      <c r="A3630" s="2" t="s">
        <v>921</v>
      </c>
      <c r="B3630" s="2" t="str">
        <f>"6925871619325"</f>
        <v>6925871619325</v>
      </c>
      <c r="C3630" s="2" t="str">
        <f>"22071932"</f>
        <v>22071932</v>
      </c>
      <c r="D3630" s="2" t="s">
        <v>3008</v>
      </c>
      <c r="E3630" s="4">
        <v>11990</v>
      </c>
    </row>
    <row r="3631" spans="1:5" ht="26.25" x14ac:dyDescent="0.25">
      <c r="A3631" s="2" t="s">
        <v>921</v>
      </c>
      <c r="B3631" s="2" t="str">
        <f>"65370056"</f>
        <v>65370056</v>
      </c>
      <c r="C3631" s="2" t="str">
        <f>"65370056"</f>
        <v>65370056</v>
      </c>
      <c r="D3631" s="2" t="s">
        <v>3009</v>
      </c>
      <c r="E3631" s="4">
        <v>78800</v>
      </c>
    </row>
    <row r="3632" spans="1:5" ht="26.25" x14ac:dyDescent="0.25">
      <c r="A3632" s="2" t="s">
        <v>921</v>
      </c>
      <c r="B3632" s="2" t="str">
        <f>"66000180"</f>
        <v>66000180</v>
      </c>
      <c r="C3632" s="2" t="str">
        <f>"66000180"</f>
        <v>66000180</v>
      </c>
      <c r="D3632" s="2" t="s">
        <v>3010</v>
      </c>
      <c r="E3632" s="4">
        <v>33900</v>
      </c>
    </row>
    <row r="3633" spans="1:5" ht="26.25" x14ac:dyDescent="0.25">
      <c r="A3633" s="2" t="s">
        <v>921</v>
      </c>
      <c r="B3633" s="2" t="str">
        <f>"66000441"</f>
        <v>66000441</v>
      </c>
      <c r="C3633" s="2" t="str">
        <f>"66000441"</f>
        <v>66000441</v>
      </c>
      <c r="D3633" s="2" t="s">
        <v>3011</v>
      </c>
      <c r="E3633" s="4">
        <v>32990</v>
      </c>
    </row>
    <row r="3634" spans="1:5" ht="26.25" x14ac:dyDescent="0.25">
      <c r="A3634" s="2" t="s">
        <v>921</v>
      </c>
      <c r="B3634" s="2" t="str">
        <f>"76370002"</f>
        <v>76370002</v>
      </c>
      <c r="C3634" s="2" t="str">
        <f>"76370002"</f>
        <v>76370002</v>
      </c>
      <c r="D3634" s="2" t="s">
        <v>3012</v>
      </c>
      <c r="E3634" s="4">
        <v>18990</v>
      </c>
    </row>
    <row r="3635" spans="1:5" ht="26.25" x14ac:dyDescent="0.25">
      <c r="A3635" s="2" t="s">
        <v>921</v>
      </c>
      <c r="B3635" s="2" t="str">
        <f>"76370008"</f>
        <v>76370008</v>
      </c>
      <c r="C3635" s="2" t="str">
        <f>"76370008"</f>
        <v>76370008</v>
      </c>
      <c r="D3635" s="2" t="s">
        <v>3013</v>
      </c>
      <c r="E3635" s="4">
        <v>15990</v>
      </c>
    </row>
    <row r="3636" spans="1:5" ht="26.25" x14ac:dyDescent="0.25">
      <c r="A3636" s="2" t="s">
        <v>49</v>
      </c>
      <c r="B3636" s="2" t="str">
        <f>"40370015"</f>
        <v>40370015</v>
      </c>
      <c r="C3636" s="2" t="str">
        <f>"40370015"</f>
        <v>40370015</v>
      </c>
      <c r="D3636" s="2" t="s">
        <v>3014</v>
      </c>
      <c r="E3636" s="4">
        <v>5500</v>
      </c>
    </row>
    <row r="3637" spans="1:5" ht="26.25" x14ac:dyDescent="0.25">
      <c r="A3637" s="2" t="s">
        <v>921</v>
      </c>
      <c r="B3637" s="2" t="str">
        <f>"87271257"</f>
        <v>87271257</v>
      </c>
      <c r="C3637" s="2" t="str">
        <f>"87271257"</f>
        <v>87271257</v>
      </c>
      <c r="D3637" s="2" t="s">
        <v>3015</v>
      </c>
      <c r="E3637" s="4">
        <v>18900</v>
      </c>
    </row>
    <row r="3638" spans="1:5" ht="26.25" x14ac:dyDescent="0.25">
      <c r="A3638" s="2" t="s">
        <v>921</v>
      </c>
      <c r="B3638" s="2" t="str">
        <f>"6972431710619"</f>
        <v>6972431710619</v>
      </c>
      <c r="C3638" s="2" t="str">
        <f>"98146000"</f>
        <v>98146000</v>
      </c>
      <c r="D3638" s="2" t="s">
        <v>3016</v>
      </c>
      <c r="E3638" s="4">
        <v>19990</v>
      </c>
    </row>
    <row r="3639" spans="1:5" ht="26.25" x14ac:dyDescent="0.25">
      <c r="A3639" s="2" t="s">
        <v>921</v>
      </c>
      <c r="B3639" s="2" t="str">
        <f>"7796941037757"</f>
        <v>7796941037757</v>
      </c>
      <c r="C3639" s="2" t="str">
        <f>"42140200"</f>
        <v>42140200</v>
      </c>
      <c r="D3639" s="2" t="s">
        <v>3017</v>
      </c>
      <c r="E3639" s="4">
        <v>5200</v>
      </c>
    </row>
    <row r="3640" spans="1:5" ht="26.25" x14ac:dyDescent="0.25">
      <c r="A3640" s="2" t="s">
        <v>921</v>
      </c>
      <c r="B3640" s="2" t="str">
        <f>"10073421"</f>
        <v>10073421</v>
      </c>
      <c r="C3640" s="2" t="str">
        <f>"10073421"</f>
        <v>10073421</v>
      </c>
      <c r="D3640" s="2" t="s">
        <v>3018</v>
      </c>
      <c r="E3640" s="4">
        <v>5900</v>
      </c>
    </row>
    <row r="3641" spans="1:5" ht="26.25" x14ac:dyDescent="0.25">
      <c r="A3641" s="2" t="s">
        <v>921</v>
      </c>
      <c r="B3641" s="2" t="str">
        <f>"10072375"</f>
        <v>10072375</v>
      </c>
      <c r="C3641" s="2" t="str">
        <f>"10072375"</f>
        <v>10072375</v>
      </c>
      <c r="D3641" s="2" t="s">
        <v>3019</v>
      </c>
      <c r="E3641" s="4">
        <v>4990</v>
      </c>
    </row>
    <row r="3642" spans="1:5" ht="26.25" x14ac:dyDescent="0.25">
      <c r="A3642" s="2" t="s">
        <v>921</v>
      </c>
      <c r="B3642" s="2" t="str">
        <f>"10070698"</f>
        <v>10070698</v>
      </c>
      <c r="C3642" s="2" t="str">
        <f>"10070698"</f>
        <v>10070698</v>
      </c>
      <c r="D3642" s="2" t="s">
        <v>3020</v>
      </c>
      <c r="E3642" s="4">
        <v>4900</v>
      </c>
    </row>
    <row r="3643" spans="1:5" ht="26.25" x14ac:dyDescent="0.25">
      <c r="A3643" s="2" t="s">
        <v>921</v>
      </c>
      <c r="B3643" s="2" t="str">
        <f>"42141436"</f>
        <v>42141436</v>
      </c>
      <c r="C3643" s="2" t="str">
        <f>"42141436"</f>
        <v>42141436</v>
      </c>
      <c r="D3643" s="2" t="s">
        <v>3021</v>
      </c>
      <c r="E3643" s="4">
        <v>7800</v>
      </c>
    </row>
    <row r="3644" spans="1:5" ht="26.25" x14ac:dyDescent="0.25">
      <c r="A3644" s="2" t="s">
        <v>921</v>
      </c>
      <c r="B3644" s="2" t="str">
        <f>"10110000"</f>
        <v>10110000</v>
      </c>
      <c r="C3644" s="2" t="str">
        <f>"10110000"</f>
        <v>10110000</v>
      </c>
      <c r="D3644" s="2" t="s">
        <v>3022</v>
      </c>
      <c r="E3644" s="4">
        <v>24040</v>
      </c>
    </row>
    <row r="3645" spans="1:5" ht="26.25" x14ac:dyDescent="0.25">
      <c r="A3645" s="2" t="s">
        <v>921</v>
      </c>
      <c r="B3645" s="2" t="str">
        <f>"66000464"</f>
        <v>66000464</v>
      </c>
      <c r="C3645" s="2" t="str">
        <f>"66000464"</f>
        <v>66000464</v>
      </c>
      <c r="D3645" s="2" t="s">
        <v>3023</v>
      </c>
      <c r="E3645" s="4">
        <v>11900</v>
      </c>
    </row>
    <row r="3646" spans="1:5" ht="26.25" x14ac:dyDescent="0.25">
      <c r="A3646" s="2" t="s">
        <v>921</v>
      </c>
      <c r="B3646" s="2" t="str">
        <f>"87271791"</f>
        <v>87271791</v>
      </c>
      <c r="C3646" s="2" t="str">
        <f>"87271791"</f>
        <v>87271791</v>
      </c>
      <c r="D3646" s="2" t="s">
        <v>3023</v>
      </c>
      <c r="E3646" s="4">
        <v>13800</v>
      </c>
    </row>
    <row r="3647" spans="1:5" ht="26.25" x14ac:dyDescent="0.25">
      <c r="A3647" s="2" t="s">
        <v>921</v>
      </c>
      <c r="B3647" s="2" t="str">
        <f>"66000466"</f>
        <v>66000466</v>
      </c>
      <c r="C3647" s="2" t="str">
        <f>"66000466"</f>
        <v>66000466</v>
      </c>
      <c r="D3647" s="2" t="s">
        <v>3024</v>
      </c>
      <c r="E3647" s="4">
        <v>11900</v>
      </c>
    </row>
    <row r="3648" spans="1:5" ht="26.25" x14ac:dyDescent="0.25">
      <c r="A3648" s="2" t="s">
        <v>921</v>
      </c>
      <c r="B3648" s="2" t="str">
        <f>"87271790"</f>
        <v>87271790</v>
      </c>
      <c r="C3648" s="2" t="str">
        <f>"87271790"</f>
        <v>87271790</v>
      </c>
      <c r="D3648" s="2" t="s">
        <v>3025</v>
      </c>
      <c r="E3648" s="4">
        <v>12900</v>
      </c>
    </row>
    <row r="3649" spans="1:5" ht="26.25" x14ac:dyDescent="0.25">
      <c r="A3649" s="2" t="s">
        <v>921</v>
      </c>
      <c r="B3649" s="2" t="str">
        <f>"9651236735238"</f>
        <v>9651236735238</v>
      </c>
      <c r="C3649" s="2" t="str">
        <f>"32PRXP295N"</f>
        <v>32PRXP295N</v>
      </c>
      <c r="D3649" s="2" t="s">
        <v>3026</v>
      </c>
      <c r="E3649" s="4">
        <v>5990</v>
      </c>
    </row>
    <row r="3650" spans="1:5" ht="26.25" x14ac:dyDescent="0.25">
      <c r="A3650" s="2" t="s">
        <v>921</v>
      </c>
      <c r="B3650" s="2" t="str">
        <f>"9651236735269"</f>
        <v>9651236735269</v>
      </c>
      <c r="C3650" s="2" t="str">
        <f>"32PRXP295P"</f>
        <v>32PRXP295P</v>
      </c>
      <c r="D3650" s="2" t="s">
        <v>3027</v>
      </c>
      <c r="E3650" s="4">
        <v>4490</v>
      </c>
    </row>
    <row r="3651" spans="1:5" ht="26.25" x14ac:dyDescent="0.25">
      <c r="A3651" s="2" t="s">
        <v>921</v>
      </c>
      <c r="B3651" s="2" t="str">
        <f>"9651236735245"</f>
        <v>9651236735245</v>
      </c>
      <c r="C3651" s="2" t="str">
        <f>"32PRXP295R"</f>
        <v>32PRXP295R</v>
      </c>
      <c r="D3651" s="2" t="s">
        <v>3028</v>
      </c>
      <c r="E3651" s="4">
        <v>4490</v>
      </c>
    </row>
    <row r="3652" spans="1:5" ht="26.25" x14ac:dyDescent="0.25">
      <c r="A3652" s="2" t="s">
        <v>921</v>
      </c>
      <c r="B3652" s="2" t="str">
        <f>"91511644"</f>
        <v>91511644</v>
      </c>
      <c r="C3652" s="2" t="str">
        <f>"91511644"</f>
        <v>91511644</v>
      </c>
      <c r="D3652" s="2" t="s">
        <v>3029</v>
      </c>
      <c r="E3652" s="4">
        <v>9900</v>
      </c>
    </row>
    <row r="3653" spans="1:5" ht="26.25" x14ac:dyDescent="0.25">
      <c r="A3653" s="2" t="s">
        <v>921</v>
      </c>
      <c r="B3653" s="2" t="str">
        <f>"91511908"</f>
        <v>91511908</v>
      </c>
      <c r="C3653" s="2" t="str">
        <f>"91511908"</f>
        <v>91511908</v>
      </c>
      <c r="D3653" s="2" t="s">
        <v>3030</v>
      </c>
      <c r="E3653" s="4">
        <v>9900</v>
      </c>
    </row>
    <row r="3654" spans="1:5" ht="26.25" x14ac:dyDescent="0.25">
      <c r="A3654" s="2" t="s">
        <v>921</v>
      </c>
      <c r="B3654" s="2" t="str">
        <f>"10073196"</f>
        <v>10073196</v>
      </c>
      <c r="C3654" s="2" t="str">
        <f>"10073196"</f>
        <v>10073196</v>
      </c>
      <c r="D3654" s="2" t="s">
        <v>3031</v>
      </c>
      <c r="E3654" s="4">
        <v>12990</v>
      </c>
    </row>
    <row r="3655" spans="1:5" ht="26.25" x14ac:dyDescent="0.25">
      <c r="A3655" s="2" t="s">
        <v>921</v>
      </c>
      <c r="B3655" s="2" t="str">
        <f>"10072670"</f>
        <v>10072670</v>
      </c>
      <c r="C3655" s="2" t="str">
        <f>"10072670"</f>
        <v>10072670</v>
      </c>
      <c r="D3655" s="2" t="s">
        <v>3032</v>
      </c>
      <c r="E3655" s="4">
        <v>11500</v>
      </c>
    </row>
    <row r="3656" spans="1:5" ht="26.25" x14ac:dyDescent="0.25">
      <c r="A3656" s="2" t="s">
        <v>921</v>
      </c>
      <c r="B3656" s="2" t="str">
        <f>"7808748508184"</f>
        <v>7808748508184</v>
      </c>
      <c r="C3656" s="2" t="str">
        <f>"98070002"</f>
        <v>98070002</v>
      </c>
      <c r="D3656" s="2" t="s">
        <v>3033</v>
      </c>
      <c r="E3656" s="4">
        <v>9990</v>
      </c>
    </row>
    <row r="3657" spans="1:5" ht="26.25" x14ac:dyDescent="0.25">
      <c r="A3657" s="2" t="s">
        <v>921</v>
      </c>
      <c r="B3657" s="2" t="str">
        <f>"173717156"</f>
        <v>173717156</v>
      </c>
      <c r="C3657" s="2" t="str">
        <f>"173717156"</f>
        <v>173717156</v>
      </c>
      <c r="D3657" s="2" t="s">
        <v>3034</v>
      </c>
      <c r="E3657" s="4">
        <v>9900</v>
      </c>
    </row>
    <row r="3658" spans="1:5" ht="26.25" x14ac:dyDescent="0.25">
      <c r="A3658" s="2" t="s">
        <v>921</v>
      </c>
      <c r="B3658" s="2" t="str">
        <f>"42140400"</f>
        <v>42140400</v>
      </c>
      <c r="C3658" s="2" t="str">
        <f>"42140400"</f>
        <v>42140400</v>
      </c>
      <c r="D3658" s="2" t="s">
        <v>3035</v>
      </c>
      <c r="E3658" s="4">
        <v>26900</v>
      </c>
    </row>
    <row r="3659" spans="1:5" ht="26.25" x14ac:dyDescent="0.25">
      <c r="A3659" s="2" t="s">
        <v>921</v>
      </c>
      <c r="B3659" s="2" t="str">
        <f>"873701126"</f>
        <v>873701126</v>
      </c>
      <c r="C3659" s="2" t="str">
        <f>"873701126"</f>
        <v>873701126</v>
      </c>
      <c r="D3659" s="2" t="s">
        <v>3036</v>
      </c>
      <c r="E3659" s="4">
        <v>8990</v>
      </c>
    </row>
    <row r="3660" spans="1:5" ht="26.25" x14ac:dyDescent="0.25">
      <c r="A3660" s="2" t="s">
        <v>921</v>
      </c>
      <c r="B3660" s="2" t="str">
        <f>"4710268251101"</f>
        <v>4710268251101</v>
      </c>
      <c r="C3660" s="2" t="str">
        <f>"98070160"</f>
        <v>98070160</v>
      </c>
      <c r="D3660" s="2" t="s">
        <v>3037</v>
      </c>
      <c r="E3660" s="4">
        <v>8990</v>
      </c>
    </row>
    <row r="3661" spans="1:5" ht="26.25" x14ac:dyDescent="0.25">
      <c r="A3661" s="2" t="s">
        <v>921</v>
      </c>
      <c r="B3661" s="2" t="str">
        <f>"10118568"</f>
        <v>10118568</v>
      </c>
      <c r="C3661" s="2" t="str">
        <f>"10118568"</f>
        <v>10118568</v>
      </c>
      <c r="D3661" s="2" t="s">
        <v>3038</v>
      </c>
      <c r="E3661" s="4">
        <v>9990</v>
      </c>
    </row>
    <row r="3662" spans="1:5" ht="26.25" x14ac:dyDescent="0.25">
      <c r="A3662" s="2" t="s">
        <v>49</v>
      </c>
      <c r="B3662" s="2" t="str">
        <f>"10119954"</f>
        <v>10119954</v>
      </c>
      <c r="C3662" s="2" t="str">
        <f>"10119954"</f>
        <v>10119954</v>
      </c>
      <c r="D3662" s="2" t="s">
        <v>3039</v>
      </c>
      <c r="E3662" s="4">
        <v>8990</v>
      </c>
    </row>
    <row r="3663" spans="1:5" ht="26.25" x14ac:dyDescent="0.25">
      <c r="A3663" s="2" t="s">
        <v>921</v>
      </c>
      <c r="B3663" s="2" t="str">
        <f>"6986698983242"</f>
        <v>6986698983242</v>
      </c>
      <c r="C3663" s="2" t="str">
        <f>"40370002"</f>
        <v>40370002</v>
      </c>
      <c r="D3663" s="2" t="s">
        <v>3040</v>
      </c>
      <c r="E3663" s="4">
        <v>5990</v>
      </c>
    </row>
    <row r="3664" spans="1:5" ht="26.25" x14ac:dyDescent="0.25">
      <c r="A3664" s="2" t="s">
        <v>921</v>
      </c>
      <c r="B3664" s="2" t="str">
        <f>"98376000"</f>
        <v>98376000</v>
      </c>
      <c r="C3664" s="2" t="str">
        <f>"98376000"</f>
        <v>98376000</v>
      </c>
      <c r="D3664" s="2" t="s">
        <v>3041</v>
      </c>
      <c r="E3664" s="4">
        <v>19990</v>
      </c>
    </row>
    <row r="3665" spans="1:5" ht="26.25" x14ac:dyDescent="0.25">
      <c r="A3665" s="2" t="s">
        <v>921</v>
      </c>
      <c r="B3665" s="2" t="str">
        <f>"8713439205626"</f>
        <v>8713439205626</v>
      </c>
      <c r="C3665" s="2" t="str">
        <f>"92370628"</f>
        <v>92370628</v>
      </c>
      <c r="D3665" s="2" t="s">
        <v>3042</v>
      </c>
      <c r="E3665" s="4">
        <v>94990</v>
      </c>
    </row>
    <row r="3666" spans="1:5" ht="26.25" x14ac:dyDescent="0.25">
      <c r="A3666" s="2" t="s">
        <v>921</v>
      </c>
      <c r="B3666" s="2" t="str">
        <f>"798302167056"</f>
        <v>798302167056</v>
      </c>
      <c r="C3666" s="2" t="str">
        <f>"92070110"</f>
        <v>92070110</v>
      </c>
      <c r="D3666" s="2" t="s">
        <v>3043</v>
      </c>
      <c r="E3666" s="4">
        <v>7490</v>
      </c>
    </row>
    <row r="3667" spans="1:5" ht="26.25" x14ac:dyDescent="0.25">
      <c r="A3667" s="2" t="s">
        <v>921</v>
      </c>
      <c r="B3667" s="2" t="str">
        <f>"42140220"</f>
        <v>42140220</v>
      </c>
      <c r="C3667" s="2" t="str">
        <f>"42140220"</f>
        <v>42140220</v>
      </c>
      <c r="D3667" s="2" t="s">
        <v>3044</v>
      </c>
      <c r="E3667" s="4">
        <v>7500</v>
      </c>
    </row>
    <row r="3668" spans="1:5" ht="26.25" x14ac:dyDescent="0.25">
      <c r="A3668" s="2" t="s">
        <v>921</v>
      </c>
      <c r="B3668" s="2" t="str">
        <f>"42140221"</f>
        <v>42140221</v>
      </c>
      <c r="C3668" s="2" t="str">
        <f>"42140221"</f>
        <v>42140221</v>
      </c>
      <c r="D3668" s="2" t="s">
        <v>3045</v>
      </c>
      <c r="E3668" s="4">
        <v>7500</v>
      </c>
    </row>
    <row r="3669" spans="1:5" ht="26.25" x14ac:dyDescent="0.25">
      <c r="A3669" s="2" t="s">
        <v>921</v>
      </c>
      <c r="B3669" s="2" t="str">
        <f>"7796941037955"</f>
        <v>7796941037955</v>
      </c>
      <c r="C3669" s="2" t="str">
        <f>"42140300"</f>
        <v>42140300</v>
      </c>
      <c r="D3669" s="2" t="s">
        <v>3046</v>
      </c>
      <c r="E3669" s="4">
        <v>9990</v>
      </c>
    </row>
    <row r="3670" spans="1:5" ht="26.25" x14ac:dyDescent="0.25">
      <c r="A3670" s="2" t="s">
        <v>21</v>
      </c>
      <c r="B3670" s="2" t="str">
        <f>"766623701662"</f>
        <v>766623701662</v>
      </c>
      <c r="C3670" s="2" t="str">
        <f>"56521662"</f>
        <v>56521662</v>
      </c>
      <c r="D3670" s="2" t="s">
        <v>3047</v>
      </c>
      <c r="E3670" s="4">
        <v>2000</v>
      </c>
    </row>
    <row r="3671" spans="1:5" ht="26.25" x14ac:dyDescent="0.25">
      <c r="A3671" s="2" t="s">
        <v>21</v>
      </c>
      <c r="B3671" s="2" t="str">
        <f>"7858816084119"</f>
        <v>7858816084119</v>
      </c>
      <c r="C3671" s="2" t="str">
        <f>"87528411"</f>
        <v>87528411</v>
      </c>
      <c r="D3671" s="2" t="s">
        <v>3048</v>
      </c>
      <c r="E3671" s="4">
        <v>24990</v>
      </c>
    </row>
    <row r="3672" spans="1:5" ht="26.25" x14ac:dyDescent="0.25">
      <c r="A3672" s="2" t="s">
        <v>3049</v>
      </c>
      <c r="B3672" s="2" t="str">
        <f>"619659125905"</f>
        <v>619659125905</v>
      </c>
      <c r="C3672" s="2" t="str">
        <f>"92710128"</f>
        <v>92710128</v>
      </c>
      <c r="D3672" s="2" t="s">
        <v>3050</v>
      </c>
      <c r="E3672" s="4">
        <v>26990</v>
      </c>
    </row>
    <row r="3673" spans="1:5" ht="26.25" x14ac:dyDescent="0.25">
      <c r="A3673" s="2" t="s">
        <v>3049</v>
      </c>
      <c r="B3673" s="2" t="str">
        <f>"17711716"</f>
        <v>17711716</v>
      </c>
      <c r="C3673" s="2" t="str">
        <f>"17711716"</f>
        <v>17711716</v>
      </c>
      <c r="D3673" s="2" t="s">
        <v>3051</v>
      </c>
      <c r="E3673" s="4">
        <v>9500</v>
      </c>
    </row>
    <row r="3674" spans="1:5" ht="26.25" x14ac:dyDescent="0.25">
      <c r="A3674" s="2" t="s">
        <v>3049</v>
      </c>
      <c r="B3674" s="2" t="str">
        <f>"6925871611145"</f>
        <v>6925871611145</v>
      </c>
      <c r="C3674" s="2" t="str">
        <f>"22710016"</f>
        <v>22710016</v>
      </c>
      <c r="D3674" s="2" t="s">
        <v>3051</v>
      </c>
      <c r="E3674" s="4">
        <v>7800</v>
      </c>
    </row>
    <row r="3675" spans="1:5" ht="26.25" x14ac:dyDescent="0.25">
      <c r="A3675" s="2" t="s">
        <v>3049</v>
      </c>
      <c r="B3675" s="2" t="str">
        <f>"4718050609604"</f>
        <v>4718050609604</v>
      </c>
      <c r="C3675" s="2" t="str">
        <f>"98710016"</f>
        <v>98710016</v>
      </c>
      <c r="D3675" s="2" t="s">
        <v>3052</v>
      </c>
      <c r="E3675" s="4">
        <v>6200</v>
      </c>
    </row>
    <row r="3676" spans="1:5" ht="26.25" x14ac:dyDescent="0.25">
      <c r="A3676" s="2" t="s">
        <v>3049</v>
      </c>
      <c r="B3676" s="2" t="str">
        <f>"4713435794876"</f>
        <v>4713435794876</v>
      </c>
      <c r="C3676" s="2" t="str">
        <f>"98711016"</f>
        <v>98711016</v>
      </c>
      <c r="D3676" s="2" t="s">
        <v>3052</v>
      </c>
      <c r="E3676" s="4">
        <v>5900</v>
      </c>
    </row>
    <row r="3677" spans="1:5" ht="26.25" x14ac:dyDescent="0.25">
      <c r="A3677" s="2" t="s">
        <v>3049</v>
      </c>
      <c r="B3677" s="2" t="str">
        <f>"4713435794265"</f>
        <v>4713435794265</v>
      </c>
      <c r="C3677" s="2" t="str">
        <f>"98714265"</f>
        <v>98714265</v>
      </c>
      <c r="D3677" s="2" t="s">
        <v>3052</v>
      </c>
      <c r="E3677" s="4">
        <v>5900</v>
      </c>
    </row>
    <row r="3678" spans="1:5" ht="26.25" x14ac:dyDescent="0.25">
      <c r="A3678" s="2" t="s">
        <v>3049</v>
      </c>
      <c r="B3678" s="2" t="str">
        <f>"63710016"</f>
        <v>63710016</v>
      </c>
      <c r="C3678" s="2" t="str">
        <f>"63710016"</f>
        <v>63710016</v>
      </c>
      <c r="D3678" s="2" t="s">
        <v>3053</v>
      </c>
      <c r="E3678" s="4">
        <v>9990</v>
      </c>
    </row>
    <row r="3679" spans="1:5" ht="26.25" x14ac:dyDescent="0.25">
      <c r="A3679" s="2" t="s">
        <v>3049</v>
      </c>
      <c r="B3679" s="2" t="str">
        <f>"96710016"</f>
        <v>96710016</v>
      </c>
      <c r="C3679" s="2" t="str">
        <f>"96710016"</f>
        <v>96710016</v>
      </c>
      <c r="D3679" s="2" t="s">
        <v>3054</v>
      </c>
      <c r="E3679" s="4">
        <v>6900</v>
      </c>
    </row>
    <row r="3680" spans="1:5" ht="26.25" x14ac:dyDescent="0.25">
      <c r="A3680" s="2" t="s">
        <v>3049</v>
      </c>
      <c r="B3680" s="2" t="str">
        <f>"740617198256"</f>
        <v>740617198256</v>
      </c>
      <c r="C3680" s="2" t="str">
        <f>"97718256"</f>
        <v>97718256</v>
      </c>
      <c r="D3680" s="2" t="s">
        <v>3055</v>
      </c>
      <c r="E3680" s="4">
        <v>10300</v>
      </c>
    </row>
    <row r="3681" spans="1:5" ht="26.25" x14ac:dyDescent="0.25">
      <c r="A3681" s="2" t="s">
        <v>3049</v>
      </c>
      <c r="B3681" s="2" t="str">
        <f>"740617282504"</f>
        <v>740617282504</v>
      </c>
      <c r="C3681" s="2" t="str">
        <f>"10109240"</f>
        <v>10109240</v>
      </c>
      <c r="D3681" s="2" t="s">
        <v>3056</v>
      </c>
      <c r="E3681" s="4">
        <v>4590</v>
      </c>
    </row>
    <row r="3682" spans="1:5" ht="26.25" x14ac:dyDescent="0.25">
      <c r="A3682" s="2" t="s">
        <v>3049</v>
      </c>
      <c r="B3682" s="2" t="str">
        <f>"3126170146878"</f>
        <v>3126170146878</v>
      </c>
      <c r="C3682" s="2" t="str">
        <f>"25711600"</f>
        <v>25711600</v>
      </c>
      <c r="D3682" s="2" t="s">
        <v>3057</v>
      </c>
      <c r="E3682" s="4">
        <v>3990</v>
      </c>
    </row>
    <row r="3683" spans="1:5" ht="26.25" x14ac:dyDescent="0.25">
      <c r="A3683" s="2" t="s">
        <v>3049</v>
      </c>
      <c r="B3683" s="2" t="str">
        <f>"025215486661"</f>
        <v>025215486661</v>
      </c>
      <c r="C3683" s="2" t="str">
        <f>"25710016"</f>
        <v>25710016</v>
      </c>
      <c r="D3683" s="2" t="s">
        <v>3058</v>
      </c>
      <c r="E3683" s="4">
        <v>8800</v>
      </c>
    </row>
    <row r="3684" spans="1:5" ht="26.25" x14ac:dyDescent="0.25">
      <c r="A3684" s="2" t="s">
        <v>3049</v>
      </c>
      <c r="B3684" s="2" t="str">
        <f>"025215487224"</f>
        <v>025215487224</v>
      </c>
      <c r="C3684" s="2" t="str">
        <f>"60712300"</f>
        <v>60712300</v>
      </c>
      <c r="D3684" s="2" t="s">
        <v>3058</v>
      </c>
      <c r="E3684" s="4">
        <v>3990</v>
      </c>
    </row>
    <row r="3685" spans="1:5" ht="26.25" x14ac:dyDescent="0.25">
      <c r="A3685" s="2" t="s">
        <v>3049</v>
      </c>
      <c r="B3685" s="2" t="str">
        <f>"025215490835"</f>
        <v>025215490835</v>
      </c>
      <c r="C3685" s="2" t="str">
        <f>"60711600"</f>
        <v>60711600</v>
      </c>
      <c r="D3685" s="2" t="s">
        <v>3059</v>
      </c>
      <c r="E3685" s="4">
        <v>3990</v>
      </c>
    </row>
    <row r="3686" spans="1:5" ht="26.25" x14ac:dyDescent="0.25">
      <c r="A3686" s="2" t="s">
        <v>3049</v>
      </c>
      <c r="B3686" s="2" t="str">
        <f>"025215490842"</f>
        <v>025215490842</v>
      </c>
      <c r="C3686" s="2" t="str">
        <f>"60710160"</f>
        <v>60710160</v>
      </c>
      <c r="D3686" s="2" t="s">
        <v>3060</v>
      </c>
      <c r="E3686" s="4">
        <v>3990</v>
      </c>
    </row>
    <row r="3687" spans="1:5" ht="26.25" x14ac:dyDescent="0.25">
      <c r="A3687" s="2" t="s">
        <v>3049</v>
      </c>
      <c r="B3687" s="2" t="str">
        <f>"025215501432"</f>
        <v>025215501432</v>
      </c>
      <c r="C3687" s="2" t="str">
        <f>"60710016"</f>
        <v>60710016</v>
      </c>
      <c r="D3687" s="2" t="s">
        <v>3061</v>
      </c>
      <c r="E3687" s="4">
        <v>3990</v>
      </c>
    </row>
    <row r="3688" spans="1:5" ht="26.25" x14ac:dyDescent="0.25">
      <c r="A3688" s="2" t="s">
        <v>3049</v>
      </c>
      <c r="B3688" s="2" t="str">
        <f>"025215490859"</f>
        <v>025215490859</v>
      </c>
      <c r="C3688" s="2" t="str">
        <f>"60710161"</f>
        <v>60710161</v>
      </c>
      <c r="D3688" s="2" t="s">
        <v>3062</v>
      </c>
      <c r="E3688" s="4">
        <v>3990</v>
      </c>
    </row>
    <row r="3689" spans="1:5" ht="26.25" x14ac:dyDescent="0.25">
      <c r="A3689" s="2" t="s">
        <v>3049</v>
      </c>
      <c r="B3689" s="2" t="str">
        <f>"50003133"</f>
        <v>50003133</v>
      </c>
      <c r="C3689" s="2" t="str">
        <f>"50003133"</f>
        <v>50003133</v>
      </c>
      <c r="D3689" s="2" t="s">
        <v>3063</v>
      </c>
      <c r="E3689" s="4">
        <v>9900</v>
      </c>
    </row>
    <row r="3690" spans="1:5" ht="26.25" x14ac:dyDescent="0.25">
      <c r="A3690" s="2" t="s">
        <v>3049</v>
      </c>
      <c r="B3690" s="2" t="str">
        <f>"619659068158"</f>
        <v>619659068158</v>
      </c>
      <c r="C3690" s="2" t="str">
        <f>"92710016"</f>
        <v>92710016</v>
      </c>
      <c r="D3690" s="2" t="s">
        <v>3063</v>
      </c>
      <c r="E3690" s="4">
        <v>5990</v>
      </c>
    </row>
    <row r="3691" spans="1:5" ht="26.25" x14ac:dyDescent="0.25">
      <c r="A3691" s="2" t="s">
        <v>3049</v>
      </c>
      <c r="B3691" s="2" t="str">
        <f>"04SDKCZ516"</f>
        <v>04SDKCZ516</v>
      </c>
      <c r="C3691" s="2" t="str">
        <f>"04SDKCZ516"</f>
        <v>04SDKCZ516</v>
      </c>
      <c r="D3691" s="2" t="s">
        <v>3063</v>
      </c>
      <c r="E3691" s="4">
        <v>5990</v>
      </c>
    </row>
    <row r="3692" spans="1:5" ht="26.25" x14ac:dyDescent="0.25">
      <c r="A3692" s="2" t="s">
        <v>3049</v>
      </c>
      <c r="B3692" s="2" t="str">
        <f>"619659000431"</f>
        <v>619659000431</v>
      </c>
      <c r="C3692" s="2" t="str">
        <f>"76710431"</f>
        <v>76710431</v>
      </c>
      <c r="D3692" s="2" t="s">
        <v>3063</v>
      </c>
      <c r="E3692" s="4">
        <v>5990</v>
      </c>
    </row>
    <row r="3693" spans="1:5" ht="26.25" x14ac:dyDescent="0.25">
      <c r="A3693" s="2" t="s">
        <v>3049</v>
      </c>
      <c r="B3693" s="2" t="str">
        <f>"619659141059"</f>
        <v>619659141059</v>
      </c>
      <c r="C3693" s="2" t="str">
        <f>"04SDKCZ16A"</f>
        <v>04SDKCZ16A</v>
      </c>
      <c r="D3693" s="2" t="s">
        <v>3064</v>
      </c>
      <c r="E3693" s="4">
        <v>5990</v>
      </c>
    </row>
    <row r="3694" spans="1:5" ht="26.25" x14ac:dyDescent="0.25">
      <c r="A3694" s="2" t="s">
        <v>3049</v>
      </c>
      <c r="B3694" s="2" t="str">
        <f>"619659099237"</f>
        <v>619659099237</v>
      </c>
      <c r="C3694" s="2" t="str">
        <f>"04SDKCZ16B"</f>
        <v>04SDKCZ16B</v>
      </c>
      <c r="D3694" s="2" t="s">
        <v>3065</v>
      </c>
      <c r="E3694" s="4">
        <v>5990</v>
      </c>
    </row>
    <row r="3695" spans="1:5" ht="26.25" x14ac:dyDescent="0.25">
      <c r="A3695" s="2" t="s">
        <v>3049</v>
      </c>
      <c r="B3695" s="2" t="str">
        <f>"10003133"</f>
        <v>10003133</v>
      </c>
      <c r="C3695" s="2" t="str">
        <f>"10003133"</f>
        <v>10003133</v>
      </c>
      <c r="D3695" s="2" t="s">
        <v>3066</v>
      </c>
      <c r="E3695" s="4">
        <v>5990</v>
      </c>
    </row>
    <row r="3696" spans="1:5" ht="26.25" x14ac:dyDescent="0.25">
      <c r="A3696" s="2" t="s">
        <v>3049</v>
      </c>
      <c r="B3696" s="2" t="str">
        <f>"92711616"</f>
        <v>92711616</v>
      </c>
      <c r="C3696" s="2" t="str">
        <f>"92711616"</f>
        <v>92711616</v>
      </c>
      <c r="D3696" s="2" t="s">
        <v>3067</v>
      </c>
      <c r="E3696" s="4">
        <v>9990</v>
      </c>
    </row>
    <row r="3697" spans="1:5" ht="26.25" x14ac:dyDescent="0.25">
      <c r="A3697" s="2" t="s">
        <v>3049</v>
      </c>
      <c r="B3697" s="2" t="str">
        <f>"619659091392"</f>
        <v>619659091392</v>
      </c>
      <c r="C3697" s="2" t="str">
        <f>"92712016"</f>
        <v>92712016</v>
      </c>
      <c r="D3697" s="2" t="s">
        <v>3068</v>
      </c>
      <c r="E3697" s="4">
        <v>6990</v>
      </c>
    </row>
    <row r="3698" spans="1:5" ht="26.25" x14ac:dyDescent="0.25">
      <c r="A3698" s="2" t="s">
        <v>3049</v>
      </c>
      <c r="B3698" s="2" t="str">
        <f>"30710016"</f>
        <v>30710016</v>
      </c>
      <c r="C3698" s="2" t="str">
        <f>"30710016"</f>
        <v>30710016</v>
      </c>
      <c r="D3698" s="2" t="s">
        <v>3069</v>
      </c>
      <c r="E3698" s="4">
        <v>5990</v>
      </c>
    </row>
    <row r="3699" spans="1:5" ht="26.25" x14ac:dyDescent="0.25">
      <c r="A3699" s="2" t="s">
        <v>3049</v>
      </c>
      <c r="B3699" s="2" t="str">
        <f>"619659136680"</f>
        <v>619659136680</v>
      </c>
      <c r="C3699" s="2" t="str">
        <f>"92713016"</f>
        <v>92713016</v>
      </c>
      <c r="D3699" s="2" t="s">
        <v>3070</v>
      </c>
      <c r="E3699" s="4">
        <v>8990</v>
      </c>
    </row>
    <row r="3700" spans="1:5" ht="26.25" x14ac:dyDescent="0.25">
      <c r="A3700" s="2" t="s">
        <v>3049</v>
      </c>
      <c r="B3700" s="2" t="str">
        <f>"619659141080"</f>
        <v>619659141080</v>
      </c>
      <c r="C3700" s="2" t="str">
        <f>"04SDKCZ16V"</f>
        <v>04SDKCZ16V</v>
      </c>
      <c r="D3700" s="2" t="s">
        <v>3071</v>
      </c>
      <c r="E3700" s="4">
        <v>5990</v>
      </c>
    </row>
    <row r="3701" spans="1:5" ht="26.25" x14ac:dyDescent="0.25">
      <c r="A3701" s="2" t="s">
        <v>3049</v>
      </c>
      <c r="B3701" s="2" t="str">
        <f>"17441732"</f>
        <v>17441732</v>
      </c>
      <c r="C3701" s="2" t="str">
        <f>"17441732"</f>
        <v>17441732</v>
      </c>
      <c r="D3701" s="2" t="s">
        <v>3072</v>
      </c>
      <c r="E3701" s="4">
        <v>17900</v>
      </c>
    </row>
    <row r="3702" spans="1:5" ht="26.25" x14ac:dyDescent="0.25">
      <c r="A3702" s="2" t="s">
        <v>3049</v>
      </c>
      <c r="B3702" s="2" t="str">
        <f>"17441733"</f>
        <v>17441733</v>
      </c>
      <c r="C3702" s="2" t="str">
        <f>"17441733"</f>
        <v>17441733</v>
      </c>
      <c r="D3702" s="2" t="s">
        <v>3072</v>
      </c>
      <c r="E3702" s="4">
        <v>19900</v>
      </c>
    </row>
    <row r="3703" spans="1:5" ht="26.25" x14ac:dyDescent="0.25">
      <c r="A3703" s="2" t="s">
        <v>3049</v>
      </c>
      <c r="B3703" s="2" t="str">
        <f>"4713435794920"</f>
        <v>4713435794920</v>
      </c>
      <c r="C3703" s="2" t="str">
        <f>"98714920"</f>
        <v>98714920</v>
      </c>
      <c r="D3703" s="2" t="s">
        <v>3073</v>
      </c>
      <c r="E3703" s="4">
        <v>7300</v>
      </c>
    </row>
    <row r="3704" spans="1:5" ht="26.25" x14ac:dyDescent="0.25">
      <c r="A3704" s="2" t="s">
        <v>2655</v>
      </c>
      <c r="B3704" s="2" t="str">
        <f>"740617297737"</f>
        <v>740617297737</v>
      </c>
      <c r="C3704" s="2" t="str">
        <f>"10001753"</f>
        <v>10001753</v>
      </c>
      <c r="D3704" s="2" t="s">
        <v>3074</v>
      </c>
      <c r="E3704" s="4">
        <v>6500</v>
      </c>
    </row>
    <row r="3705" spans="1:5" ht="26.25" x14ac:dyDescent="0.25">
      <c r="A3705" s="2" t="s">
        <v>3049</v>
      </c>
      <c r="B3705" s="2" t="str">
        <f>"025215490170"</f>
        <v>025215490170</v>
      </c>
      <c r="C3705" s="2" t="str">
        <f>"60712221"</f>
        <v>60712221</v>
      </c>
      <c r="D3705" s="2" t="s">
        <v>3075</v>
      </c>
      <c r="E3705" s="4">
        <v>4790</v>
      </c>
    </row>
    <row r="3706" spans="1:5" ht="26.25" x14ac:dyDescent="0.25">
      <c r="A3706" s="2" t="s">
        <v>3049</v>
      </c>
      <c r="B3706" s="2" t="str">
        <f>"025215495939"</f>
        <v>025215495939</v>
      </c>
      <c r="C3706" s="2" t="str">
        <f>"60713200"</f>
        <v>60713200</v>
      </c>
      <c r="D3706" s="2" t="s">
        <v>3076</v>
      </c>
      <c r="E3706" s="4">
        <v>4790</v>
      </c>
    </row>
    <row r="3707" spans="1:5" ht="26.25" x14ac:dyDescent="0.25">
      <c r="A3707" s="2" t="s">
        <v>3049</v>
      </c>
      <c r="B3707" s="2" t="str">
        <f>"025215495885"</f>
        <v>025215495885</v>
      </c>
      <c r="C3707" s="2" t="str">
        <f>"60710302"</f>
        <v>60710302</v>
      </c>
      <c r="D3707" s="2" t="s">
        <v>3077</v>
      </c>
      <c r="E3707" s="4">
        <v>4790</v>
      </c>
    </row>
    <row r="3708" spans="1:5" ht="26.25" x14ac:dyDescent="0.25">
      <c r="A3708" s="2" t="s">
        <v>3049</v>
      </c>
      <c r="B3708" s="2" t="str">
        <f>"025215717246"</f>
        <v>025215717246</v>
      </c>
      <c r="C3708" s="2" t="str">
        <f>"60713232"</f>
        <v>60713232</v>
      </c>
      <c r="D3708" s="2" t="s">
        <v>3078</v>
      </c>
      <c r="E3708" s="4">
        <v>4890</v>
      </c>
    </row>
    <row r="3709" spans="1:5" ht="26.25" x14ac:dyDescent="0.25">
      <c r="A3709" s="2" t="s">
        <v>3049</v>
      </c>
      <c r="B3709" s="2" t="str">
        <f>"025215495908"</f>
        <v>025215495908</v>
      </c>
      <c r="C3709" s="2" t="str">
        <f>"60710320"</f>
        <v>60710320</v>
      </c>
      <c r="D3709" s="2" t="s">
        <v>3079</v>
      </c>
      <c r="E3709" s="4">
        <v>4790</v>
      </c>
    </row>
    <row r="3710" spans="1:5" ht="26.25" x14ac:dyDescent="0.25">
      <c r="A3710" s="2" t="s">
        <v>3049</v>
      </c>
      <c r="B3710" s="2" t="str">
        <f>"50111011"</f>
        <v>50111011</v>
      </c>
      <c r="C3710" s="2" t="str">
        <f>"50111011"</f>
        <v>50111011</v>
      </c>
      <c r="D3710" s="2" t="s">
        <v>3080</v>
      </c>
      <c r="E3710" s="4">
        <v>19900</v>
      </c>
    </row>
    <row r="3711" spans="1:5" ht="26.25" x14ac:dyDescent="0.25">
      <c r="A3711" s="2" t="s">
        <v>3049</v>
      </c>
      <c r="B3711" s="2" t="str">
        <f>"619659068165"</f>
        <v>619659068165</v>
      </c>
      <c r="C3711" s="2" t="str">
        <f>"92710032"</f>
        <v>92710032</v>
      </c>
      <c r="D3711" s="2" t="s">
        <v>3080</v>
      </c>
      <c r="E3711" s="4">
        <v>7990</v>
      </c>
    </row>
    <row r="3712" spans="1:5" ht="26.25" x14ac:dyDescent="0.25">
      <c r="A3712" s="2" t="s">
        <v>3049</v>
      </c>
      <c r="B3712" s="2" t="str">
        <f>"04SDKCZ532"</f>
        <v>04SDKCZ532</v>
      </c>
      <c r="C3712" s="2" t="str">
        <f>"04SDKCZ532"</f>
        <v>04SDKCZ532</v>
      </c>
      <c r="D3712" s="2" t="s">
        <v>3080</v>
      </c>
      <c r="E3712" s="4">
        <v>7990</v>
      </c>
    </row>
    <row r="3713" spans="1:5" ht="26.25" x14ac:dyDescent="0.25">
      <c r="A3713" s="2" t="s">
        <v>3049</v>
      </c>
      <c r="B3713" s="2" t="str">
        <f>"619659069193"</f>
        <v>619659069193</v>
      </c>
      <c r="C3713" s="2" t="str">
        <f>"10002627"</f>
        <v>10002627</v>
      </c>
      <c r="D3713" s="2" t="s">
        <v>3081</v>
      </c>
      <c r="E3713" s="4">
        <v>7990</v>
      </c>
    </row>
    <row r="3714" spans="1:5" ht="26.25" x14ac:dyDescent="0.25">
      <c r="A3714" s="2" t="s">
        <v>3049</v>
      </c>
      <c r="B3714" s="2" t="str">
        <f>"92713232"</f>
        <v>92713232</v>
      </c>
      <c r="C3714" s="2" t="str">
        <f>"92713232"</f>
        <v>92713232</v>
      </c>
      <c r="D3714" s="2" t="s">
        <v>3082</v>
      </c>
      <c r="E3714" s="4">
        <v>13990</v>
      </c>
    </row>
    <row r="3715" spans="1:5" ht="26.25" x14ac:dyDescent="0.25">
      <c r="A3715" s="2" t="s">
        <v>3049</v>
      </c>
      <c r="B3715" s="2" t="str">
        <f>"619659163402"</f>
        <v>619659163402</v>
      </c>
      <c r="C3715" s="2" t="str">
        <f>"92713231"</f>
        <v>92713231</v>
      </c>
      <c r="D3715" s="2" t="s">
        <v>3082</v>
      </c>
      <c r="E3715" s="4">
        <v>13990</v>
      </c>
    </row>
    <row r="3716" spans="1:5" ht="26.25" x14ac:dyDescent="0.25">
      <c r="A3716" s="2" t="s">
        <v>3049</v>
      </c>
      <c r="B3716" s="2" t="str">
        <f>"619659091408"</f>
        <v>619659091408</v>
      </c>
      <c r="C3716" s="2" t="str">
        <f>"92712032"</f>
        <v>92712032</v>
      </c>
      <c r="D3716" s="2" t="s">
        <v>3083</v>
      </c>
      <c r="E3716" s="4">
        <v>8500</v>
      </c>
    </row>
    <row r="3717" spans="1:5" ht="26.25" x14ac:dyDescent="0.25">
      <c r="A3717" s="2" t="s">
        <v>3049</v>
      </c>
      <c r="B3717" s="2" t="str">
        <f>"619659153038"</f>
        <v>619659153038</v>
      </c>
      <c r="C3717" s="2" t="str">
        <f>"92710732"</f>
        <v>92710732</v>
      </c>
      <c r="D3717" s="2" t="s">
        <v>3084</v>
      </c>
      <c r="E3717" s="4">
        <v>35990</v>
      </c>
    </row>
    <row r="3718" spans="1:5" ht="26.25" x14ac:dyDescent="0.25">
      <c r="A3718" s="2" t="s">
        <v>3049</v>
      </c>
      <c r="B3718" s="2" t="str">
        <f>"340509154"</f>
        <v>340509154</v>
      </c>
      <c r="C3718" s="2" t="str">
        <f>"340509154"</f>
        <v>340509154</v>
      </c>
      <c r="D3718" s="2" t="s">
        <v>3085</v>
      </c>
      <c r="E3718" s="4">
        <v>13000</v>
      </c>
    </row>
    <row r="3719" spans="1:5" ht="26.25" x14ac:dyDescent="0.25">
      <c r="A3719" s="2" t="s">
        <v>3049</v>
      </c>
      <c r="B3719" s="2" t="str">
        <f>"619659136697"</f>
        <v>619659136697</v>
      </c>
      <c r="C3719" s="2" t="str">
        <f>"92716697"</f>
        <v>92716697</v>
      </c>
      <c r="D3719" s="2" t="s">
        <v>3085</v>
      </c>
      <c r="E3719" s="4">
        <v>10990</v>
      </c>
    </row>
    <row r="3720" spans="1:5" ht="26.25" x14ac:dyDescent="0.25">
      <c r="A3720" s="2" t="s">
        <v>3049</v>
      </c>
      <c r="B3720" s="2" t="str">
        <f>"740617282290"</f>
        <v>740617282290</v>
      </c>
      <c r="C3720" s="2" t="str">
        <f>"10002632"</f>
        <v>10002632</v>
      </c>
      <c r="D3720" s="2" t="s">
        <v>3086</v>
      </c>
      <c r="E3720" s="4">
        <v>10790</v>
      </c>
    </row>
    <row r="3721" spans="1:5" ht="26.25" x14ac:dyDescent="0.25">
      <c r="A3721" s="2" t="s">
        <v>3049</v>
      </c>
      <c r="B3721" s="2" t="str">
        <f>"025215495892"</f>
        <v>025215495892</v>
      </c>
      <c r="C3721" s="2" t="str">
        <f>"60719393"</f>
        <v>60719393</v>
      </c>
      <c r="D3721" s="2" t="s">
        <v>3087</v>
      </c>
      <c r="E3721" s="4">
        <v>9990</v>
      </c>
    </row>
    <row r="3722" spans="1:5" ht="26.25" x14ac:dyDescent="0.25">
      <c r="A3722" s="2" t="s">
        <v>3049</v>
      </c>
      <c r="B3722" s="2" t="str">
        <f>"025215495946"</f>
        <v>025215495946</v>
      </c>
      <c r="C3722" s="2" t="str">
        <f>"69710640"</f>
        <v>69710640</v>
      </c>
      <c r="D3722" s="2" t="s">
        <v>3088</v>
      </c>
      <c r="E3722" s="4">
        <v>8290</v>
      </c>
    </row>
    <row r="3723" spans="1:5" ht="26.25" x14ac:dyDescent="0.25">
      <c r="A3723" s="2" t="s">
        <v>3049</v>
      </c>
      <c r="B3723" s="2" t="str">
        <f>"025215493270"</f>
        <v>025215493270</v>
      </c>
      <c r="C3723" s="2" t="str">
        <f>"60716400"</f>
        <v>60716400</v>
      </c>
      <c r="D3723" s="2" t="s">
        <v>3089</v>
      </c>
      <c r="E3723" s="4">
        <v>9990</v>
      </c>
    </row>
    <row r="3724" spans="1:5" ht="26.25" x14ac:dyDescent="0.25">
      <c r="A3724" s="2" t="s">
        <v>3049</v>
      </c>
      <c r="B3724" s="2" t="str">
        <f>"619659097325"</f>
        <v>619659097325</v>
      </c>
      <c r="C3724" s="2" t="str">
        <f>"92710064"</f>
        <v>92710064</v>
      </c>
      <c r="D3724" s="2" t="s">
        <v>3090</v>
      </c>
      <c r="E3724" s="4">
        <v>13990</v>
      </c>
    </row>
    <row r="3725" spans="1:5" ht="26.25" x14ac:dyDescent="0.25">
      <c r="A3725" s="2" t="s">
        <v>3049</v>
      </c>
      <c r="B3725" s="2" t="str">
        <f>"04SDKCZ564"</f>
        <v>04SDKCZ564</v>
      </c>
      <c r="C3725" s="2" t="str">
        <f>"04SDKCZ564"</f>
        <v>04SDKCZ564</v>
      </c>
      <c r="D3725" s="2" t="s">
        <v>3090</v>
      </c>
      <c r="E3725" s="4">
        <v>13990</v>
      </c>
    </row>
    <row r="3726" spans="1:5" ht="26.25" x14ac:dyDescent="0.25">
      <c r="A3726" s="2" t="s">
        <v>3049</v>
      </c>
      <c r="B3726" s="2" t="str">
        <f>"92716464"</f>
        <v>92716464</v>
      </c>
      <c r="C3726" s="2" t="str">
        <f>"92716464"</f>
        <v>92716464</v>
      </c>
      <c r="D3726" s="2" t="s">
        <v>3091</v>
      </c>
      <c r="E3726" s="4">
        <v>18990</v>
      </c>
    </row>
    <row r="3727" spans="1:5" ht="26.25" x14ac:dyDescent="0.25">
      <c r="A3727" s="2" t="s">
        <v>3049</v>
      </c>
      <c r="B3727" s="2" t="str">
        <f>"619659153076"</f>
        <v>619659153076</v>
      </c>
      <c r="C3727" s="2" t="str">
        <f>"92710764"</f>
        <v>92710764</v>
      </c>
      <c r="D3727" s="2" t="s">
        <v>3092</v>
      </c>
      <c r="E3727" s="4">
        <v>49990</v>
      </c>
    </row>
    <row r="3728" spans="1:5" ht="26.25" x14ac:dyDescent="0.25">
      <c r="A3728" s="2" t="s">
        <v>3049</v>
      </c>
      <c r="B3728" s="2" t="str">
        <f>"619659136703"</f>
        <v>619659136703</v>
      </c>
      <c r="C3728" s="2" t="str">
        <f>"92713064"</f>
        <v>92713064</v>
      </c>
      <c r="D3728" s="2" t="s">
        <v>3093</v>
      </c>
      <c r="E3728" s="4">
        <v>18990</v>
      </c>
    </row>
    <row r="3729" spans="1:5" ht="26.25" x14ac:dyDescent="0.25">
      <c r="A3729" s="2" t="s">
        <v>3049</v>
      </c>
      <c r="B3729" s="2" t="str">
        <f>"50002246"</f>
        <v>50002246</v>
      </c>
      <c r="C3729" s="2" t="str">
        <f>"50002246"</f>
        <v>50002246</v>
      </c>
      <c r="D3729" s="2" t="s">
        <v>3094</v>
      </c>
      <c r="E3729" s="4">
        <v>6500</v>
      </c>
    </row>
    <row r="3730" spans="1:5" ht="26.25" x14ac:dyDescent="0.25">
      <c r="A3730" s="2" t="s">
        <v>3049</v>
      </c>
      <c r="B3730" s="2" t="str">
        <f>"4718050609598"</f>
        <v>4718050609598</v>
      </c>
      <c r="C3730" s="2" t="str">
        <f>"98719598"</f>
        <v>98719598</v>
      </c>
      <c r="D3730" s="2" t="s">
        <v>3095</v>
      </c>
      <c r="E3730" s="4">
        <v>4900</v>
      </c>
    </row>
    <row r="3731" spans="1:5" ht="26.25" x14ac:dyDescent="0.25">
      <c r="A3731" s="2" t="s">
        <v>3049</v>
      </c>
      <c r="B3731" s="2" t="str">
        <f>"4713435794197"</f>
        <v>4713435794197</v>
      </c>
      <c r="C3731" s="2" t="str">
        <f>"98714197"</f>
        <v>98714197</v>
      </c>
      <c r="D3731" s="2" t="s">
        <v>3095</v>
      </c>
      <c r="E3731" s="4">
        <v>4900</v>
      </c>
    </row>
    <row r="3732" spans="1:5" ht="26.25" x14ac:dyDescent="0.25">
      <c r="A3732" s="2" t="s">
        <v>3049</v>
      </c>
      <c r="B3732" s="2" t="str">
        <f>"10002350"</f>
        <v>10002350</v>
      </c>
      <c r="C3732" s="2" t="str">
        <f>"10002350"</f>
        <v>10002350</v>
      </c>
      <c r="D3732" s="2" t="s">
        <v>3096</v>
      </c>
      <c r="E3732" s="4">
        <v>10900</v>
      </c>
    </row>
    <row r="3733" spans="1:5" ht="26.25" x14ac:dyDescent="0.25">
      <c r="A3733" s="2" t="s">
        <v>3049</v>
      </c>
      <c r="B3733" s="2" t="str">
        <f>"96710008"</f>
        <v>96710008</v>
      </c>
      <c r="C3733" s="2" t="str">
        <f>"96710008"</f>
        <v>96710008</v>
      </c>
      <c r="D3733" s="2" t="s">
        <v>3097</v>
      </c>
      <c r="E3733" s="4">
        <v>4900</v>
      </c>
    </row>
    <row r="3734" spans="1:5" ht="26.25" x14ac:dyDescent="0.25">
      <c r="A3734" s="2" t="s">
        <v>3049</v>
      </c>
      <c r="B3734" s="2" t="str">
        <f>"10002246"</f>
        <v>10002246</v>
      </c>
      <c r="C3734" s="2" t="str">
        <f>"10002246"</f>
        <v>10002246</v>
      </c>
      <c r="D3734" s="2" t="s">
        <v>3098</v>
      </c>
      <c r="E3734" s="4">
        <v>6800</v>
      </c>
    </row>
    <row r="3735" spans="1:5" ht="26.25" x14ac:dyDescent="0.25">
      <c r="A3735" s="2" t="s">
        <v>3049</v>
      </c>
      <c r="B3735" s="2" t="str">
        <f>"66102246"</f>
        <v>66102246</v>
      </c>
      <c r="C3735" s="2" t="str">
        <f>"66102246"</f>
        <v>66102246</v>
      </c>
      <c r="D3735" s="2" t="s">
        <v>3098</v>
      </c>
      <c r="E3735" s="4">
        <v>4990</v>
      </c>
    </row>
    <row r="3736" spans="1:5" ht="26.25" x14ac:dyDescent="0.25">
      <c r="A3736" s="2" t="s">
        <v>3049</v>
      </c>
      <c r="B3736" s="2" t="str">
        <f>"66002608"</f>
        <v>66002608</v>
      </c>
      <c r="C3736" s="2" t="str">
        <f>"66002608"</f>
        <v>66002608</v>
      </c>
      <c r="D3736" s="2" t="s">
        <v>3098</v>
      </c>
      <c r="E3736" s="4">
        <v>4500</v>
      </c>
    </row>
    <row r="3737" spans="1:5" ht="26.25" x14ac:dyDescent="0.25">
      <c r="A3737" s="2" t="s">
        <v>3049</v>
      </c>
      <c r="B3737" s="2" t="str">
        <f>"66712908"</f>
        <v>66712908</v>
      </c>
      <c r="C3737" s="2" t="str">
        <f>"66712908"</f>
        <v>66712908</v>
      </c>
      <c r="D3737" s="2" t="s">
        <v>3098</v>
      </c>
      <c r="E3737" s="4">
        <v>6500</v>
      </c>
    </row>
    <row r="3738" spans="1:5" ht="26.25" x14ac:dyDescent="0.25">
      <c r="A3738" s="2" t="s">
        <v>3049</v>
      </c>
      <c r="B3738" s="2" t="str">
        <f>"87710008"</f>
        <v>87710008</v>
      </c>
      <c r="C3738" s="2" t="str">
        <f>"87710008"</f>
        <v>87710008</v>
      </c>
      <c r="D3738" s="2" t="s">
        <v>3099</v>
      </c>
      <c r="E3738" s="4">
        <v>8500</v>
      </c>
    </row>
    <row r="3739" spans="1:5" ht="26.25" x14ac:dyDescent="0.25">
      <c r="A3739" s="2" t="s">
        <v>3049</v>
      </c>
      <c r="B3739" s="2" t="str">
        <f>"66710008"</f>
        <v>66710008</v>
      </c>
      <c r="C3739" s="2" t="str">
        <f>"66710008"</f>
        <v>66710008</v>
      </c>
      <c r="D3739" s="2" t="s">
        <v>3100</v>
      </c>
      <c r="E3739" s="4">
        <v>7800</v>
      </c>
    </row>
    <row r="3740" spans="1:5" ht="26.25" x14ac:dyDescent="0.25">
      <c r="A3740" s="2" t="s">
        <v>3049</v>
      </c>
      <c r="B3740" s="2" t="str">
        <f>"619659142032"</f>
        <v>619659142032</v>
      </c>
      <c r="C3740" s="2" t="str">
        <f>"92711600"</f>
        <v>92711600</v>
      </c>
      <c r="D3740" s="2" t="s">
        <v>3101</v>
      </c>
      <c r="E3740" s="4">
        <v>9990</v>
      </c>
    </row>
    <row r="3741" spans="1:5" ht="26.25" x14ac:dyDescent="0.25">
      <c r="A3741" s="2" t="s">
        <v>3049</v>
      </c>
      <c r="B3741" s="2" t="str">
        <f>"619659142049"</f>
        <v>619659142049</v>
      </c>
      <c r="C3741" s="2" t="str">
        <f>"92713200"</f>
        <v>92713200</v>
      </c>
      <c r="D3741" s="2" t="s">
        <v>3102</v>
      </c>
      <c r="E3741" s="4">
        <v>13990</v>
      </c>
    </row>
    <row r="3742" spans="1:5" ht="26.25" x14ac:dyDescent="0.25">
      <c r="A3742" s="2" t="s">
        <v>3049</v>
      </c>
      <c r="B3742" s="2" t="str">
        <f>"619659142056"</f>
        <v>619659142056</v>
      </c>
      <c r="C3742" s="2" t="str">
        <f>"92712056"</f>
        <v>92712056</v>
      </c>
      <c r="D3742" s="2" t="s">
        <v>3103</v>
      </c>
      <c r="E3742" s="4">
        <v>21990</v>
      </c>
    </row>
    <row r="3743" spans="1:5" ht="26.25" x14ac:dyDescent="0.25">
      <c r="A3743" s="2" t="s">
        <v>3049</v>
      </c>
      <c r="B3743" s="2" t="str">
        <f>"619659149543"</f>
        <v>619659149543</v>
      </c>
      <c r="C3743" s="2" t="str">
        <f>"92710160"</f>
        <v>92710160</v>
      </c>
      <c r="D3743" s="2" t="s">
        <v>3104</v>
      </c>
      <c r="E3743" s="4">
        <v>8490</v>
      </c>
    </row>
    <row r="3744" spans="1:5" ht="26.25" x14ac:dyDescent="0.25">
      <c r="A3744" s="2" t="s">
        <v>3049</v>
      </c>
      <c r="B3744" s="2" t="str">
        <f>"619659149598"</f>
        <v>619659149598</v>
      </c>
      <c r="C3744" s="2" t="str">
        <f>"92710320"</f>
        <v>92710320</v>
      </c>
      <c r="D3744" s="2" t="s">
        <v>3105</v>
      </c>
      <c r="E3744" s="4">
        <v>9490</v>
      </c>
    </row>
    <row r="3745" spans="1:5" ht="26.25" x14ac:dyDescent="0.25">
      <c r="A3745" s="2" t="s">
        <v>3049</v>
      </c>
      <c r="B3745" s="2" t="str">
        <f>"619659149642"</f>
        <v>619659149642</v>
      </c>
      <c r="C3745" s="2" t="str">
        <f>"92710364"</f>
        <v>92710364</v>
      </c>
      <c r="D3745" s="2" t="s">
        <v>3106</v>
      </c>
      <c r="E3745" s="4">
        <v>14990</v>
      </c>
    </row>
    <row r="3746" spans="1:5" ht="26.25" x14ac:dyDescent="0.25">
      <c r="A3746" s="2" t="s">
        <v>21</v>
      </c>
      <c r="B3746" s="2" t="str">
        <f>"6952147899624"</f>
        <v>6952147899624</v>
      </c>
      <c r="C3746" s="2" t="str">
        <f>"40529624"</f>
        <v>40529624</v>
      </c>
      <c r="D3746" s="2" t="s">
        <v>3107</v>
      </c>
      <c r="E3746" s="4">
        <v>5500</v>
      </c>
    </row>
    <row r="3747" spans="1:5" ht="26.25" x14ac:dyDescent="0.25">
      <c r="A3747" s="2" t="s">
        <v>21</v>
      </c>
      <c r="B3747" s="2" t="str">
        <f>"6990288370015"</f>
        <v>6990288370015</v>
      </c>
      <c r="C3747" s="2" t="str">
        <f>"40520015"</f>
        <v>40520015</v>
      </c>
      <c r="D3747" s="2" t="s">
        <v>3108</v>
      </c>
      <c r="E3747" s="4">
        <v>8500</v>
      </c>
    </row>
    <row r="3748" spans="1:5" ht="26.25" x14ac:dyDescent="0.25">
      <c r="A3748" s="2" t="s">
        <v>21</v>
      </c>
      <c r="B3748" s="2" t="str">
        <f>"6924494004037"</f>
        <v>6924494004037</v>
      </c>
      <c r="C3748" s="2" t="str">
        <f>"98524037"</f>
        <v>98524037</v>
      </c>
      <c r="D3748" s="2" t="s">
        <v>3109</v>
      </c>
      <c r="E3748" s="4">
        <v>6990</v>
      </c>
    </row>
    <row r="3749" spans="1:5" ht="26.25" x14ac:dyDescent="0.25">
      <c r="A3749" s="2" t="s">
        <v>916</v>
      </c>
      <c r="B3749" s="2" t="str">
        <f>"10003600"</f>
        <v>10003600</v>
      </c>
      <c r="C3749" s="2" t="str">
        <f>"10003600"</f>
        <v>10003600</v>
      </c>
      <c r="D3749" s="2" t="s">
        <v>3110</v>
      </c>
      <c r="E3749" s="4">
        <v>2000</v>
      </c>
    </row>
    <row r="3750" spans="1:5" ht="26.25" x14ac:dyDescent="0.25">
      <c r="A3750" s="2" t="s">
        <v>916</v>
      </c>
      <c r="B3750" s="2" t="str">
        <f>"10003344"</f>
        <v>10003344</v>
      </c>
      <c r="C3750" s="2" t="str">
        <f>"10003344"</f>
        <v>10003344</v>
      </c>
      <c r="D3750" s="2" t="s">
        <v>3111</v>
      </c>
      <c r="E3750" s="4">
        <v>2500</v>
      </c>
    </row>
    <row r="3751" spans="1:5" ht="26.25" x14ac:dyDescent="0.25">
      <c r="A3751" s="2" t="s">
        <v>916</v>
      </c>
      <c r="B3751" s="2" t="str">
        <f>"4891199042140"</f>
        <v>4891199042140</v>
      </c>
      <c r="C3751" s="2" t="str">
        <f>"98050230"</f>
        <v>98050230</v>
      </c>
      <c r="D3751" s="2" t="s">
        <v>3112</v>
      </c>
      <c r="E3751" s="4">
        <v>1500</v>
      </c>
    </row>
    <row r="3752" spans="1:5" ht="26.25" x14ac:dyDescent="0.25">
      <c r="A3752" s="2" t="s">
        <v>916</v>
      </c>
      <c r="B3752" s="2" t="str">
        <f>"4891199011504"</f>
        <v>4891199011504</v>
      </c>
      <c r="C3752" s="2" t="str">
        <f>"98920027"</f>
        <v>98920027</v>
      </c>
      <c r="D3752" s="2" t="s">
        <v>3113</v>
      </c>
      <c r="E3752" s="4">
        <v>2000</v>
      </c>
    </row>
    <row r="3753" spans="1:5" ht="26.25" x14ac:dyDescent="0.25">
      <c r="A3753" s="2" t="s">
        <v>916</v>
      </c>
      <c r="B3753" s="2" t="str">
        <f>"041333116013"</f>
        <v>041333116013</v>
      </c>
      <c r="C3753" s="2" t="str">
        <f>"98921043"</f>
        <v>98921043</v>
      </c>
      <c r="D3753" s="2" t="s">
        <v>3114</v>
      </c>
      <c r="E3753" s="4">
        <v>5000</v>
      </c>
    </row>
    <row r="3754" spans="1:5" ht="26.25" x14ac:dyDescent="0.25">
      <c r="A3754" s="2" t="s">
        <v>916</v>
      </c>
      <c r="B3754" s="2" t="str">
        <f>"4891199071645"</f>
        <v>4891199071645</v>
      </c>
      <c r="C3754" s="2" t="str">
        <f>"98929000"</f>
        <v>98929000</v>
      </c>
      <c r="D3754" s="2" t="s">
        <v>3115</v>
      </c>
      <c r="E3754" s="4">
        <v>6500</v>
      </c>
    </row>
    <row r="3755" spans="1:5" ht="26.25" x14ac:dyDescent="0.25">
      <c r="A3755" s="2" t="s">
        <v>916</v>
      </c>
      <c r="B3755" s="2" t="str">
        <f>"4891199027581"</f>
        <v>4891199027581</v>
      </c>
      <c r="C3755" s="2" t="str">
        <f>"98927581"</f>
        <v>98927581</v>
      </c>
      <c r="D3755" s="2" t="s">
        <v>3116</v>
      </c>
      <c r="E3755" s="4">
        <v>1000</v>
      </c>
    </row>
    <row r="3756" spans="1:5" ht="26.25" x14ac:dyDescent="0.25">
      <c r="A3756" s="2" t="s">
        <v>916</v>
      </c>
      <c r="B3756" s="2" t="str">
        <f>"4891199027598"</f>
        <v>4891199027598</v>
      </c>
      <c r="C3756" s="2" t="str">
        <f>"98927598"</f>
        <v>98927598</v>
      </c>
      <c r="D3756" s="2" t="s">
        <v>3117</v>
      </c>
      <c r="E3756" s="4">
        <v>1990</v>
      </c>
    </row>
    <row r="3757" spans="1:5" ht="26.25" x14ac:dyDescent="0.25">
      <c r="A3757" s="2" t="s">
        <v>916</v>
      </c>
      <c r="B3757" s="2" t="str">
        <f>"025215720727"</f>
        <v>025215720727</v>
      </c>
      <c r="C3757" s="2" t="str">
        <f>"60924670"</f>
        <v>60924670</v>
      </c>
      <c r="D3757" s="2" t="s">
        <v>3118</v>
      </c>
      <c r="E3757" s="2">
        <v>500</v>
      </c>
    </row>
    <row r="3758" spans="1:5" ht="26.25" x14ac:dyDescent="0.25">
      <c r="A3758" s="2" t="s">
        <v>916</v>
      </c>
      <c r="B3758" s="2" t="str">
        <f>"025215961731"</f>
        <v>025215961731</v>
      </c>
      <c r="C3758" s="2" t="str">
        <f>"60924060"</f>
        <v>60924060</v>
      </c>
      <c r="D3758" s="2" t="s">
        <v>3119</v>
      </c>
      <c r="E3758" s="2">
        <v>750</v>
      </c>
    </row>
    <row r="3759" spans="1:5" ht="26.25" x14ac:dyDescent="0.25">
      <c r="A3759" s="2" t="s">
        <v>916</v>
      </c>
      <c r="B3759" s="2" t="str">
        <f>"025215723445"</f>
        <v>025215723445</v>
      </c>
      <c r="C3759" s="2" t="str">
        <f>"60924480"</f>
        <v>60924480</v>
      </c>
      <c r="D3759" s="2" t="s">
        <v>3120</v>
      </c>
      <c r="E3759" s="4">
        <v>1450</v>
      </c>
    </row>
    <row r="3760" spans="1:5" ht="26.25" x14ac:dyDescent="0.25">
      <c r="A3760" s="2" t="s">
        <v>916</v>
      </c>
      <c r="B3760" s="2" t="str">
        <f>"7756726001816"</f>
        <v>7756726001816</v>
      </c>
      <c r="C3760" s="2" t="str">
        <f>"98921816"</f>
        <v>98921816</v>
      </c>
      <c r="D3760" s="2" t="s">
        <v>3121</v>
      </c>
      <c r="E3760" s="2">
        <v>800</v>
      </c>
    </row>
    <row r="3761" spans="1:5" ht="26.25" x14ac:dyDescent="0.25">
      <c r="A3761" s="2" t="s">
        <v>916</v>
      </c>
      <c r="B3761" s="2" t="str">
        <f>"42ULX5H270"</f>
        <v>42ULX5H270</v>
      </c>
      <c r="C3761" s="2" t="str">
        <f>"42ULX5H270"</f>
        <v>42ULX5H270</v>
      </c>
      <c r="D3761" s="2" t="s">
        <v>3122</v>
      </c>
      <c r="E3761" s="4">
        <v>2000</v>
      </c>
    </row>
    <row r="3762" spans="1:5" ht="26.25" x14ac:dyDescent="0.25">
      <c r="A3762" s="2" t="s">
        <v>916</v>
      </c>
      <c r="B3762" s="2" t="str">
        <f>"7168298823138"</f>
        <v>7168298823138</v>
      </c>
      <c r="C3762" s="2" t="str">
        <f>"98921111"</f>
        <v>98921111</v>
      </c>
      <c r="D3762" s="2" t="s">
        <v>3122</v>
      </c>
      <c r="E3762" s="4">
        <v>2500</v>
      </c>
    </row>
    <row r="3763" spans="1:5" ht="26.25" x14ac:dyDescent="0.25">
      <c r="A3763" s="2" t="s">
        <v>916</v>
      </c>
      <c r="B3763" s="2" t="str">
        <f>"008562011991"</f>
        <v>008562011991</v>
      </c>
      <c r="C3763" s="2" t="str">
        <f>"98920001"</f>
        <v>98920001</v>
      </c>
      <c r="D3763" s="2" t="s">
        <v>3123</v>
      </c>
      <c r="E3763" s="4">
        <v>1000</v>
      </c>
    </row>
    <row r="3764" spans="1:5" ht="26.25" x14ac:dyDescent="0.25">
      <c r="A3764" s="2" t="s">
        <v>916</v>
      </c>
      <c r="B3764" s="2" t="str">
        <f>"4891199027659"</f>
        <v>4891199027659</v>
      </c>
      <c r="C3764" s="2" t="str">
        <f>"98927659"</f>
        <v>98927659</v>
      </c>
      <c r="D3764" s="2" t="s">
        <v>3124</v>
      </c>
      <c r="E3764" s="4">
        <v>1990</v>
      </c>
    </row>
    <row r="3765" spans="1:5" ht="26.25" x14ac:dyDescent="0.25">
      <c r="A3765" s="2" t="s">
        <v>916</v>
      </c>
      <c r="B3765" s="2" t="str">
        <f>"025215720734"</f>
        <v>025215720734</v>
      </c>
      <c r="C3765" s="2" t="str">
        <f>"60928670"</f>
        <v>60928670</v>
      </c>
      <c r="D3765" s="2" t="s">
        <v>3125</v>
      </c>
      <c r="E3765" s="2">
        <v>500</v>
      </c>
    </row>
    <row r="3766" spans="1:5" ht="26.25" x14ac:dyDescent="0.25">
      <c r="A3766" s="2" t="s">
        <v>916</v>
      </c>
      <c r="B3766" s="2" t="str">
        <f>"025215961724"</f>
        <v>025215961724</v>
      </c>
      <c r="C3766" s="2" t="str">
        <f>"60928020"</f>
        <v>60928020</v>
      </c>
      <c r="D3766" s="2" t="s">
        <v>3126</v>
      </c>
      <c r="E3766" s="2">
        <v>750</v>
      </c>
    </row>
    <row r="3767" spans="1:5" ht="26.25" x14ac:dyDescent="0.25">
      <c r="A3767" s="2" t="s">
        <v>916</v>
      </c>
      <c r="B3767" s="2" t="str">
        <f>"025215723841"</f>
        <v>025215723841</v>
      </c>
      <c r="C3767" s="2" t="str">
        <f>"60928650"</f>
        <v>60928650</v>
      </c>
      <c r="D3767" s="2" t="s">
        <v>3127</v>
      </c>
      <c r="E3767" s="4">
        <v>1450</v>
      </c>
    </row>
    <row r="3768" spans="1:5" ht="26.25" x14ac:dyDescent="0.25">
      <c r="A3768" s="2" t="s">
        <v>916</v>
      </c>
      <c r="B3768" s="2" t="str">
        <f>"42ULX123A5"</f>
        <v>42ULX123A5</v>
      </c>
      <c r="C3768" s="2" t="str">
        <f>"42ULX123A5"</f>
        <v>42ULX123A5</v>
      </c>
      <c r="D3768" s="2" t="s">
        <v>3128</v>
      </c>
      <c r="E3768" s="4">
        <v>1500</v>
      </c>
    </row>
    <row r="3769" spans="1:5" ht="26.25" x14ac:dyDescent="0.25">
      <c r="A3769" s="2" t="s">
        <v>916</v>
      </c>
      <c r="B3769" s="2" t="str">
        <f>"7168299110442"</f>
        <v>7168299110442</v>
      </c>
      <c r="C3769" s="2" t="str">
        <f>"98921112"</f>
        <v>98921112</v>
      </c>
      <c r="D3769" s="2" t="s">
        <v>3128</v>
      </c>
      <c r="E3769" s="4">
        <v>2000</v>
      </c>
    </row>
    <row r="3770" spans="1:5" ht="26.25" x14ac:dyDescent="0.25">
      <c r="A3770" s="2" t="s">
        <v>916</v>
      </c>
      <c r="B3770" s="2" t="str">
        <f>"008562012004"</f>
        <v>008562012004</v>
      </c>
      <c r="C3770" s="2" t="str">
        <f>"98920002"</f>
        <v>98920002</v>
      </c>
      <c r="D3770" s="2" t="s">
        <v>3129</v>
      </c>
      <c r="E3770" s="2">
        <v>500</v>
      </c>
    </row>
    <row r="3771" spans="1:5" ht="26.25" x14ac:dyDescent="0.25">
      <c r="A3771" s="2" t="s">
        <v>916</v>
      </c>
      <c r="B3771" s="2" t="str">
        <f>"4904530592751"</f>
        <v>4904530592751</v>
      </c>
      <c r="C3771" s="2" t="str">
        <f>"98922751"</f>
        <v>98922751</v>
      </c>
      <c r="D3771" s="2" t="s">
        <v>3130</v>
      </c>
      <c r="E3771" s="2">
        <v>890</v>
      </c>
    </row>
    <row r="3772" spans="1:5" ht="26.25" x14ac:dyDescent="0.25">
      <c r="A3772" s="2" t="s">
        <v>916</v>
      </c>
      <c r="B3772" s="2" t="str">
        <f>"041333016634"</f>
        <v>041333016634</v>
      </c>
      <c r="C3772" s="2" t="str">
        <f>"98922401"</f>
        <v>98922401</v>
      </c>
      <c r="D3772" s="2" t="s">
        <v>3131</v>
      </c>
      <c r="E3772" s="2">
        <v>890</v>
      </c>
    </row>
    <row r="3773" spans="1:5" ht="26.25" x14ac:dyDescent="0.25">
      <c r="A3773" s="2" t="s">
        <v>916</v>
      </c>
      <c r="B3773" s="2" t="str">
        <f>"041333415017"</f>
        <v>041333415017</v>
      </c>
      <c r="C3773" s="2" t="str">
        <f>"98925017"</f>
        <v>98925017</v>
      </c>
      <c r="D3773" s="2" t="s">
        <v>3132</v>
      </c>
      <c r="E3773" s="4">
        <v>2500</v>
      </c>
    </row>
    <row r="3774" spans="1:5" ht="26.25" x14ac:dyDescent="0.25">
      <c r="A3774" s="2" t="s">
        <v>916</v>
      </c>
      <c r="B3774" s="2" t="str">
        <f>"041333428482"</f>
        <v>041333428482</v>
      </c>
      <c r="C3774" s="2" t="str">
        <f>"98922400"</f>
        <v>98922400</v>
      </c>
      <c r="D3774" s="2" t="s">
        <v>3133</v>
      </c>
      <c r="E3774" s="2">
        <v>890</v>
      </c>
    </row>
    <row r="3775" spans="1:5" ht="26.25" x14ac:dyDescent="0.25">
      <c r="A3775" s="2" t="s">
        <v>916</v>
      </c>
      <c r="B3775" s="2" t="str">
        <f>"041333030142"</f>
        <v>041333030142</v>
      </c>
      <c r="C3775" s="2" t="str">
        <f>"98927314"</f>
        <v>98927314</v>
      </c>
      <c r="D3775" s="2" t="s">
        <v>3134</v>
      </c>
      <c r="E3775" s="4">
        <v>3500</v>
      </c>
    </row>
    <row r="3776" spans="1:5" ht="26.25" x14ac:dyDescent="0.25">
      <c r="A3776" s="2" t="s">
        <v>916</v>
      </c>
      <c r="B3776" s="2" t="str">
        <f>"041333000992"</f>
        <v>041333000992</v>
      </c>
      <c r="C3776" s="2" t="str">
        <f>"98921400"</f>
        <v>98921400</v>
      </c>
      <c r="D3776" s="2" t="s">
        <v>3135</v>
      </c>
      <c r="E3776" s="4">
        <v>4500</v>
      </c>
    </row>
    <row r="3777" spans="1:5" ht="26.25" x14ac:dyDescent="0.25">
      <c r="A3777" s="2" t="s">
        <v>916</v>
      </c>
      <c r="B3777" s="2" t="str">
        <f>"041333000985"</f>
        <v>041333000985</v>
      </c>
      <c r="C3777" s="2" t="str">
        <f>"98920985"</f>
        <v>98920985</v>
      </c>
      <c r="D3777" s="2" t="s">
        <v>3136</v>
      </c>
      <c r="E3777" s="4">
        <v>6000</v>
      </c>
    </row>
    <row r="3778" spans="1:5" ht="26.25" x14ac:dyDescent="0.25">
      <c r="A3778" s="2" t="s">
        <v>916</v>
      </c>
      <c r="B3778" s="2" t="str">
        <f>"4043752174793"</f>
        <v>4043752174793</v>
      </c>
      <c r="C3778" s="2" t="str">
        <f>"98920010"</f>
        <v>98920010</v>
      </c>
      <c r="D3778" s="2" t="s">
        <v>3137</v>
      </c>
      <c r="E3778" s="4">
        <v>4490</v>
      </c>
    </row>
    <row r="3779" spans="1:5" ht="26.25" x14ac:dyDescent="0.25">
      <c r="A3779" s="2" t="s">
        <v>916</v>
      </c>
      <c r="B3779" s="2" t="str">
        <f>"4043752174595"</f>
        <v>4043752174595</v>
      </c>
      <c r="C3779" s="2" t="str">
        <f>"98051010"</f>
        <v>98051010</v>
      </c>
      <c r="D3779" s="2" t="s">
        <v>3137</v>
      </c>
      <c r="E3779" s="4">
        <v>3500</v>
      </c>
    </row>
    <row r="3780" spans="1:5" ht="26.25" x14ac:dyDescent="0.25">
      <c r="A3780" s="2" t="s">
        <v>916</v>
      </c>
      <c r="B3780" s="2" t="str">
        <f>"041333030180"</f>
        <v>041333030180</v>
      </c>
      <c r="C3780" s="2" t="str">
        <f>"98551010"</f>
        <v>98551010</v>
      </c>
      <c r="D3780" s="2" t="s">
        <v>3137</v>
      </c>
      <c r="E3780" s="4">
        <v>5000</v>
      </c>
    </row>
    <row r="3781" spans="1:5" ht="26.25" x14ac:dyDescent="0.25">
      <c r="A3781" s="2" t="s">
        <v>916</v>
      </c>
      <c r="B3781" s="2" t="str">
        <f>"4043752174694"</f>
        <v>4043752174694</v>
      </c>
      <c r="C3781" s="2" t="str">
        <f>"98050013"</f>
        <v>98050013</v>
      </c>
      <c r="D3781" s="2" t="s">
        <v>3138</v>
      </c>
      <c r="E3781" s="2">
        <v>800</v>
      </c>
    </row>
    <row r="3782" spans="1:5" ht="26.25" x14ac:dyDescent="0.25">
      <c r="A3782" s="2" t="s">
        <v>916</v>
      </c>
      <c r="B3782" s="2" t="str">
        <f>"041333030197"</f>
        <v>041333030197</v>
      </c>
      <c r="C3782" s="2" t="str">
        <f>"98921300"</f>
        <v>98921300</v>
      </c>
      <c r="D3782" s="2" t="s">
        <v>3138</v>
      </c>
      <c r="E3782" s="4">
        <v>5000</v>
      </c>
    </row>
    <row r="3783" spans="1:5" ht="26.25" x14ac:dyDescent="0.25">
      <c r="A3783" s="2" t="s">
        <v>916</v>
      </c>
      <c r="B3783" s="2" t="str">
        <f>"4043752174496"</f>
        <v>4043752174496</v>
      </c>
      <c r="C3783" s="2" t="str">
        <f>"98920130"</f>
        <v>98920130</v>
      </c>
      <c r="D3783" s="2" t="s">
        <v>3138</v>
      </c>
      <c r="E3783" s="2">
        <v>800</v>
      </c>
    </row>
    <row r="3784" spans="1:5" ht="26.25" x14ac:dyDescent="0.25">
      <c r="A3784" s="2" t="s">
        <v>916</v>
      </c>
      <c r="B3784" s="2" t="str">
        <f>"041333030203"</f>
        <v>041333030203</v>
      </c>
      <c r="C3784" s="2" t="str">
        <f>"98920312"</f>
        <v>98920312</v>
      </c>
      <c r="D3784" s="2" t="s">
        <v>3139</v>
      </c>
      <c r="E3784" s="4">
        <v>5000</v>
      </c>
    </row>
    <row r="3785" spans="1:5" ht="26.25" x14ac:dyDescent="0.25">
      <c r="A3785" s="2" t="s">
        <v>916</v>
      </c>
      <c r="B3785" s="2" t="str">
        <f>"041333030210"</f>
        <v>041333030210</v>
      </c>
      <c r="C3785" s="2" t="str">
        <f>"98920675"</f>
        <v>98920675</v>
      </c>
      <c r="D3785" s="2" t="s">
        <v>3140</v>
      </c>
      <c r="E3785" s="4">
        <v>5000</v>
      </c>
    </row>
    <row r="3786" spans="1:5" ht="26.25" x14ac:dyDescent="0.25">
      <c r="A3786" s="2" t="s">
        <v>916</v>
      </c>
      <c r="B3786" s="2" t="str">
        <f>"8888021206074"</f>
        <v>8888021206074</v>
      </c>
      <c r="C3786" s="2" t="str">
        <f>"42ENE0AA12"</f>
        <v>42ENE0AA12</v>
      </c>
      <c r="D3786" s="2" t="s">
        <v>3141</v>
      </c>
      <c r="E3786" s="2">
        <v>600</v>
      </c>
    </row>
    <row r="3787" spans="1:5" ht="26.25" x14ac:dyDescent="0.25">
      <c r="A3787" s="2" t="s">
        <v>916</v>
      </c>
      <c r="B3787" s="2" t="str">
        <f>"8888021206081"</f>
        <v>8888021206081</v>
      </c>
      <c r="C3787" s="2" t="str">
        <f>"42ENEAAA12"</f>
        <v>42ENEAAA12</v>
      </c>
      <c r="D3787" s="2" t="s">
        <v>3142</v>
      </c>
      <c r="E3787" s="2">
        <v>600</v>
      </c>
    </row>
    <row r="3788" spans="1:5" ht="26.25" x14ac:dyDescent="0.25">
      <c r="A3788" s="2" t="s">
        <v>916</v>
      </c>
      <c r="B3788" s="2" t="str">
        <f>"4891199034688"</f>
        <v>4891199034688</v>
      </c>
      <c r="C3788" s="2" t="str">
        <f>"98920009"</f>
        <v>98920009</v>
      </c>
      <c r="D3788" s="2" t="s">
        <v>3143</v>
      </c>
      <c r="E3788" s="4">
        <v>3000</v>
      </c>
    </row>
    <row r="3789" spans="1:5" ht="26.25" x14ac:dyDescent="0.25">
      <c r="A3789" s="2" t="s">
        <v>916</v>
      </c>
      <c r="B3789" s="2" t="str">
        <f>"4902580131326"</f>
        <v>4902580131326</v>
      </c>
      <c r="C3789" s="2" t="str">
        <f>"98051216"</f>
        <v>98051216</v>
      </c>
      <c r="D3789" s="2" t="s">
        <v>3144</v>
      </c>
      <c r="E3789" s="4">
        <v>1500</v>
      </c>
    </row>
    <row r="3790" spans="1:5" ht="26.25" x14ac:dyDescent="0.25">
      <c r="A3790" s="2" t="s">
        <v>916</v>
      </c>
      <c r="B3790" s="2" t="str">
        <f>"4902580131289"</f>
        <v>4902580131289</v>
      </c>
      <c r="C3790" s="2" t="str">
        <f>"98051220"</f>
        <v>98051220</v>
      </c>
      <c r="D3790" s="2" t="s">
        <v>3145</v>
      </c>
      <c r="E3790" s="4">
        <v>2000</v>
      </c>
    </row>
    <row r="3791" spans="1:5" ht="26.25" x14ac:dyDescent="0.25">
      <c r="A3791" s="2" t="s">
        <v>916</v>
      </c>
      <c r="B3791" s="2" t="str">
        <f>"4902580131302"</f>
        <v>4902580131302</v>
      </c>
      <c r="C3791" s="2" t="str">
        <f>"98051616"</f>
        <v>98051616</v>
      </c>
      <c r="D3791" s="2" t="s">
        <v>3146</v>
      </c>
      <c r="E3791" s="4">
        <v>2500</v>
      </c>
    </row>
    <row r="3792" spans="1:5" ht="26.25" x14ac:dyDescent="0.25">
      <c r="A3792" s="2" t="s">
        <v>916</v>
      </c>
      <c r="B3792" s="2" t="str">
        <f>"4902580131333"</f>
        <v>4902580131333</v>
      </c>
      <c r="C3792" s="2" t="str">
        <f>"98051620"</f>
        <v>98051620</v>
      </c>
      <c r="D3792" s="2" t="s">
        <v>3147</v>
      </c>
      <c r="E3792" s="4">
        <v>2000</v>
      </c>
    </row>
    <row r="3793" spans="1:5" ht="26.25" x14ac:dyDescent="0.25">
      <c r="A3793" s="2" t="s">
        <v>916</v>
      </c>
      <c r="B3793" s="2" t="str">
        <f>"98921632"</f>
        <v>98921632</v>
      </c>
      <c r="C3793" s="2" t="str">
        <f>"98921632"</f>
        <v>98921632</v>
      </c>
      <c r="D3793" s="2" t="s">
        <v>3148</v>
      </c>
      <c r="E3793" s="4">
        <v>2000</v>
      </c>
    </row>
    <row r="3794" spans="1:5" ht="26.25" x14ac:dyDescent="0.25">
      <c r="A3794" s="2" t="s">
        <v>916</v>
      </c>
      <c r="B3794" s="2" t="str">
        <f>"4902580131272"</f>
        <v>4902580131272</v>
      </c>
      <c r="C3794" s="2" t="str">
        <f>"98052016"</f>
        <v>98052016</v>
      </c>
      <c r="D3794" s="2" t="s">
        <v>3149</v>
      </c>
      <c r="E3794" s="4">
        <v>2500</v>
      </c>
    </row>
    <row r="3795" spans="1:5" ht="26.25" x14ac:dyDescent="0.25">
      <c r="A3795" s="2" t="s">
        <v>916</v>
      </c>
      <c r="B3795" s="2" t="str">
        <f>"10003599"</f>
        <v>10003599</v>
      </c>
      <c r="C3795" s="2" t="str">
        <f>"10003599"</f>
        <v>10003599</v>
      </c>
      <c r="D3795" s="2" t="s">
        <v>3149</v>
      </c>
      <c r="E3795" s="4">
        <v>1500</v>
      </c>
    </row>
    <row r="3796" spans="1:5" ht="26.25" x14ac:dyDescent="0.25">
      <c r="A3796" s="2" t="s">
        <v>916</v>
      </c>
      <c r="B3796" s="2" t="str">
        <f>"4891199001123"</f>
        <v>4891199001123</v>
      </c>
      <c r="C3796" s="2" t="str">
        <f>"98922016"</f>
        <v>98922016</v>
      </c>
      <c r="D3796" s="2" t="s">
        <v>3150</v>
      </c>
      <c r="E3796" s="4">
        <v>2000</v>
      </c>
    </row>
    <row r="3797" spans="1:5" ht="26.25" x14ac:dyDescent="0.25">
      <c r="A3797" s="2" t="s">
        <v>916</v>
      </c>
      <c r="B3797" s="2" t="str">
        <f>"4902580131265"</f>
        <v>4902580131265</v>
      </c>
      <c r="C3797" s="2" t="str">
        <f>"98052025"</f>
        <v>98052025</v>
      </c>
      <c r="D3797" s="2" t="s">
        <v>3151</v>
      </c>
      <c r="E3797" s="4">
        <v>2000</v>
      </c>
    </row>
    <row r="3798" spans="1:5" ht="26.25" x14ac:dyDescent="0.25">
      <c r="A3798" s="2" t="s">
        <v>916</v>
      </c>
      <c r="B3798" s="2" t="str">
        <f>"4902580131258"</f>
        <v>4902580131258</v>
      </c>
      <c r="C3798" s="2" t="str">
        <f>"98052032"</f>
        <v>98052032</v>
      </c>
      <c r="D3798" s="2" t="s">
        <v>3152</v>
      </c>
      <c r="E3798" s="4">
        <v>2500</v>
      </c>
    </row>
    <row r="3799" spans="1:5" ht="26.25" x14ac:dyDescent="0.25">
      <c r="A3799" s="2" t="s">
        <v>916</v>
      </c>
      <c r="B3799" s="2" t="str">
        <f>"041333038865"</f>
        <v>041333038865</v>
      </c>
      <c r="C3799" s="2" t="str">
        <f>"989123105"</f>
        <v>989123105</v>
      </c>
      <c r="D3799" s="2" t="s">
        <v>3153</v>
      </c>
      <c r="E3799" s="4">
        <v>3000</v>
      </c>
    </row>
    <row r="3800" spans="1:5" ht="26.25" x14ac:dyDescent="0.25">
      <c r="A3800" s="2" t="s">
        <v>916</v>
      </c>
      <c r="B3800" s="2" t="str">
        <f>"887930506198"</f>
        <v>887930506198</v>
      </c>
      <c r="C3800" s="2" t="str">
        <f>"10000208"</f>
        <v>10000208</v>
      </c>
      <c r="D3800" s="2" t="s">
        <v>3154</v>
      </c>
      <c r="E3800" s="4">
        <v>1500</v>
      </c>
    </row>
    <row r="3801" spans="1:5" ht="26.25" x14ac:dyDescent="0.25">
      <c r="A3801" s="2" t="s">
        <v>916</v>
      </c>
      <c r="B3801" s="2" t="str">
        <f>"4902580132484"</f>
        <v>4902580132484</v>
      </c>
      <c r="C3801" s="2" t="str">
        <f>"98052430"</f>
        <v>98052430</v>
      </c>
      <c r="D3801" s="2" t="s">
        <v>3155</v>
      </c>
      <c r="E3801" s="4">
        <v>2500</v>
      </c>
    </row>
    <row r="3802" spans="1:5" ht="26.25" x14ac:dyDescent="0.25">
      <c r="A3802" s="2" t="s">
        <v>916</v>
      </c>
      <c r="B3802" s="2" t="str">
        <f>"4902580132378"</f>
        <v>4902580132378</v>
      </c>
      <c r="C3802" s="2" t="str">
        <f>"98922450"</f>
        <v>98922450</v>
      </c>
      <c r="D3802" s="2" t="s">
        <v>3156</v>
      </c>
      <c r="E3802" s="4">
        <v>3000</v>
      </c>
    </row>
    <row r="3803" spans="1:5" ht="26.25" x14ac:dyDescent="0.25">
      <c r="A3803" s="2" t="s">
        <v>916</v>
      </c>
      <c r="B3803" s="2" t="str">
        <f>"6922910320341"</f>
        <v>6922910320341</v>
      </c>
      <c r="C3803" s="2" t="str">
        <f>"98051130"</f>
        <v>98051130</v>
      </c>
      <c r="D3803" s="2" t="s">
        <v>3157</v>
      </c>
      <c r="E3803" s="4">
        <v>1500</v>
      </c>
    </row>
    <row r="3804" spans="1:5" ht="26.25" x14ac:dyDescent="0.25">
      <c r="A3804" s="2" t="s">
        <v>916</v>
      </c>
      <c r="B3804" s="2" t="str">
        <f>"4891199015519"</f>
        <v>4891199015519</v>
      </c>
      <c r="C3804" s="2" t="str">
        <f>"98921130"</f>
        <v>98921130</v>
      </c>
      <c r="D3804" s="2" t="s">
        <v>3158</v>
      </c>
      <c r="E3804" s="2">
        <v>500</v>
      </c>
    </row>
    <row r="3805" spans="1:5" ht="26.25" x14ac:dyDescent="0.25">
      <c r="A3805" s="2" t="s">
        <v>916</v>
      </c>
      <c r="B3805" s="2" t="str">
        <f>"42300500"</f>
        <v>42300500</v>
      </c>
      <c r="C3805" s="2" t="str">
        <f>"42300500"</f>
        <v>42300500</v>
      </c>
      <c r="D3805" s="2" t="s">
        <v>3159</v>
      </c>
      <c r="E3805" s="4">
        <v>10500</v>
      </c>
    </row>
    <row r="3806" spans="1:5" ht="26.25" x14ac:dyDescent="0.25">
      <c r="A3806" s="2" t="s">
        <v>916</v>
      </c>
      <c r="B3806" s="2" t="str">
        <f>"4902580131449"</f>
        <v>4902580131449</v>
      </c>
      <c r="C3806" s="2" t="str">
        <f>"98550041"</f>
        <v>98550041</v>
      </c>
      <c r="D3806" s="2" t="s">
        <v>3160</v>
      </c>
      <c r="E3806" s="4">
        <v>1500</v>
      </c>
    </row>
    <row r="3807" spans="1:5" ht="26.25" x14ac:dyDescent="0.25">
      <c r="A3807" s="2" t="s">
        <v>916</v>
      </c>
      <c r="B3807" s="2" t="str">
        <f>"4891199015496"</f>
        <v>4891199015496</v>
      </c>
      <c r="C3807" s="2" t="str">
        <f>"98920044"</f>
        <v>98920044</v>
      </c>
      <c r="D3807" s="2" t="s">
        <v>3161</v>
      </c>
      <c r="E3807" s="2">
        <v>500</v>
      </c>
    </row>
    <row r="3808" spans="1:5" ht="26.25" x14ac:dyDescent="0.25">
      <c r="A3808" s="2" t="s">
        <v>916</v>
      </c>
      <c r="B3808" s="2" t="str">
        <f>"4902580131401"</f>
        <v>4902580131401</v>
      </c>
      <c r="C3808" s="2" t="str">
        <f>"98050044"</f>
        <v>98050044</v>
      </c>
      <c r="D3808" s="2" t="s">
        <v>3162</v>
      </c>
      <c r="E3808" s="4">
        <v>1500</v>
      </c>
    </row>
    <row r="3809" spans="1:5" ht="26.25" x14ac:dyDescent="0.25">
      <c r="A3809" s="2" t="s">
        <v>916</v>
      </c>
      <c r="B3809" s="2" t="str">
        <f>"025215761058"</f>
        <v>025215761058</v>
      </c>
      <c r="C3809" s="2" t="str">
        <f>"60921130"</f>
        <v>60921130</v>
      </c>
      <c r="D3809" s="2" t="s">
        <v>3163</v>
      </c>
      <c r="E3809" s="4">
        <v>2000</v>
      </c>
    </row>
    <row r="3810" spans="1:5" ht="26.25" x14ac:dyDescent="0.25">
      <c r="A3810" s="2" t="s">
        <v>916</v>
      </c>
      <c r="B3810" s="2" t="str">
        <f>"025215761041"</f>
        <v>025215761041</v>
      </c>
      <c r="C3810" s="2" t="str">
        <f>"60920044"</f>
        <v>60920044</v>
      </c>
      <c r="D3810" s="2" t="s">
        <v>3163</v>
      </c>
      <c r="E3810" s="4">
        <v>1200</v>
      </c>
    </row>
    <row r="3811" spans="1:5" ht="26.25" x14ac:dyDescent="0.25">
      <c r="A3811" s="2" t="s">
        <v>916</v>
      </c>
      <c r="B3811" s="2" t="str">
        <f>"4891199015533"</f>
        <v>4891199015533</v>
      </c>
      <c r="C3811" s="2" t="str">
        <f>"98920041"</f>
        <v>98920041</v>
      </c>
      <c r="D3811" s="2" t="s">
        <v>3164</v>
      </c>
      <c r="E3811" s="2">
        <v>500</v>
      </c>
    </row>
    <row r="3812" spans="1:5" ht="26.25" x14ac:dyDescent="0.25">
      <c r="A3812" s="2" t="s">
        <v>916</v>
      </c>
      <c r="B3812" s="2" t="str">
        <f>"8888021300376"</f>
        <v>8888021300376</v>
      </c>
      <c r="C3812" s="2" t="str">
        <f>"98050023"</f>
        <v>98050023</v>
      </c>
      <c r="D3812" s="2" t="s">
        <v>3165</v>
      </c>
      <c r="E3812" s="4">
        <v>1500</v>
      </c>
    </row>
    <row r="3813" spans="1:5" ht="26.25" x14ac:dyDescent="0.25">
      <c r="A3813" s="2" t="s">
        <v>916</v>
      </c>
      <c r="B3813" s="2" t="str">
        <f>"10000688"</f>
        <v>10000688</v>
      </c>
      <c r="C3813" s="2" t="str">
        <f>"10000688"</f>
        <v>10000688</v>
      </c>
      <c r="D3813" s="2" t="s">
        <v>3166</v>
      </c>
      <c r="E3813" s="4">
        <v>1500</v>
      </c>
    </row>
    <row r="3814" spans="1:5" ht="26.25" x14ac:dyDescent="0.25">
      <c r="A3814" s="2" t="s">
        <v>916</v>
      </c>
      <c r="B3814" s="2" t="str">
        <f>"10002534"</f>
        <v>10002534</v>
      </c>
      <c r="C3814" s="2" t="str">
        <f>"10002534"</f>
        <v>10002534</v>
      </c>
      <c r="D3814" s="2" t="s">
        <v>3167</v>
      </c>
      <c r="E3814" s="4">
        <v>1000</v>
      </c>
    </row>
    <row r="3815" spans="1:5" ht="26.25" x14ac:dyDescent="0.25">
      <c r="A3815" s="2" t="s">
        <v>916</v>
      </c>
      <c r="B3815" s="2" t="str">
        <f>"4891199005152"</f>
        <v>4891199005152</v>
      </c>
      <c r="C3815" s="2" t="str">
        <f>"98921313"</f>
        <v>98921313</v>
      </c>
      <c r="D3815" s="2" t="s">
        <v>3168</v>
      </c>
      <c r="E3815" s="4">
        <v>4990</v>
      </c>
    </row>
    <row r="3816" spans="1:5" ht="26.25" x14ac:dyDescent="0.25">
      <c r="A3816" s="2" t="s">
        <v>916</v>
      </c>
      <c r="B3816" s="2" t="str">
        <f>"5000252050292"</f>
        <v>5000252050292</v>
      </c>
      <c r="C3816" s="2" t="str">
        <f>"98923120"</f>
        <v>98923120</v>
      </c>
      <c r="D3816" s="2" t="s">
        <v>3169</v>
      </c>
      <c r="E3816" s="4">
        <v>2500</v>
      </c>
    </row>
    <row r="3817" spans="1:5" ht="26.25" x14ac:dyDescent="0.25">
      <c r="A3817" s="2" t="s">
        <v>916</v>
      </c>
      <c r="B3817" s="2" t="str">
        <f>"5000252050285"</f>
        <v>5000252050285</v>
      </c>
      <c r="C3817" s="2" t="str">
        <f>"98920013"</f>
        <v>98920013</v>
      </c>
      <c r="D3817" s="2" t="s">
        <v>3170</v>
      </c>
      <c r="E3817" s="4">
        <v>2500</v>
      </c>
    </row>
    <row r="3818" spans="1:5" ht="26.25" x14ac:dyDescent="0.25">
      <c r="A3818" s="2" t="s">
        <v>916</v>
      </c>
      <c r="B3818" s="2" t="str">
        <f>"4897016957611"</f>
        <v>4897016957611</v>
      </c>
      <c r="C3818" s="2" t="str">
        <f>"10000364"</f>
        <v>10000364</v>
      </c>
      <c r="D3818" s="2" t="s">
        <v>3171</v>
      </c>
      <c r="E3818" s="4">
        <v>4990</v>
      </c>
    </row>
    <row r="3819" spans="1:5" ht="26.25" x14ac:dyDescent="0.25">
      <c r="A3819" s="2" t="s">
        <v>916</v>
      </c>
      <c r="B3819" s="2" t="str">
        <f>"7809601104956"</f>
        <v>7809601104956</v>
      </c>
      <c r="C3819" s="2" t="str">
        <f>"98924956"</f>
        <v>98924956</v>
      </c>
      <c r="D3819" s="2" t="s">
        <v>3172</v>
      </c>
      <c r="E3819" s="4">
        <v>2500</v>
      </c>
    </row>
    <row r="3820" spans="1:5" ht="26.25" x14ac:dyDescent="0.25">
      <c r="A3820" s="2" t="s">
        <v>916</v>
      </c>
      <c r="B3820" s="2" t="str">
        <f>"7808748510293"</f>
        <v>7808748510293</v>
      </c>
      <c r="C3820" s="2" t="str">
        <f>"98926005"</f>
        <v>98926005</v>
      </c>
      <c r="D3820" s="2" t="s">
        <v>3173</v>
      </c>
      <c r="E3820" s="4">
        <v>1800</v>
      </c>
    </row>
    <row r="3821" spans="1:5" ht="26.25" x14ac:dyDescent="0.25">
      <c r="A3821" s="2" t="s">
        <v>916</v>
      </c>
      <c r="B3821" s="2" t="str">
        <f>"6927900079117"</f>
        <v>6927900079117</v>
      </c>
      <c r="C3821" s="2" t="str">
        <f>"98927911"</f>
        <v>98927911</v>
      </c>
      <c r="D3821" s="2" t="s">
        <v>3174</v>
      </c>
      <c r="E3821" s="4">
        <v>2290</v>
      </c>
    </row>
    <row r="3822" spans="1:5" ht="26.25" x14ac:dyDescent="0.25">
      <c r="A3822" s="2" t="s">
        <v>916</v>
      </c>
      <c r="B3822" s="2" t="str">
        <f>"7808748510262"</f>
        <v>7808748510262</v>
      </c>
      <c r="C3822" s="2" t="str">
        <f>"98923005"</f>
        <v>98923005</v>
      </c>
      <c r="D3822" s="2" t="s">
        <v>3175</v>
      </c>
      <c r="E3822" s="4">
        <v>1000</v>
      </c>
    </row>
    <row r="3823" spans="1:5" ht="26.25" x14ac:dyDescent="0.25">
      <c r="A3823" s="2" t="s">
        <v>916</v>
      </c>
      <c r="B3823" s="2" t="str">
        <f>"6927900079124"</f>
        <v>6927900079124</v>
      </c>
      <c r="C3823" s="2" t="str">
        <f>"98927912"</f>
        <v>98927912</v>
      </c>
      <c r="D3823" s="2" t="s">
        <v>3176</v>
      </c>
      <c r="E3823" s="4">
        <v>1000</v>
      </c>
    </row>
    <row r="3824" spans="1:5" ht="26.25" x14ac:dyDescent="0.25">
      <c r="A3824" s="2" t="s">
        <v>916</v>
      </c>
      <c r="B3824" s="2" t="str">
        <f>"4902580133412"</f>
        <v>4902580133412</v>
      </c>
      <c r="C3824" s="2" t="str">
        <f>"98050621"</f>
        <v>98050621</v>
      </c>
      <c r="D3824" s="2" t="s">
        <v>3177</v>
      </c>
      <c r="E3824" s="4">
        <v>1500</v>
      </c>
    </row>
    <row r="3825" spans="1:5" ht="26.25" x14ac:dyDescent="0.25">
      <c r="A3825" s="2" t="s">
        <v>916</v>
      </c>
      <c r="B3825" s="2" t="str">
        <f>"4902580131159"</f>
        <v>4902580131159</v>
      </c>
      <c r="C3825" s="2" t="str">
        <f>"98920626"</f>
        <v>98920626</v>
      </c>
      <c r="D3825" s="2" t="s">
        <v>3178</v>
      </c>
      <c r="E3825" s="4">
        <v>2000</v>
      </c>
    </row>
    <row r="3826" spans="1:5" ht="26.25" x14ac:dyDescent="0.25">
      <c r="A3826" s="2" t="s">
        <v>916</v>
      </c>
      <c r="B3826" s="2" t="str">
        <f>"4891199133350"</f>
        <v>4891199133350</v>
      </c>
      <c r="C3826" s="2" t="str">
        <f>"98550001"</f>
        <v>98550001</v>
      </c>
      <c r="D3826" s="2" t="s">
        <v>3179</v>
      </c>
      <c r="E3826" s="2">
        <v>600</v>
      </c>
    </row>
    <row r="3827" spans="1:5" ht="26.25" x14ac:dyDescent="0.25">
      <c r="A3827" s="2" t="s">
        <v>916</v>
      </c>
      <c r="B3827" s="2" t="str">
        <f>"11520001"</f>
        <v>11520001</v>
      </c>
      <c r="C3827" s="2" t="str">
        <f>"11520001"</f>
        <v>11520001</v>
      </c>
      <c r="D3827" s="2" t="s">
        <v>3180</v>
      </c>
      <c r="E3827" s="2">
        <v>250</v>
      </c>
    </row>
    <row r="3828" spans="1:5" ht="26.25" x14ac:dyDescent="0.25">
      <c r="A3828" s="2" t="s">
        <v>916</v>
      </c>
      <c r="B3828" s="2" t="str">
        <f>"4891199133343"</f>
        <v>4891199133343</v>
      </c>
      <c r="C3828" s="2" t="str">
        <f>"98550002"</f>
        <v>98550002</v>
      </c>
      <c r="D3828" s="2" t="s">
        <v>3181</v>
      </c>
      <c r="E3828" s="2">
        <v>600</v>
      </c>
    </row>
    <row r="3829" spans="1:5" ht="26.25" x14ac:dyDescent="0.25">
      <c r="A3829" s="2" t="s">
        <v>21</v>
      </c>
      <c r="B3829" s="2" t="str">
        <f>"11520000"</f>
        <v>11520000</v>
      </c>
      <c r="C3829" s="2" t="str">
        <f>"11520000"</f>
        <v>11520000</v>
      </c>
      <c r="D3829" s="2" t="s">
        <v>3182</v>
      </c>
      <c r="E3829" s="2">
        <v>300</v>
      </c>
    </row>
    <row r="3830" spans="1:5" ht="26.25" x14ac:dyDescent="0.25">
      <c r="A3830" s="2" t="s">
        <v>21</v>
      </c>
      <c r="B3830" s="2" t="str">
        <f>"91311369"</f>
        <v>91311369</v>
      </c>
      <c r="C3830" s="2" t="str">
        <f>"91311369"</f>
        <v>91311369</v>
      </c>
      <c r="D3830" s="2" t="s">
        <v>3183</v>
      </c>
      <c r="E3830" s="2">
        <v>460</v>
      </c>
    </row>
    <row r="3831" spans="1:5" ht="26.25" x14ac:dyDescent="0.25">
      <c r="A3831" s="2" t="s">
        <v>21</v>
      </c>
      <c r="B3831" s="2" t="str">
        <f>"766623211062"</f>
        <v>766623211062</v>
      </c>
      <c r="C3831" s="2" t="str">
        <f>"56521062"</f>
        <v>56521062</v>
      </c>
      <c r="D3831" s="2" t="s">
        <v>3184</v>
      </c>
      <c r="E3831" s="4">
        <v>5990</v>
      </c>
    </row>
    <row r="3832" spans="1:5" ht="26.25" x14ac:dyDescent="0.25">
      <c r="A3832" s="2" t="s">
        <v>21</v>
      </c>
      <c r="B3832" s="2" t="str">
        <f>"766623211048"</f>
        <v>766623211048</v>
      </c>
      <c r="C3832" s="2" t="str">
        <f>"56521048"</f>
        <v>56521048</v>
      </c>
      <c r="D3832" s="2" t="s">
        <v>3185</v>
      </c>
      <c r="E3832" s="4">
        <v>12990</v>
      </c>
    </row>
    <row r="3833" spans="1:5" ht="26.25" x14ac:dyDescent="0.25">
      <c r="A3833" s="2" t="s">
        <v>21</v>
      </c>
      <c r="B3833" s="2" t="str">
        <f>"66524106"</f>
        <v>66524106</v>
      </c>
      <c r="C3833" s="2" t="str">
        <f>"66524106"</f>
        <v>66524106</v>
      </c>
      <c r="D3833" s="2" t="s">
        <v>3186</v>
      </c>
      <c r="E3833" s="4">
        <v>3500</v>
      </c>
    </row>
    <row r="3834" spans="1:5" ht="26.25" x14ac:dyDescent="0.25">
      <c r="A3834" s="2" t="s">
        <v>201</v>
      </c>
      <c r="B3834" s="2" t="str">
        <f>"34521111"</f>
        <v>34521111</v>
      </c>
      <c r="C3834" s="2" t="str">
        <f>"34521111"</f>
        <v>34521111</v>
      </c>
      <c r="D3834" s="2" t="s">
        <v>3187</v>
      </c>
      <c r="E3834" s="4">
        <v>2000</v>
      </c>
    </row>
    <row r="3835" spans="1:5" ht="26.25" x14ac:dyDescent="0.25">
      <c r="A3835" s="2" t="s">
        <v>201</v>
      </c>
      <c r="B3835" s="2" t="str">
        <f>"10011581"</f>
        <v>10011581</v>
      </c>
      <c r="C3835" s="2" t="str">
        <f>"10011581"</f>
        <v>10011581</v>
      </c>
      <c r="D3835" s="2" t="s">
        <v>3188</v>
      </c>
      <c r="E3835" s="4">
        <v>2500</v>
      </c>
    </row>
    <row r="3836" spans="1:5" ht="26.25" x14ac:dyDescent="0.25">
      <c r="A3836" s="2" t="s">
        <v>21</v>
      </c>
      <c r="B3836" s="2" t="str">
        <f>"859184004867"</f>
        <v>859184004867</v>
      </c>
      <c r="C3836" s="2" t="str">
        <f>"10000693"</f>
        <v>10000693</v>
      </c>
      <c r="D3836" s="2" t="s">
        <v>3189</v>
      </c>
      <c r="E3836" s="4">
        <v>1500</v>
      </c>
    </row>
    <row r="3837" spans="1:5" ht="26.25" x14ac:dyDescent="0.25">
      <c r="A3837" s="2" t="s">
        <v>201</v>
      </c>
      <c r="B3837" s="2" t="str">
        <f>"10006279"</f>
        <v>10006279</v>
      </c>
      <c r="C3837" s="2" t="str">
        <f>"10006279"</f>
        <v>10006279</v>
      </c>
      <c r="D3837" s="2" t="s">
        <v>3190</v>
      </c>
      <c r="E3837" s="4">
        <v>2000</v>
      </c>
    </row>
    <row r="3838" spans="1:5" ht="26.25" x14ac:dyDescent="0.25">
      <c r="A3838" s="2" t="s">
        <v>21</v>
      </c>
      <c r="B3838" s="2" t="str">
        <f>"7858816049705"</f>
        <v>7858816049705</v>
      </c>
      <c r="C3838" s="2" t="str">
        <f>"87524970"</f>
        <v>87524970</v>
      </c>
      <c r="D3838" s="2" t="s">
        <v>3191</v>
      </c>
      <c r="E3838" s="4">
        <v>1500</v>
      </c>
    </row>
    <row r="3839" spans="1:5" ht="26.25" x14ac:dyDescent="0.25">
      <c r="A3839" s="2" t="s">
        <v>201</v>
      </c>
      <c r="B3839" s="2" t="str">
        <f>"10011900"</f>
        <v>10011900</v>
      </c>
      <c r="C3839" s="2" t="str">
        <f>"10011900"</f>
        <v>10011900</v>
      </c>
      <c r="D3839" s="2" t="s">
        <v>3192</v>
      </c>
      <c r="E3839" s="4">
        <v>2500</v>
      </c>
    </row>
    <row r="3840" spans="1:5" ht="26.25" x14ac:dyDescent="0.25">
      <c r="A3840" s="2" t="s">
        <v>21</v>
      </c>
      <c r="B3840" s="2" t="str">
        <f>"17524010"</f>
        <v>17524010</v>
      </c>
      <c r="C3840" s="2" t="str">
        <f>"17524010"</f>
        <v>17524010</v>
      </c>
      <c r="D3840" s="2" t="s">
        <v>3193</v>
      </c>
      <c r="E3840" s="4">
        <v>3500</v>
      </c>
    </row>
    <row r="3841" spans="1:5" ht="26.25" x14ac:dyDescent="0.25">
      <c r="A3841" s="2" t="s">
        <v>21</v>
      </c>
      <c r="B3841" s="2" t="str">
        <f>"17520001"</f>
        <v>17520001</v>
      </c>
      <c r="C3841" s="2" t="str">
        <f>"17520001"</f>
        <v>17520001</v>
      </c>
      <c r="D3841" s="2" t="s">
        <v>3193</v>
      </c>
      <c r="E3841" s="4">
        <v>1500</v>
      </c>
    </row>
    <row r="3842" spans="1:5" ht="26.25" x14ac:dyDescent="0.25">
      <c r="A3842" s="2" t="s">
        <v>21</v>
      </c>
      <c r="B3842" s="2" t="str">
        <f>"859184004010"</f>
        <v>859184004010</v>
      </c>
      <c r="C3842" s="2" t="str">
        <f>"66524010"</f>
        <v>66524010</v>
      </c>
      <c r="D3842" s="2" t="s">
        <v>3193</v>
      </c>
      <c r="E3842" s="4">
        <v>2000</v>
      </c>
    </row>
    <row r="3843" spans="1:5" ht="26.25" x14ac:dyDescent="0.25">
      <c r="A3843" s="2" t="s">
        <v>201</v>
      </c>
      <c r="B3843" s="2" t="str">
        <f>"10005014"</f>
        <v>10005014</v>
      </c>
      <c r="C3843" s="2" t="str">
        <f>"10005014"</f>
        <v>10005014</v>
      </c>
      <c r="D3843" s="2" t="s">
        <v>3194</v>
      </c>
      <c r="E3843" s="4">
        <v>1500</v>
      </c>
    </row>
    <row r="3844" spans="1:5" ht="26.25" x14ac:dyDescent="0.25">
      <c r="A3844" s="2" t="s">
        <v>201</v>
      </c>
      <c r="B3844" s="2" t="str">
        <f>"10006345"</f>
        <v>10006345</v>
      </c>
      <c r="C3844" s="2" t="str">
        <f>"10006345"</f>
        <v>10006345</v>
      </c>
      <c r="D3844" s="2" t="s">
        <v>3195</v>
      </c>
      <c r="E3844" s="4">
        <v>1500</v>
      </c>
    </row>
    <row r="3845" spans="1:5" ht="26.25" x14ac:dyDescent="0.25">
      <c r="A3845" s="2" t="s">
        <v>2388</v>
      </c>
      <c r="B3845" s="2" t="str">
        <f>"7858816038969"</f>
        <v>7858816038969</v>
      </c>
      <c r="C3845" s="2" t="str">
        <f>"87383896"</f>
        <v>87383896</v>
      </c>
      <c r="D3845" s="2" t="s">
        <v>3196</v>
      </c>
      <c r="E3845" s="4">
        <v>1500</v>
      </c>
    </row>
    <row r="3846" spans="1:5" ht="26.25" x14ac:dyDescent="0.25">
      <c r="A3846" s="2" t="s">
        <v>201</v>
      </c>
      <c r="B3846" s="2" t="str">
        <f>"2019080200109"</f>
        <v>2019080200109</v>
      </c>
      <c r="C3846" s="2" t="str">
        <f>"17525809"</f>
        <v>17525809</v>
      </c>
      <c r="D3846" s="2" t="s">
        <v>3197</v>
      </c>
      <c r="E3846" s="4">
        <v>2000</v>
      </c>
    </row>
    <row r="3847" spans="1:5" ht="26.25" x14ac:dyDescent="0.25">
      <c r="A3847" s="2" t="s">
        <v>21</v>
      </c>
      <c r="B3847" s="2" t="str">
        <f>"4710007735190"</f>
        <v>4710007735190</v>
      </c>
      <c r="C3847" s="2" t="str">
        <f>"65525190"</f>
        <v>65525190</v>
      </c>
      <c r="D3847" s="2" t="s">
        <v>3198</v>
      </c>
      <c r="E3847" s="4">
        <v>2000</v>
      </c>
    </row>
    <row r="3848" spans="1:5" ht="26.25" x14ac:dyDescent="0.25">
      <c r="A3848" s="2" t="s">
        <v>21</v>
      </c>
      <c r="B3848" s="2" t="str">
        <f>"4710007735237"</f>
        <v>4710007735237</v>
      </c>
      <c r="C3848" s="2" t="str">
        <f>"65525237"</f>
        <v>65525237</v>
      </c>
      <c r="D3848" s="2" t="s">
        <v>3199</v>
      </c>
      <c r="E3848" s="4">
        <v>2000</v>
      </c>
    </row>
    <row r="3849" spans="1:5" ht="26.25" x14ac:dyDescent="0.25">
      <c r="A3849" s="2" t="s">
        <v>2388</v>
      </c>
      <c r="B3849" s="2" t="str">
        <f>"10001680"</f>
        <v>10001680</v>
      </c>
      <c r="C3849" s="2" t="str">
        <f>"10001680"</f>
        <v>10001680</v>
      </c>
      <c r="D3849" s="2" t="s">
        <v>3200</v>
      </c>
      <c r="E3849" s="4">
        <v>5990</v>
      </c>
    </row>
    <row r="3850" spans="1:5" ht="26.25" x14ac:dyDescent="0.25">
      <c r="A3850" s="2" t="s">
        <v>2388</v>
      </c>
      <c r="B3850" s="2" t="str">
        <f>"307000447"</f>
        <v>307000447</v>
      </c>
      <c r="C3850" s="2" t="str">
        <f>"307000447"</f>
        <v>307000447</v>
      </c>
      <c r="D3850" s="2" t="s">
        <v>3201</v>
      </c>
      <c r="E3850" s="4">
        <v>10900</v>
      </c>
    </row>
    <row r="3851" spans="1:5" ht="26.25" x14ac:dyDescent="0.25">
      <c r="A3851" s="2" t="s">
        <v>2388</v>
      </c>
      <c r="B3851" s="2" t="str">
        <f>"76380001"</f>
        <v>76380001</v>
      </c>
      <c r="C3851" s="2" t="str">
        <f>"76380001"</f>
        <v>76380001</v>
      </c>
      <c r="D3851" s="2" t="s">
        <v>3202</v>
      </c>
      <c r="E3851" s="4">
        <v>4000</v>
      </c>
    </row>
    <row r="3852" spans="1:5" ht="26.25" x14ac:dyDescent="0.25">
      <c r="A3852" s="2" t="s">
        <v>2388</v>
      </c>
      <c r="B3852" s="2" t="str">
        <f>"88380001"</f>
        <v>88380001</v>
      </c>
      <c r="C3852" s="2" t="str">
        <f>"88380001"</f>
        <v>88380001</v>
      </c>
      <c r="D3852" s="2" t="s">
        <v>3202</v>
      </c>
      <c r="E3852" s="4">
        <v>4000</v>
      </c>
    </row>
    <row r="3853" spans="1:5" ht="26.25" x14ac:dyDescent="0.25">
      <c r="A3853" s="2" t="s">
        <v>2388</v>
      </c>
      <c r="B3853" s="2" t="str">
        <f>"873800814"</f>
        <v>873800814</v>
      </c>
      <c r="C3853" s="2" t="str">
        <f>"873800814"</f>
        <v>873800814</v>
      </c>
      <c r="D3853" s="2" t="s">
        <v>3202</v>
      </c>
      <c r="E3853" s="4">
        <v>5990</v>
      </c>
    </row>
    <row r="3854" spans="1:5" ht="26.25" x14ac:dyDescent="0.25">
      <c r="A3854" s="2" t="s">
        <v>2388</v>
      </c>
      <c r="B3854" s="2" t="str">
        <f>"10000515"</f>
        <v>10000515</v>
      </c>
      <c r="C3854" s="2" t="str">
        <f>"10000515"</f>
        <v>10000515</v>
      </c>
      <c r="D3854" s="2" t="s">
        <v>3203</v>
      </c>
      <c r="E3854" s="4">
        <v>14900</v>
      </c>
    </row>
    <row r="3855" spans="1:5" ht="26.25" x14ac:dyDescent="0.25">
      <c r="A3855" s="2" t="s">
        <v>2388</v>
      </c>
      <c r="B3855" s="2" t="str">
        <f>"87380017"</f>
        <v>87380017</v>
      </c>
      <c r="C3855" s="2" t="str">
        <f>"87380017"</f>
        <v>87380017</v>
      </c>
      <c r="D3855" s="2" t="s">
        <v>3204</v>
      </c>
      <c r="E3855" s="4">
        <v>3900</v>
      </c>
    </row>
    <row r="3856" spans="1:5" ht="26.25" x14ac:dyDescent="0.25">
      <c r="A3856" s="2" t="s">
        <v>2388</v>
      </c>
      <c r="B3856" s="2" t="str">
        <f>"6986698983358"</f>
        <v>6986698983358</v>
      </c>
      <c r="C3856" s="2" t="str">
        <f>"40388335"</f>
        <v>40388335</v>
      </c>
      <c r="D3856" s="2" t="s">
        <v>3205</v>
      </c>
      <c r="E3856" s="4">
        <v>3000</v>
      </c>
    </row>
    <row r="3857" spans="1:5" ht="26.25" x14ac:dyDescent="0.25">
      <c r="A3857" s="2" t="s">
        <v>2388</v>
      </c>
      <c r="B3857" s="2" t="str">
        <f>"86380006"</f>
        <v>86380006</v>
      </c>
      <c r="C3857" s="2" t="str">
        <f>"86380006"</f>
        <v>86380006</v>
      </c>
      <c r="D3857" s="2" t="s">
        <v>3206</v>
      </c>
      <c r="E3857" s="4">
        <v>1990</v>
      </c>
    </row>
    <row r="3858" spans="1:5" ht="26.25" x14ac:dyDescent="0.25">
      <c r="A3858" s="2" t="s">
        <v>2388</v>
      </c>
      <c r="B3858" s="2" t="str">
        <f>"66002145"</f>
        <v>66002145</v>
      </c>
      <c r="C3858" s="2" t="str">
        <f>"66002145"</f>
        <v>66002145</v>
      </c>
      <c r="D3858" s="2" t="s">
        <v>3207</v>
      </c>
      <c r="E3858" s="4">
        <v>4900</v>
      </c>
    </row>
    <row r="3859" spans="1:5" ht="26.25" x14ac:dyDescent="0.25">
      <c r="A3859" s="2" t="s">
        <v>2388</v>
      </c>
      <c r="B3859" s="2" t="str">
        <f>"34380097"</f>
        <v>34380097</v>
      </c>
      <c r="C3859" s="2" t="str">
        <f>"34380097"</f>
        <v>34380097</v>
      </c>
      <c r="D3859" s="2" t="s">
        <v>3208</v>
      </c>
      <c r="E3859" s="4">
        <v>6500</v>
      </c>
    </row>
    <row r="3860" spans="1:5" ht="26.25" x14ac:dyDescent="0.25">
      <c r="A3860" s="2" t="s">
        <v>2388</v>
      </c>
      <c r="B3860" s="2" t="str">
        <f>"30380451"</f>
        <v>30380451</v>
      </c>
      <c r="C3860" s="2" t="str">
        <f>"30380451"</f>
        <v>30380451</v>
      </c>
      <c r="D3860" s="2" t="s">
        <v>3209</v>
      </c>
      <c r="E3860" s="4">
        <v>5400</v>
      </c>
    </row>
    <row r="3861" spans="1:5" ht="26.25" x14ac:dyDescent="0.25">
      <c r="A3861" s="2" t="s">
        <v>2388</v>
      </c>
      <c r="B3861" s="2" t="str">
        <f>"17380000"</f>
        <v>17380000</v>
      </c>
      <c r="C3861" s="2" t="str">
        <f>"17380000"</f>
        <v>17380000</v>
      </c>
      <c r="D3861" s="2" t="s">
        <v>3210</v>
      </c>
      <c r="E3861" s="4">
        <v>4700</v>
      </c>
    </row>
    <row r="3862" spans="1:5" ht="26.25" x14ac:dyDescent="0.25">
      <c r="A3862" s="2" t="s">
        <v>2388</v>
      </c>
      <c r="B3862" s="2" t="str">
        <f>"17380001"</f>
        <v>17380001</v>
      </c>
      <c r="C3862" s="2" t="str">
        <f>"17380001"</f>
        <v>17380001</v>
      </c>
      <c r="D3862" s="2" t="s">
        <v>3211</v>
      </c>
      <c r="E3862" s="4">
        <v>5000</v>
      </c>
    </row>
    <row r="3863" spans="1:5" ht="26.25" x14ac:dyDescent="0.25">
      <c r="A3863" s="2" t="s">
        <v>2388</v>
      </c>
      <c r="B3863" s="2" t="str">
        <f>"76380700"</f>
        <v>76380700</v>
      </c>
      <c r="C3863" s="2" t="str">
        <f>"76380700"</f>
        <v>76380700</v>
      </c>
      <c r="D3863" s="2" t="s">
        <v>3212</v>
      </c>
      <c r="E3863" s="4">
        <v>3990</v>
      </c>
    </row>
    <row r="3864" spans="1:5" ht="26.25" x14ac:dyDescent="0.25">
      <c r="A3864" s="2" t="s">
        <v>2388</v>
      </c>
      <c r="B3864" s="2" t="str">
        <f>"3325201505534"</f>
        <v>3325201505534</v>
      </c>
      <c r="C3864" s="2" t="str">
        <f>"41380553"</f>
        <v>41380553</v>
      </c>
      <c r="D3864" s="2" t="s">
        <v>3213</v>
      </c>
      <c r="E3864" s="4">
        <v>5000</v>
      </c>
    </row>
    <row r="3865" spans="1:5" ht="26.25" x14ac:dyDescent="0.25">
      <c r="A3865" s="2" t="s">
        <v>2388</v>
      </c>
      <c r="B3865" s="2" t="str">
        <f>"66380213"</f>
        <v>66380213</v>
      </c>
      <c r="C3865" s="2" t="str">
        <f>"66380213"</f>
        <v>66380213</v>
      </c>
      <c r="D3865" s="2" t="s">
        <v>3214</v>
      </c>
      <c r="E3865" s="4">
        <v>3000</v>
      </c>
    </row>
    <row r="3866" spans="1:5" ht="26.25" x14ac:dyDescent="0.25">
      <c r="A3866" s="2" t="s">
        <v>2388</v>
      </c>
      <c r="B3866" s="2" t="str">
        <f>"7858816038228"</f>
        <v>7858816038228</v>
      </c>
      <c r="C3866" s="2" t="str">
        <f>"87383822"</f>
        <v>87383822</v>
      </c>
      <c r="D3866" s="2" t="s">
        <v>3215</v>
      </c>
      <c r="E3866" s="4">
        <v>5000</v>
      </c>
    </row>
    <row r="3867" spans="1:5" ht="26.25" x14ac:dyDescent="0.25">
      <c r="A3867" s="2" t="s">
        <v>2388</v>
      </c>
      <c r="B3867" s="2" t="str">
        <f>"25383001"</f>
        <v>25383001</v>
      </c>
      <c r="C3867" s="2" t="str">
        <f>"25383001"</f>
        <v>25383001</v>
      </c>
      <c r="D3867" s="2" t="s">
        <v>3216</v>
      </c>
      <c r="E3867" s="4">
        <v>3000</v>
      </c>
    </row>
    <row r="3868" spans="1:5" ht="26.25" x14ac:dyDescent="0.25">
      <c r="A3868" s="2" t="s">
        <v>2388</v>
      </c>
      <c r="B3868" s="2" t="str">
        <f>"40380001"</f>
        <v>40380001</v>
      </c>
      <c r="C3868" s="2" t="str">
        <f>"40380001"</f>
        <v>40380001</v>
      </c>
      <c r="D3868" s="2" t="s">
        <v>3217</v>
      </c>
      <c r="E3868" s="4">
        <v>5000</v>
      </c>
    </row>
    <row r="3869" spans="1:5" ht="26.25" x14ac:dyDescent="0.25">
      <c r="A3869" s="2" t="s">
        <v>2388</v>
      </c>
      <c r="B3869" s="2" t="str">
        <f>"6901634517404"</f>
        <v>6901634517404</v>
      </c>
      <c r="C3869" s="2" t="str">
        <f>"40383105"</f>
        <v>40383105</v>
      </c>
      <c r="D3869" s="2" t="s">
        <v>3218</v>
      </c>
      <c r="E3869" s="4">
        <v>6000</v>
      </c>
    </row>
    <row r="3870" spans="1:5" ht="26.25" x14ac:dyDescent="0.25">
      <c r="A3870" s="2" t="s">
        <v>2388</v>
      </c>
      <c r="B3870" s="2" t="str">
        <f>"76520010"</f>
        <v>76520010</v>
      </c>
      <c r="C3870" s="2" t="str">
        <f>"76520010"</f>
        <v>76520010</v>
      </c>
      <c r="D3870" s="2" t="s">
        <v>3219</v>
      </c>
      <c r="E3870" s="4">
        <v>3600</v>
      </c>
    </row>
    <row r="3871" spans="1:5" ht="26.25" x14ac:dyDescent="0.25">
      <c r="A3871" s="2" t="s">
        <v>2388</v>
      </c>
      <c r="B3871" s="2" t="str">
        <f>"34380556"</f>
        <v>34380556</v>
      </c>
      <c r="C3871" s="2" t="str">
        <f>"34380556"</f>
        <v>34380556</v>
      </c>
      <c r="D3871" s="2" t="s">
        <v>3220</v>
      </c>
      <c r="E3871" s="4">
        <v>5700</v>
      </c>
    </row>
    <row r="3872" spans="1:5" ht="26.25" x14ac:dyDescent="0.25">
      <c r="A3872" s="2" t="s">
        <v>2388</v>
      </c>
      <c r="B3872" s="2" t="str">
        <f>"8521797308886"</f>
        <v>8521797308886</v>
      </c>
      <c r="C3872" s="2" t="str">
        <f>"10006246"</f>
        <v>10006246</v>
      </c>
      <c r="D3872" s="2" t="s">
        <v>3221</v>
      </c>
      <c r="E3872" s="4">
        <v>3790</v>
      </c>
    </row>
    <row r="3873" spans="1:5" ht="26.25" x14ac:dyDescent="0.25">
      <c r="A3873" s="2" t="s">
        <v>2388</v>
      </c>
      <c r="B3873" s="2" t="str">
        <f>"1000001075716"</f>
        <v>1000001075716</v>
      </c>
      <c r="C3873" s="2" t="str">
        <f>"76388807"</f>
        <v>76388807</v>
      </c>
      <c r="D3873" s="2" t="s">
        <v>3222</v>
      </c>
      <c r="E3873" s="4">
        <v>3990</v>
      </c>
    </row>
    <row r="3874" spans="1:5" ht="26.25" x14ac:dyDescent="0.25">
      <c r="A3874" s="2" t="s">
        <v>2388</v>
      </c>
      <c r="B3874" s="2" t="str">
        <f>"6933138622025"</f>
        <v>6933138622025</v>
      </c>
      <c r="C3874" s="2" t="str">
        <f>"76380111"</f>
        <v>76380111</v>
      </c>
      <c r="D3874" s="2" t="s">
        <v>3223</v>
      </c>
      <c r="E3874" s="4">
        <v>4990</v>
      </c>
    </row>
    <row r="3875" spans="1:5" ht="26.25" x14ac:dyDescent="0.25">
      <c r="A3875" s="2" t="s">
        <v>2388</v>
      </c>
      <c r="B3875" s="2" t="str">
        <f>"76381111"</f>
        <v>76381111</v>
      </c>
      <c r="C3875" s="2" t="str">
        <f>"76381111"</f>
        <v>76381111</v>
      </c>
      <c r="D3875" s="2" t="s">
        <v>3224</v>
      </c>
      <c r="E3875" s="4">
        <v>7990</v>
      </c>
    </row>
    <row r="3876" spans="1:5" ht="26.25" x14ac:dyDescent="0.25">
      <c r="A3876" s="2" t="s">
        <v>949</v>
      </c>
      <c r="B3876" s="2" t="str">
        <f>"10005927"</f>
        <v>10005927</v>
      </c>
      <c r="C3876" s="2" t="str">
        <f>"10005927"</f>
        <v>10005927</v>
      </c>
      <c r="D3876" s="2" t="s">
        <v>3225</v>
      </c>
      <c r="E3876" s="4">
        <v>13990</v>
      </c>
    </row>
    <row r="3877" spans="1:5" ht="26.25" x14ac:dyDescent="0.25">
      <c r="A3877" s="2" t="s">
        <v>2388</v>
      </c>
      <c r="B3877" s="2" t="str">
        <f>"34380000"</f>
        <v>34380000</v>
      </c>
      <c r="C3877" s="2" t="str">
        <f>"34380000"</f>
        <v>34380000</v>
      </c>
      <c r="D3877" s="2" t="s">
        <v>3226</v>
      </c>
      <c r="E3877" s="4">
        <v>10900</v>
      </c>
    </row>
    <row r="3878" spans="1:5" ht="26.25" x14ac:dyDescent="0.25">
      <c r="A3878" s="2" t="s">
        <v>2388</v>
      </c>
      <c r="B3878" s="2" t="str">
        <f>"343880000"</f>
        <v>343880000</v>
      </c>
      <c r="C3878" s="2" t="str">
        <f>"343880000"</f>
        <v>343880000</v>
      </c>
      <c r="D3878" s="2" t="s">
        <v>3227</v>
      </c>
      <c r="E3878" s="4">
        <v>10900</v>
      </c>
    </row>
    <row r="3879" spans="1:5" ht="26.25" x14ac:dyDescent="0.25">
      <c r="A3879" s="2" t="s">
        <v>2388</v>
      </c>
      <c r="B3879" s="2" t="str">
        <f>"10111792"</f>
        <v>10111792</v>
      </c>
      <c r="C3879" s="2" t="str">
        <f>"10111792"</f>
        <v>10111792</v>
      </c>
      <c r="D3879" s="2" t="s">
        <v>3228</v>
      </c>
      <c r="E3879" s="4">
        <v>4500</v>
      </c>
    </row>
    <row r="3880" spans="1:5" ht="26.25" x14ac:dyDescent="0.25">
      <c r="A3880" s="2" t="s">
        <v>2388</v>
      </c>
      <c r="B3880" s="2" t="str">
        <f>"2019010720011"</f>
        <v>2019010720011</v>
      </c>
      <c r="C3880" s="2" t="str">
        <f>"10112078"</f>
        <v>10112078</v>
      </c>
      <c r="D3880" s="2" t="s">
        <v>3229</v>
      </c>
      <c r="E3880" s="4">
        <v>5500</v>
      </c>
    </row>
    <row r="3881" spans="1:5" ht="26.25" x14ac:dyDescent="0.25">
      <c r="A3881" s="2" t="s">
        <v>2388</v>
      </c>
      <c r="B3881" s="2" t="str">
        <f>"2687020120048"</f>
        <v>2687020120048</v>
      </c>
      <c r="C3881" s="2" t="str">
        <f>"10112089"</f>
        <v>10112089</v>
      </c>
      <c r="D3881" s="2" t="s">
        <v>3230</v>
      </c>
      <c r="E3881" s="4">
        <v>4500</v>
      </c>
    </row>
    <row r="3882" spans="1:5" ht="26.25" x14ac:dyDescent="0.25">
      <c r="A3882" s="2" t="s">
        <v>2388</v>
      </c>
      <c r="B3882" s="2" t="str">
        <f>"10113530"</f>
        <v>10113530</v>
      </c>
      <c r="C3882" s="2" t="str">
        <f>"10113530"</f>
        <v>10113530</v>
      </c>
      <c r="D3882" s="2" t="s">
        <v>3231</v>
      </c>
      <c r="E3882" s="4">
        <v>4990</v>
      </c>
    </row>
    <row r="3883" spans="1:5" ht="26.25" x14ac:dyDescent="0.25">
      <c r="A3883" s="2" t="s">
        <v>2388</v>
      </c>
      <c r="B3883" s="2" t="str">
        <f>"10114476"</f>
        <v>10114476</v>
      </c>
      <c r="C3883" s="2" t="str">
        <f>"10114476"</f>
        <v>10114476</v>
      </c>
      <c r="D3883" s="2" t="s">
        <v>3232</v>
      </c>
      <c r="E3883" s="4">
        <v>5000</v>
      </c>
    </row>
    <row r="3884" spans="1:5" ht="26.25" x14ac:dyDescent="0.25">
      <c r="A3884" s="2" t="s">
        <v>2388</v>
      </c>
      <c r="B3884" s="2" t="str">
        <f>"10117094"</f>
        <v>10117094</v>
      </c>
      <c r="C3884" s="2" t="str">
        <f>"10117094"</f>
        <v>10117094</v>
      </c>
      <c r="D3884" s="2" t="s">
        <v>3233</v>
      </c>
      <c r="E3884" s="4">
        <v>4000</v>
      </c>
    </row>
    <row r="3885" spans="1:5" ht="26.25" x14ac:dyDescent="0.25">
      <c r="A3885" s="2" t="s">
        <v>2388</v>
      </c>
      <c r="B3885" s="2" t="str">
        <f>"9256210150061"</f>
        <v>9256210150061</v>
      </c>
      <c r="C3885" s="2" t="str">
        <f>"10117677"</f>
        <v>10117677</v>
      </c>
      <c r="D3885" s="2" t="s">
        <v>3234</v>
      </c>
      <c r="E3885" s="4">
        <v>4990</v>
      </c>
    </row>
    <row r="3886" spans="1:5" ht="26.25" x14ac:dyDescent="0.25">
      <c r="A3886" s="2" t="s">
        <v>2388</v>
      </c>
      <c r="B3886" s="2" t="str">
        <f>"10119129"</f>
        <v>10119129</v>
      </c>
      <c r="C3886" s="2" t="str">
        <f>"10119129"</f>
        <v>10119129</v>
      </c>
      <c r="D3886" s="2" t="s">
        <v>3235</v>
      </c>
      <c r="E3886" s="4">
        <v>3500</v>
      </c>
    </row>
    <row r="3887" spans="1:5" ht="26.25" x14ac:dyDescent="0.25">
      <c r="A3887" s="2" t="s">
        <v>2388</v>
      </c>
      <c r="B3887" s="2" t="str">
        <f>"10119228"</f>
        <v>10119228</v>
      </c>
      <c r="C3887" s="2" t="str">
        <f>"10119228"</f>
        <v>10119228</v>
      </c>
      <c r="D3887" s="2" t="s">
        <v>3236</v>
      </c>
      <c r="E3887" s="4">
        <v>3990</v>
      </c>
    </row>
    <row r="3888" spans="1:5" ht="26.25" x14ac:dyDescent="0.25">
      <c r="A3888" s="2" t="s">
        <v>2388</v>
      </c>
      <c r="B3888" s="2" t="str">
        <f>"10119239"</f>
        <v>10119239</v>
      </c>
      <c r="C3888" s="2" t="str">
        <f>"10119239"</f>
        <v>10119239</v>
      </c>
      <c r="D3888" s="2" t="s">
        <v>3237</v>
      </c>
      <c r="E3888" s="4">
        <v>2990</v>
      </c>
    </row>
    <row r="3889" spans="1:5" ht="26.25" x14ac:dyDescent="0.25">
      <c r="A3889" s="2" t="s">
        <v>2388</v>
      </c>
      <c r="B3889" s="2" t="str">
        <f>"10119393"</f>
        <v>10119393</v>
      </c>
      <c r="C3889" s="2" t="str">
        <f>"10119393"</f>
        <v>10119393</v>
      </c>
      <c r="D3889" s="2" t="s">
        <v>3238</v>
      </c>
      <c r="E3889" s="4">
        <v>9990</v>
      </c>
    </row>
    <row r="3890" spans="1:5" ht="26.25" x14ac:dyDescent="0.25">
      <c r="A3890" s="2" t="s">
        <v>2388</v>
      </c>
      <c r="B3890" s="2" t="str">
        <f>"6915112582679"</f>
        <v>6915112582679</v>
      </c>
      <c r="C3890" s="2" t="str">
        <f>"10119569"</f>
        <v>10119569</v>
      </c>
      <c r="D3890" s="2" t="s">
        <v>3239</v>
      </c>
      <c r="E3890" s="4">
        <v>5990</v>
      </c>
    </row>
    <row r="3891" spans="1:5" ht="26.25" x14ac:dyDescent="0.25">
      <c r="A3891" s="2" t="s">
        <v>2388</v>
      </c>
      <c r="B3891" s="2" t="str">
        <f>"10119877"</f>
        <v>10119877</v>
      </c>
      <c r="C3891" s="2" t="str">
        <f>"10119877"</f>
        <v>10119877</v>
      </c>
      <c r="D3891" s="2" t="s">
        <v>3240</v>
      </c>
      <c r="E3891" s="4">
        <v>9990</v>
      </c>
    </row>
    <row r="3892" spans="1:5" ht="26.25" x14ac:dyDescent="0.25">
      <c r="A3892" s="2" t="s">
        <v>2388</v>
      </c>
      <c r="B3892" s="2" t="str">
        <f>"9780201379662"</f>
        <v>9780201379662</v>
      </c>
      <c r="C3892" s="2" t="str">
        <f>"10119888"</f>
        <v>10119888</v>
      </c>
      <c r="D3892" s="2" t="s">
        <v>3241</v>
      </c>
      <c r="E3892" s="4">
        <v>9990</v>
      </c>
    </row>
    <row r="3893" spans="1:5" ht="26.25" x14ac:dyDescent="0.25">
      <c r="A3893" s="2" t="s">
        <v>2388</v>
      </c>
      <c r="B3893" s="2" t="str">
        <f>"10001270"</f>
        <v>10001270</v>
      </c>
      <c r="C3893" s="2" t="str">
        <f>"10001270"</f>
        <v>10001270</v>
      </c>
      <c r="D3893" s="2" t="s">
        <v>3242</v>
      </c>
      <c r="E3893" s="4">
        <v>5900</v>
      </c>
    </row>
    <row r="3894" spans="1:5" ht="26.25" x14ac:dyDescent="0.25">
      <c r="A3894" s="2" t="s">
        <v>2388</v>
      </c>
      <c r="B3894" s="2" t="str">
        <f>"10001664"</f>
        <v>10001664</v>
      </c>
      <c r="C3894" s="2" t="str">
        <f>"10001664"</f>
        <v>10001664</v>
      </c>
      <c r="D3894" s="2" t="s">
        <v>3243</v>
      </c>
      <c r="E3894" s="4">
        <v>4500</v>
      </c>
    </row>
    <row r="3895" spans="1:5" ht="26.25" x14ac:dyDescent="0.25">
      <c r="A3895" s="2" t="s">
        <v>2388</v>
      </c>
      <c r="B3895" s="2" t="str">
        <f>"10002461"</f>
        <v>10002461</v>
      </c>
      <c r="C3895" s="2" t="str">
        <f>"10002461"</f>
        <v>10002461</v>
      </c>
      <c r="D3895" s="2" t="s">
        <v>3244</v>
      </c>
      <c r="E3895" s="4">
        <v>4500</v>
      </c>
    </row>
    <row r="3896" spans="1:5" ht="26.25" x14ac:dyDescent="0.25">
      <c r="A3896" s="2" t="s">
        <v>2388</v>
      </c>
      <c r="B3896" s="2" t="str">
        <f>"10003547"</f>
        <v>10003547</v>
      </c>
      <c r="C3896" s="2" t="str">
        <f>"10003547"</f>
        <v>10003547</v>
      </c>
      <c r="D3896" s="2" t="s">
        <v>3245</v>
      </c>
      <c r="E3896" s="4">
        <v>13990</v>
      </c>
    </row>
    <row r="3897" spans="1:5" ht="26.25" x14ac:dyDescent="0.25">
      <c r="A3897" s="2" t="s">
        <v>2388</v>
      </c>
      <c r="B3897" s="2" t="str">
        <f>"30380703"</f>
        <v>30380703</v>
      </c>
      <c r="C3897" s="2" t="str">
        <f>"30380703"</f>
        <v>30380703</v>
      </c>
      <c r="D3897" s="2" t="s">
        <v>3246</v>
      </c>
      <c r="E3897" s="4">
        <v>4500</v>
      </c>
    </row>
    <row r="3898" spans="1:5" ht="26.25" x14ac:dyDescent="0.25">
      <c r="A3898" s="2" t="s">
        <v>2388</v>
      </c>
      <c r="B3898" s="2" t="str">
        <f>"10005806"</f>
        <v>10005806</v>
      </c>
      <c r="C3898" s="2" t="str">
        <f>"10005806"</f>
        <v>10005806</v>
      </c>
      <c r="D3898" s="2" t="s">
        <v>3247</v>
      </c>
      <c r="E3898" s="4">
        <v>4990</v>
      </c>
    </row>
    <row r="3899" spans="1:5" ht="26.25" x14ac:dyDescent="0.25">
      <c r="A3899" s="2" t="s">
        <v>2388</v>
      </c>
      <c r="B3899" s="2" t="str">
        <f>"10008204"</f>
        <v>10008204</v>
      </c>
      <c r="C3899" s="2" t="str">
        <f>"10008204"</f>
        <v>10008204</v>
      </c>
      <c r="D3899" s="2" t="s">
        <v>3248</v>
      </c>
      <c r="E3899" s="4">
        <v>4800</v>
      </c>
    </row>
    <row r="3900" spans="1:5" ht="26.25" x14ac:dyDescent="0.25">
      <c r="A3900" s="2" t="s">
        <v>2388</v>
      </c>
      <c r="B3900" s="2" t="str">
        <f>"86380001"</f>
        <v>86380001</v>
      </c>
      <c r="C3900" s="2" t="str">
        <f>"86380001"</f>
        <v>86380001</v>
      </c>
      <c r="D3900" s="2" t="s">
        <v>3249</v>
      </c>
      <c r="E3900" s="4">
        <v>3500</v>
      </c>
    </row>
    <row r="3901" spans="1:5" ht="26.25" x14ac:dyDescent="0.25">
      <c r="A3901" s="2" t="s">
        <v>2388</v>
      </c>
      <c r="B3901" s="2" t="str">
        <f>"10108052"</f>
        <v>10108052</v>
      </c>
      <c r="C3901" s="2" t="str">
        <f>"10108052"</f>
        <v>10108052</v>
      </c>
      <c r="D3901" s="2" t="s">
        <v>3250</v>
      </c>
      <c r="E3901" s="4">
        <v>3500</v>
      </c>
    </row>
    <row r="3902" spans="1:5" ht="26.25" x14ac:dyDescent="0.25">
      <c r="A3902" s="2" t="s">
        <v>2388</v>
      </c>
      <c r="B3902" s="2" t="str">
        <f>"8230810004154"</f>
        <v>8230810004154</v>
      </c>
      <c r="C3902" s="2" t="str">
        <f>"10000972"</f>
        <v>10000972</v>
      </c>
      <c r="D3902" s="2" t="s">
        <v>3251</v>
      </c>
      <c r="E3902" s="4">
        <v>5550</v>
      </c>
    </row>
    <row r="3903" spans="1:5" ht="26.25" x14ac:dyDescent="0.25">
      <c r="A3903" s="2" t="s">
        <v>2388</v>
      </c>
      <c r="B3903" s="2" t="str">
        <f>"6905631250111"</f>
        <v>6905631250111</v>
      </c>
      <c r="C3903" s="2" t="str">
        <f>"40380008"</f>
        <v>40380008</v>
      </c>
      <c r="D3903" s="2" t="s">
        <v>3252</v>
      </c>
      <c r="E3903" s="4">
        <v>4990</v>
      </c>
    </row>
    <row r="3904" spans="1:5" ht="26.25" x14ac:dyDescent="0.25">
      <c r="A3904" s="2" t="s">
        <v>2388</v>
      </c>
      <c r="B3904" s="2" t="str">
        <f>"8669885013172"</f>
        <v>8669885013172</v>
      </c>
      <c r="C3904" s="2" t="str">
        <f>"66381317"</f>
        <v>66381317</v>
      </c>
      <c r="D3904" s="2" t="s">
        <v>3253</v>
      </c>
      <c r="E3904" s="4">
        <v>7500</v>
      </c>
    </row>
    <row r="3905" spans="1:5" ht="26.25" x14ac:dyDescent="0.25">
      <c r="A3905" s="2" t="s">
        <v>2388</v>
      </c>
      <c r="B3905" s="2" t="str">
        <f>"8813231655077"</f>
        <v>8813231655077</v>
      </c>
      <c r="C3905" s="2" t="str">
        <f>"49380007"</f>
        <v>49380007</v>
      </c>
      <c r="D3905" s="2" t="s">
        <v>3254</v>
      </c>
      <c r="E3905" s="4">
        <v>9400</v>
      </c>
    </row>
    <row r="3906" spans="1:5" ht="26.25" x14ac:dyDescent="0.25">
      <c r="A3906" s="2" t="s">
        <v>2388</v>
      </c>
      <c r="B3906" s="2" t="str">
        <f>"7858816074448"</f>
        <v>7858816074448</v>
      </c>
      <c r="C3906" s="2" t="str">
        <f>"87387444"</f>
        <v>87387444</v>
      </c>
      <c r="D3906" s="2" t="s">
        <v>3255</v>
      </c>
      <c r="E3906" s="4">
        <v>12990</v>
      </c>
    </row>
    <row r="3907" spans="1:5" ht="26.25" x14ac:dyDescent="0.25">
      <c r="A3907" s="2" t="s">
        <v>2388</v>
      </c>
      <c r="B3907" s="2" t="str">
        <f>"6925871602563"</f>
        <v>6925871602563</v>
      </c>
      <c r="C3907" s="2" t="str">
        <f>"22380256"</f>
        <v>22380256</v>
      </c>
      <c r="D3907" s="2" t="s">
        <v>3256</v>
      </c>
      <c r="E3907" s="4">
        <v>3990</v>
      </c>
    </row>
    <row r="3908" spans="1:5" ht="26.25" x14ac:dyDescent="0.25">
      <c r="A3908" s="2" t="s">
        <v>2388</v>
      </c>
      <c r="B3908" s="2" t="str">
        <f>"6925871602525"</f>
        <v>6925871602525</v>
      </c>
      <c r="C3908" s="2" t="str">
        <f>"22380252"</f>
        <v>22380252</v>
      </c>
      <c r="D3908" s="2" t="s">
        <v>3257</v>
      </c>
      <c r="E3908" s="4">
        <v>3990</v>
      </c>
    </row>
    <row r="3909" spans="1:5" ht="26.25" x14ac:dyDescent="0.25">
      <c r="A3909" s="2" t="s">
        <v>2388</v>
      </c>
      <c r="B3909" s="2" t="str">
        <f>"6925871602648"</f>
        <v>6925871602648</v>
      </c>
      <c r="C3909" s="2" t="str">
        <f>"98380264"</f>
        <v>98380264</v>
      </c>
      <c r="D3909" s="2" t="s">
        <v>3258</v>
      </c>
      <c r="E3909" s="4">
        <v>5000</v>
      </c>
    </row>
    <row r="3910" spans="1:5" ht="26.25" x14ac:dyDescent="0.25">
      <c r="A3910" s="2" t="s">
        <v>2388</v>
      </c>
      <c r="B3910" s="2" t="str">
        <f>"6958816008144"</f>
        <v>6958816008144</v>
      </c>
      <c r="C3910" s="2" t="str">
        <f>"87388144"</f>
        <v>87388144</v>
      </c>
      <c r="D3910" s="2" t="s">
        <v>3259</v>
      </c>
      <c r="E3910" s="4">
        <v>4200</v>
      </c>
    </row>
    <row r="3911" spans="1:5" ht="26.25" x14ac:dyDescent="0.25">
      <c r="A3911" s="2" t="s">
        <v>2388</v>
      </c>
      <c r="B3911" s="2" t="str">
        <f>"17380002"</f>
        <v>17380002</v>
      </c>
      <c r="C3911" s="2" t="str">
        <f>"17380002"</f>
        <v>17380002</v>
      </c>
      <c r="D3911" s="2" t="s">
        <v>3260</v>
      </c>
      <c r="E3911" s="4">
        <v>4000</v>
      </c>
    </row>
    <row r="3912" spans="1:5" ht="26.25" x14ac:dyDescent="0.25">
      <c r="A3912" s="2" t="s">
        <v>2388</v>
      </c>
      <c r="B3912" s="2" t="str">
        <f>"6665011203310"</f>
        <v>6665011203310</v>
      </c>
      <c r="C3912" s="2" t="str">
        <f>"543820331"</f>
        <v>543820331</v>
      </c>
      <c r="D3912" s="2" t="s">
        <v>3261</v>
      </c>
      <c r="E3912" s="4">
        <v>4500</v>
      </c>
    </row>
    <row r="3913" spans="1:5" ht="26.25" x14ac:dyDescent="0.25">
      <c r="A3913" s="2" t="s">
        <v>2388</v>
      </c>
      <c r="B3913" s="2" t="str">
        <f>"10000572"</f>
        <v>10000572</v>
      </c>
      <c r="C3913" s="2" t="str">
        <f>"10000572"</f>
        <v>10000572</v>
      </c>
      <c r="D3913" s="2" t="s">
        <v>3262</v>
      </c>
      <c r="E3913" s="4">
        <v>7500</v>
      </c>
    </row>
    <row r="3914" spans="1:5" ht="26.25" x14ac:dyDescent="0.25">
      <c r="A3914" s="2" t="s">
        <v>2388</v>
      </c>
      <c r="B3914" s="2" t="str">
        <f>"10008622"</f>
        <v>10008622</v>
      </c>
      <c r="C3914" s="2" t="str">
        <f>"10008622"</f>
        <v>10008622</v>
      </c>
      <c r="D3914" s="2" t="s">
        <v>3263</v>
      </c>
      <c r="E3914" s="4">
        <v>5500</v>
      </c>
    </row>
    <row r="3915" spans="1:5" ht="26.25" x14ac:dyDescent="0.25">
      <c r="A3915" s="2" t="s">
        <v>2388</v>
      </c>
      <c r="B3915" s="2" t="str">
        <f>"6956282712404"</f>
        <v>6956282712404</v>
      </c>
      <c r="C3915" s="2" t="str">
        <f>"10003230"</f>
        <v>10003230</v>
      </c>
      <c r="D3915" s="2" t="s">
        <v>3264</v>
      </c>
      <c r="E3915" s="4">
        <v>5500</v>
      </c>
    </row>
    <row r="3916" spans="1:5" ht="26.25" x14ac:dyDescent="0.25">
      <c r="A3916" s="2" t="s">
        <v>2388</v>
      </c>
      <c r="B3916" s="2" t="str">
        <f>"7000444"</f>
        <v>7000444</v>
      </c>
      <c r="C3916" s="2" t="str">
        <f>"30380080"</f>
        <v>30380080</v>
      </c>
      <c r="D3916" s="2" t="s">
        <v>3265</v>
      </c>
      <c r="E3916" s="4">
        <v>6500</v>
      </c>
    </row>
    <row r="3917" spans="1:5" ht="26.25" x14ac:dyDescent="0.25">
      <c r="A3917" s="2" t="s">
        <v>2388</v>
      </c>
      <c r="B3917" s="2" t="str">
        <f>"7858816017216"</f>
        <v>7858816017216</v>
      </c>
      <c r="C3917" s="2" t="str">
        <f>"87381721"</f>
        <v>87381721</v>
      </c>
      <c r="D3917" s="2" t="s">
        <v>3266</v>
      </c>
      <c r="E3917" s="4">
        <v>5000</v>
      </c>
    </row>
    <row r="3918" spans="1:5" ht="26.25" x14ac:dyDescent="0.25">
      <c r="A3918" s="2" t="s">
        <v>2388</v>
      </c>
      <c r="B3918" s="2" t="str">
        <f>"7858816017223"</f>
        <v>7858816017223</v>
      </c>
      <c r="C3918" s="2" t="str">
        <f>"87381722"</f>
        <v>87381722</v>
      </c>
      <c r="D3918" s="2" t="s">
        <v>3267</v>
      </c>
      <c r="E3918" s="4">
        <v>5990</v>
      </c>
    </row>
    <row r="3919" spans="1:5" ht="26.25" x14ac:dyDescent="0.25">
      <c r="A3919" s="2" t="s">
        <v>2388</v>
      </c>
      <c r="B3919" s="2" t="str">
        <f>"17001724"</f>
        <v>17001724</v>
      </c>
      <c r="C3919" s="2" t="str">
        <f>"17001724"</f>
        <v>17001724</v>
      </c>
      <c r="D3919" s="2" t="s">
        <v>3268</v>
      </c>
      <c r="E3919" s="4">
        <v>5800</v>
      </c>
    </row>
    <row r="3920" spans="1:5" ht="26.25" x14ac:dyDescent="0.25">
      <c r="A3920" s="2" t="s">
        <v>2388</v>
      </c>
      <c r="B3920" s="2" t="str">
        <f>"7858816017247"</f>
        <v>7858816017247</v>
      </c>
      <c r="C3920" s="2" t="str">
        <f>"87001724"</f>
        <v>87001724</v>
      </c>
      <c r="D3920" s="2" t="s">
        <v>3268</v>
      </c>
      <c r="E3920" s="4">
        <v>4500</v>
      </c>
    </row>
    <row r="3921" spans="1:5" ht="26.25" x14ac:dyDescent="0.25">
      <c r="A3921" s="2" t="s">
        <v>2388</v>
      </c>
      <c r="B3921" s="2" t="str">
        <f>"7858816021336"</f>
        <v>7858816021336</v>
      </c>
      <c r="C3921" s="2" t="str">
        <f>"87382133"</f>
        <v>87382133</v>
      </c>
      <c r="D3921" s="2" t="s">
        <v>3269</v>
      </c>
      <c r="E3921" s="4">
        <v>4500</v>
      </c>
    </row>
    <row r="3922" spans="1:5" ht="26.25" x14ac:dyDescent="0.25">
      <c r="A3922" s="2" t="s">
        <v>2388</v>
      </c>
      <c r="B3922" s="2" t="str">
        <f>"7858816035081"</f>
        <v>7858816035081</v>
      </c>
      <c r="C3922" s="2" t="str">
        <f>"87383506"</f>
        <v>87383506</v>
      </c>
      <c r="D3922" s="2" t="s">
        <v>3270</v>
      </c>
      <c r="E3922" s="4">
        <v>3000</v>
      </c>
    </row>
    <row r="3923" spans="1:5" ht="26.25" x14ac:dyDescent="0.25">
      <c r="A3923" s="2" t="s">
        <v>2388</v>
      </c>
      <c r="B3923" s="2" t="str">
        <f>"7858816035074"</f>
        <v>7858816035074</v>
      </c>
      <c r="C3923" s="2" t="str">
        <f>"87383507"</f>
        <v>87383507</v>
      </c>
      <c r="D3923" s="2" t="s">
        <v>3271</v>
      </c>
      <c r="E3923" s="4">
        <v>4100</v>
      </c>
    </row>
    <row r="3924" spans="1:5" ht="26.25" x14ac:dyDescent="0.25">
      <c r="A3924" s="2" t="s">
        <v>2388</v>
      </c>
      <c r="B3924" s="2" t="str">
        <f>"7858816041105"</f>
        <v>7858816041105</v>
      </c>
      <c r="C3924" s="2" t="str">
        <f>"87384110"</f>
        <v>87384110</v>
      </c>
      <c r="D3924" s="2" t="s">
        <v>3272</v>
      </c>
      <c r="E3924" s="4">
        <v>7500</v>
      </c>
    </row>
    <row r="3925" spans="1:5" ht="26.25" x14ac:dyDescent="0.25">
      <c r="A3925" s="2" t="s">
        <v>2388</v>
      </c>
      <c r="B3925" s="2" t="str">
        <f>"7858816041112"</f>
        <v>7858816041112</v>
      </c>
      <c r="C3925" s="2" t="str">
        <f>"87384111"</f>
        <v>87384111</v>
      </c>
      <c r="D3925" s="2" t="s">
        <v>3273</v>
      </c>
      <c r="E3925" s="4">
        <v>7500</v>
      </c>
    </row>
    <row r="3926" spans="1:5" ht="26.25" x14ac:dyDescent="0.25">
      <c r="A3926" s="2" t="s">
        <v>2388</v>
      </c>
      <c r="B3926" s="2" t="str">
        <f>"7858816052835"</f>
        <v>7858816052835</v>
      </c>
      <c r="C3926" s="2" t="str">
        <f>"87385283"</f>
        <v>87385283</v>
      </c>
      <c r="D3926" s="2" t="s">
        <v>3274</v>
      </c>
      <c r="E3926" s="4">
        <v>6000</v>
      </c>
    </row>
    <row r="3927" spans="1:5" ht="26.25" x14ac:dyDescent="0.25">
      <c r="A3927" s="2" t="s">
        <v>2388</v>
      </c>
      <c r="B3927" s="2" t="str">
        <f>"7858816059452"</f>
        <v>7858816059452</v>
      </c>
      <c r="C3927" s="2" t="str">
        <f>"87385945"</f>
        <v>87385945</v>
      </c>
      <c r="D3927" s="2" t="s">
        <v>3275</v>
      </c>
      <c r="E3927" s="4">
        <v>2000</v>
      </c>
    </row>
    <row r="3928" spans="1:5" ht="26.25" x14ac:dyDescent="0.25">
      <c r="A3928" s="2" t="s">
        <v>2388</v>
      </c>
      <c r="B3928" s="2" t="str">
        <f>"7858816061752"</f>
        <v>7858816061752</v>
      </c>
      <c r="C3928" s="2" t="str">
        <f>"87386175"</f>
        <v>87386175</v>
      </c>
      <c r="D3928" s="2" t="s">
        <v>3276</v>
      </c>
      <c r="E3928" s="4">
        <v>5500</v>
      </c>
    </row>
    <row r="3929" spans="1:5" ht="26.25" x14ac:dyDescent="0.25">
      <c r="A3929" s="2" t="s">
        <v>2388</v>
      </c>
      <c r="B3929" s="2" t="str">
        <f>"7858816061776"</f>
        <v>7858816061776</v>
      </c>
      <c r="C3929" s="2" t="str">
        <f>"87386177"</f>
        <v>87386177</v>
      </c>
      <c r="D3929" s="2" t="s">
        <v>3277</v>
      </c>
      <c r="E3929" s="4">
        <v>7500</v>
      </c>
    </row>
    <row r="3930" spans="1:5" ht="26.25" x14ac:dyDescent="0.25">
      <c r="A3930" s="2" t="s">
        <v>2388</v>
      </c>
      <c r="B3930" s="2" t="str">
        <f>"7858816061790"</f>
        <v>7858816061790</v>
      </c>
      <c r="C3930" s="2" t="str">
        <f>"87386179"</f>
        <v>87386179</v>
      </c>
      <c r="D3930" s="2" t="s">
        <v>3278</v>
      </c>
      <c r="E3930" s="4">
        <v>4500</v>
      </c>
    </row>
    <row r="3931" spans="1:5" ht="26.25" x14ac:dyDescent="0.25">
      <c r="A3931" s="2" t="s">
        <v>2388</v>
      </c>
      <c r="B3931" s="2" t="str">
        <f>"7858816065026"</f>
        <v>7858816065026</v>
      </c>
      <c r="C3931" s="2" t="str">
        <f>"87386502"</f>
        <v>87386502</v>
      </c>
      <c r="D3931" s="2" t="s">
        <v>3279</v>
      </c>
      <c r="E3931" s="4">
        <v>5000</v>
      </c>
    </row>
    <row r="3932" spans="1:5" ht="26.25" x14ac:dyDescent="0.25">
      <c r="A3932" s="2" t="s">
        <v>2388</v>
      </c>
      <c r="B3932" s="2" t="str">
        <f>"7858816065033"</f>
        <v>7858816065033</v>
      </c>
      <c r="C3932" s="2" t="str">
        <f>"87386503"</f>
        <v>87386503</v>
      </c>
      <c r="D3932" s="2" t="s">
        <v>3280</v>
      </c>
      <c r="E3932" s="4">
        <v>4990</v>
      </c>
    </row>
    <row r="3933" spans="1:5" ht="26.25" x14ac:dyDescent="0.25">
      <c r="A3933" s="2" t="s">
        <v>2388</v>
      </c>
      <c r="B3933" s="2" t="str">
        <f>"7858816065675"</f>
        <v>7858816065675</v>
      </c>
      <c r="C3933" s="2" t="str">
        <f>"87386567"</f>
        <v>87386567</v>
      </c>
      <c r="D3933" s="2" t="s">
        <v>3281</v>
      </c>
      <c r="E3933" s="4">
        <v>2990</v>
      </c>
    </row>
    <row r="3934" spans="1:5" ht="26.25" x14ac:dyDescent="0.25">
      <c r="A3934" s="2" t="s">
        <v>2388</v>
      </c>
      <c r="B3934" s="2" t="str">
        <f>"7858816066597"</f>
        <v>7858816066597</v>
      </c>
      <c r="C3934" s="2" t="str">
        <f>"87386659"</f>
        <v>87386659</v>
      </c>
      <c r="D3934" s="2" t="s">
        <v>3282</v>
      </c>
      <c r="E3934" s="4">
        <v>4500</v>
      </c>
    </row>
    <row r="3935" spans="1:5" ht="26.25" x14ac:dyDescent="0.25">
      <c r="A3935" s="2" t="s">
        <v>2388</v>
      </c>
      <c r="B3935" s="2" t="str">
        <f>"7858816068782"</f>
        <v>7858816068782</v>
      </c>
      <c r="C3935" s="2" t="str">
        <f>"87386878"</f>
        <v>87386878</v>
      </c>
      <c r="D3935" s="2" t="s">
        <v>3283</v>
      </c>
      <c r="E3935" s="4">
        <v>3500</v>
      </c>
    </row>
    <row r="3936" spans="1:5" ht="26.25" x14ac:dyDescent="0.25">
      <c r="A3936" s="2" t="s">
        <v>2388</v>
      </c>
      <c r="B3936" s="2" t="str">
        <f>"7858816071508"</f>
        <v>7858816071508</v>
      </c>
      <c r="C3936" s="2" t="str">
        <f>"87387150"</f>
        <v>87387150</v>
      </c>
      <c r="D3936" s="2" t="s">
        <v>3284</v>
      </c>
      <c r="E3936" s="4">
        <v>5000</v>
      </c>
    </row>
    <row r="3937" spans="1:5" ht="26.25" x14ac:dyDescent="0.25">
      <c r="A3937" s="2" t="s">
        <v>2388</v>
      </c>
      <c r="B3937" s="2" t="str">
        <f>"7858816071515"</f>
        <v>7858816071515</v>
      </c>
      <c r="C3937" s="2" t="str">
        <f>"87387151"</f>
        <v>87387151</v>
      </c>
      <c r="D3937" s="2" t="s">
        <v>3285</v>
      </c>
      <c r="E3937" s="4">
        <v>3500</v>
      </c>
    </row>
    <row r="3938" spans="1:5" ht="26.25" x14ac:dyDescent="0.25">
      <c r="A3938" s="2" t="s">
        <v>2388</v>
      </c>
      <c r="B3938" s="2" t="str">
        <f>"7858816073786"</f>
        <v>7858816073786</v>
      </c>
      <c r="C3938" s="2" t="str">
        <f>"87387378"</f>
        <v>87387378</v>
      </c>
      <c r="D3938" s="2" t="s">
        <v>3286</v>
      </c>
      <c r="E3938" s="4">
        <v>1500</v>
      </c>
    </row>
    <row r="3939" spans="1:5" ht="26.25" x14ac:dyDescent="0.25">
      <c r="A3939" s="2" t="s">
        <v>2388</v>
      </c>
      <c r="B3939" s="2" t="str">
        <f>"7858816073809"</f>
        <v>7858816073809</v>
      </c>
      <c r="C3939" s="2" t="str">
        <f>"873807380"</f>
        <v>873807380</v>
      </c>
      <c r="D3939" s="2" t="s">
        <v>3287</v>
      </c>
      <c r="E3939" s="4">
        <v>3000</v>
      </c>
    </row>
    <row r="3940" spans="1:5" ht="26.25" x14ac:dyDescent="0.25">
      <c r="A3940" s="2" t="s">
        <v>2388</v>
      </c>
      <c r="B3940" s="2" t="str">
        <f>"7858816073878"</f>
        <v>7858816073878</v>
      </c>
      <c r="C3940" s="2" t="str">
        <f>"87387387"</f>
        <v>87387387</v>
      </c>
      <c r="D3940" s="2" t="s">
        <v>3288</v>
      </c>
      <c r="E3940" s="4">
        <v>7500</v>
      </c>
    </row>
    <row r="3941" spans="1:5" ht="26.25" x14ac:dyDescent="0.25">
      <c r="A3941" s="2" t="s">
        <v>2388</v>
      </c>
      <c r="B3941" s="2" t="str">
        <f>"7858816073885"</f>
        <v>7858816073885</v>
      </c>
      <c r="C3941" s="2" t="str">
        <f>"87387388"</f>
        <v>87387388</v>
      </c>
      <c r="D3941" s="2" t="s">
        <v>3289</v>
      </c>
      <c r="E3941" s="4">
        <v>7500</v>
      </c>
    </row>
    <row r="3942" spans="1:5" ht="26.25" x14ac:dyDescent="0.25">
      <c r="A3942" s="2" t="s">
        <v>2388</v>
      </c>
      <c r="B3942" s="2" t="str">
        <f>"7858816075209"</f>
        <v>7858816075209</v>
      </c>
      <c r="C3942" s="2" t="str">
        <f>"87387520"</f>
        <v>87387520</v>
      </c>
      <c r="D3942" s="2" t="s">
        <v>3290</v>
      </c>
      <c r="E3942" s="4">
        <v>3500</v>
      </c>
    </row>
    <row r="3943" spans="1:5" ht="26.25" x14ac:dyDescent="0.25">
      <c r="A3943" s="2" t="s">
        <v>2388</v>
      </c>
      <c r="B3943" s="2" t="str">
        <f>"7858816077821"</f>
        <v>7858816077821</v>
      </c>
      <c r="C3943" s="2" t="str">
        <f>"87387782"</f>
        <v>87387782</v>
      </c>
      <c r="D3943" s="2" t="s">
        <v>3291</v>
      </c>
      <c r="E3943" s="4">
        <v>5990</v>
      </c>
    </row>
    <row r="3944" spans="1:5" ht="26.25" x14ac:dyDescent="0.25">
      <c r="A3944" s="2" t="s">
        <v>2388</v>
      </c>
      <c r="B3944" s="2" t="str">
        <f>"7858816080401"</f>
        <v>7858816080401</v>
      </c>
      <c r="C3944" s="2" t="str">
        <f>"87388040"</f>
        <v>87388040</v>
      </c>
      <c r="D3944" s="2" t="s">
        <v>3292</v>
      </c>
      <c r="E3944" s="4">
        <v>3000</v>
      </c>
    </row>
    <row r="3945" spans="1:5" ht="26.25" x14ac:dyDescent="0.25">
      <c r="A3945" s="2" t="s">
        <v>2388</v>
      </c>
      <c r="B3945" s="2" t="str">
        <f>"7858816080418"</f>
        <v>7858816080418</v>
      </c>
      <c r="C3945" s="2" t="str">
        <f>"87388041"</f>
        <v>87388041</v>
      </c>
      <c r="D3945" s="2" t="s">
        <v>3293</v>
      </c>
      <c r="E3945" s="4">
        <v>4500</v>
      </c>
    </row>
    <row r="3946" spans="1:5" ht="26.25" x14ac:dyDescent="0.25">
      <c r="A3946" s="2" t="s">
        <v>2388</v>
      </c>
      <c r="B3946" s="2" t="str">
        <f>"7858816080470"</f>
        <v>7858816080470</v>
      </c>
      <c r="C3946" s="2" t="str">
        <f>"87388047"</f>
        <v>87388047</v>
      </c>
      <c r="D3946" s="2" t="s">
        <v>3294</v>
      </c>
      <c r="E3946" s="4">
        <v>2000</v>
      </c>
    </row>
    <row r="3947" spans="1:5" ht="26.25" x14ac:dyDescent="0.25">
      <c r="A3947" s="2" t="s">
        <v>2388</v>
      </c>
      <c r="B3947" s="2" t="str">
        <f>"7858816082023"</f>
        <v>7858816082023</v>
      </c>
      <c r="C3947" s="2" t="str">
        <f>"87388202"</f>
        <v>87388202</v>
      </c>
      <c r="D3947" s="2" t="s">
        <v>3295</v>
      </c>
      <c r="E3947" s="4">
        <v>5000</v>
      </c>
    </row>
    <row r="3948" spans="1:5" ht="26.25" x14ac:dyDescent="0.25">
      <c r="A3948" s="2" t="s">
        <v>2388</v>
      </c>
      <c r="B3948" s="2" t="str">
        <f>"7858816082177"</f>
        <v>7858816082177</v>
      </c>
      <c r="C3948" s="2" t="str">
        <f>"87388217"</f>
        <v>87388217</v>
      </c>
      <c r="D3948" s="2" t="s">
        <v>3296</v>
      </c>
      <c r="E3948" s="4">
        <v>2500</v>
      </c>
    </row>
    <row r="3949" spans="1:5" ht="26.25" x14ac:dyDescent="0.25">
      <c r="A3949" s="2" t="s">
        <v>2388</v>
      </c>
      <c r="B3949" s="2" t="str">
        <f>"7858816083051"</f>
        <v>7858816083051</v>
      </c>
      <c r="C3949" s="2" t="str">
        <f>"87388305"</f>
        <v>87388305</v>
      </c>
      <c r="D3949" s="2" t="s">
        <v>3297</v>
      </c>
      <c r="E3949" s="4">
        <v>5000</v>
      </c>
    </row>
    <row r="3950" spans="1:5" ht="26.25" x14ac:dyDescent="0.25">
      <c r="A3950" s="2" t="s">
        <v>1596</v>
      </c>
      <c r="B3950" s="2" t="str">
        <f>"7858816083433"</f>
        <v>7858816083433</v>
      </c>
      <c r="C3950" s="2" t="str">
        <f>"87388343"</f>
        <v>87388343</v>
      </c>
      <c r="D3950" s="2" t="s">
        <v>3298</v>
      </c>
      <c r="E3950" s="4">
        <v>15990</v>
      </c>
    </row>
    <row r="3951" spans="1:5" ht="26.25" x14ac:dyDescent="0.25">
      <c r="A3951" s="2" t="s">
        <v>2388</v>
      </c>
      <c r="B3951" s="2" t="str">
        <f>"7858816083440"</f>
        <v>7858816083440</v>
      </c>
      <c r="C3951" s="2" t="str">
        <f>"87388344"</f>
        <v>87388344</v>
      </c>
      <c r="D3951" s="2" t="s">
        <v>3299</v>
      </c>
      <c r="E3951" s="4">
        <v>16990</v>
      </c>
    </row>
    <row r="3952" spans="1:5" ht="26.25" x14ac:dyDescent="0.25">
      <c r="A3952" s="2" t="s">
        <v>2388</v>
      </c>
      <c r="B3952" s="2" t="str">
        <f>"7858816085802"</f>
        <v>7858816085802</v>
      </c>
      <c r="C3952" s="2" t="str">
        <f>"873808580"</f>
        <v>873808580</v>
      </c>
      <c r="D3952" s="2" t="s">
        <v>3300</v>
      </c>
      <c r="E3952" s="4">
        <v>7990</v>
      </c>
    </row>
    <row r="3953" spans="1:5" ht="26.25" x14ac:dyDescent="0.25">
      <c r="A3953" s="2" t="s">
        <v>2388</v>
      </c>
      <c r="B3953" s="2" t="str">
        <f>"7858816088070"</f>
        <v>7858816088070</v>
      </c>
      <c r="C3953" s="2" t="str">
        <f>"87388807"</f>
        <v>87388807</v>
      </c>
      <c r="D3953" s="2" t="s">
        <v>3301</v>
      </c>
      <c r="E3953" s="4">
        <v>7500</v>
      </c>
    </row>
    <row r="3954" spans="1:5" ht="39" x14ac:dyDescent="0.25">
      <c r="A3954" s="2" t="s">
        <v>2388</v>
      </c>
      <c r="B3954" s="2" t="str">
        <f>"8435606820301"</f>
        <v>8435606820301</v>
      </c>
      <c r="C3954" s="2" t="str">
        <f>"8435606820295"</f>
        <v>8435606820295</v>
      </c>
      <c r="D3954" s="2" t="s">
        <v>3302</v>
      </c>
      <c r="E3954" s="4">
        <v>8990</v>
      </c>
    </row>
    <row r="3955" spans="1:5" ht="26.25" x14ac:dyDescent="0.25">
      <c r="A3955" s="2" t="s">
        <v>2388</v>
      </c>
      <c r="B3955" s="2" t="str">
        <f>"8435606820325"</f>
        <v>8435606820325</v>
      </c>
      <c r="C3955" s="2" t="str">
        <f>"87380013"</f>
        <v>87380013</v>
      </c>
      <c r="D3955" s="2" t="s">
        <v>3303</v>
      </c>
      <c r="E3955" s="4">
        <v>6990</v>
      </c>
    </row>
    <row r="3956" spans="1:5" ht="39" x14ac:dyDescent="0.25">
      <c r="A3956" s="2" t="s">
        <v>2388</v>
      </c>
      <c r="B3956" s="2" t="str">
        <f>"8435606820387"</f>
        <v>8435606820387</v>
      </c>
      <c r="C3956" s="2" t="str">
        <f>"8435606820370"</f>
        <v>8435606820370</v>
      </c>
      <c r="D3956" s="2" t="s">
        <v>3304</v>
      </c>
      <c r="E3956" s="4">
        <v>8990</v>
      </c>
    </row>
    <row r="3957" spans="1:5" ht="26.25" x14ac:dyDescent="0.25">
      <c r="A3957" s="2" t="s">
        <v>2388</v>
      </c>
      <c r="B3957" s="2" t="str">
        <f>"17380003"</f>
        <v>17380003</v>
      </c>
      <c r="C3957" s="2" t="str">
        <f>"17380003"</f>
        <v>17380003</v>
      </c>
      <c r="D3957" s="2" t="s">
        <v>3305</v>
      </c>
      <c r="E3957" s="4">
        <v>5700</v>
      </c>
    </row>
    <row r="3958" spans="1:5" ht="26.25" x14ac:dyDescent="0.25">
      <c r="A3958" s="2" t="s">
        <v>2388</v>
      </c>
      <c r="B3958" s="2" t="str">
        <f>"10000555"</f>
        <v>10000555</v>
      </c>
      <c r="C3958" s="2" t="str">
        <f>"10000555"</f>
        <v>10000555</v>
      </c>
      <c r="D3958" s="2" t="s">
        <v>3306</v>
      </c>
      <c r="E3958" s="4">
        <v>3500</v>
      </c>
    </row>
    <row r="3959" spans="1:5" ht="26.25" x14ac:dyDescent="0.25">
      <c r="A3959" s="2" t="s">
        <v>2388</v>
      </c>
      <c r="B3959" s="2" t="str">
        <f>"10000331"</f>
        <v>10000331</v>
      </c>
      <c r="C3959" s="2" t="str">
        <f>"10000331"</f>
        <v>10000331</v>
      </c>
      <c r="D3959" s="2" t="s">
        <v>3307</v>
      </c>
      <c r="E3959" s="4">
        <v>7000</v>
      </c>
    </row>
    <row r="3960" spans="1:5" ht="26.25" x14ac:dyDescent="0.25">
      <c r="A3960" s="2" t="s">
        <v>2388</v>
      </c>
      <c r="B3960" s="2" t="str">
        <f>"7804625560917"</f>
        <v>7804625560917</v>
      </c>
      <c r="C3960" s="2" t="str">
        <f>"42380004"</f>
        <v>42380004</v>
      </c>
      <c r="D3960" s="2" t="s">
        <v>3308</v>
      </c>
      <c r="E3960" s="4">
        <v>7500</v>
      </c>
    </row>
    <row r="3961" spans="1:5" ht="26.25" x14ac:dyDescent="0.25">
      <c r="A3961" s="2" t="s">
        <v>2388</v>
      </c>
      <c r="B3961" s="2" t="str">
        <f>"6931326001638"</f>
        <v>6931326001638</v>
      </c>
      <c r="C3961" s="2" t="str">
        <f>"40381638"</f>
        <v>40381638</v>
      </c>
      <c r="D3961" s="2" t="s">
        <v>3309</v>
      </c>
      <c r="E3961" s="4">
        <v>7990</v>
      </c>
    </row>
    <row r="3962" spans="1:5" ht="26.25" x14ac:dyDescent="0.25">
      <c r="A3962" s="2" t="s">
        <v>2388</v>
      </c>
      <c r="B3962" s="2" t="str">
        <f>"10000140"</f>
        <v>10000140</v>
      </c>
      <c r="C3962" s="2" t="str">
        <f>"10000140"</f>
        <v>10000140</v>
      </c>
      <c r="D3962" s="2" t="s">
        <v>3310</v>
      </c>
      <c r="E3962" s="4">
        <v>4900</v>
      </c>
    </row>
    <row r="3963" spans="1:5" ht="26.25" x14ac:dyDescent="0.25">
      <c r="A3963" s="2" t="s">
        <v>2388</v>
      </c>
      <c r="B3963" s="2" t="str">
        <f>"10015288"</f>
        <v>10015288</v>
      </c>
      <c r="C3963" s="2" t="str">
        <f>"10015288"</f>
        <v>10015288</v>
      </c>
      <c r="D3963" s="2" t="s">
        <v>3311</v>
      </c>
      <c r="E3963" s="4">
        <v>4500</v>
      </c>
    </row>
    <row r="3964" spans="1:5" ht="26.25" x14ac:dyDescent="0.25">
      <c r="A3964" s="2" t="s">
        <v>2388</v>
      </c>
      <c r="B3964" s="2" t="str">
        <f>"7858816053894"</f>
        <v>7858816053894</v>
      </c>
      <c r="C3964" s="2" t="str">
        <f>"87385389"</f>
        <v>87385389</v>
      </c>
      <c r="D3964" s="2" t="s">
        <v>3312</v>
      </c>
      <c r="E3964" s="4">
        <v>7500</v>
      </c>
    </row>
    <row r="3965" spans="1:5" ht="26.25" x14ac:dyDescent="0.25">
      <c r="A3965" s="2" t="s">
        <v>2388</v>
      </c>
      <c r="B3965" s="2" t="str">
        <f>"7638118"</f>
        <v>7638118</v>
      </c>
      <c r="C3965" s="2" t="str">
        <f>"7638118"</f>
        <v>7638118</v>
      </c>
      <c r="D3965" s="2" t="s">
        <v>3313</v>
      </c>
      <c r="E3965" s="4">
        <v>6000</v>
      </c>
    </row>
    <row r="3966" spans="1:5" ht="26.25" x14ac:dyDescent="0.25">
      <c r="A3966" s="2" t="s">
        <v>2388</v>
      </c>
      <c r="B3966" s="2" t="str">
        <f>"10002986"</f>
        <v>10002986</v>
      </c>
      <c r="C3966" s="2" t="str">
        <f>"10002986"</f>
        <v>10002986</v>
      </c>
      <c r="D3966" s="2" t="s">
        <v>3314</v>
      </c>
      <c r="E3966" s="4">
        <v>5000</v>
      </c>
    </row>
    <row r="3967" spans="1:5" ht="26.25" x14ac:dyDescent="0.25">
      <c r="A3967" s="2" t="s">
        <v>2388</v>
      </c>
      <c r="B3967" s="2" t="str">
        <f>"7858816048067"</f>
        <v>7858816048067</v>
      </c>
      <c r="C3967" s="2" t="str">
        <f>"87384806"</f>
        <v>87384806</v>
      </c>
      <c r="D3967" s="2" t="s">
        <v>3315</v>
      </c>
      <c r="E3967" s="4">
        <v>4500</v>
      </c>
    </row>
    <row r="3968" spans="1:5" ht="26.25" x14ac:dyDescent="0.25">
      <c r="A3968" s="2" t="s">
        <v>2388</v>
      </c>
      <c r="B3968" s="2" t="str">
        <f>"40383327"</f>
        <v>40383327</v>
      </c>
      <c r="C3968" s="2" t="str">
        <f>"40383327"</f>
        <v>40383327</v>
      </c>
      <c r="D3968" s="2" t="s">
        <v>3316</v>
      </c>
      <c r="E3968" s="4">
        <v>3500</v>
      </c>
    </row>
    <row r="3969" spans="1:5" ht="26.25" x14ac:dyDescent="0.25">
      <c r="A3969" s="2" t="s">
        <v>2388</v>
      </c>
      <c r="B3969" s="2" t="str">
        <f>"66002136"</f>
        <v>66002136</v>
      </c>
      <c r="C3969" s="2" t="str">
        <f>"66002136"</f>
        <v>66002136</v>
      </c>
      <c r="D3969" s="2" t="s">
        <v>3317</v>
      </c>
      <c r="E3969" s="4">
        <v>3000</v>
      </c>
    </row>
    <row r="3970" spans="1:5" ht="26.25" x14ac:dyDescent="0.25">
      <c r="A3970" s="2" t="s">
        <v>2388</v>
      </c>
      <c r="B3970" s="2" t="str">
        <f>"8819180260188"</f>
        <v>8819180260188</v>
      </c>
      <c r="C3970" s="2" t="str">
        <f>"40380188"</f>
        <v>40380188</v>
      </c>
      <c r="D3970" s="2" t="s">
        <v>3318</v>
      </c>
      <c r="E3970" s="4">
        <v>12990</v>
      </c>
    </row>
    <row r="3971" spans="1:5" ht="26.25" x14ac:dyDescent="0.25">
      <c r="A3971" s="2" t="s">
        <v>2388</v>
      </c>
      <c r="B3971" s="2" t="str">
        <f>"10382385"</f>
        <v>10382385</v>
      </c>
      <c r="C3971" s="2" t="str">
        <f>"10382385"</f>
        <v>10382385</v>
      </c>
      <c r="D3971" s="2" t="s">
        <v>3319</v>
      </c>
      <c r="E3971" s="4">
        <v>2500</v>
      </c>
    </row>
    <row r="3972" spans="1:5" ht="26.25" x14ac:dyDescent="0.25">
      <c r="A3972" s="2" t="s">
        <v>2388</v>
      </c>
      <c r="B3972" s="2" t="str">
        <f>"8617051089056"</f>
        <v>8617051089056</v>
      </c>
      <c r="C3972" s="2" t="str">
        <f>"49380005"</f>
        <v>49380005</v>
      </c>
      <c r="D3972" s="2" t="s">
        <v>3320</v>
      </c>
      <c r="E3972" s="4">
        <v>9000</v>
      </c>
    </row>
    <row r="3973" spans="1:5" ht="26.25" x14ac:dyDescent="0.25">
      <c r="A3973" s="2" t="s">
        <v>2388</v>
      </c>
      <c r="B3973" s="2" t="str">
        <f>"10000059"</f>
        <v>10000059</v>
      </c>
      <c r="C3973" s="2" t="str">
        <f>"10000059"</f>
        <v>10000059</v>
      </c>
      <c r="D3973" s="2" t="s">
        <v>3321</v>
      </c>
      <c r="E3973" s="4">
        <v>3500</v>
      </c>
    </row>
    <row r="3974" spans="1:5" ht="26.25" x14ac:dyDescent="0.25">
      <c r="A3974" s="2" t="s">
        <v>2388</v>
      </c>
      <c r="B3974" s="2" t="str">
        <f>"6971410551434"</f>
        <v>6971410551434</v>
      </c>
      <c r="C3974" s="2" t="str">
        <f>"34380007"</f>
        <v>34380007</v>
      </c>
      <c r="D3974" s="2" t="s">
        <v>3322</v>
      </c>
      <c r="E3974" s="4">
        <v>6000</v>
      </c>
    </row>
    <row r="3975" spans="1:5" ht="26.25" x14ac:dyDescent="0.25">
      <c r="A3975" s="2" t="s">
        <v>2388</v>
      </c>
      <c r="B3975" s="2" t="str">
        <f>"86380004"</f>
        <v>86380004</v>
      </c>
      <c r="C3975" s="2" t="str">
        <f>"86380004"</f>
        <v>86380004</v>
      </c>
      <c r="D3975" s="2" t="s">
        <v>3323</v>
      </c>
      <c r="E3975" s="4">
        <v>1500</v>
      </c>
    </row>
    <row r="3976" spans="1:5" ht="26.25" x14ac:dyDescent="0.25">
      <c r="A3976" s="2" t="s">
        <v>2388</v>
      </c>
      <c r="B3976" s="2" t="str">
        <f>"76382201"</f>
        <v>76382201</v>
      </c>
      <c r="C3976" s="2" t="str">
        <f>"76382201"</f>
        <v>76382201</v>
      </c>
      <c r="D3976" s="2" t="s">
        <v>3324</v>
      </c>
      <c r="E3976" s="4">
        <v>4800</v>
      </c>
    </row>
    <row r="3977" spans="1:5" ht="26.25" x14ac:dyDescent="0.25">
      <c r="A3977" s="2" t="s">
        <v>2388</v>
      </c>
      <c r="B3977" s="2" t="str">
        <f>"025215496905"</f>
        <v>025215496905</v>
      </c>
      <c r="C3977" s="2" t="str">
        <f>"60380004"</f>
        <v>60380004</v>
      </c>
      <c r="D3977" s="2" t="s">
        <v>3325</v>
      </c>
      <c r="E3977" s="4">
        <v>5000</v>
      </c>
    </row>
    <row r="3978" spans="1:5" ht="26.25" x14ac:dyDescent="0.25">
      <c r="A3978" s="2" t="s">
        <v>2388</v>
      </c>
      <c r="B3978" s="2" t="str">
        <f>"7858816048128"</f>
        <v>7858816048128</v>
      </c>
      <c r="C3978" s="2" t="str">
        <f>"87384812"</f>
        <v>87384812</v>
      </c>
      <c r="D3978" s="2" t="s">
        <v>3326</v>
      </c>
      <c r="E3978" s="4">
        <v>5500</v>
      </c>
    </row>
    <row r="3979" spans="1:5" ht="26.25" x14ac:dyDescent="0.25">
      <c r="A3979" s="2" t="s">
        <v>2388</v>
      </c>
      <c r="B3979" s="2" t="str">
        <f>"7858816049453"</f>
        <v>7858816049453</v>
      </c>
      <c r="C3979" s="2" t="str">
        <f>"87384945"</f>
        <v>87384945</v>
      </c>
      <c r="D3979" s="2" t="s">
        <v>3327</v>
      </c>
      <c r="E3979" s="4">
        <v>6000</v>
      </c>
    </row>
    <row r="3980" spans="1:5" ht="26.25" x14ac:dyDescent="0.25">
      <c r="A3980" s="2" t="s">
        <v>2388</v>
      </c>
      <c r="B3980" s="2" t="str">
        <f>"8002016192209"</f>
        <v>8002016192209</v>
      </c>
      <c r="C3980" s="2" t="str">
        <f>"18383018"</f>
        <v>18383018</v>
      </c>
      <c r="D3980" s="2" t="s">
        <v>3328</v>
      </c>
      <c r="E3980" s="4">
        <v>6500</v>
      </c>
    </row>
    <row r="3981" spans="1:5" ht="26.25" x14ac:dyDescent="0.25">
      <c r="A3981" s="2" t="s">
        <v>2388</v>
      </c>
      <c r="B3981" s="2" t="str">
        <f>"52380001"</f>
        <v>52380001</v>
      </c>
      <c r="C3981" s="2" t="str">
        <f>"52380001"</f>
        <v>52380001</v>
      </c>
      <c r="D3981" s="2" t="s">
        <v>3329</v>
      </c>
      <c r="E3981" s="4">
        <v>2000</v>
      </c>
    </row>
    <row r="3982" spans="1:5" ht="26.25" x14ac:dyDescent="0.25">
      <c r="A3982" s="2" t="s">
        <v>2388</v>
      </c>
      <c r="B3982" s="2" t="str">
        <f>"6954851235620"</f>
        <v>6954851235620</v>
      </c>
      <c r="C3982" s="2" t="str">
        <f>"49380010"</f>
        <v>49380010</v>
      </c>
      <c r="D3982" s="2" t="s">
        <v>3330</v>
      </c>
      <c r="E3982" s="4">
        <v>9400</v>
      </c>
    </row>
    <row r="3983" spans="1:5" ht="26.25" x14ac:dyDescent="0.25">
      <c r="A3983" s="2" t="s">
        <v>2388</v>
      </c>
      <c r="B3983" s="2" t="str">
        <f>"40380005"</f>
        <v>40380005</v>
      </c>
      <c r="C3983" s="2" t="str">
        <f>"40380005"</f>
        <v>40380005</v>
      </c>
      <c r="D3983" s="2" t="s">
        <v>3331</v>
      </c>
      <c r="E3983" s="4">
        <v>15000</v>
      </c>
    </row>
    <row r="3984" spans="1:5" ht="26.25" x14ac:dyDescent="0.25">
      <c r="A3984" s="2" t="s">
        <v>2388</v>
      </c>
      <c r="B3984" s="2" t="str">
        <f>"7804625561471"</f>
        <v>7804625561471</v>
      </c>
      <c r="C3984" s="2" t="str">
        <f>"42380006"</f>
        <v>42380006</v>
      </c>
      <c r="D3984" s="2" t="s">
        <v>3332</v>
      </c>
      <c r="E3984" s="4">
        <v>8500</v>
      </c>
    </row>
    <row r="3985" spans="1:5" ht="26.25" x14ac:dyDescent="0.25">
      <c r="A3985" s="2" t="s">
        <v>2388</v>
      </c>
      <c r="B3985" s="2" t="str">
        <f>"7895623050579"</f>
        <v>7895623050579</v>
      </c>
      <c r="C3985" s="2" t="str">
        <f>"66385057"</f>
        <v>66385057</v>
      </c>
      <c r="D3985" s="2" t="s">
        <v>3333</v>
      </c>
      <c r="E3985" s="4">
        <v>6500</v>
      </c>
    </row>
    <row r="3986" spans="1:5" ht="26.25" x14ac:dyDescent="0.25">
      <c r="A3986" s="2" t="s">
        <v>2388</v>
      </c>
      <c r="B3986" s="2" t="str">
        <f>"8002016181302"</f>
        <v>8002016181302</v>
      </c>
      <c r="C3986" s="2" t="str">
        <f>"18382220"</f>
        <v>18382220</v>
      </c>
      <c r="D3986" s="2" t="s">
        <v>3334</v>
      </c>
      <c r="E3986" s="4">
        <v>4500</v>
      </c>
    </row>
    <row r="3987" spans="1:5" ht="26.25" x14ac:dyDescent="0.25">
      <c r="A3987" s="2" t="s">
        <v>2388</v>
      </c>
      <c r="B3987" s="2" t="str">
        <f>"86380002"</f>
        <v>86380002</v>
      </c>
      <c r="C3987" s="2" t="str">
        <f>"86380002"</f>
        <v>86380002</v>
      </c>
      <c r="D3987" s="2" t="s">
        <v>3335</v>
      </c>
      <c r="E3987" s="4">
        <v>5000</v>
      </c>
    </row>
    <row r="3988" spans="1:5" ht="26.25" x14ac:dyDescent="0.25">
      <c r="A3988" s="2" t="s">
        <v>2388</v>
      </c>
      <c r="B3988" s="2" t="str">
        <f>"34380002"</f>
        <v>34380002</v>
      </c>
      <c r="C3988" s="2" t="str">
        <f>"34380002"</f>
        <v>34380002</v>
      </c>
      <c r="D3988" s="2" t="s">
        <v>3336</v>
      </c>
      <c r="E3988" s="4">
        <v>6500</v>
      </c>
    </row>
    <row r="3989" spans="1:5" ht="26.25" x14ac:dyDescent="0.25">
      <c r="A3989" s="2" t="s">
        <v>2388</v>
      </c>
      <c r="B3989" s="2" t="str">
        <f>"34380001"</f>
        <v>34380001</v>
      </c>
      <c r="C3989" s="2" t="str">
        <f>"34380001"</f>
        <v>34380001</v>
      </c>
      <c r="D3989" s="2" t="s">
        <v>3337</v>
      </c>
      <c r="E3989" s="4">
        <v>6000</v>
      </c>
    </row>
    <row r="3990" spans="1:5" ht="26.25" x14ac:dyDescent="0.25">
      <c r="A3990" s="2" t="s">
        <v>2388</v>
      </c>
      <c r="B3990" s="2" t="str">
        <f>"1578761687499"</f>
        <v>1578761687499</v>
      </c>
      <c r="C3990" s="2" t="str">
        <f>"40387499"</f>
        <v>40387499</v>
      </c>
      <c r="D3990" s="2" t="s">
        <v>3338</v>
      </c>
      <c r="E3990" s="4">
        <v>9990</v>
      </c>
    </row>
    <row r="3991" spans="1:5" ht="26.25" x14ac:dyDescent="0.25">
      <c r="A3991" s="2" t="s">
        <v>2388</v>
      </c>
      <c r="B3991" s="2" t="str">
        <f>"87381230"</f>
        <v>87381230</v>
      </c>
      <c r="C3991" s="2" t="str">
        <f>"87381230"</f>
        <v>87381230</v>
      </c>
      <c r="D3991" s="2" t="s">
        <v>3339</v>
      </c>
      <c r="E3991" s="4">
        <v>6600</v>
      </c>
    </row>
    <row r="3992" spans="1:5" ht="26.25" x14ac:dyDescent="0.25">
      <c r="A3992" s="2" t="s">
        <v>2388</v>
      </c>
      <c r="B3992" s="2" t="str">
        <f>"10003124"</f>
        <v>10003124</v>
      </c>
      <c r="C3992" s="2" t="str">
        <f>"10003124"</f>
        <v>10003124</v>
      </c>
      <c r="D3992" s="2" t="s">
        <v>3340</v>
      </c>
      <c r="E3992" s="4">
        <v>6990</v>
      </c>
    </row>
    <row r="3993" spans="1:5" ht="26.25" x14ac:dyDescent="0.25">
      <c r="A3993" s="2" t="s">
        <v>2388</v>
      </c>
      <c r="B3993" s="2" t="str">
        <f>"7858816042720"</f>
        <v>7858816042720</v>
      </c>
      <c r="C3993" s="2" t="str">
        <f>"87384272"</f>
        <v>87384272</v>
      </c>
      <c r="D3993" s="2" t="s">
        <v>3341</v>
      </c>
      <c r="E3993" s="4">
        <v>1200</v>
      </c>
    </row>
    <row r="3994" spans="1:5" ht="26.25" x14ac:dyDescent="0.25">
      <c r="A3994" s="2" t="s">
        <v>2388</v>
      </c>
      <c r="B3994" s="2" t="str">
        <f>"87001231"</f>
        <v>87001231</v>
      </c>
      <c r="C3994" s="2" t="str">
        <f>"87001231"</f>
        <v>87001231</v>
      </c>
      <c r="D3994" s="2" t="s">
        <v>3342</v>
      </c>
      <c r="E3994" s="4">
        <v>5400</v>
      </c>
    </row>
    <row r="3995" spans="1:5" ht="26.25" x14ac:dyDescent="0.25">
      <c r="A3995" s="2" t="s">
        <v>21</v>
      </c>
      <c r="B3995" s="2" t="str">
        <f>"10002558"</f>
        <v>10002558</v>
      </c>
      <c r="C3995" s="2" t="str">
        <f>"10002558"</f>
        <v>10002558</v>
      </c>
      <c r="D3995" s="2" t="s">
        <v>3343</v>
      </c>
      <c r="E3995" s="4">
        <v>7500</v>
      </c>
    </row>
    <row r="3996" spans="1:5" ht="26.25" x14ac:dyDescent="0.25">
      <c r="A3996" s="2" t="s">
        <v>21</v>
      </c>
      <c r="B3996" s="2" t="str">
        <f>"10003227"</f>
        <v>10003227</v>
      </c>
      <c r="C3996" s="2" t="str">
        <f>"10003227"</f>
        <v>10003227</v>
      </c>
      <c r="D3996" s="2" t="s">
        <v>3344</v>
      </c>
      <c r="E3996" s="4">
        <v>5500</v>
      </c>
    </row>
    <row r="3997" spans="1:5" ht="26.25" x14ac:dyDescent="0.25">
      <c r="A3997" s="2" t="s">
        <v>154</v>
      </c>
      <c r="B3997" s="2" t="str">
        <f>"10002358"</f>
        <v>10002358</v>
      </c>
      <c r="C3997" s="2" t="str">
        <f>"10002358"</f>
        <v>10002358</v>
      </c>
      <c r="D3997" s="2" t="s">
        <v>3345</v>
      </c>
      <c r="E3997" s="4">
        <v>8000</v>
      </c>
    </row>
    <row r="3998" spans="1:5" ht="26.25" x14ac:dyDescent="0.25">
      <c r="A3998" s="2" t="s">
        <v>21</v>
      </c>
      <c r="B3998" s="2" t="str">
        <f>"10003403"</f>
        <v>10003403</v>
      </c>
      <c r="C3998" s="2" t="str">
        <f>"10003403"</f>
        <v>10003403</v>
      </c>
      <c r="D3998" s="2" t="s">
        <v>3346</v>
      </c>
      <c r="E3998" s="4">
        <v>5500</v>
      </c>
    </row>
    <row r="3999" spans="1:5" ht="26.25" x14ac:dyDescent="0.25">
      <c r="A3999" s="2" t="s">
        <v>21</v>
      </c>
      <c r="B3999" s="2" t="str">
        <f>"10003197"</f>
        <v>10003197</v>
      </c>
      <c r="C3999" s="2" t="str">
        <f>"10003197"</f>
        <v>10003197</v>
      </c>
      <c r="D3999" s="2" t="s">
        <v>3347</v>
      </c>
      <c r="E3999" s="4">
        <v>5000</v>
      </c>
    </row>
    <row r="4000" spans="1:5" ht="26.25" x14ac:dyDescent="0.25">
      <c r="A4000" s="2" t="s">
        <v>2388</v>
      </c>
      <c r="B4000" s="2" t="str">
        <f>"6901826817282"</f>
        <v>6901826817282</v>
      </c>
      <c r="C4000" s="2" t="str">
        <f>"10381544"</f>
        <v>10381544</v>
      </c>
      <c r="D4000" s="2" t="s">
        <v>3348</v>
      </c>
      <c r="E4000" s="4">
        <v>7500</v>
      </c>
    </row>
    <row r="4001" spans="1:5" ht="26.25" x14ac:dyDescent="0.25">
      <c r="A4001" s="2" t="s">
        <v>2388</v>
      </c>
      <c r="B4001" s="2" t="str">
        <f>"10001090"</f>
        <v>10001090</v>
      </c>
      <c r="C4001" s="2" t="str">
        <f>"10001090"</f>
        <v>10001090</v>
      </c>
      <c r="D4001" s="2" t="s">
        <v>3349</v>
      </c>
      <c r="E4001" s="4">
        <v>3500</v>
      </c>
    </row>
    <row r="4002" spans="1:5" ht="26.25" x14ac:dyDescent="0.25">
      <c r="A4002" s="2" t="s">
        <v>2388</v>
      </c>
      <c r="B4002" s="2" t="str">
        <f>"10383456"</f>
        <v>10383456</v>
      </c>
      <c r="C4002" s="2" t="str">
        <f>"10383456"</f>
        <v>10383456</v>
      </c>
      <c r="D4002" s="2" t="s">
        <v>3350</v>
      </c>
      <c r="E4002" s="4">
        <v>4100</v>
      </c>
    </row>
    <row r="4003" spans="1:5" ht="26.25" x14ac:dyDescent="0.25">
      <c r="A4003" s="2" t="s">
        <v>2388</v>
      </c>
      <c r="B4003" s="2" t="str">
        <f>"10002218"</f>
        <v>10002218</v>
      </c>
      <c r="C4003" s="2" t="str">
        <f>"10002218"</f>
        <v>10002218</v>
      </c>
      <c r="D4003" s="2" t="s">
        <v>3351</v>
      </c>
      <c r="E4003" s="4">
        <v>3000</v>
      </c>
    </row>
    <row r="4004" spans="1:5" ht="26.25" x14ac:dyDescent="0.25">
      <c r="A4004" s="2" t="s">
        <v>2388</v>
      </c>
      <c r="B4004" s="2" t="str">
        <f>"10000329"</f>
        <v>10000329</v>
      </c>
      <c r="C4004" s="2" t="str">
        <f>"10000329"</f>
        <v>10000329</v>
      </c>
      <c r="D4004" s="2" t="s">
        <v>3352</v>
      </c>
      <c r="E4004" s="4">
        <v>12990</v>
      </c>
    </row>
    <row r="4005" spans="1:5" ht="26.25" x14ac:dyDescent="0.25">
      <c r="A4005" s="2" t="s">
        <v>49</v>
      </c>
      <c r="B4005" s="2" t="str">
        <f>"7858816081903"</f>
        <v>7858816081903</v>
      </c>
      <c r="C4005" s="2" t="str">
        <f>"87938190"</f>
        <v>87938190</v>
      </c>
      <c r="D4005" s="2" t="s">
        <v>3353</v>
      </c>
      <c r="E4005" s="4">
        <v>11990</v>
      </c>
    </row>
    <row r="4006" spans="1:5" ht="26.25" x14ac:dyDescent="0.25">
      <c r="A4006" s="2" t="s">
        <v>49</v>
      </c>
      <c r="B4006" s="2" t="str">
        <f>"7858816081989"</f>
        <v>7858816081989</v>
      </c>
      <c r="C4006" s="2" t="str">
        <f>"87938198"</f>
        <v>87938198</v>
      </c>
      <c r="D4006" s="2" t="s">
        <v>3354</v>
      </c>
      <c r="E4006" s="4">
        <v>5990</v>
      </c>
    </row>
    <row r="4007" spans="1:5" ht="26.25" x14ac:dyDescent="0.25">
      <c r="A4007" s="2" t="s">
        <v>2388</v>
      </c>
      <c r="B4007" s="2" t="str">
        <f>"10000064"</f>
        <v>10000064</v>
      </c>
      <c r="C4007" s="2" t="str">
        <f>"10000064"</f>
        <v>10000064</v>
      </c>
      <c r="D4007" s="2" t="s">
        <v>3355</v>
      </c>
      <c r="E4007" s="4">
        <v>9990</v>
      </c>
    </row>
    <row r="4008" spans="1:5" ht="26.25" x14ac:dyDescent="0.25">
      <c r="A4008" s="2" t="s">
        <v>2388</v>
      </c>
      <c r="B4008" s="2" t="str">
        <f>"4710007714102"</f>
        <v>4710007714102</v>
      </c>
      <c r="C4008" s="2" t="str">
        <f>"65384102"</f>
        <v>65384102</v>
      </c>
      <c r="D4008" s="2" t="s">
        <v>3356</v>
      </c>
      <c r="E4008" s="4">
        <v>6500</v>
      </c>
    </row>
    <row r="4009" spans="1:5" ht="26.25" x14ac:dyDescent="0.25">
      <c r="A4009" s="2" t="s">
        <v>2388</v>
      </c>
      <c r="B4009" s="2" t="str">
        <f>"10002612"</f>
        <v>10002612</v>
      </c>
      <c r="C4009" s="2" t="str">
        <f>"10002612"</f>
        <v>10002612</v>
      </c>
      <c r="D4009" s="2" t="s">
        <v>3357</v>
      </c>
      <c r="E4009" s="4">
        <v>8500</v>
      </c>
    </row>
    <row r="4010" spans="1:5" ht="26.25" x14ac:dyDescent="0.25">
      <c r="A4010" s="2" t="s">
        <v>2388</v>
      </c>
      <c r="B4010" s="2" t="str">
        <f>"66380001"</f>
        <v>66380001</v>
      </c>
      <c r="C4010" s="2" t="str">
        <f>"66380001"</f>
        <v>66380001</v>
      </c>
      <c r="D4010" s="2" t="s">
        <v>3358</v>
      </c>
      <c r="E4010" s="4">
        <v>2800</v>
      </c>
    </row>
    <row r="4011" spans="1:5" ht="26.25" x14ac:dyDescent="0.25">
      <c r="A4011" s="2" t="s">
        <v>2388</v>
      </c>
      <c r="B4011" s="2" t="str">
        <f>"68386801"</f>
        <v>68386801</v>
      </c>
      <c r="C4011" s="2" t="str">
        <f>"68386801"</f>
        <v>68386801</v>
      </c>
      <c r="D4011" s="2" t="s">
        <v>3359</v>
      </c>
      <c r="E4011" s="4">
        <v>8000</v>
      </c>
    </row>
    <row r="4012" spans="1:5" ht="26.25" x14ac:dyDescent="0.25">
      <c r="A4012" s="2" t="s">
        <v>919</v>
      </c>
      <c r="B4012" s="2" t="str">
        <f>"66001483"</f>
        <v>66001483</v>
      </c>
      <c r="C4012" s="2" t="str">
        <f>"66001483"</f>
        <v>66001483</v>
      </c>
      <c r="D4012" s="2" t="s">
        <v>3360</v>
      </c>
      <c r="E4012" s="4">
        <v>8000</v>
      </c>
    </row>
    <row r="4013" spans="1:5" ht="26.25" x14ac:dyDescent="0.25">
      <c r="A4013" s="2" t="s">
        <v>919</v>
      </c>
      <c r="B4013" s="2" t="str">
        <f>"76001000"</f>
        <v>76001000</v>
      </c>
      <c r="C4013" s="2" t="str">
        <f>"76001000"</f>
        <v>76001000</v>
      </c>
      <c r="D4013" s="2" t="s">
        <v>3361</v>
      </c>
      <c r="E4013" s="4">
        <v>21900</v>
      </c>
    </row>
    <row r="4014" spans="1:5" ht="26.25" x14ac:dyDescent="0.25">
      <c r="A4014" s="2" t="s">
        <v>919</v>
      </c>
      <c r="B4014" s="2" t="str">
        <f>"760010000"</f>
        <v>760010000</v>
      </c>
      <c r="C4014" s="2" t="str">
        <f>"760010000"</f>
        <v>760010000</v>
      </c>
      <c r="D4014" s="2" t="s">
        <v>3361</v>
      </c>
      <c r="E4014" s="4">
        <v>21900</v>
      </c>
    </row>
    <row r="4015" spans="1:5" ht="26.25" x14ac:dyDescent="0.25">
      <c r="A4015" s="2" t="s">
        <v>919</v>
      </c>
      <c r="B4015" s="2" t="str">
        <f>"158174999078"</f>
        <v>158174999078</v>
      </c>
      <c r="C4015" s="2" t="str">
        <f>"765510000"</f>
        <v>765510000</v>
      </c>
      <c r="D4015" s="2" t="s">
        <v>3362</v>
      </c>
      <c r="E4015" s="4">
        <v>16000</v>
      </c>
    </row>
    <row r="4016" spans="1:5" ht="26.25" x14ac:dyDescent="0.25">
      <c r="A4016" s="2" t="s">
        <v>919</v>
      </c>
      <c r="B4016" s="2" t="str">
        <f>"6922879540101"</f>
        <v>6922879540101</v>
      </c>
      <c r="C4016" s="2" t="str">
        <f>"40550101"</f>
        <v>40550101</v>
      </c>
      <c r="D4016" s="2" t="s">
        <v>3362</v>
      </c>
      <c r="E4016" s="4">
        <v>14990</v>
      </c>
    </row>
    <row r="4017" spans="1:5" ht="26.25" x14ac:dyDescent="0.25">
      <c r="A4017" s="2" t="s">
        <v>919</v>
      </c>
      <c r="B4017" s="2" t="str">
        <f>"7804612213086"</f>
        <v>7804612213086</v>
      </c>
      <c r="C4017" s="2" t="str">
        <f>"98551000"</f>
        <v>98551000</v>
      </c>
      <c r="D4017" s="2" t="s">
        <v>3363</v>
      </c>
      <c r="E4017" s="4">
        <v>20990</v>
      </c>
    </row>
    <row r="4018" spans="1:5" ht="26.25" x14ac:dyDescent="0.25">
      <c r="A4018" s="2" t="s">
        <v>919</v>
      </c>
      <c r="B4018" s="2" t="str">
        <f>"6918888888075"</f>
        <v>6918888888075</v>
      </c>
      <c r="C4018" s="2" t="str">
        <f>"40550002"</f>
        <v>40550002</v>
      </c>
      <c r="D4018" s="2" t="s">
        <v>3364</v>
      </c>
      <c r="E4018" s="4">
        <v>15990</v>
      </c>
    </row>
    <row r="4019" spans="1:5" ht="26.25" x14ac:dyDescent="0.25">
      <c r="A4019" s="2" t="s">
        <v>919</v>
      </c>
      <c r="B4019" s="2" t="str">
        <f>"6978086958659"</f>
        <v>6978086958659</v>
      </c>
      <c r="C4019" s="2" t="str">
        <f>"76551000"</f>
        <v>76551000</v>
      </c>
      <c r="D4019" s="2" t="s">
        <v>3365</v>
      </c>
      <c r="E4019" s="4">
        <v>11990</v>
      </c>
    </row>
    <row r="4020" spans="1:5" ht="26.25" x14ac:dyDescent="0.25">
      <c r="A4020" s="2" t="s">
        <v>919</v>
      </c>
      <c r="B4020" s="2" t="str">
        <f>"7808748510767"</f>
        <v>7808748510767</v>
      </c>
      <c r="C4020" s="2" t="str">
        <f>"98550767"</f>
        <v>98550767</v>
      </c>
      <c r="D4020" s="2" t="s">
        <v>3366</v>
      </c>
      <c r="E4020" s="4">
        <v>19990</v>
      </c>
    </row>
    <row r="4021" spans="1:5" ht="26.25" x14ac:dyDescent="0.25">
      <c r="A4021" s="2" t="s">
        <v>919</v>
      </c>
      <c r="B4021" s="2" t="str">
        <f>"76557015"</f>
        <v>76557015</v>
      </c>
      <c r="C4021" s="2" t="str">
        <f>"76557015"</f>
        <v>76557015</v>
      </c>
      <c r="D4021" s="2" t="s">
        <v>3367</v>
      </c>
      <c r="E4021" s="4">
        <v>19800</v>
      </c>
    </row>
    <row r="4022" spans="1:5" ht="26.25" x14ac:dyDescent="0.25">
      <c r="A4022" s="2" t="s">
        <v>919</v>
      </c>
      <c r="B4022" s="2" t="str">
        <f>"6923470012554"</f>
        <v>6923470012554</v>
      </c>
      <c r="C4022" s="2" t="str">
        <f>"76550622"</f>
        <v>76550622</v>
      </c>
      <c r="D4022" s="2" t="s">
        <v>3368</v>
      </c>
      <c r="E4022" s="4">
        <v>16990</v>
      </c>
    </row>
    <row r="4023" spans="1:5" ht="26.25" x14ac:dyDescent="0.25">
      <c r="A4023" s="2" t="s">
        <v>919</v>
      </c>
      <c r="B4023" s="2" t="str">
        <f>"6995411110148"</f>
        <v>6995411110148</v>
      </c>
      <c r="C4023" s="2" t="str">
        <f>"76554010"</f>
        <v>76554010</v>
      </c>
      <c r="D4023" s="2" t="s">
        <v>3369</v>
      </c>
      <c r="E4023" s="4">
        <v>16990</v>
      </c>
    </row>
    <row r="4024" spans="1:5" ht="26.25" x14ac:dyDescent="0.25">
      <c r="A4024" s="2" t="s">
        <v>919</v>
      </c>
      <c r="B4024" s="2" t="str">
        <f>"76551009"</f>
        <v>76551009</v>
      </c>
      <c r="C4024" s="2" t="str">
        <f>"76551009"</f>
        <v>76551009</v>
      </c>
      <c r="D4024" s="2" t="s">
        <v>3370</v>
      </c>
      <c r="E4024" s="4">
        <v>16990</v>
      </c>
    </row>
    <row r="4025" spans="1:5" ht="26.25" x14ac:dyDescent="0.25">
      <c r="A4025" s="2" t="s">
        <v>919</v>
      </c>
      <c r="B4025" s="2" t="str">
        <f>"6951613998472"</f>
        <v>6951613998472</v>
      </c>
      <c r="C4025" s="2" t="str">
        <f>"98551710"</f>
        <v>98551710</v>
      </c>
      <c r="D4025" s="2" t="s">
        <v>3371</v>
      </c>
      <c r="E4025" s="4">
        <v>21990</v>
      </c>
    </row>
    <row r="4026" spans="1:5" ht="26.25" x14ac:dyDescent="0.25">
      <c r="A4026" s="2" t="s">
        <v>919</v>
      </c>
      <c r="B4026" s="2" t="str">
        <f>"6954851286264"</f>
        <v>6954851286264</v>
      </c>
      <c r="C4026" s="2" t="str">
        <f>"68550088"</f>
        <v>68550088</v>
      </c>
      <c r="D4026" s="2" t="s">
        <v>3372</v>
      </c>
      <c r="E4026" s="4">
        <v>19990</v>
      </c>
    </row>
    <row r="4027" spans="1:5" ht="26.25" x14ac:dyDescent="0.25">
      <c r="A4027" s="2" t="s">
        <v>919</v>
      </c>
      <c r="B4027" s="2" t="str">
        <f>"6954851282532"</f>
        <v>6954851282532</v>
      </c>
      <c r="C4027" s="2" t="str">
        <f>"68550880"</f>
        <v>68550880</v>
      </c>
      <c r="D4027" s="2" t="s">
        <v>3372</v>
      </c>
      <c r="E4027" s="4">
        <v>19990</v>
      </c>
    </row>
    <row r="4028" spans="1:5" ht="39" x14ac:dyDescent="0.25">
      <c r="A4028" s="2" t="s">
        <v>919</v>
      </c>
      <c r="B4028" s="2" t="str">
        <f>"8944870155649"</f>
        <v>8944870155649</v>
      </c>
      <c r="C4028" s="2" t="str">
        <f>"8944870155656"</f>
        <v>8944870155656</v>
      </c>
      <c r="D4028" s="2" t="s">
        <v>3373</v>
      </c>
      <c r="E4028" s="4">
        <v>16990</v>
      </c>
    </row>
    <row r="4029" spans="1:5" ht="26.25" x14ac:dyDescent="0.25">
      <c r="A4029" s="2" t="s">
        <v>919</v>
      </c>
      <c r="B4029" s="2" t="str">
        <f>"10002966"</f>
        <v>10002966</v>
      </c>
      <c r="C4029" s="2" t="str">
        <f>"10002966"</f>
        <v>10002966</v>
      </c>
      <c r="D4029" s="2" t="s">
        <v>3374</v>
      </c>
      <c r="E4029" s="4">
        <v>6000</v>
      </c>
    </row>
    <row r="4030" spans="1:5" ht="26.25" x14ac:dyDescent="0.25">
      <c r="A4030" s="2" t="s">
        <v>919</v>
      </c>
      <c r="B4030" s="2" t="str">
        <f>"42700454"</f>
        <v>42700454</v>
      </c>
      <c r="C4030" s="2" t="str">
        <f>"42700454"</f>
        <v>42700454</v>
      </c>
      <c r="D4030" s="2" t="s">
        <v>3375</v>
      </c>
      <c r="E4030" s="4">
        <v>15600</v>
      </c>
    </row>
    <row r="4031" spans="1:5" ht="26.25" x14ac:dyDescent="0.25">
      <c r="A4031" s="2" t="s">
        <v>919</v>
      </c>
      <c r="B4031" s="2" t="str">
        <f>"7804625561037"</f>
        <v>7804625561037</v>
      </c>
      <c r="C4031" s="2" t="str">
        <f>"42700455"</f>
        <v>42700455</v>
      </c>
      <c r="D4031" s="2" t="s">
        <v>3376</v>
      </c>
      <c r="E4031" s="4">
        <v>15900</v>
      </c>
    </row>
    <row r="4032" spans="1:5" ht="26.25" x14ac:dyDescent="0.25">
      <c r="A4032" s="2" t="s">
        <v>919</v>
      </c>
      <c r="B4032" s="2" t="str">
        <f>"17011000"</f>
        <v>17011000</v>
      </c>
      <c r="C4032" s="2" t="str">
        <f>"17011000"</f>
        <v>17011000</v>
      </c>
      <c r="D4032" s="2" t="s">
        <v>3377</v>
      </c>
      <c r="E4032" s="4">
        <v>19000</v>
      </c>
    </row>
    <row r="4033" spans="1:5" ht="26.25" x14ac:dyDescent="0.25">
      <c r="A4033" s="2" t="s">
        <v>919</v>
      </c>
      <c r="B4033" s="2" t="str">
        <f>"10001329"</f>
        <v>10001329</v>
      </c>
      <c r="C4033" s="2" t="str">
        <f>"10001329"</f>
        <v>10001329</v>
      </c>
      <c r="D4033" s="2" t="s">
        <v>3378</v>
      </c>
      <c r="E4033" s="4">
        <v>8500</v>
      </c>
    </row>
    <row r="4034" spans="1:5" ht="26.25" x14ac:dyDescent="0.25">
      <c r="A4034" s="2" t="s">
        <v>919</v>
      </c>
      <c r="B4034" s="2" t="str">
        <f>"6925871628716"</f>
        <v>6925871628716</v>
      </c>
      <c r="C4034" s="2" t="str">
        <f>"22552871"</f>
        <v>22552871</v>
      </c>
      <c r="D4034" s="2" t="s">
        <v>3379</v>
      </c>
      <c r="E4034" s="4">
        <v>21000</v>
      </c>
    </row>
    <row r="4035" spans="1:5" ht="26.25" x14ac:dyDescent="0.25">
      <c r="A4035" s="2" t="s">
        <v>919</v>
      </c>
      <c r="B4035" s="2" t="str">
        <f>"22550005"</f>
        <v>22550005</v>
      </c>
      <c r="C4035" s="2" t="str">
        <f>"22550005"</f>
        <v>22550005</v>
      </c>
      <c r="D4035" s="2" t="s">
        <v>3380</v>
      </c>
      <c r="E4035" s="4">
        <v>11990</v>
      </c>
    </row>
    <row r="4036" spans="1:5" ht="26.25" x14ac:dyDescent="0.25">
      <c r="A4036" s="2" t="s">
        <v>919</v>
      </c>
      <c r="B4036" s="2" t="str">
        <f>"10002743"</f>
        <v>10002743</v>
      </c>
      <c r="C4036" s="2" t="str">
        <f>"10002743"</f>
        <v>10002743</v>
      </c>
      <c r="D4036" s="2" t="s">
        <v>3381</v>
      </c>
      <c r="E4036" s="4">
        <v>9900</v>
      </c>
    </row>
    <row r="4037" spans="1:5" ht="26.25" x14ac:dyDescent="0.25">
      <c r="A4037" s="2" t="s">
        <v>919</v>
      </c>
      <c r="B4037" s="2" t="str">
        <f>"6925871623025"</f>
        <v>6925871623025</v>
      </c>
      <c r="C4037" s="2" t="str">
        <f>"22552302"</f>
        <v>22552302</v>
      </c>
      <c r="D4037" s="2" t="s">
        <v>3382</v>
      </c>
      <c r="E4037" s="4">
        <v>18990</v>
      </c>
    </row>
    <row r="4038" spans="1:5" ht="26.25" x14ac:dyDescent="0.25">
      <c r="A4038" s="2" t="s">
        <v>919</v>
      </c>
      <c r="B4038" s="2" t="str">
        <f>"6925871623049"</f>
        <v>6925871623049</v>
      </c>
      <c r="C4038" s="2" t="str">
        <f>"22552304"</f>
        <v>22552304</v>
      </c>
      <c r="D4038" s="2" t="s">
        <v>3383</v>
      </c>
      <c r="E4038" s="4">
        <v>14990</v>
      </c>
    </row>
    <row r="4039" spans="1:5" ht="26.25" x14ac:dyDescent="0.25">
      <c r="A4039" s="2" t="s">
        <v>919</v>
      </c>
      <c r="B4039" s="2" t="str">
        <f>"87001563"</f>
        <v>87001563</v>
      </c>
      <c r="C4039" s="2" t="str">
        <f>"87001563"</f>
        <v>87001563</v>
      </c>
      <c r="D4039" s="2" t="s">
        <v>3384</v>
      </c>
      <c r="E4039" s="4">
        <v>19500</v>
      </c>
    </row>
    <row r="4040" spans="1:5" ht="26.25" x14ac:dyDescent="0.25">
      <c r="A4040" s="2" t="s">
        <v>919</v>
      </c>
      <c r="B4040" s="2" t="str">
        <f>"10552195"</f>
        <v>10552195</v>
      </c>
      <c r="C4040" s="2" t="str">
        <f>"10552195"</f>
        <v>10552195</v>
      </c>
      <c r="D4040" s="2" t="s">
        <v>3385</v>
      </c>
      <c r="E4040" s="4">
        <v>15500</v>
      </c>
    </row>
    <row r="4041" spans="1:5" ht="26.25" x14ac:dyDescent="0.25">
      <c r="A4041" s="2" t="s">
        <v>919</v>
      </c>
      <c r="B4041" s="2" t="str">
        <f>"10111121"</f>
        <v>10111121</v>
      </c>
      <c r="C4041" s="2" t="str">
        <f>"10111121"</f>
        <v>10111121</v>
      </c>
      <c r="D4041" s="2" t="s">
        <v>3386</v>
      </c>
      <c r="E4041" s="4">
        <v>14000</v>
      </c>
    </row>
    <row r="4042" spans="1:5" ht="26.25" x14ac:dyDescent="0.25">
      <c r="A4042" s="2" t="s">
        <v>919</v>
      </c>
      <c r="B4042" s="2" t="str">
        <f>"6954284088770"</f>
        <v>6954284088770</v>
      </c>
      <c r="C4042" s="2" t="str">
        <f>"34550066"</f>
        <v>34550066</v>
      </c>
      <c r="D4042" s="2" t="s">
        <v>3387</v>
      </c>
      <c r="E4042" s="4">
        <v>24990</v>
      </c>
    </row>
    <row r="4043" spans="1:5" ht="26.25" x14ac:dyDescent="0.25">
      <c r="A4043" s="2" t="s">
        <v>919</v>
      </c>
      <c r="B4043" s="2" t="str">
        <f>"10551268"</f>
        <v>10551268</v>
      </c>
      <c r="C4043" s="2" t="str">
        <f>"10551268"</f>
        <v>10551268</v>
      </c>
      <c r="D4043" s="2" t="s">
        <v>3388</v>
      </c>
      <c r="E4043" s="4">
        <v>13000</v>
      </c>
    </row>
    <row r="4044" spans="1:5" ht="26.25" x14ac:dyDescent="0.25">
      <c r="A4044" s="2" t="s">
        <v>919</v>
      </c>
      <c r="B4044" s="2" t="str">
        <f>"10003180"</f>
        <v>10003180</v>
      </c>
      <c r="C4044" s="2" t="str">
        <f>"10003180"</f>
        <v>10003180</v>
      </c>
      <c r="D4044" s="2" t="s">
        <v>3389</v>
      </c>
      <c r="E4044" s="4">
        <v>8990</v>
      </c>
    </row>
    <row r="4045" spans="1:5" ht="26.25" x14ac:dyDescent="0.25">
      <c r="A4045" s="2" t="s">
        <v>919</v>
      </c>
      <c r="B4045" s="2" t="str">
        <f>"10553646"</f>
        <v>10553646</v>
      </c>
      <c r="C4045" s="2" t="str">
        <f>"10553646"</f>
        <v>10553646</v>
      </c>
      <c r="D4045" s="2" t="s">
        <v>3390</v>
      </c>
      <c r="E4045" s="4">
        <v>15500</v>
      </c>
    </row>
    <row r="4046" spans="1:5" ht="26.25" x14ac:dyDescent="0.25">
      <c r="A4046" s="2" t="s">
        <v>919</v>
      </c>
      <c r="B4046" s="2" t="str">
        <f>"10003646"</f>
        <v>10003646</v>
      </c>
      <c r="C4046" s="2" t="str">
        <f>"10003646"</f>
        <v>10003646</v>
      </c>
      <c r="D4046" s="2" t="s">
        <v>3391</v>
      </c>
      <c r="E4046" s="4">
        <v>12700</v>
      </c>
    </row>
    <row r="4047" spans="1:5" ht="26.25" x14ac:dyDescent="0.25">
      <c r="A4047" s="2" t="s">
        <v>919</v>
      </c>
      <c r="B4047" s="2" t="str">
        <f>"8944870598613"</f>
        <v>8944870598613</v>
      </c>
      <c r="C4047" s="2" t="str">
        <f>"8755251211"</f>
        <v>8755251211</v>
      </c>
      <c r="D4047" s="2" t="s">
        <v>3392</v>
      </c>
      <c r="E4047" s="4">
        <v>34990</v>
      </c>
    </row>
    <row r="4048" spans="1:5" ht="26.25" x14ac:dyDescent="0.25">
      <c r="A4048" s="2" t="s">
        <v>919</v>
      </c>
      <c r="B4048" s="2" t="str">
        <f>"10011592"</f>
        <v>10011592</v>
      </c>
      <c r="C4048" s="2" t="str">
        <f>"10011592"</f>
        <v>10011592</v>
      </c>
      <c r="D4048" s="2" t="s">
        <v>3393</v>
      </c>
      <c r="E4048" s="4">
        <v>13000</v>
      </c>
    </row>
    <row r="4049" spans="1:5" ht="26.25" x14ac:dyDescent="0.25">
      <c r="A4049" s="2" t="s">
        <v>919</v>
      </c>
      <c r="B4049" s="2" t="str">
        <f>"10552675"</f>
        <v>10552675</v>
      </c>
      <c r="C4049" s="2" t="str">
        <f>"10552675"</f>
        <v>10552675</v>
      </c>
      <c r="D4049" s="2" t="s">
        <v>3394</v>
      </c>
      <c r="E4049" s="4">
        <v>13700</v>
      </c>
    </row>
    <row r="4050" spans="1:5" ht="26.25" x14ac:dyDescent="0.25">
      <c r="A4050" s="2" t="s">
        <v>919</v>
      </c>
      <c r="B4050" s="2" t="str">
        <f>"660028150"</f>
        <v>660028150</v>
      </c>
      <c r="C4050" s="2" t="str">
        <f>"660028150"</f>
        <v>660028150</v>
      </c>
      <c r="D4050" s="2" t="s">
        <v>3395</v>
      </c>
      <c r="E4050" s="4">
        <v>13500</v>
      </c>
    </row>
    <row r="4051" spans="1:5" ht="26.25" x14ac:dyDescent="0.25">
      <c r="A4051" s="2" t="s">
        <v>919</v>
      </c>
      <c r="B4051" s="2" t="str">
        <f>"25700564"</f>
        <v>25700564</v>
      </c>
      <c r="C4051" s="2" t="str">
        <f>"25700564"</f>
        <v>25700564</v>
      </c>
      <c r="D4051" s="2" t="s">
        <v>3396</v>
      </c>
      <c r="E4051" s="4">
        <v>6700</v>
      </c>
    </row>
    <row r="4052" spans="1:5" ht="26.25" x14ac:dyDescent="0.25">
      <c r="A4052" s="2" t="s">
        <v>919</v>
      </c>
      <c r="B4052" s="2" t="str">
        <f>"7858816054402"</f>
        <v>7858816054402</v>
      </c>
      <c r="C4052" s="2" t="str">
        <f>"87555440"</f>
        <v>87555440</v>
      </c>
      <c r="D4052" s="2" t="s">
        <v>3397</v>
      </c>
      <c r="E4052" s="4">
        <v>4990</v>
      </c>
    </row>
    <row r="4053" spans="1:5" ht="39" x14ac:dyDescent="0.25">
      <c r="A4053" s="2" t="s">
        <v>919</v>
      </c>
      <c r="B4053" s="2" t="str">
        <f>"8944870162111"</f>
        <v>8944870162111</v>
      </c>
      <c r="C4053" s="2" t="str">
        <f>"87552200332"</f>
        <v>87552200332</v>
      </c>
      <c r="D4053" s="2" t="s">
        <v>3398</v>
      </c>
      <c r="E4053" s="4">
        <v>5990</v>
      </c>
    </row>
    <row r="4054" spans="1:5" ht="26.25" x14ac:dyDescent="0.25">
      <c r="A4054" s="2" t="s">
        <v>919</v>
      </c>
      <c r="B4054" s="2" t="str">
        <f>"6971370620188"</f>
        <v>6971370620188</v>
      </c>
      <c r="C4054" s="2" t="str">
        <f>"10012461"</f>
        <v>10012461</v>
      </c>
      <c r="D4054" s="2" t="s">
        <v>3399</v>
      </c>
      <c r="E4054" s="4">
        <v>3500</v>
      </c>
    </row>
    <row r="4055" spans="1:5" ht="26.25" x14ac:dyDescent="0.25">
      <c r="A4055" s="2" t="s">
        <v>919</v>
      </c>
      <c r="B4055" s="2" t="str">
        <f>"76002800"</f>
        <v>76002800</v>
      </c>
      <c r="C4055" s="2" t="str">
        <f>"76002800"</f>
        <v>76002800</v>
      </c>
      <c r="D4055" s="2" t="s">
        <v>3400</v>
      </c>
      <c r="E4055" s="4">
        <v>7900</v>
      </c>
    </row>
    <row r="4056" spans="1:5" ht="26.25" x14ac:dyDescent="0.25">
      <c r="A4056" s="2" t="s">
        <v>919</v>
      </c>
      <c r="B4056" s="2" t="str">
        <f>"86003000"</f>
        <v>86003000</v>
      </c>
      <c r="C4056" s="2" t="str">
        <f>"86003000"</f>
        <v>86003000</v>
      </c>
      <c r="D4056" s="2" t="s">
        <v>3401</v>
      </c>
      <c r="E4056" s="4">
        <v>7900</v>
      </c>
    </row>
    <row r="4057" spans="1:5" ht="26.25" x14ac:dyDescent="0.25">
      <c r="A4057" s="2" t="s">
        <v>919</v>
      </c>
      <c r="B4057" s="2" t="str">
        <f>"86000000"</f>
        <v>86000000</v>
      </c>
      <c r="C4057" s="2" t="str">
        <f>"86000000"</f>
        <v>86000000</v>
      </c>
      <c r="D4057" s="2" t="s">
        <v>3402</v>
      </c>
      <c r="E4057" s="4">
        <v>5500</v>
      </c>
    </row>
    <row r="4058" spans="1:5" ht="26.25" x14ac:dyDescent="0.25">
      <c r="A4058" s="2" t="s">
        <v>919</v>
      </c>
      <c r="B4058" s="2" t="str">
        <f>"7858816066832"</f>
        <v>7858816066832</v>
      </c>
      <c r="C4058" s="2" t="str">
        <f>"87556683"</f>
        <v>87556683</v>
      </c>
      <c r="D4058" s="2" t="s">
        <v>3403</v>
      </c>
      <c r="E4058" s="4">
        <v>7990</v>
      </c>
    </row>
    <row r="4059" spans="1:5" ht="26.25" x14ac:dyDescent="0.25">
      <c r="A4059" s="2" t="s">
        <v>919</v>
      </c>
      <c r="B4059" s="2" t="str">
        <f>"1000001075785"</f>
        <v>1000001075785</v>
      </c>
      <c r="C4059" s="2" t="str">
        <f>"76554000"</f>
        <v>76554000</v>
      </c>
      <c r="D4059" s="2" t="s">
        <v>3404</v>
      </c>
      <c r="E4059" s="4">
        <v>15990</v>
      </c>
    </row>
    <row r="4060" spans="1:5" ht="26.25" x14ac:dyDescent="0.25">
      <c r="A4060" s="2" t="s">
        <v>919</v>
      </c>
      <c r="B4060" s="2" t="str">
        <f>"10011306"</f>
        <v>10011306</v>
      </c>
      <c r="C4060" s="2" t="str">
        <f>"10011306"</f>
        <v>10011306</v>
      </c>
      <c r="D4060" s="2" t="s">
        <v>3405</v>
      </c>
      <c r="E4060" s="4">
        <v>3500</v>
      </c>
    </row>
    <row r="4061" spans="1:5" ht="26.25" x14ac:dyDescent="0.25">
      <c r="A4061" s="2" t="s">
        <v>919</v>
      </c>
      <c r="B4061" s="2" t="str">
        <f>"86554800"</f>
        <v>86554800</v>
      </c>
      <c r="C4061" s="2" t="str">
        <f>"86554800"</f>
        <v>86554800</v>
      </c>
      <c r="D4061" s="2" t="s">
        <v>3406</v>
      </c>
      <c r="E4061" s="4">
        <v>8500</v>
      </c>
    </row>
    <row r="4062" spans="1:5" ht="26.25" x14ac:dyDescent="0.25">
      <c r="A4062" s="2" t="s">
        <v>919</v>
      </c>
      <c r="B4062" s="2" t="str">
        <f>"10000513"</f>
        <v>10000513</v>
      </c>
      <c r="C4062" s="2" t="str">
        <f>"10000513"</f>
        <v>10000513</v>
      </c>
      <c r="D4062" s="2" t="s">
        <v>3407</v>
      </c>
      <c r="E4062" s="4">
        <v>2500</v>
      </c>
    </row>
    <row r="4063" spans="1:5" ht="26.25" x14ac:dyDescent="0.25">
      <c r="A4063" s="2" t="s">
        <v>919</v>
      </c>
      <c r="B4063" s="2" t="str">
        <f>"7804625561013"</f>
        <v>7804625561013</v>
      </c>
      <c r="C4063" s="2" t="str">
        <f>"42700452"</f>
        <v>42700452</v>
      </c>
      <c r="D4063" s="2" t="s">
        <v>3408</v>
      </c>
      <c r="E4063" s="4">
        <v>9500</v>
      </c>
    </row>
    <row r="4064" spans="1:5" ht="26.25" x14ac:dyDescent="0.25">
      <c r="A4064" s="2" t="s">
        <v>919</v>
      </c>
      <c r="B4064" s="2" t="str">
        <f>"1000001075730"</f>
        <v>1000001075730</v>
      </c>
      <c r="C4064" s="2" t="str">
        <f>"76558682"</f>
        <v>76558682</v>
      </c>
      <c r="D4064" s="2" t="s">
        <v>3408</v>
      </c>
      <c r="E4064" s="4">
        <v>13990</v>
      </c>
    </row>
    <row r="4065" spans="1:5" ht="26.25" x14ac:dyDescent="0.25">
      <c r="A4065" s="2" t="s">
        <v>919</v>
      </c>
      <c r="B4065" s="2" t="str">
        <f>"76555500"</f>
        <v>76555500</v>
      </c>
      <c r="C4065" s="2" t="str">
        <f>"76555500"</f>
        <v>76555500</v>
      </c>
      <c r="D4065" s="2" t="s">
        <v>3408</v>
      </c>
      <c r="E4065" s="4">
        <v>12990</v>
      </c>
    </row>
    <row r="4066" spans="1:5" ht="26.25" x14ac:dyDescent="0.25">
      <c r="A4066" s="2" t="s">
        <v>919</v>
      </c>
      <c r="B4066" s="2" t="str">
        <f>"7804612213642"</f>
        <v>7804612213642</v>
      </c>
      <c r="C4066" s="2" t="str">
        <f>"98555000"</f>
        <v>98555000</v>
      </c>
      <c r="D4066" s="2" t="s">
        <v>3409</v>
      </c>
      <c r="E4066" s="4">
        <v>12990</v>
      </c>
    </row>
    <row r="4067" spans="1:5" ht="26.25" x14ac:dyDescent="0.25">
      <c r="A4067" s="2" t="s">
        <v>919</v>
      </c>
      <c r="B4067" s="2" t="str">
        <f>"7858816054310"</f>
        <v>7858816054310</v>
      </c>
      <c r="C4067" s="2" t="str">
        <f>"87555431"</f>
        <v>87555431</v>
      </c>
      <c r="D4067" s="2" t="s">
        <v>3410</v>
      </c>
      <c r="E4067" s="4">
        <v>5990</v>
      </c>
    </row>
    <row r="4068" spans="1:5" ht="26.25" x14ac:dyDescent="0.25">
      <c r="A4068" s="2" t="s">
        <v>919</v>
      </c>
      <c r="B4068" s="2" t="str">
        <f>"7858816057601"</f>
        <v>7858816057601</v>
      </c>
      <c r="C4068" s="2" t="str">
        <f>"87555760"</f>
        <v>87555760</v>
      </c>
      <c r="D4068" s="2" t="s">
        <v>3411</v>
      </c>
      <c r="E4068" s="4">
        <v>8990</v>
      </c>
    </row>
    <row r="4069" spans="1:5" ht="26.25" x14ac:dyDescent="0.25">
      <c r="A4069" s="2" t="s">
        <v>919</v>
      </c>
      <c r="B4069" s="2" t="str">
        <f>"7808748510750"</f>
        <v>7808748510750</v>
      </c>
      <c r="C4069" s="2" t="str">
        <f>"98555555"</f>
        <v>98555555</v>
      </c>
      <c r="D4069" s="2" t="s">
        <v>3412</v>
      </c>
      <c r="E4069" s="4">
        <v>10990</v>
      </c>
    </row>
    <row r="4070" spans="1:5" ht="26.25" x14ac:dyDescent="0.25">
      <c r="A4070" s="2" t="s">
        <v>919</v>
      </c>
      <c r="B4070" s="2" t="str">
        <f>"6923470012332"</f>
        <v>6923470012332</v>
      </c>
      <c r="C4070" s="2" t="str">
        <f>"76556000"</f>
        <v>76556000</v>
      </c>
      <c r="D4070" s="2" t="s">
        <v>3413</v>
      </c>
      <c r="E4070" s="4">
        <v>10990</v>
      </c>
    </row>
    <row r="4071" spans="1:5" ht="26.25" x14ac:dyDescent="0.25">
      <c r="A4071" s="2" t="s">
        <v>919</v>
      </c>
      <c r="B4071" s="2" t="str">
        <f>"6923470012660"</f>
        <v>6923470012660</v>
      </c>
      <c r="C4071" s="2" t="str">
        <f>"76550106"</f>
        <v>76550106</v>
      </c>
      <c r="D4071" s="2" t="s">
        <v>3414</v>
      </c>
      <c r="E4071" s="4">
        <v>11990</v>
      </c>
    </row>
    <row r="4072" spans="1:5" ht="26.25" x14ac:dyDescent="0.25">
      <c r="A4072" s="2" t="s">
        <v>919</v>
      </c>
      <c r="B4072" s="2" t="str">
        <f>"6988049846848"</f>
        <v>6988049846848</v>
      </c>
      <c r="C4072" s="2" t="str">
        <f>"76550020"</f>
        <v>76550020</v>
      </c>
      <c r="D4072" s="2" t="s">
        <v>3415</v>
      </c>
      <c r="E4072" s="4">
        <v>11990</v>
      </c>
    </row>
    <row r="4073" spans="1:5" ht="26.25" x14ac:dyDescent="0.25">
      <c r="A4073" s="2" t="s">
        <v>919</v>
      </c>
      <c r="B4073" s="2" t="str">
        <f>"5439102653459"</f>
        <v>5439102653459</v>
      </c>
      <c r="C4073" s="2" t="str">
        <f>"98552605"</f>
        <v>98552605</v>
      </c>
      <c r="D4073" s="2" t="s">
        <v>3416</v>
      </c>
      <c r="E4073" s="4">
        <v>8990</v>
      </c>
    </row>
    <row r="4074" spans="1:5" ht="26.25" x14ac:dyDescent="0.25">
      <c r="A4074" s="2" t="s">
        <v>919</v>
      </c>
      <c r="B4074" s="2" t="str">
        <f>"86555600"</f>
        <v>86555600</v>
      </c>
      <c r="C4074" s="2" t="str">
        <f>"86555600"</f>
        <v>86555600</v>
      </c>
      <c r="D4074" s="2" t="s">
        <v>3417</v>
      </c>
      <c r="E4074" s="4">
        <v>6000</v>
      </c>
    </row>
    <row r="4075" spans="1:5" ht="26.25" x14ac:dyDescent="0.25">
      <c r="A4075" s="2" t="s">
        <v>919</v>
      </c>
      <c r="B4075" s="2" t="str">
        <f>"6925871628440"</f>
        <v>6925871628440</v>
      </c>
      <c r="C4075" s="2" t="str">
        <f>"22552844"</f>
        <v>22552844</v>
      </c>
      <c r="D4075" s="2" t="s">
        <v>3418</v>
      </c>
      <c r="E4075" s="4">
        <v>9850</v>
      </c>
    </row>
    <row r="4076" spans="1:5" ht="26.25" x14ac:dyDescent="0.25">
      <c r="A4076" s="2" t="s">
        <v>919</v>
      </c>
      <c r="B4076" s="2" t="str">
        <f>"76006000"</f>
        <v>76006000</v>
      </c>
      <c r="C4076" s="2" t="str">
        <f>"76006000"</f>
        <v>76006000</v>
      </c>
      <c r="D4076" s="2" t="s">
        <v>3419</v>
      </c>
      <c r="E4076" s="4">
        <v>15900</v>
      </c>
    </row>
    <row r="4077" spans="1:5" ht="26.25" x14ac:dyDescent="0.25">
      <c r="A4077" s="2" t="s">
        <v>919</v>
      </c>
      <c r="B4077" s="2" t="str">
        <f>"7858816054983"</f>
        <v>7858816054983</v>
      </c>
      <c r="C4077" s="2" t="str">
        <f>"87125498"</f>
        <v>87125498</v>
      </c>
      <c r="D4077" s="2" t="s">
        <v>3420</v>
      </c>
      <c r="E4077" s="4">
        <v>15990</v>
      </c>
    </row>
    <row r="4078" spans="1:5" ht="26.25" x14ac:dyDescent="0.25">
      <c r="A4078" s="2" t="s">
        <v>919</v>
      </c>
      <c r="B4078" s="2" t="str">
        <f>"5439102659802"</f>
        <v>5439102659802</v>
      </c>
      <c r="C4078" s="2" t="str">
        <f>"98556000"</f>
        <v>98556000</v>
      </c>
      <c r="D4078" s="2" t="s">
        <v>3421</v>
      </c>
      <c r="E4078" s="4">
        <v>9990</v>
      </c>
    </row>
    <row r="4079" spans="1:5" ht="26.25" x14ac:dyDescent="0.25">
      <c r="A4079" s="2" t="s">
        <v>919</v>
      </c>
      <c r="B4079" s="2" t="str">
        <f>"8944870160438"</f>
        <v>8944870160438</v>
      </c>
      <c r="C4079" s="2" t="str">
        <f>"87550312"</f>
        <v>87550312</v>
      </c>
      <c r="D4079" s="2" t="s">
        <v>3422</v>
      </c>
      <c r="E4079" s="4">
        <v>8990</v>
      </c>
    </row>
    <row r="4080" spans="1:5" ht="26.25" x14ac:dyDescent="0.25">
      <c r="A4080" s="2" t="s">
        <v>919</v>
      </c>
      <c r="B4080" s="2" t="str">
        <f>"8944870159593"</f>
        <v>8944870159593</v>
      </c>
      <c r="C4080" s="2" t="str">
        <f>"87520301"</f>
        <v>87520301</v>
      </c>
      <c r="D4080" s="2" t="s">
        <v>3423</v>
      </c>
      <c r="E4080" s="4">
        <v>9990</v>
      </c>
    </row>
    <row r="4081" spans="1:5" ht="26.25" x14ac:dyDescent="0.25">
      <c r="A4081" s="2" t="s">
        <v>919</v>
      </c>
      <c r="B4081" s="2" t="str">
        <f>"8944870159609"</f>
        <v>8944870159609</v>
      </c>
      <c r="C4081" s="2" t="str">
        <f>"87520302"</f>
        <v>87520302</v>
      </c>
      <c r="D4081" s="2" t="s">
        <v>3424</v>
      </c>
      <c r="E4081" s="4">
        <v>9990</v>
      </c>
    </row>
    <row r="4082" spans="1:5" ht="26.25" x14ac:dyDescent="0.25">
      <c r="A4082" s="2" t="s">
        <v>919</v>
      </c>
      <c r="B4082" s="2" t="str">
        <f>"7858816054990"</f>
        <v>7858816054990</v>
      </c>
      <c r="C4082" s="2" t="str">
        <f>"87525499"</f>
        <v>87525499</v>
      </c>
      <c r="D4082" s="2" t="s">
        <v>3425</v>
      </c>
      <c r="E4082" s="4">
        <v>17990</v>
      </c>
    </row>
    <row r="4083" spans="1:5" ht="26.25" x14ac:dyDescent="0.25">
      <c r="A4083" s="2" t="s">
        <v>919</v>
      </c>
      <c r="B4083" s="2" t="str">
        <f>"6925871621601"</f>
        <v>6925871621601</v>
      </c>
      <c r="C4083" s="2" t="str">
        <f>"22552160"</f>
        <v>22552160</v>
      </c>
      <c r="D4083" s="2" t="s">
        <v>3426</v>
      </c>
      <c r="E4083" s="4">
        <v>12990</v>
      </c>
    </row>
    <row r="4084" spans="1:5" ht="26.25" x14ac:dyDescent="0.25">
      <c r="A4084" s="2" t="s">
        <v>919</v>
      </c>
      <c r="B4084" s="2" t="str">
        <f>"7858816057588"</f>
        <v>7858816057588</v>
      </c>
      <c r="C4084" s="2" t="str">
        <f>"87555758"</f>
        <v>87555758</v>
      </c>
      <c r="D4084" s="2" t="s">
        <v>3427</v>
      </c>
      <c r="E4084" s="4">
        <v>9990</v>
      </c>
    </row>
    <row r="4085" spans="1:5" ht="26.25" x14ac:dyDescent="0.25">
      <c r="A4085" s="2" t="s">
        <v>919</v>
      </c>
      <c r="B4085" s="2" t="str">
        <f>"76558000"</f>
        <v>76558000</v>
      </c>
      <c r="C4085" s="2" t="str">
        <f>"76558000"</f>
        <v>76558000</v>
      </c>
      <c r="D4085" s="2" t="s">
        <v>3428</v>
      </c>
      <c r="E4085" s="4">
        <v>14800</v>
      </c>
    </row>
    <row r="4086" spans="1:5" ht="26.25" x14ac:dyDescent="0.25">
      <c r="A4086" s="2" t="s">
        <v>919</v>
      </c>
      <c r="B4086" s="2" t="str">
        <f>"1000001075778"</f>
        <v>1000001075778</v>
      </c>
      <c r="C4086" s="2" t="str">
        <f>"76558001"</f>
        <v>76558001</v>
      </c>
      <c r="D4086" s="2" t="s">
        <v>3429</v>
      </c>
      <c r="E4086" s="4">
        <v>19990</v>
      </c>
    </row>
    <row r="4087" spans="1:5" ht="26.25" x14ac:dyDescent="0.25">
      <c r="A4087" s="2" t="s">
        <v>919</v>
      </c>
      <c r="B4087" s="2" t="str">
        <f>"7804625561020"</f>
        <v>7804625561020</v>
      </c>
      <c r="C4087" s="2" t="str">
        <f>"42700453"</f>
        <v>42700453</v>
      </c>
      <c r="D4087" s="2" t="s">
        <v>3430</v>
      </c>
      <c r="E4087" s="4">
        <v>12650</v>
      </c>
    </row>
    <row r="4088" spans="1:5" ht="26.25" x14ac:dyDescent="0.25">
      <c r="A4088" s="2" t="s">
        <v>919</v>
      </c>
      <c r="B4088" s="2" t="str">
        <f>"10552931"</f>
        <v>10552931</v>
      </c>
      <c r="C4088" s="2" t="str">
        <f>"10552931"</f>
        <v>10552931</v>
      </c>
      <c r="D4088" s="2" t="s">
        <v>3431</v>
      </c>
      <c r="E4088" s="4">
        <v>7500</v>
      </c>
    </row>
    <row r="4089" spans="1:5" ht="26.25" x14ac:dyDescent="0.25">
      <c r="A4089" s="2" t="s">
        <v>919</v>
      </c>
      <c r="B4089" s="2" t="str">
        <f>"76010000"</f>
        <v>76010000</v>
      </c>
      <c r="C4089" s="2" t="str">
        <f>"76010000"</f>
        <v>76010000</v>
      </c>
      <c r="D4089" s="2" t="s">
        <v>3432</v>
      </c>
      <c r="E4089" s="4">
        <v>19900</v>
      </c>
    </row>
    <row r="4090" spans="1:5" ht="26.25" x14ac:dyDescent="0.25">
      <c r="A4090" s="2" t="s">
        <v>919</v>
      </c>
      <c r="B4090" s="2" t="str">
        <f>"25550522"</f>
        <v>25550522</v>
      </c>
      <c r="C4090" s="2" t="str">
        <f>"25550522"</f>
        <v>25550522</v>
      </c>
      <c r="D4090" s="2" t="s">
        <v>3433</v>
      </c>
      <c r="E4090" s="4">
        <v>6900</v>
      </c>
    </row>
    <row r="4091" spans="1:5" ht="26.25" x14ac:dyDescent="0.25">
      <c r="A4091" s="2" t="s">
        <v>919</v>
      </c>
      <c r="B4091" s="2" t="str">
        <f>"10553443"</f>
        <v>10553443</v>
      </c>
      <c r="C4091" s="2" t="str">
        <f>"10553443"</f>
        <v>10553443</v>
      </c>
      <c r="D4091" s="2" t="s">
        <v>3434</v>
      </c>
      <c r="E4091" s="4">
        <v>9900</v>
      </c>
    </row>
    <row r="4092" spans="1:5" ht="26.25" x14ac:dyDescent="0.25">
      <c r="A4092" s="2" t="s">
        <v>919</v>
      </c>
      <c r="B4092" s="2" t="str">
        <f>"66000139"</f>
        <v>66000139</v>
      </c>
      <c r="C4092" s="2" t="str">
        <f>"66000139"</f>
        <v>66000139</v>
      </c>
      <c r="D4092" s="2" t="s">
        <v>3435</v>
      </c>
      <c r="E4092" s="4">
        <v>12500</v>
      </c>
    </row>
    <row r="4093" spans="1:5" ht="26.25" x14ac:dyDescent="0.25">
      <c r="A4093" s="2" t="s">
        <v>919</v>
      </c>
      <c r="B4093" s="2" t="str">
        <f>"4710007722312"</f>
        <v>4710007722312</v>
      </c>
      <c r="C4093" s="2" t="str">
        <f>"65552312"</f>
        <v>65552312</v>
      </c>
      <c r="D4093" s="2" t="s">
        <v>3436</v>
      </c>
      <c r="E4093" s="4">
        <v>8700</v>
      </c>
    </row>
    <row r="4094" spans="1:5" ht="26.25" x14ac:dyDescent="0.25">
      <c r="A4094" s="2" t="s">
        <v>919</v>
      </c>
      <c r="B4094" s="2" t="str">
        <f>"110661822"</f>
        <v>110661822</v>
      </c>
      <c r="C4094" s="2" t="str">
        <f>"110661822"</f>
        <v>110661822</v>
      </c>
      <c r="D4094" s="2" t="s">
        <v>3437</v>
      </c>
      <c r="E4094" s="4">
        <v>7500</v>
      </c>
    </row>
    <row r="4095" spans="1:5" ht="26.25" x14ac:dyDescent="0.25">
      <c r="A4095" s="2" t="s">
        <v>919</v>
      </c>
      <c r="B4095" s="2" t="str">
        <f>"6971393450403"</f>
        <v>6971393450403</v>
      </c>
      <c r="C4095" s="2" t="str">
        <f>"40550403"</f>
        <v>40550403</v>
      </c>
      <c r="D4095" s="2" t="s">
        <v>3438</v>
      </c>
      <c r="E4095" s="4">
        <v>15990</v>
      </c>
    </row>
    <row r="4096" spans="1:5" ht="26.25" x14ac:dyDescent="0.25">
      <c r="A4096" s="2" t="s">
        <v>21</v>
      </c>
      <c r="B4096" s="2" t="str">
        <f>"98520001"</f>
        <v>98520001</v>
      </c>
      <c r="C4096" s="2" t="str">
        <f>"98520001"</f>
        <v>98520001</v>
      </c>
      <c r="D4096" s="2" t="s">
        <v>3439</v>
      </c>
      <c r="E4096" s="4">
        <v>24990</v>
      </c>
    </row>
    <row r="4097" spans="1:5" ht="26.25" x14ac:dyDescent="0.25">
      <c r="A4097" s="2" t="s">
        <v>49</v>
      </c>
      <c r="B4097" s="2" t="str">
        <f>"6952634501139"</f>
        <v>6952634501139</v>
      </c>
      <c r="C4097" s="2" t="str">
        <f>"10001711"</f>
        <v>10001711</v>
      </c>
      <c r="D4097" s="2" t="s">
        <v>3440</v>
      </c>
      <c r="E4097" s="4">
        <v>13990</v>
      </c>
    </row>
    <row r="4098" spans="1:5" ht="26.25" x14ac:dyDescent="0.25">
      <c r="A4098" s="2" t="s">
        <v>21</v>
      </c>
      <c r="B4098" s="2" t="str">
        <f>"5620009160687"</f>
        <v>5620009160687</v>
      </c>
      <c r="C4098" s="2" t="str">
        <f>"2852916068"</f>
        <v>2852916068</v>
      </c>
      <c r="D4098" s="2" t="s">
        <v>3441</v>
      </c>
      <c r="E4098" s="4">
        <v>9990</v>
      </c>
    </row>
    <row r="4099" spans="1:5" ht="26.25" x14ac:dyDescent="0.25">
      <c r="A4099" s="2" t="s">
        <v>21</v>
      </c>
      <c r="B4099" s="2" t="str">
        <f>"85521000"</f>
        <v>85521000</v>
      </c>
      <c r="C4099" s="2" t="str">
        <f>"85521000"</f>
        <v>85521000</v>
      </c>
      <c r="D4099" s="2" t="s">
        <v>3442</v>
      </c>
      <c r="E4099" s="4">
        <v>9990</v>
      </c>
    </row>
    <row r="4100" spans="1:5" ht="26.25" x14ac:dyDescent="0.25">
      <c r="A4100" s="2" t="s">
        <v>1981</v>
      </c>
      <c r="B4100" s="2" t="str">
        <f>"7858816015267"</f>
        <v>7858816015267</v>
      </c>
      <c r="C4100" s="2" t="str">
        <f>"87001526"</f>
        <v>87001526</v>
      </c>
      <c r="D4100" s="2" t="s">
        <v>3443</v>
      </c>
      <c r="E4100" s="4">
        <v>2500</v>
      </c>
    </row>
    <row r="4101" spans="1:5" ht="26.25" x14ac:dyDescent="0.25">
      <c r="A4101" s="2" t="s">
        <v>21</v>
      </c>
      <c r="B4101" s="2" t="str">
        <f>"39940700"</f>
        <v>39940700</v>
      </c>
      <c r="C4101" s="2" t="str">
        <f>"39940700"</f>
        <v>39940700</v>
      </c>
      <c r="D4101" s="2" t="s">
        <v>3444</v>
      </c>
      <c r="E4101" s="4">
        <v>8990</v>
      </c>
    </row>
    <row r="4102" spans="1:5" ht="26.25" x14ac:dyDescent="0.25">
      <c r="A4102" s="2" t="s">
        <v>21</v>
      </c>
      <c r="B4102" s="2" t="str">
        <f>"7858816074189"</f>
        <v>7858816074189</v>
      </c>
      <c r="C4102" s="2" t="str">
        <f>"87527418"</f>
        <v>87527418</v>
      </c>
      <c r="D4102" s="2" t="s">
        <v>3445</v>
      </c>
      <c r="E4102" s="4">
        <v>1500</v>
      </c>
    </row>
    <row r="4103" spans="1:5" ht="26.25" x14ac:dyDescent="0.25">
      <c r="A4103" s="2" t="s">
        <v>201</v>
      </c>
      <c r="B4103" s="2" t="str">
        <f>"2019080958215"</f>
        <v>2019080958215</v>
      </c>
      <c r="C4103" s="2" t="str">
        <f>"18525820"</f>
        <v>18525820</v>
      </c>
      <c r="D4103" s="2" t="s">
        <v>3446</v>
      </c>
      <c r="E4103" s="4">
        <v>2990</v>
      </c>
    </row>
    <row r="4104" spans="1:5" ht="26.25" x14ac:dyDescent="0.25">
      <c r="A4104" s="2" t="s">
        <v>147</v>
      </c>
      <c r="B4104" s="2" t="str">
        <f>"76521000"</f>
        <v>76521000</v>
      </c>
      <c r="C4104" s="2" t="str">
        <f>"76521000"</f>
        <v>76521000</v>
      </c>
      <c r="D4104" s="2" t="s">
        <v>3447</v>
      </c>
      <c r="E4104" s="4">
        <v>2000</v>
      </c>
    </row>
    <row r="4105" spans="1:5" ht="26.25" x14ac:dyDescent="0.25">
      <c r="A4105" s="2" t="s">
        <v>21</v>
      </c>
      <c r="B4105" s="2" t="str">
        <f>"10005685"</f>
        <v>10005685</v>
      </c>
      <c r="C4105" s="2" t="str">
        <f>"10005685"</f>
        <v>10005685</v>
      </c>
      <c r="D4105" s="2" t="s">
        <v>3448</v>
      </c>
      <c r="E4105" s="4">
        <v>1600</v>
      </c>
    </row>
    <row r="4106" spans="1:5" ht="26.25" x14ac:dyDescent="0.25">
      <c r="A4106" s="2" t="s">
        <v>21</v>
      </c>
      <c r="B4106" s="2" t="str">
        <f>"7858816012358"</f>
        <v>7858816012358</v>
      </c>
      <c r="C4106" s="2" t="str">
        <f>"87521235"</f>
        <v>87521235</v>
      </c>
      <c r="D4106" s="2" t="s">
        <v>3449</v>
      </c>
      <c r="E4106" s="4">
        <v>12990</v>
      </c>
    </row>
    <row r="4107" spans="1:5" ht="26.25" x14ac:dyDescent="0.25">
      <c r="A4107" s="2" t="s">
        <v>21</v>
      </c>
      <c r="B4107" s="2" t="str">
        <f>"10008512"</f>
        <v>10008512</v>
      </c>
      <c r="C4107" s="2" t="str">
        <f>"10008512"</f>
        <v>10008512</v>
      </c>
      <c r="D4107" s="2" t="s">
        <v>3450</v>
      </c>
      <c r="E4107" s="4">
        <v>10000</v>
      </c>
    </row>
    <row r="4108" spans="1:5" ht="26.25" x14ac:dyDescent="0.25">
      <c r="A4108" s="2" t="s">
        <v>21</v>
      </c>
      <c r="B4108" s="2" t="str">
        <f>"10001077"</f>
        <v>10001077</v>
      </c>
      <c r="C4108" s="2" t="str">
        <f>"10001077"</f>
        <v>10001077</v>
      </c>
      <c r="D4108" s="2" t="s">
        <v>3451</v>
      </c>
      <c r="E4108" s="4">
        <v>11990</v>
      </c>
    </row>
    <row r="4109" spans="1:5" ht="26.25" x14ac:dyDescent="0.25">
      <c r="A4109" s="2" t="s">
        <v>21</v>
      </c>
      <c r="B4109" s="2" t="str">
        <f>"10111869"</f>
        <v>10111869</v>
      </c>
      <c r="C4109" s="2" t="str">
        <f>"10111869"</f>
        <v>10111869</v>
      </c>
      <c r="D4109" s="2" t="s">
        <v>3452</v>
      </c>
      <c r="E4109" s="4">
        <v>9990</v>
      </c>
    </row>
    <row r="4110" spans="1:5" ht="26.25" x14ac:dyDescent="0.25">
      <c r="A4110" s="2" t="s">
        <v>925</v>
      </c>
      <c r="B4110" s="2" t="str">
        <f>"80003636"</f>
        <v>80003636</v>
      </c>
      <c r="C4110" s="2" t="str">
        <f>"80003636"</f>
        <v>80003636</v>
      </c>
      <c r="D4110" s="2" t="s">
        <v>3453</v>
      </c>
      <c r="E4110" s="4">
        <v>17900</v>
      </c>
    </row>
    <row r="4111" spans="1:5" ht="26.25" x14ac:dyDescent="0.25">
      <c r="A4111" s="2" t="s">
        <v>925</v>
      </c>
      <c r="B4111" s="2" t="str">
        <f>"80003397"</f>
        <v>80003397</v>
      </c>
      <c r="C4111" s="2" t="str">
        <f>"80003397"</f>
        <v>80003397</v>
      </c>
      <c r="D4111" s="2" t="s">
        <v>3454</v>
      </c>
      <c r="E4111" s="4">
        <v>19800</v>
      </c>
    </row>
    <row r="4112" spans="1:5" ht="26.25" x14ac:dyDescent="0.25">
      <c r="A4112" s="2" t="s">
        <v>925</v>
      </c>
      <c r="B4112" s="2" t="str">
        <f>"80003659"</f>
        <v>80003659</v>
      </c>
      <c r="C4112" s="2" t="str">
        <f>"80003659"</f>
        <v>80003659</v>
      </c>
      <c r="D4112" s="2" t="s">
        <v>3455</v>
      </c>
      <c r="E4112" s="4">
        <v>19900</v>
      </c>
    </row>
    <row r="4113" spans="1:5" ht="26.25" x14ac:dyDescent="0.25">
      <c r="A4113" s="2" t="s">
        <v>925</v>
      </c>
      <c r="B4113" s="2" t="str">
        <f>"80003688"</f>
        <v>80003688</v>
      </c>
      <c r="C4113" s="2" t="str">
        <f>"80003688"</f>
        <v>80003688</v>
      </c>
      <c r="D4113" s="2" t="s">
        <v>3456</v>
      </c>
      <c r="E4113" s="4">
        <v>13800</v>
      </c>
    </row>
    <row r="4114" spans="1:5" ht="26.25" x14ac:dyDescent="0.25">
      <c r="A4114" s="2" t="s">
        <v>925</v>
      </c>
      <c r="B4114" s="2" t="str">
        <f>"80002856"</f>
        <v>80002856</v>
      </c>
      <c r="C4114" s="2" t="str">
        <f>"80002856"</f>
        <v>80002856</v>
      </c>
      <c r="D4114" s="2" t="s">
        <v>3457</v>
      </c>
      <c r="E4114" s="4">
        <v>11800</v>
      </c>
    </row>
    <row r="4115" spans="1:5" ht="26.25" x14ac:dyDescent="0.25">
      <c r="A4115" s="2" t="s">
        <v>925</v>
      </c>
      <c r="B4115" s="2" t="str">
        <f>"853700869"</f>
        <v>853700869</v>
      </c>
      <c r="C4115" s="2" t="str">
        <f>"853700869"</f>
        <v>853700869</v>
      </c>
      <c r="D4115" s="2" t="s">
        <v>3458</v>
      </c>
      <c r="E4115" s="4">
        <v>26500</v>
      </c>
    </row>
    <row r="4116" spans="1:5" ht="26.25" x14ac:dyDescent="0.25">
      <c r="A4116" s="2" t="s">
        <v>925</v>
      </c>
      <c r="B4116" s="2" t="str">
        <f>"94002443"</f>
        <v>94002443</v>
      </c>
      <c r="C4116" s="2" t="str">
        <f>"94002443"</f>
        <v>94002443</v>
      </c>
      <c r="D4116" s="2" t="s">
        <v>3459</v>
      </c>
      <c r="E4116" s="4">
        <v>29900</v>
      </c>
    </row>
    <row r="4117" spans="1:5" ht="26.25" x14ac:dyDescent="0.25">
      <c r="A4117" s="2" t="s">
        <v>925</v>
      </c>
      <c r="B4117" s="2" t="str">
        <f>"80003714"</f>
        <v>80003714</v>
      </c>
      <c r="C4117" s="2" t="str">
        <f>"80003714"</f>
        <v>80003714</v>
      </c>
      <c r="D4117" s="2" t="s">
        <v>3460</v>
      </c>
      <c r="E4117" s="4">
        <v>15500</v>
      </c>
    </row>
    <row r="4118" spans="1:5" ht="26.25" x14ac:dyDescent="0.25">
      <c r="A4118" s="2" t="s">
        <v>925</v>
      </c>
      <c r="B4118" s="2" t="str">
        <f>"6925871624930"</f>
        <v>6925871624930</v>
      </c>
      <c r="C4118" s="2" t="str">
        <f>"22072493"</f>
        <v>22072493</v>
      </c>
      <c r="D4118" s="2" t="s">
        <v>3461</v>
      </c>
      <c r="E4118" s="4">
        <v>21990</v>
      </c>
    </row>
    <row r="4119" spans="1:5" ht="26.25" x14ac:dyDescent="0.25">
      <c r="A4119" s="2" t="s">
        <v>921</v>
      </c>
      <c r="B4119" s="2" t="str">
        <f>"10000252"</f>
        <v>10000252</v>
      </c>
      <c r="C4119" s="2" t="str">
        <f>"10000252"</f>
        <v>10000252</v>
      </c>
      <c r="D4119" s="2" t="s">
        <v>3462</v>
      </c>
      <c r="E4119" s="4">
        <v>7500</v>
      </c>
    </row>
    <row r="4120" spans="1:5" ht="26.25" x14ac:dyDescent="0.25">
      <c r="A4120" s="2" t="s">
        <v>925</v>
      </c>
      <c r="B4120" s="2" t="str">
        <f>"6925871626033"</f>
        <v>6925871626033</v>
      </c>
      <c r="C4120" s="2" t="str">
        <f>"22072603"</f>
        <v>22072603</v>
      </c>
      <c r="D4120" s="2" t="s">
        <v>3463</v>
      </c>
      <c r="E4120" s="4">
        <v>18000</v>
      </c>
    </row>
    <row r="4121" spans="1:5" ht="26.25" x14ac:dyDescent="0.25">
      <c r="A4121" s="2" t="s">
        <v>921</v>
      </c>
      <c r="B4121" s="2" t="str">
        <f>"6925871617123"</f>
        <v>6925871617123</v>
      </c>
      <c r="C4121" s="2" t="str">
        <f>"22071712"</f>
        <v>22071712</v>
      </c>
      <c r="D4121" s="2" t="s">
        <v>3464</v>
      </c>
      <c r="E4121" s="4">
        <v>12490</v>
      </c>
    </row>
    <row r="4122" spans="1:5" ht="26.25" x14ac:dyDescent="0.25">
      <c r="A4122" s="2" t="s">
        <v>925</v>
      </c>
      <c r="B4122" s="2" t="str">
        <f>"6925871618632"</f>
        <v>6925871618632</v>
      </c>
      <c r="C4122" s="2" t="str">
        <f>"22071863"</f>
        <v>22071863</v>
      </c>
      <c r="D4122" s="2" t="s">
        <v>3465</v>
      </c>
      <c r="E4122" s="4">
        <v>21500</v>
      </c>
    </row>
    <row r="4123" spans="1:5" ht="26.25" x14ac:dyDescent="0.25">
      <c r="A4123" s="2" t="s">
        <v>925</v>
      </c>
      <c r="B4123" s="2" t="str">
        <f>"6925871621632"</f>
        <v>6925871621632</v>
      </c>
      <c r="C4123" s="2" t="str">
        <f>"22072163"</f>
        <v>22072163</v>
      </c>
      <c r="D4123" s="2" t="s">
        <v>3466</v>
      </c>
      <c r="E4123" s="4">
        <v>20400</v>
      </c>
    </row>
    <row r="4124" spans="1:5" ht="26.25" x14ac:dyDescent="0.25">
      <c r="A4124" s="2" t="s">
        <v>925</v>
      </c>
      <c r="B4124" s="2" t="str">
        <f>"6925871622530"</f>
        <v>6925871622530</v>
      </c>
      <c r="C4124" s="2" t="str">
        <f>"22072253"</f>
        <v>22072253</v>
      </c>
      <c r="D4124" s="2" t="s">
        <v>3467</v>
      </c>
      <c r="E4124" s="4">
        <v>15250</v>
      </c>
    </row>
    <row r="4125" spans="1:5" ht="26.25" x14ac:dyDescent="0.25">
      <c r="A4125" s="2" t="s">
        <v>925</v>
      </c>
      <c r="B4125" s="2" t="str">
        <f>"6925871625531"</f>
        <v>6925871625531</v>
      </c>
      <c r="C4125" s="2" t="str">
        <f>"22072553"</f>
        <v>22072553</v>
      </c>
      <c r="D4125" s="2" t="s">
        <v>3468</v>
      </c>
      <c r="E4125" s="4">
        <v>21100</v>
      </c>
    </row>
    <row r="4126" spans="1:5" ht="26.25" x14ac:dyDescent="0.25">
      <c r="A4126" s="2" t="s">
        <v>925</v>
      </c>
      <c r="B4126" s="2" t="str">
        <f>"22002560"</f>
        <v>22002560</v>
      </c>
      <c r="C4126" s="2" t="str">
        <f>"22002560"</f>
        <v>22002560</v>
      </c>
      <c r="D4126" s="2" t="s">
        <v>3469</v>
      </c>
      <c r="E4126" s="4">
        <v>24500</v>
      </c>
    </row>
    <row r="4127" spans="1:5" ht="26.25" x14ac:dyDescent="0.25">
      <c r="A4127" s="2" t="s">
        <v>925</v>
      </c>
      <c r="B4127" s="2" t="str">
        <f>"22002561"</f>
        <v>22002561</v>
      </c>
      <c r="C4127" s="2" t="str">
        <f>"22002561"</f>
        <v>22002561</v>
      </c>
      <c r="D4127" s="2" t="s">
        <v>3470</v>
      </c>
      <c r="E4127" s="4">
        <v>23900</v>
      </c>
    </row>
    <row r="4128" spans="1:5" ht="26.25" x14ac:dyDescent="0.25">
      <c r="A4128" s="2" t="s">
        <v>925</v>
      </c>
      <c r="B4128" s="2" t="str">
        <f>"6925871625654"</f>
        <v>6925871625654</v>
      </c>
      <c r="C4128" s="2" t="str">
        <f>"22072565"</f>
        <v>22072565</v>
      </c>
      <c r="D4128" s="2" t="s">
        <v>3471</v>
      </c>
      <c r="E4128" s="4">
        <v>24500</v>
      </c>
    </row>
    <row r="4129" spans="1:5" ht="26.25" x14ac:dyDescent="0.25">
      <c r="A4129" s="2" t="s">
        <v>925</v>
      </c>
      <c r="B4129" s="2" t="str">
        <f>"66440445"</f>
        <v>66440445</v>
      </c>
      <c r="C4129" s="2" t="str">
        <f>"66440445"</f>
        <v>66440445</v>
      </c>
      <c r="D4129" s="2" t="s">
        <v>3472</v>
      </c>
      <c r="E4129" s="4">
        <v>29500</v>
      </c>
    </row>
    <row r="4130" spans="1:5" ht="26.25" x14ac:dyDescent="0.25">
      <c r="A4130" s="2" t="s">
        <v>925</v>
      </c>
      <c r="B4130" s="2" t="str">
        <f>"10001320"</f>
        <v>10001320</v>
      </c>
      <c r="C4130" s="2" t="str">
        <f>"10001320"</f>
        <v>10001320</v>
      </c>
      <c r="D4130" s="2" t="s">
        <v>3473</v>
      </c>
      <c r="E4130" s="4">
        <v>18500</v>
      </c>
    </row>
    <row r="4131" spans="1:5" ht="26.25" x14ac:dyDescent="0.25">
      <c r="A4131" s="2" t="s">
        <v>925</v>
      </c>
      <c r="B4131" s="2" t="str">
        <f>"6925871615617"</f>
        <v>6925871615617</v>
      </c>
      <c r="C4131" s="2" t="str">
        <f>"22071561"</f>
        <v>22071561</v>
      </c>
      <c r="D4131" s="2" t="s">
        <v>3474</v>
      </c>
      <c r="E4131" s="4">
        <v>13250</v>
      </c>
    </row>
    <row r="4132" spans="1:5" ht="26.25" x14ac:dyDescent="0.25">
      <c r="A4132" s="2" t="s">
        <v>925</v>
      </c>
      <c r="B4132" s="2" t="str">
        <f>"6925871616911"</f>
        <v>6925871616911</v>
      </c>
      <c r="C4132" s="2" t="str">
        <f>"22071691"</f>
        <v>22071691</v>
      </c>
      <c r="D4132" s="2" t="s">
        <v>3475</v>
      </c>
      <c r="E4132" s="4">
        <v>11990</v>
      </c>
    </row>
    <row r="4133" spans="1:5" ht="26.25" x14ac:dyDescent="0.25">
      <c r="A4133" s="2" t="s">
        <v>925</v>
      </c>
      <c r="B4133" s="2" t="str">
        <f>"6925871621335"</f>
        <v>6925871621335</v>
      </c>
      <c r="C4133" s="2" t="str">
        <f>"22072133"</f>
        <v>22072133</v>
      </c>
      <c r="D4133" s="2" t="s">
        <v>3476</v>
      </c>
      <c r="E4133" s="4">
        <v>12990</v>
      </c>
    </row>
    <row r="4134" spans="1:5" ht="26.25" x14ac:dyDescent="0.25">
      <c r="A4134" s="2" t="s">
        <v>921</v>
      </c>
      <c r="B4134" s="2" t="str">
        <f>"6925871650083"</f>
        <v>6925871650083</v>
      </c>
      <c r="C4134" s="2" t="str">
        <f>"22375008"</f>
        <v>22375008</v>
      </c>
      <c r="D4134" s="2" t="s">
        <v>3477</v>
      </c>
      <c r="E4134" s="4">
        <v>69900</v>
      </c>
    </row>
    <row r="4135" spans="1:5" ht="26.25" x14ac:dyDescent="0.25">
      <c r="A4135" s="2" t="s">
        <v>921</v>
      </c>
      <c r="B4135" s="2" t="str">
        <f>"6925871633116"</f>
        <v>6925871633116</v>
      </c>
      <c r="C4135" s="2" t="str">
        <f>"22373311"</f>
        <v>22373311</v>
      </c>
      <c r="D4135" s="2" t="s">
        <v>3478</v>
      </c>
      <c r="E4135" s="4">
        <v>44900</v>
      </c>
    </row>
    <row r="4136" spans="1:5" ht="26.25" x14ac:dyDescent="0.25">
      <c r="A4136" s="2" t="s">
        <v>921</v>
      </c>
      <c r="B4136" s="2" t="str">
        <f>"6931227033165"</f>
        <v>6931227033165</v>
      </c>
      <c r="C4136" s="2" t="str">
        <f>"22373316"</f>
        <v>22373316</v>
      </c>
      <c r="D4136" s="2" t="s">
        <v>3479</v>
      </c>
      <c r="E4136" s="4">
        <v>54900</v>
      </c>
    </row>
    <row r="4137" spans="1:5" ht="26.25" x14ac:dyDescent="0.25">
      <c r="A4137" s="2" t="s">
        <v>921</v>
      </c>
      <c r="B4137" s="2" t="str">
        <f>"6925871634137"</f>
        <v>6925871634137</v>
      </c>
      <c r="C4137" s="2" t="str">
        <f>"22373413"</f>
        <v>22373413</v>
      </c>
      <c r="D4137" s="2" t="s">
        <v>3480</v>
      </c>
      <c r="E4137" s="4">
        <v>64900</v>
      </c>
    </row>
    <row r="4138" spans="1:5" ht="26.25" x14ac:dyDescent="0.25">
      <c r="A4138" s="2" t="s">
        <v>925</v>
      </c>
      <c r="B4138" s="2" t="str">
        <f>"25000380"</f>
        <v>25000380</v>
      </c>
      <c r="C4138" s="2" t="str">
        <f>"25000380"</f>
        <v>25000380</v>
      </c>
      <c r="D4138" s="2" t="s">
        <v>3481</v>
      </c>
      <c r="E4138" s="4">
        <v>35500</v>
      </c>
    </row>
    <row r="4139" spans="1:5" ht="26.25" x14ac:dyDescent="0.25">
      <c r="A4139" s="2" t="s">
        <v>925</v>
      </c>
      <c r="B4139" s="2" t="str">
        <f>"7804612212966"</f>
        <v>7804612212966</v>
      </c>
      <c r="C4139" s="2" t="str">
        <f>"98700050"</f>
        <v>98700050</v>
      </c>
      <c r="D4139" s="2" t="s">
        <v>3482</v>
      </c>
      <c r="E4139" s="4">
        <v>9990</v>
      </c>
    </row>
    <row r="4140" spans="1:5" ht="26.25" x14ac:dyDescent="0.25">
      <c r="A4140" s="2" t="s">
        <v>925</v>
      </c>
      <c r="B4140" s="2" t="str">
        <f>"4710007713815"</f>
        <v>4710007713815</v>
      </c>
      <c r="C4140" s="2" t="str">
        <f>"65070250"</f>
        <v>65070250</v>
      </c>
      <c r="D4140" s="2" t="s">
        <v>3483</v>
      </c>
      <c r="E4140" s="4">
        <v>3900</v>
      </c>
    </row>
    <row r="4141" spans="1:5" ht="26.25" x14ac:dyDescent="0.25">
      <c r="A4141" s="2" t="s">
        <v>925</v>
      </c>
      <c r="B4141" s="2" t="str">
        <f>"4710007730850"</f>
        <v>4710007730850</v>
      </c>
      <c r="C4141" s="2" t="str">
        <f>"65070264"</f>
        <v>65070264</v>
      </c>
      <c r="D4141" s="2" t="s">
        <v>3484</v>
      </c>
      <c r="E4141" s="4">
        <v>4150</v>
      </c>
    </row>
    <row r="4142" spans="1:5" ht="26.25" x14ac:dyDescent="0.25">
      <c r="A4142" s="2" t="s">
        <v>925</v>
      </c>
      <c r="B4142" s="2" t="str">
        <f>"7802018121509"</f>
        <v>7802018121509</v>
      </c>
      <c r="C4142" s="2" t="str">
        <f>"25070018"</f>
        <v>25070018</v>
      </c>
      <c r="D4142" s="2" t="s">
        <v>3485</v>
      </c>
      <c r="E4142" s="4">
        <v>18990</v>
      </c>
    </row>
    <row r="4143" spans="1:5" ht="26.25" x14ac:dyDescent="0.25">
      <c r="A4143" s="2" t="s">
        <v>925</v>
      </c>
      <c r="B4143" s="2" t="str">
        <f>"22002382"</f>
        <v>22002382</v>
      </c>
      <c r="C4143" s="2" t="str">
        <f>"22002382"</f>
        <v>22002382</v>
      </c>
      <c r="D4143" s="2" t="s">
        <v>3486</v>
      </c>
      <c r="E4143" s="4">
        <v>22500</v>
      </c>
    </row>
    <row r="4144" spans="1:5" ht="26.25" x14ac:dyDescent="0.25">
      <c r="A4144" s="2" t="s">
        <v>925</v>
      </c>
      <c r="B4144" s="2" t="str">
        <f>"6922014030108"</f>
        <v>6922014030108</v>
      </c>
      <c r="C4144" s="2" t="str">
        <f>"40070108"</f>
        <v>40070108</v>
      </c>
      <c r="D4144" s="2" t="s">
        <v>3487</v>
      </c>
      <c r="E4144" s="4">
        <v>37990</v>
      </c>
    </row>
    <row r="4145" spans="1:5" ht="26.25" x14ac:dyDescent="0.25">
      <c r="A4145" s="2" t="s">
        <v>925</v>
      </c>
      <c r="B4145" s="2" t="str">
        <f>"6925871627542"</f>
        <v>6925871627542</v>
      </c>
      <c r="C4145" s="2" t="str">
        <f>"22072754"</f>
        <v>22072754</v>
      </c>
      <c r="D4145" s="2" t="s">
        <v>3488</v>
      </c>
      <c r="E4145" s="4">
        <v>17900</v>
      </c>
    </row>
    <row r="4146" spans="1:5" ht="26.25" x14ac:dyDescent="0.25">
      <c r="A4146" s="2" t="s">
        <v>925</v>
      </c>
      <c r="B4146" s="2" t="str">
        <f>"6925871624572"</f>
        <v>6925871624572</v>
      </c>
      <c r="C4146" s="2" t="str">
        <f>"22072457"</f>
        <v>22072457</v>
      </c>
      <c r="D4146" s="2" t="s">
        <v>3489</v>
      </c>
      <c r="E4146" s="4">
        <v>45300</v>
      </c>
    </row>
    <row r="4147" spans="1:5" ht="26.25" x14ac:dyDescent="0.25">
      <c r="A4147" s="2" t="s">
        <v>925</v>
      </c>
      <c r="B4147" s="2" t="str">
        <f>"6925871611732"</f>
        <v>6925871611732</v>
      </c>
      <c r="C4147" s="2" t="str">
        <f>"22071173"</f>
        <v>22071173</v>
      </c>
      <c r="D4147" s="2" t="s">
        <v>3490</v>
      </c>
      <c r="E4147" s="4">
        <v>25600</v>
      </c>
    </row>
    <row r="4148" spans="1:5" ht="26.25" x14ac:dyDescent="0.25">
      <c r="A4148" s="2" t="s">
        <v>925</v>
      </c>
      <c r="B4148" s="2" t="str">
        <f>"6925871613873"</f>
        <v>6925871613873</v>
      </c>
      <c r="C4148" s="2" t="str">
        <f>"22071387"</f>
        <v>22071387</v>
      </c>
      <c r="D4148" s="2" t="s">
        <v>3491</v>
      </c>
      <c r="E4148" s="4">
        <v>8990</v>
      </c>
    </row>
    <row r="4149" spans="1:5" ht="26.25" x14ac:dyDescent="0.25">
      <c r="A4149" s="2" t="s">
        <v>925</v>
      </c>
      <c r="B4149" s="2" t="str">
        <f>"6925871615730"</f>
        <v>6925871615730</v>
      </c>
      <c r="C4149" s="2" t="str">
        <f>"22071573"</f>
        <v>22071573</v>
      </c>
      <c r="D4149" s="2" t="s">
        <v>3492</v>
      </c>
      <c r="E4149" s="4">
        <v>12500</v>
      </c>
    </row>
    <row r="4150" spans="1:5" ht="26.25" x14ac:dyDescent="0.25">
      <c r="A4150" s="2" t="s">
        <v>925</v>
      </c>
      <c r="B4150" s="2" t="str">
        <f>"22071705"</f>
        <v>22071705</v>
      </c>
      <c r="C4150" s="2" t="str">
        <f>"22071705"</f>
        <v>22071705</v>
      </c>
      <c r="D4150" s="2" t="s">
        <v>3493</v>
      </c>
      <c r="E4150" s="4">
        <v>12990</v>
      </c>
    </row>
    <row r="4151" spans="1:5" ht="26.25" x14ac:dyDescent="0.25">
      <c r="A4151" s="2" t="s">
        <v>925</v>
      </c>
      <c r="B4151" s="2" t="str">
        <f>"6925871617086"</f>
        <v>6925871617086</v>
      </c>
      <c r="C4151" s="2" t="str">
        <f>"22071708"</f>
        <v>22071708</v>
      </c>
      <c r="D4151" s="2" t="s">
        <v>3494</v>
      </c>
      <c r="E4151" s="4">
        <v>15500</v>
      </c>
    </row>
    <row r="4152" spans="1:5" ht="26.25" x14ac:dyDescent="0.25">
      <c r="A4152" s="2" t="s">
        <v>925</v>
      </c>
      <c r="B4152" s="2" t="str">
        <f>"6925871617161"</f>
        <v>6925871617161</v>
      </c>
      <c r="C4152" s="2" t="str">
        <f>"22071716"</f>
        <v>22071716</v>
      </c>
      <c r="D4152" s="2" t="s">
        <v>3495</v>
      </c>
      <c r="E4152" s="4">
        <v>21990</v>
      </c>
    </row>
    <row r="4153" spans="1:5" ht="26.25" x14ac:dyDescent="0.25">
      <c r="A4153" s="2" t="s">
        <v>925</v>
      </c>
      <c r="B4153" s="2" t="str">
        <f>"6925871617185"</f>
        <v>6925871617185</v>
      </c>
      <c r="C4153" s="2" t="str">
        <f>"22071718"</f>
        <v>22071718</v>
      </c>
      <c r="D4153" s="2" t="s">
        <v>3496</v>
      </c>
      <c r="E4153" s="4">
        <v>19990</v>
      </c>
    </row>
    <row r="4154" spans="1:5" ht="26.25" x14ac:dyDescent="0.25">
      <c r="A4154" s="2" t="s">
        <v>925</v>
      </c>
      <c r="B4154" s="2" t="str">
        <f>"6925871618328"</f>
        <v>6925871618328</v>
      </c>
      <c r="C4154" s="2" t="str">
        <f>"22071832"</f>
        <v>22071832</v>
      </c>
      <c r="D4154" s="2" t="s">
        <v>3497</v>
      </c>
      <c r="E4154" s="4">
        <v>22990</v>
      </c>
    </row>
    <row r="4155" spans="1:5" ht="26.25" x14ac:dyDescent="0.25">
      <c r="A4155" s="2" t="s">
        <v>925</v>
      </c>
      <c r="B4155" s="2" t="str">
        <f>"6925871618618"</f>
        <v>6925871618618</v>
      </c>
      <c r="C4155" s="2" t="str">
        <f>"22071861"</f>
        <v>22071861</v>
      </c>
      <c r="D4155" s="2" t="s">
        <v>3498</v>
      </c>
      <c r="E4155" s="4">
        <v>17990</v>
      </c>
    </row>
    <row r="4156" spans="1:5" ht="26.25" x14ac:dyDescent="0.25">
      <c r="A4156" s="2" t="s">
        <v>925</v>
      </c>
      <c r="B4156" s="2" t="str">
        <f>"6925871618823"</f>
        <v>6925871618823</v>
      </c>
      <c r="C4156" s="2" t="str">
        <f>"22071882"</f>
        <v>22071882</v>
      </c>
      <c r="D4156" s="2" t="s">
        <v>3499</v>
      </c>
      <c r="E4156" s="4">
        <v>5500</v>
      </c>
    </row>
    <row r="4157" spans="1:5" ht="26.25" x14ac:dyDescent="0.25">
      <c r="A4157" s="2" t="s">
        <v>925</v>
      </c>
      <c r="B4157" s="2" t="str">
        <f>"6925871620949"</f>
        <v>6925871620949</v>
      </c>
      <c r="C4157" s="2" t="str">
        <f>"22072094"</f>
        <v>22072094</v>
      </c>
      <c r="D4157" s="2" t="s">
        <v>3500</v>
      </c>
      <c r="E4157" s="4">
        <v>11990</v>
      </c>
    </row>
    <row r="4158" spans="1:5" ht="26.25" x14ac:dyDescent="0.25">
      <c r="A4158" s="2" t="s">
        <v>925</v>
      </c>
      <c r="B4158" s="2" t="str">
        <f>"6925871621243"</f>
        <v>6925871621243</v>
      </c>
      <c r="C4158" s="2" t="str">
        <f>"22072124"</f>
        <v>22072124</v>
      </c>
      <c r="D4158" s="2" t="s">
        <v>3501</v>
      </c>
      <c r="E4158" s="4">
        <v>8990</v>
      </c>
    </row>
    <row r="4159" spans="1:5" ht="26.25" x14ac:dyDescent="0.25">
      <c r="A4159" s="2" t="s">
        <v>925</v>
      </c>
      <c r="B4159" s="2" t="str">
        <f>"6925871621434"</f>
        <v>6925871621434</v>
      </c>
      <c r="C4159" s="2" t="str">
        <f>"22072143"</f>
        <v>22072143</v>
      </c>
      <c r="D4159" s="2" t="s">
        <v>3502</v>
      </c>
      <c r="E4159" s="4">
        <v>23900</v>
      </c>
    </row>
    <row r="4160" spans="1:5" ht="26.25" x14ac:dyDescent="0.25">
      <c r="A4160" s="2" t="s">
        <v>925</v>
      </c>
      <c r="B4160" s="2" t="str">
        <f>"6925871621526"</f>
        <v>6925871621526</v>
      </c>
      <c r="C4160" s="2" t="str">
        <f>"22072152"</f>
        <v>22072152</v>
      </c>
      <c r="D4160" s="2" t="s">
        <v>3503</v>
      </c>
      <c r="E4160" s="4">
        <v>16990</v>
      </c>
    </row>
    <row r="4161" spans="1:5" ht="26.25" x14ac:dyDescent="0.25">
      <c r="A4161" s="2" t="s">
        <v>925</v>
      </c>
      <c r="B4161" s="2" t="str">
        <f>"6925871621564"</f>
        <v>6925871621564</v>
      </c>
      <c r="C4161" s="2" t="str">
        <f>"22072156"</f>
        <v>22072156</v>
      </c>
      <c r="D4161" s="2" t="s">
        <v>3504</v>
      </c>
      <c r="E4161" s="4">
        <v>17990</v>
      </c>
    </row>
    <row r="4162" spans="1:5" ht="26.25" x14ac:dyDescent="0.25">
      <c r="A4162" s="2" t="s">
        <v>925</v>
      </c>
      <c r="B4162" s="2" t="str">
        <f>"22072309"</f>
        <v>22072309</v>
      </c>
      <c r="C4162" s="2" t="str">
        <f>"22072309"</f>
        <v>22072309</v>
      </c>
      <c r="D4162" s="2" t="s">
        <v>3505</v>
      </c>
      <c r="E4162" s="4">
        <v>28500</v>
      </c>
    </row>
    <row r="4163" spans="1:5" ht="26.25" x14ac:dyDescent="0.25">
      <c r="A4163" s="2" t="s">
        <v>925</v>
      </c>
      <c r="B4163" s="2" t="str">
        <f>"22072560"</f>
        <v>22072560</v>
      </c>
      <c r="C4163" s="2" t="str">
        <f>"22072560"</f>
        <v>22072560</v>
      </c>
      <c r="D4163" s="2" t="s">
        <v>3506</v>
      </c>
      <c r="E4163" s="4">
        <v>24500</v>
      </c>
    </row>
    <row r="4164" spans="1:5" ht="26.25" x14ac:dyDescent="0.25">
      <c r="A4164" s="2" t="s">
        <v>925</v>
      </c>
      <c r="B4164" s="2" t="str">
        <f>"6925871625739"</f>
        <v>6925871625739</v>
      </c>
      <c r="C4164" s="2" t="str">
        <f>"22072573"</f>
        <v>22072573</v>
      </c>
      <c r="D4164" s="2" t="s">
        <v>3507</v>
      </c>
      <c r="E4164" s="4">
        <v>13500</v>
      </c>
    </row>
    <row r="4165" spans="1:5" ht="26.25" x14ac:dyDescent="0.25">
      <c r="A4165" s="2" t="s">
        <v>925</v>
      </c>
      <c r="B4165" s="2" t="str">
        <f>"6925871625937"</f>
        <v>6925871625937</v>
      </c>
      <c r="C4165" s="2" t="str">
        <f>"22072593"</f>
        <v>22072593</v>
      </c>
      <c r="D4165" s="2" t="s">
        <v>3508</v>
      </c>
      <c r="E4165" s="4">
        <v>25990</v>
      </c>
    </row>
    <row r="4166" spans="1:5" ht="26.25" x14ac:dyDescent="0.25">
      <c r="A4166" s="2" t="s">
        <v>925</v>
      </c>
      <c r="B4166" s="2" t="str">
        <f>"6925871626279"</f>
        <v>6925871626279</v>
      </c>
      <c r="C4166" s="2" t="str">
        <f>"22072627"</f>
        <v>22072627</v>
      </c>
      <c r="D4166" s="2" t="s">
        <v>3509</v>
      </c>
      <c r="E4166" s="4">
        <v>13980</v>
      </c>
    </row>
    <row r="4167" spans="1:5" ht="26.25" x14ac:dyDescent="0.25">
      <c r="A4167" s="2" t="s">
        <v>925</v>
      </c>
      <c r="B4167" s="2" t="str">
        <f>"6925871626736"</f>
        <v>6925871626736</v>
      </c>
      <c r="C4167" s="2" t="str">
        <f>"22072673"</f>
        <v>22072673</v>
      </c>
      <c r="D4167" s="2" t="s">
        <v>3510</v>
      </c>
      <c r="E4167" s="4">
        <v>19900</v>
      </c>
    </row>
    <row r="4168" spans="1:5" ht="26.25" x14ac:dyDescent="0.25">
      <c r="A4168" s="2" t="s">
        <v>925</v>
      </c>
      <c r="B4168" s="2" t="str">
        <f>"6925871626835"</f>
        <v>6925871626835</v>
      </c>
      <c r="C4168" s="2" t="str">
        <f>"22072683"</f>
        <v>22072683</v>
      </c>
      <c r="D4168" s="2" t="s">
        <v>3511</v>
      </c>
      <c r="E4168" s="4">
        <v>13990</v>
      </c>
    </row>
    <row r="4169" spans="1:5" ht="26.25" x14ac:dyDescent="0.25">
      <c r="A4169" s="2" t="s">
        <v>925</v>
      </c>
      <c r="B4169" s="2" t="str">
        <f>"6925871628938"</f>
        <v>6925871628938</v>
      </c>
      <c r="C4169" s="2" t="str">
        <f>"22072893"</f>
        <v>22072893</v>
      </c>
      <c r="D4169" s="2" t="s">
        <v>3512</v>
      </c>
      <c r="E4169" s="4">
        <v>14990</v>
      </c>
    </row>
    <row r="4170" spans="1:5" ht="26.25" x14ac:dyDescent="0.25">
      <c r="A4170" s="2" t="s">
        <v>925</v>
      </c>
      <c r="B4170" s="2" t="str">
        <f>"6925871629287"</f>
        <v>6925871629287</v>
      </c>
      <c r="C4170" s="2" t="str">
        <f>"22072928"</f>
        <v>22072928</v>
      </c>
      <c r="D4170" s="2" t="s">
        <v>3513</v>
      </c>
      <c r="E4170" s="4">
        <v>16990</v>
      </c>
    </row>
    <row r="4171" spans="1:5" ht="26.25" x14ac:dyDescent="0.25">
      <c r="A4171" s="2" t="s">
        <v>925</v>
      </c>
      <c r="B4171" s="2" t="str">
        <f>"22072952"</f>
        <v>22072952</v>
      </c>
      <c r="C4171" s="2" t="str">
        <f>"22072952"</f>
        <v>22072952</v>
      </c>
      <c r="D4171" s="2" t="s">
        <v>3514</v>
      </c>
      <c r="E4171" s="4">
        <v>32990</v>
      </c>
    </row>
    <row r="4172" spans="1:5" ht="26.25" x14ac:dyDescent="0.25">
      <c r="A4172" s="2" t="s">
        <v>925</v>
      </c>
      <c r="B4172" s="2" t="str">
        <f>"22072955"</f>
        <v>22072955</v>
      </c>
      <c r="C4172" s="2" t="str">
        <f>"22072955"</f>
        <v>22072955</v>
      </c>
      <c r="D4172" s="2" t="s">
        <v>3515</v>
      </c>
      <c r="E4172" s="4">
        <v>32990</v>
      </c>
    </row>
    <row r="4173" spans="1:5" ht="26.25" x14ac:dyDescent="0.25">
      <c r="A4173" s="2" t="s">
        <v>925</v>
      </c>
      <c r="B4173" s="2" t="str">
        <f>"6925871603065"</f>
        <v>6925871603065</v>
      </c>
      <c r="C4173" s="2" t="str">
        <f>"22070306"</f>
        <v>22070306</v>
      </c>
      <c r="D4173" s="2" t="s">
        <v>3516</v>
      </c>
      <c r="E4173" s="4">
        <v>13000</v>
      </c>
    </row>
    <row r="4174" spans="1:5" ht="26.25" x14ac:dyDescent="0.25">
      <c r="A4174" s="2" t="s">
        <v>21</v>
      </c>
      <c r="B4174" s="2" t="str">
        <f>"6925871638180"</f>
        <v>6925871638180</v>
      </c>
      <c r="C4174" s="2" t="str">
        <f>"22070018"</f>
        <v>22070018</v>
      </c>
      <c r="D4174" s="2" t="s">
        <v>3517</v>
      </c>
      <c r="E4174" s="4">
        <v>14490</v>
      </c>
    </row>
    <row r="4175" spans="1:5" ht="26.25" x14ac:dyDescent="0.25">
      <c r="A4175" s="2" t="s">
        <v>925</v>
      </c>
      <c r="B4175" s="2" t="str">
        <f>"42001120"</f>
        <v>42001120</v>
      </c>
      <c r="C4175" s="2" t="str">
        <f>"42001120"</f>
        <v>42001120</v>
      </c>
      <c r="D4175" s="2" t="s">
        <v>3518</v>
      </c>
      <c r="E4175" s="4">
        <v>9500</v>
      </c>
    </row>
    <row r="4176" spans="1:5" ht="26.25" x14ac:dyDescent="0.25">
      <c r="A4176" s="2" t="s">
        <v>925</v>
      </c>
      <c r="B4176" s="2" t="str">
        <f>"7804625561273"</f>
        <v>7804625561273</v>
      </c>
      <c r="C4176" s="2" t="str">
        <f>"42002700"</f>
        <v>42002700</v>
      </c>
      <c r="D4176" s="2" t="s">
        <v>3519</v>
      </c>
      <c r="E4176" s="4">
        <v>7900</v>
      </c>
    </row>
    <row r="4177" spans="1:5" ht="26.25" x14ac:dyDescent="0.25">
      <c r="A4177" s="2" t="s">
        <v>925</v>
      </c>
      <c r="B4177" s="2" t="str">
        <f>"6902361204230"</f>
        <v>6902361204230</v>
      </c>
      <c r="C4177" s="2" t="str">
        <f>"98370015"</f>
        <v>98370015</v>
      </c>
      <c r="D4177" s="2" t="s">
        <v>3520</v>
      </c>
      <c r="E4177" s="4">
        <v>8500</v>
      </c>
    </row>
    <row r="4178" spans="1:5" ht="26.25" x14ac:dyDescent="0.25">
      <c r="A4178" s="2" t="s">
        <v>925</v>
      </c>
      <c r="B4178" s="2" t="str">
        <f>"7297932032602"</f>
        <v>7297932032602</v>
      </c>
      <c r="C4178" s="2" t="str">
        <f>"32PLCICX60"</f>
        <v>32PLCICX60</v>
      </c>
      <c r="D4178" s="2" t="s">
        <v>3521</v>
      </c>
      <c r="E4178" s="4">
        <v>8990</v>
      </c>
    </row>
    <row r="4179" spans="1:5" ht="26.25" x14ac:dyDescent="0.25">
      <c r="A4179" s="2" t="s">
        <v>925</v>
      </c>
      <c r="B4179" s="2" t="str">
        <f>"10100319"</f>
        <v>10100319</v>
      </c>
      <c r="C4179" s="2" t="str">
        <f>"10100319"</f>
        <v>10100319</v>
      </c>
      <c r="D4179" s="2" t="s">
        <v>3522</v>
      </c>
      <c r="E4179" s="4">
        <v>8990</v>
      </c>
    </row>
    <row r="4180" spans="1:5" ht="26.25" x14ac:dyDescent="0.25">
      <c r="A4180" s="2" t="s">
        <v>925</v>
      </c>
      <c r="B4180" s="2" t="str">
        <f>"6902361211832"</f>
        <v>6902361211832</v>
      </c>
      <c r="C4180" s="2" t="str">
        <f>"98070020"</f>
        <v>98070020</v>
      </c>
      <c r="D4180" s="2" t="s">
        <v>3523</v>
      </c>
      <c r="E4180" s="4">
        <v>6490</v>
      </c>
    </row>
    <row r="4181" spans="1:5" ht="26.25" x14ac:dyDescent="0.25">
      <c r="A4181" s="2" t="s">
        <v>925</v>
      </c>
      <c r="B4181" s="2" t="str">
        <f>"4905524975727"</f>
        <v>4905524975727</v>
      </c>
      <c r="C4181" s="2" t="str">
        <f>"25071526"</f>
        <v>25071526</v>
      </c>
      <c r="D4181" s="2" t="s">
        <v>3524</v>
      </c>
      <c r="E4181" s="4">
        <v>22990</v>
      </c>
    </row>
    <row r="4182" spans="1:5" ht="26.25" x14ac:dyDescent="0.25">
      <c r="A4182" s="2" t="s">
        <v>925</v>
      </c>
      <c r="B4182" s="2" t="str">
        <f>"22070031"</f>
        <v>22070031</v>
      </c>
      <c r="C4182" s="2" t="str">
        <f>"22070031"</f>
        <v>22070031</v>
      </c>
      <c r="D4182" s="2" t="s">
        <v>3525</v>
      </c>
      <c r="E4182" s="4">
        <v>14990</v>
      </c>
    </row>
    <row r="4183" spans="1:5" ht="26.25" x14ac:dyDescent="0.25">
      <c r="A4183" s="2" t="s">
        <v>925</v>
      </c>
      <c r="B4183" s="2" t="str">
        <f>"22070047"</f>
        <v>22070047</v>
      </c>
      <c r="C4183" s="2" t="str">
        <f>"22070047"</f>
        <v>22070047</v>
      </c>
      <c r="D4183" s="2" t="s">
        <v>3526</v>
      </c>
      <c r="E4183" s="4">
        <v>22990</v>
      </c>
    </row>
    <row r="4184" spans="1:5" ht="26.25" x14ac:dyDescent="0.25">
      <c r="A4184" s="2" t="s">
        <v>925</v>
      </c>
      <c r="B4184" s="2" t="str">
        <f>"22073103"</f>
        <v>22073103</v>
      </c>
      <c r="C4184" s="2" t="str">
        <f>"22073103"</f>
        <v>22073103</v>
      </c>
      <c r="D4184" s="2" t="s">
        <v>3527</v>
      </c>
      <c r="E4184" s="4">
        <v>14990</v>
      </c>
    </row>
    <row r="4185" spans="1:5" ht="26.25" x14ac:dyDescent="0.25">
      <c r="A4185" s="2" t="s">
        <v>925</v>
      </c>
      <c r="B4185" s="2" t="str">
        <f>"22070310"</f>
        <v>22070310</v>
      </c>
      <c r="C4185" s="2" t="str">
        <f>"22070310"</f>
        <v>22070310</v>
      </c>
      <c r="D4185" s="2" t="s">
        <v>3528</v>
      </c>
      <c r="E4185" s="4">
        <v>19990</v>
      </c>
    </row>
    <row r="4186" spans="1:5" ht="26.25" x14ac:dyDescent="0.25">
      <c r="A4186" s="2" t="s">
        <v>925</v>
      </c>
      <c r="B4186" s="2" t="str">
        <f>"22070322"</f>
        <v>22070322</v>
      </c>
      <c r="C4186" s="2" t="str">
        <f>"22070322"</f>
        <v>22070322</v>
      </c>
      <c r="D4186" s="2" t="s">
        <v>3529</v>
      </c>
      <c r="E4186" s="4">
        <v>21990</v>
      </c>
    </row>
    <row r="4187" spans="1:5" ht="26.25" x14ac:dyDescent="0.25">
      <c r="A4187" s="2" t="s">
        <v>925</v>
      </c>
      <c r="B4187" s="2" t="str">
        <f>"22070337"</f>
        <v>22070337</v>
      </c>
      <c r="C4187" s="2" t="str">
        <f>"22070337"</f>
        <v>22070337</v>
      </c>
      <c r="D4187" s="2" t="s">
        <v>3530</v>
      </c>
      <c r="E4187" s="4">
        <v>22990</v>
      </c>
    </row>
    <row r="4188" spans="1:5" ht="26.25" x14ac:dyDescent="0.25">
      <c r="A4188" s="2" t="s">
        <v>925</v>
      </c>
      <c r="B4188" s="2" t="str">
        <f>"22070341"</f>
        <v>22070341</v>
      </c>
      <c r="C4188" s="2" t="str">
        <f>"22070341"</f>
        <v>22070341</v>
      </c>
      <c r="D4188" s="2" t="s">
        <v>3531</v>
      </c>
      <c r="E4188" s="4">
        <v>27990</v>
      </c>
    </row>
    <row r="4189" spans="1:5" ht="26.25" x14ac:dyDescent="0.25">
      <c r="A4189" s="2" t="s">
        <v>925</v>
      </c>
      <c r="B4189" s="2" t="str">
        <f>"22070346"</f>
        <v>22070346</v>
      </c>
      <c r="C4189" s="2" t="str">
        <f>"22070346"</f>
        <v>22070346</v>
      </c>
      <c r="D4189" s="2" t="s">
        <v>3532</v>
      </c>
      <c r="E4189" s="4">
        <v>27990</v>
      </c>
    </row>
    <row r="4190" spans="1:5" ht="26.25" x14ac:dyDescent="0.25">
      <c r="A4190" s="2" t="s">
        <v>925</v>
      </c>
      <c r="B4190" s="2" t="str">
        <f>"22070359"</f>
        <v>22070359</v>
      </c>
      <c r="C4190" s="2" t="str">
        <f>"22070359"</f>
        <v>22070359</v>
      </c>
      <c r="D4190" s="2" t="s">
        <v>3533</v>
      </c>
      <c r="E4190" s="4">
        <v>18990</v>
      </c>
    </row>
    <row r="4191" spans="1:5" ht="26.25" x14ac:dyDescent="0.25">
      <c r="A4191" s="2" t="s">
        <v>925</v>
      </c>
      <c r="B4191" s="2" t="str">
        <f>"42002840"</f>
        <v>42002840</v>
      </c>
      <c r="C4191" s="2" t="str">
        <f>"42002840"</f>
        <v>42002840</v>
      </c>
      <c r="D4191" s="2" t="s">
        <v>3534</v>
      </c>
      <c r="E4191" s="4">
        <v>13900</v>
      </c>
    </row>
    <row r="4192" spans="1:5" ht="26.25" x14ac:dyDescent="0.25">
      <c r="A4192" s="2" t="s">
        <v>925</v>
      </c>
      <c r="B4192" s="2" t="str">
        <f>"42002870"</f>
        <v>42002870</v>
      </c>
      <c r="C4192" s="2" t="str">
        <f>"42002870"</f>
        <v>42002870</v>
      </c>
      <c r="D4192" s="2" t="s">
        <v>3534</v>
      </c>
      <c r="E4192" s="4">
        <v>13500</v>
      </c>
    </row>
    <row r="4193" spans="1:5" ht="26.25" x14ac:dyDescent="0.25">
      <c r="A4193" s="2" t="s">
        <v>925</v>
      </c>
      <c r="B4193" s="2" t="s">
        <v>3535</v>
      </c>
      <c r="C4193" s="2" t="str">
        <f>"66003759"</f>
        <v>66003759</v>
      </c>
      <c r="D4193" s="2" t="s">
        <v>3536</v>
      </c>
      <c r="E4193" s="4">
        <v>12990</v>
      </c>
    </row>
    <row r="4194" spans="1:5" ht="26.25" x14ac:dyDescent="0.25">
      <c r="A4194" s="2" t="s">
        <v>925</v>
      </c>
      <c r="B4194" s="2" t="str">
        <f>"25441526"</f>
        <v>25441526</v>
      </c>
      <c r="C4194" s="2" t="str">
        <f>"25441526"</f>
        <v>25441526</v>
      </c>
      <c r="D4194" s="2" t="s">
        <v>3537</v>
      </c>
      <c r="E4194" s="4">
        <v>19900</v>
      </c>
    </row>
    <row r="4195" spans="1:5" ht="26.25" x14ac:dyDescent="0.25">
      <c r="A4195" s="2" t="s">
        <v>925</v>
      </c>
      <c r="B4195" s="2" t="str">
        <f>"87441716"</f>
        <v>87441716</v>
      </c>
      <c r="C4195" s="2" t="str">
        <f>"87441716"</f>
        <v>87441716</v>
      </c>
      <c r="D4195" s="2" t="s">
        <v>3538</v>
      </c>
      <c r="E4195" s="4">
        <v>9900</v>
      </c>
    </row>
    <row r="4196" spans="1:5" ht="26.25" x14ac:dyDescent="0.25">
      <c r="A4196" s="2" t="s">
        <v>30</v>
      </c>
      <c r="B4196" s="2" t="str">
        <f>"5620000920846"</f>
        <v>5620000920846</v>
      </c>
      <c r="C4196" s="2" t="str">
        <f>"280292084"</f>
        <v>280292084</v>
      </c>
      <c r="D4196" s="2" t="s">
        <v>3539</v>
      </c>
      <c r="E4196" s="4">
        <v>5000</v>
      </c>
    </row>
    <row r="4197" spans="1:5" ht="26.25" x14ac:dyDescent="0.25">
      <c r="A4197" s="2" t="s">
        <v>327</v>
      </c>
      <c r="B4197" s="2" t="str">
        <f>"2020050062740"</f>
        <v>2020050062740</v>
      </c>
      <c r="C4197" s="2" t="str">
        <f>"69060350"</f>
        <v>69060350</v>
      </c>
      <c r="D4197" s="2" t="s">
        <v>3540</v>
      </c>
      <c r="E4197" s="4">
        <v>4990</v>
      </c>
    </row>
    <row r="4198" spans="1:5" ht="26.25" x14ac:dyDescent="0.25">
      <c r="A4198" s="2" t="s">
        <v>327</v>
      </c>
      <c r="B4198" s="2" t="str">
        <f>"2020050062757"</f>
        <v>2020050062757</v>
      </c>
      <c r="C4198" s="2" t="str">
        <f>"69060360"</f>
        <v>69060360</v>
      </c>
      <c r="D4198" s="2" t="s">
        <v>3541</v>
      </c>
      <c r="E4198" s="4">
        <v>2990</v>
      </c>
    </row>
    <row r="4199" spans="1:5" ht="26.25" x14ac:dyDescent="0.25">
      <c r="A4199" s="2" t="s">
        <v>327</v>
      </c>
      <c r="B4199" s="2" t="str">
        <f>"2020050062764"</f>
        <v>2020050062764</v>
      </c>
      <c r="C4199" s="2" t="str">
        <f>"69060600"</f>
        <v>69060600</v>
      </c>
      <c r="D4199" s="2" t="s">
        <v>3542</v>
      </c>
      <c r="E4199" s="4">
        <v>4990</v>
      </c>
    </row>
    <row r="4200" spans="1:5" ht="26.25" x14ac:dyDescent="0.25">
      <c r="A4200" s="2" t="s">
        <v>327</v>
      </c>
      <c r="B4200" s="2" t="str">
        <f>"2020050062771"</f>
        <v>2020050062771</v>
      </c>
      <c r="C4200" s="2" t="str">
        <f>"69060188"</f>
        <v>69060188</v>
      </c>
      <c r="D4200" s="2" t="s">
        <v>3543</v>
      </c>
      <c r="E4200" s="4">
        <v>7500</v>
      </c>
    </row>
    <row r="4201" spans="1:5" ht="26.25" x14ac:dyDescent="0.25">
      <c r="A4201" s="2" t="s">
        <v>327</v>
      </c>
      <c r="B4201" s="2" t="str">
        <f>"2020050062733"</f>
        <v>2020050062733</v>
      </c>
      <c r="C4201" s="2" t="str">
        <f>"69060006"</f>
        <v>69060006</v>
      </c>
      <c r="D4201" s="2" t="s">
        <v>3544</v>
      </c>
      <c r="E4201" s="4">
        <v>5990</v>
      </c>
    </row>
    <row r="4202" spans="1:5" ht="26.25" x14ac:dyDescent="0.25">
      <c r="A4202" s="2" t="s">
        <v>327</v>
      </c>
      <c r="B4202" s="2" t="str">
        <f>"6905631118060"</f>
        <v>6905631118060</v>
      </c>
      <c r="C4202" s="2" t="str">
        <f>"40060450"</f>
        <v>40060450</v>
      </c>
      <c r="D4202" s="2" t="s">
        <v>3545</v>
      </c>
      <c r="E4202" s="4">
        <v>5990</v>
      </c>
    </row>
    <row r="4203" spans="1:5" ht="26.25" x14ac:dyDescent="0.25">
      <c r="A4203" s="2" t="s">
        <v>327</v>
      </c>
      <c r="B4203" s="2" t="str">
        <f>"85068017"</f>
        <v>85068017</v>
      </c>
      <c r="C4203" s="2" t="str">
        <f>"85068017"</f>
        <v>85068017</v>
      </c>
      <c r="D4203" s="2" t="s">
        <v>3546</v>
      </c>
      <c r="E4203" s="4">
        <v>3900</v>
      </c>
    </row>
    <row r="4204" spans="1:5" ht="26.25" x14ac:dyDescent="0.25">
      <c r="A4204" s="2" t="s">
        <v>40</v>
      </c>
      <c r="B4204" s="2" t="str">
        <f>"7858816017872"</f>
        <v>7858816017872</v>
      </c>
      <c r="C4204" s="2" t="str">
        <f>"87021787"</f>
        <v>87021787</v>
      </c>
      <c r="D4204" s="2" t="s">
        <v>3547</v>
      </c>
      <c r="E4204" s="4">
        <v>5990</v>
      </c>
    </row>
    <row r="4205" spans="1:5" ht="26.25" x14ac:dyDescent="0.25">
      <c r="A4205" s="2" t="s">
        <v>949</v>
      </c>
      <c r="B4205" s="2" t="str">
        <f>"10002892"</f>
        <v>10002892</v>
      </c>
      <c r="C4205" s="2" t="str">
        <f>"10002892"</f>
        <v>10002892</v>
      </c>
      <c r="D4205" s="2" t="s">
        <v>3548</v>
      </c>
      <c r="E4205" s="4">
        <v>8690</v>
      </c>
    </row>
    <row r="4206" spans="1:5" ht="26.25" x14ac:dyDescent="0.25">
      <c r="A4206" s="2" t="s">
        <v>949</v>
      </c>
      <c r="B4206" s="2" t="str">
        <f>"6986698108218"</f>
        <v>6986698108218</v>
      </c>
      <c r="C4206" s="2" t="str">
        <f>"40064500"</f>
        <v>40064500</v>
      </c>
      <c r="D4206" s="2" t="s">
        <v>3549</v>
      </c>
      <c r="E4206" s="4">
        <v>6500</v>
      </c>
    </row>
    <row r="4207" spans="1:5" ht="26.25" x14ac:dyDescent="0.25">
      <c r="A4207" s="2" t="s">
        <v>327</v>
      </c>
      <c r="B4207" s="2" t="str">
        <f>"4710007724699"</f>
        <v>4710007724699</v>
      </c>
      <c r="C4207" s="2" t="str">
        <f>"65524699"</f>
        <v>65524699</v>
      </c>
      <c r="D4207" s="2" t="s">
        <v>3550</v>
      </c>
      <c r="E4207" s="4">
        <v>6900</v>
      </c>
    </row>
    <row r="4208" spans="1:5" ht="26.25" x14ac:dyDescent="0.25">
      <c r="A4208" s="2" t="s">
        <v>21</v>
      </c>
      <c r="B4208" s="2" t="str">
        <f>"2587999662115"</f>
        <v>2587999662115</v>
      </c>
      <c r="C4208" s="2" t="str">
        <f>"40521019"</f>
        <v>40521019</v>
      </c>
      <c r="D4208" s="2" t="s">
        <v>3551</v>
      </c>
      <c r="E4208" s="4">
        <v>9990</v>
      </c>
    </row>
    <row r="4209" spans="1:5" ht="26.25" x14ac:dyDescent="0.25">
      <c r="A4209" s="2" t="s">
        <v>21</v>
      </c>
      <c r="B4209" s="2" t="str">
        <f>"10000886"</f>
        <v>10000886</v>
      </c>
      <c r="C4209" s="2" t="str">
        <f>"10000886"</f>
        <v>10000886</v>
      </c>
      <c r="D4209" s="2" t="s">
        <v>3552</v>
      </c>
      <c r="E4209" s="4">
        <v>20000</v>
      </c>
    </row>
    <row r="4210" spans="1:5" ht="26.25" x14ac:dyDescent="0.25">
      <c r="A4210" s="2" t="s">
        <v>925</v>
      </c>
      <c r="B4210" s="2" t="str">
        <f>"6925871650274"</f>
        <v>6925871650274</v>
      </c>
      <c r="C4210" s="2" t="str">
        <f>"22075027"</f>
        <v>22075027</v>
      </c>
      <c r="D4210" s="2" t="s">
        <v>3553</v>
      </c>
      <c r="E4210" s="4">
        <v>8500</v>
      </c>
    </row>
    <row r="4211" spans="1:5" ht="26.25" x14ac:dyDescent="0.25">
      <c r="A4211" s="2" t="s">
        <v>21</v>
      </c>
      <c r="B4211" s="2" t="str">
        <f>"8669885010270"</f>
        <v>8669885010270</v>
      </c>
      <c r="C4211" s="2" t="str">
        <f>"66520270"</f>
        <v>66520270</v>
      </c>
      <c r="D4211" s="2" t="s">
        <v>3554</v>
      </c>
      <c r="E4211" s="4">
        <v>28600</v>
      </c>
    </row>
    <row r="4212" spans="1:5" ht="26.25" x14ac:dyDescent="0.25">
      <c r="A4212" s="2" t="s">
        <v>21</v>
      </c>
      <c r="B4212" s="2" t="str">
        <f>"10522926"</f>
        <v>10522926</v>
      </c>
      <c r="C4212" s="2" t="str">
        <f>"10522926"</f>
        <v>10522926</v>
      </c>
      <c r="D4212" s="2" t="s">
        <v>3555</v>
      </c>
      <c r="E4212" s="4">
        <v>19900</v>
      </c>
    </row>
    <row r="4213" spans="1:5" ht="26.25" x14ac:dyDescent="0.25">
      <c r="A4213" s="2" t="s">
        <v>21</v>
      </c>
      <c r="B4213" s="2" t="str">
        <f>"10522993"</f>
        <v>10522993</v>
      </c>
      <c r="C4213" s="2" t="str">
        <f>"10522993"</f>
        <v>10522993</v>
      </c>
      <c r="D4213" s="2" t="s">
        <v>3556</v>
      </c>
      <c r="E4213" s="4">
        <v>13900</v>
      </c>
    </row>
    <row r="4214" spans="1:5" ht="26.25" x14ac:dyDescent="0.25">
      <c r="A4214" s="2" t="s">
        <v>21</v>
      </c>
      <c r="B4214" s="2" t="str">
        <f>"10002993"</f>
        <v>10002993</v>
      </c>
      <c r="C4214" s="2" t="str">
        <f>"10002993"</f>
        <v>10002993</v>
      </c>
      <c r="D4214" s="2" t="s">
        <v>3556</v>
      </c>
      <c r="E4214" s="4">
        <v>13900</v>
      </c>
    </row>
    <row r="4215" spans="1:5" ht="26.25" x14ac:dyDescent="0.25">
      <c r="A4215" s="2" t="s">
        <v>49</v>
      </c>
      <c r="B4215" s="2" t="str">
        <f>"1921681118021"</f>
        <v>1921681118021</v>
      </c>
      <c r="C4215" s="2" t="str">
        <f>"40920600"</f>
        <v>40920600</v>
      </c>
      <c r="D4215" s="2" t="s">
        <v>3557</v>
      </c>
      <c r="E4215" s="4">
        <v>31990</v>
      </c>
    </row>
    <row r="4216" spans="1:5" ht="26.25" x14ac:dyDescent="0.25">
      <c r="A4216" s="2" t="s">
        <v>49</v>
      </c>
      <c r="B4216" s="2" t="str">
        <f>"6931328508210"</f>
        <v>6931328508210</v>
      </c>
      <c r="C4216" s="2" t="str">
        <f>"40930300"</f>
        <v>40930300</v>
      </c>
      <c r="D4216" s="2" t="s">
        <v>3558</v>
      </c>
      <c r="E4216" s="4">
        <v>27990</v>
      </c>
    </row>
    <row r="4217" spans="1:5" ht="26.25" x14ac:dyDescent="0.25">
      <c r="A4217" s="2" t="s">
        <v>21</v>
      </c>
      <c r="B4217" s="2" t="str">
        <f>"4710007730003"</f>
        <v>4710007730003</v>
      </c>
      <c r="C4217" s="2" t="str">
        <f>"65520502"</f>
        <v>65520502</v>
      </c>
      <c r="D4217" s="2" t="s">
        <v>3559</v>
      </c>
      <c r="E4217" s="4">
        <v>5900</v>
      </c>
    </row>
    <row r="4218" spans="1:5" ht="26.25" x14ac:dyDescent="0.25">
      <c r="A4218" s="2" t="s">
        <v>21</v>
      </c>
      <c r="B4218" s="2" t="str">
        <f>"4710007735336"</f>
        <v>4710007735336</v>
      </c>
      <c r="C4218" s="2" t="str">
        <f>"65522251"</f>
        <v>65522251</v>
      </c>
      <c r="D4218" s="2" t="s">
        <v>3559</v>
      </c>
      <c r="E4218" s="4">
        <v>4900</v>
      </c>
    </row>
    <row r="4219" spans="1:5" ht="26.25" x14ac:dyDescent="0.25">
      <c r="A4219" s="2" t="s">
        <v>21</v>
      </c>
      <c r="B4219" s="2" t="str">
        <f>"4710007735367"</f>
        <v>4710007735367</v>
      </c>
      <c r="C4219" s="2" t="str">
        <f>"65522252"</f>
        <v>65522252</v>
      </c>
      <c r="D4219" s="2" t="s">
        <v>3560</v>
      </c>
      <c r="E4219" s="4">
        <v>4900</v>
      </c>
    </row>
    <row r="4220" spans="1:5" ht="26.25" x14ac:dyDescent="0.25">
      <c r="A4220" s="2" t="s">
        <v>21</v>
      </c>
      <c r="B4220" s="2" t="str">
        <f>"4710007730874"</f>
        <v>4710007730874</v>
      </c>
      <c r="C4220" s="2" t="str">
        <f>"65520501"</f>
        <v>65520501</v>
      </c>
      <c r="D4220" s="2" t="s">
        <v>3561</v>
      </c>
      <c r="E4220" s="4">
        <v>5900</v>
      </c>
    </row>
    <row r="4221" spans="1:5" ht="26.25" x14ac:dyDescent="0.25">
      <c r="A4221" s="2" t="s">
        <v>21</v>
      </c>
      <c r="B4221" s="2" t="str">
        <f>"4710007735343"</f>
        <v>4710007735343</v>
      </c>
      <c r="C4221" s="2" t="str">
        <f>"65522253"</f>
        <v>65522253</v>
      </c>
      <c r="D4221" s="2" t="s">
        <v>3562</v>
      </c>
      <c r="E4221" s="4">
        <v>4900</v>
      </c>
    </row>
    <row r="4222" spans="1:5" ht="26.25" x14ac:dyDescent="0.25">
      <c r="A4222" s="2" t="s">
        <v>21</v>
      </c>
      <c r="B4222" s="2" t="str">
        <f>"4710007735350"</f>
        <v>4710007735350</v>
      </c>
      <c r="C4222" s="2" t="str">
        <f>"65522254"</f>
        <v>65522254</v>
      </c>
      <c r="D4222" s="2" t="s">
        <v>3563</v>
      </c>
      <c r="E4222" s="4">
        <v>4900</v>
      </c>
    </row>
    <row r="4223" spans="1:5" ht="26.25" x14ac:dyDescent="0.25">
      <c r="A4223" s="2" t="s">
        <v>2893</v>
      </c>
      <c r="B4223" s="2" t="str">
        <f>"77520700"</f>
        <v>77520700</v>
      </c>
      <c r="C4223" s="2" t="str">
        <f>"77520700"</f>
        <v>77520700</v>
      </c>
      <c r="D4223" s="2" t="s">
        <v>3564</v>
      </c>
      <c r="E4223" s="4">
        <v>35000</v>
      </c>
    </row>
    <row r="4224" spans="1:5" ht="26.25" x14ac:dyDescent="0.25">
      <c r="A4224" s="2" t="s">
        <v>201</v>
      </c>
      <c r="B4224" s="2" t="str">
        <f>"77520701"</f>
        <v>77520701</v>
      </c>
      <c r="C4224" s="2" t="str">
        <f>"77520701"</f>
        <v>77520701</v>
      </c>
      <c r="D4224" s="2" t="s">
        <v>3565</v>
      </c>
      <c r="E4224" s="4">
        <v>45000</v>
      </c>
    </row>
    <row r="4225" spans="1:5" x14ac:dyDescent="0.25">
      <c r="A4225" s="2" t="s">
        <v>2893</v>
      </c>
      <c r="B4225" s="2" t="str">
        <f>"80000"</f>
        <v>80000</v>
      </c>
      <c r="C4225" s="2" t="str">
        <f>"80000"</f>
        <v>80000</v>
      </c>
      <c r="D4225" s="2" t="s">
        <v>3566</v>
      </c>
      <c r="E4225" s="2">
        <v>1</v>
      </c>
    </row>
    <row r="4226" spans="1:5" x14ac:dyDescent="0.25">
      <c r="A4226" s="2" t="s">
        <v>2893</v>
      </c>
      <c r="B4226" s="2" t="str">
        <f>"40000"</f>
        <v>40000</v>
      </c>
      <c r="C4226" s="2" t="str">
        <f>"40000"</f>
        <v>40000</v>
      </c>
      <c r="D4226" s="2" t="s">
        <v>3567</v>
      </c>
      <c r="E4226" s="2">
        <v>1</v>
      </c>
    </row>
    <row r="4227" spans="1:5" x14ac:dyDescent="0.25">
      <c r="A4227" s="2" t="s">
        <v>2893</v>
      </c>
      <c r="B4227" s="2" t="str">
        <f>"20000"</f>
        <v>20000</v>
      </c>
      <c r="C4227" s="2" t="str">
        <f>"20000"</f>
        <v>20000</v>
      </c>
      <c r="D4227" s="2" t="s">
        <v>3568</v>
      </c>
      <c r="E4227" s="2">
        <v>1</v>
      </c>
    </row>
    <row r="4228" spans="1:5" ht="26.25" x14ac:dyDescent="0.25">
      <c r="A4228" s="2" t="s">
        <v>21</v>
      </c>
      <c r="B4228" s="2" t="str">
        <f>"10001431"</f>
        <v>10001431</v>
      </c>
      <c r="C4228" s="2" t="str">
        <f>"10001431"</f>
        <v>10001431</v>
      </c>
      <c r="D4228" s="2" t="s">
        <v>3569</v>
      </c>
      <c r="E4228" s="2">
        <v>600</v>
      </c>
    </row>
    <row r="4229" spans="1:5" ht="26.25" x14ac:dyDescent="0.25">
      <c r="A4229" s="2" t="s">
        <v>2388</v>
      </c>
      <c r="B4229" s="2" t="str">
        <f>"7858816062896"</f>
        <v>7858816062896</v>
      </c>
      <c r="C4229" s="2" t="str">
        <f>"87386289"</f>
        <v>87386289</v>
      </c>
      <c r="D4229" s="2" t="s">
        <v>3570</v>
      </c>
      <c r="E4229" s="4">
        <v>1500</v>
      </c>
    </row>
    <row r="4230" spans="1:5" ht="26.25" x14ac:dyDescent="0.25">
      <c r="A4230" s="2" t="s">
        <v>201</v>
      </c>
      <c r="B4230" s="2" t="str">
        <f>"7858816062902"</f>
        <v>7858816062902</v>
      </c>
      <c r="C4230" s="2" t="str">
        <f>"87526390"</f>
        <v>87526390</v>
      </c>
      <c r="D4230" s="2" t="s">
        <v>3571</v>
      </c>
      <c r="E4230" s="4">
        <v>1500</v>
      </c>
    </row>
    <row r="4231" spans="1:5" ht="26.25" x14ac:dyDescent="0.25">
      <c r="A4231" s="2" t="s">
        <v>21</v>
      </c>
      <c r="B4231" s="2" t="str">
        <f>"829610001814"</f>
        <v>829610001814</v>
      </c>
      <c r="C4231" s="2" t="str">
        <f>"2189038219"</f>
        <v>2189038219</v>
      </c>
      <c r="D4231" s="2" t="s">
        <v>3572</v>
      </c>
      <c r="E4231" s="4">
        <v>45990</v>
      </c>
    </row>
    <row r="4232" spans="1:5" ht="26.25" x14ac:dyDescent="0.25">
      <c r="A4232" s="2" t="s">
        <v>147</v>
      </c>
      <c r="B4232" s="2" t="str">
        <f>"47880001"</f>
        <v>47880001</v>
      </c>
      <c r="C4232" s="2" t="str">
        <f>"47880001"</f>
        <v>47880001</v>
      </c>
      <c r="D4232" s="2" t="s">
        <v>3573</v>
      </c>
      <c r="E4232" s="4">
        <v>2500</v>
      </c>
    </row>
    <row r="4233" spans="1:5" ht="26.25" x14ac:dyDescent="0.25">
      <c r="A4233" s="2" t="s">
        <v>2655</v>
      </c>
      <c r="B4233" s="2" t="str">
        <f>"619659147655"</f>
        <v>619659147655</v>
      </c>
      <c r="C4233" s="2" t="str">
        <f>"92360332"</f>
        <v>92360332</v>
      </c>
      <c r="D4233" s="2" t="s">
        <v>3574</v>
      </c>
      <c r="E4233" s="4">
        <v>28990</v>
      </c>
    </row>
    <row r="4234" spans="1:5" ht="26.25" x14ac:dyDescent="0.25">
      <c r="A4234" s="2" t="s">
        <v>889</v>
      </c>
      <c r="B4234" s="2" t="str">
        <f>"66794482"</f>
        <v>66794482</v>
      </c>
      <c r="C4234" s="2" t="str">
        <f>"66794482"</f>
        <v>66794482</v>
      </c>
      <c r="D4234" s="2" t="s">
        <v>3575</v>
      </c>
      <c r="E4234" s="4">
        <v>8500</v>
      </c>
    </row>
    <row r="4235" spans="1:5" ht="26.25" x14ac:dyDescent="0.25">
      <c r="A4235" s="2" t="s">
        <v>889</v>
      </c>
      <c r="B4235" s="2" t="str">
        <f>"17794482"</f>
        <v>17794482</v>
      </c>
      <c r="C4235" s="2" t="str">
        <f>"17794482"</f>
        <v>17794482</v>
      </c>
      <c r="D4235" s="2" t="s">
        <v>3576</v>
      </c>
      <c r="E4235" s="4">
        <v>6900</v>
      </c>
    </row>
    <row r="4236" spans="1:5" ht="26.25" x14ac:dyDescent="0.25">
      <c r="A4236" s="2" t="s">
        <v>889</v>
      </c>
      <c r="B4236" s="2" t="str">
        <f>"76730001"</f>
        <v>76730001</v>
      </c>
      <c r="C4236" s="2" t="str">
        <f>"76730001"</f>
        <v>76730001</v>
      </c>
      <c r="D4236" s="2" t="s">
        <v>3577</v>
      </c>
      <c r="E4236" s="4">
        <v>12000</v>
      </c>
    </row>
    <row r="4237" spans="1:5" ht="26.25" x14ac:dyDescent="0.25">
      <c r="A4237" s="2" t="s">
        <v>889</v>
      </c>
      <c r="B4237" s="2" t="str">
        <f>"4710007727348"</f>
        <v>4710007727348</v>
      </c>
      <c r="C4237" s="2" t="str">
        <f>"65737348"</f>
        <v>65737348</v>
      </c>
      <c r="D4237" s="2" t="s">
        <v>3578</v>
      </c>
      <c r="E4237" s="4">
        <v>3900</v>
      </c>
    </row>
    <row r="4238" spans="1:5" ht="26.25" x14ac:dyDescent="0.25">
      <c r="A4238" s="2" t="s">
        <v>889</v>
      </c>
      <c r="B4238" s="2" t="str">
        <f>"4710007735657"</f>
        <v>4710007735657</v>
      </c>
      <c r="C4238" s="2" t="str">
        <f>"65735657"</f>
        <v>65735657</v>
      </c>
      <c r="D4238" s="2" t="s">
        <v>3579</v>
      </c>
      <c r="E4238" s="4">
        <v>3900</v>
      </c>
    </row>
    <row r="4239" spans="1:5" ht="26.25" x14ac:dyDescent="0.25">
      <c r="A4239" s="2" t="s">
        <v>889</v>
      </c>
      <c r="B4239" s="2" t="str">
        <f>"025215494697"</f>
        <v>025215494697</v>
      </c>
      <c r="C4239" s="2" t="str">
        <f>"18734697"</f>
        <v>18734697</v>
      </c>
      <c r="D4239" s="2" t="s">
        <v>3580</v>
      </c>
      <c r="E4239" s="4">
        <v>13500</v>
      </c>
    </row>
    <row r="4240" spans="1:5" ht="26.25" x14ac:dyDescent="0.25">
      <c r="A4240" s="2" t="s">
        <v>889</v>
      </c>
      <c r="B4240" s="2" t="str">
        <f>"10000686"</f>
        <v>10000686</v>
      </c>
      <c r="C4240" s="2" t="str">
        <f>"10000686"</f>
        <v>10000686</v>
      </c>
      <c r="D4240" s="2" t="s">
        <v>3581</v>
      </c>
      <c r="E4240" s="4">
        <v>6900</v>
      </c>
    </row>
    <row r="4241" spans="1:5" ht="26.25" x14ac:dyDescent="0.25">
      <c r="A4241" s="2" t="s">
        <v>21</v>
      </c>
      <c r="B4241" s="2" t="str">
        <f>"10732530"</f>
        <v>10732530</v>
      </c>
      <c r="C4241" s="2" t="str">
        <f>"10732530"</f>
        <v>10732530</v>
      </c>
      <c r="D4241" s="2" t="s">
        <v>3582</v>
      </c>
      <c r="E4241" s="4">
        <v>12500</v>
      </c>
    </row>
    <row r="4242" spans="1:5" ht="26.25" x14ac:dyDescent="0.25">
      <c r="A4242" s="2" t="s">
        <v>889</v>
      </c>
      <c r="B4242" s="2" t="str">
        <f>"10000945"</f>
        <v>10000945</v>
      </c>
      <c r="C4242" s="2" t="str">
        <f>"10000945"</f>
        <v>10000945</v>
      </c>
      <c r="D4242" s="2" t="s">
        <v>3583</v>
      </c>
      <c r="E4242" s="4">
        <v>15800</v>
      </c>
    </row>
    <row r="4243" spans="1:5" ht="26.25" x14ac:dyDescent="0.25">
      <c r="A4243" s="2" t="s">
        <v>889</v>
      </c>
      <c r="B4243" s="2" t="str">
        <f>"10732929"</f>
        <v>10732929</v>
      </c>
      <c r="C4243" s="2" t="str">
        <f>"10732929"</f>
        <v>10732929</v>
      </c>
      <c r="D4243" s="2" t="s">
        <v>3584</v>
      </c>
      <c r="E4243" s="4">
        <v>14500</v>
      </c>
    </row>
    <row r="4244" spans="1:5" ht="26.25" x14ac:dyDescent="0.25">
      <c r="A4244" s="2" t="s">
        <v>889</v>
      </c>
      <c r="B4244" s="2" t="str">
        <f>"34630011"</f>
        <v>34630011</v>
      </c>
      <c r="C4244" s="2" t="str">
        <f>"34630011"</f>
        <v>34630011</v>
      </c>
      <c r="D4244" s="2" t="s">
        <v>3585</v>
      </c>
      <c r="E4244" s="4">
        <v>9900</v>
      </c>
    </row>
    <row r="4245" spans="1:5" ht="26.25" x14ac:dyDescent="0.25">
      <c r="A4245" s="2" t="s">
        <v>889</v>
      </c>
      <c r="B4245" s="2" t="str">
        <f>"87731599"</f>
        <v>87731599</v>
      </c>
      <c r="C4245" s="2" t="str">
        <f>"87731599"</f>
        <v>87731599</v>
      </c>
      <c r="D4245" s="2" t="s">
        <v>3586</v>
      </c>
      <c r="E4245" s="4">
        <v>8900</v>
      </c>
    </row>
    <row r="4246" spans="1:5" ht="26.25" x14ac:dyDescent="0.25">
      <c r="A4246" s="2" t="s">
        <v>889</v>
      </c>
      <c r="B4246" s="2" t="str">
        <f>"76731288"</f>
        <v>76731288</v>
      </c>
      <c r="C4246" s="2" t="str">
        <f>"76731288"</f>
        <v>76731288</v>
      </c>
      <c r="D4246" s="2" t="s">
        <v>3587</v>
      </c>
      <c r="E4246" s="4">
        <v>16900</v>
      </c>
    </row>
    <row r="4247" spans="1:5" ht="26.25" x14ac:dyDescent="0.25">
      <c r="A4247" s="2" t="s">
        <v>889</v>
      </c>
      <c r="B4247" s="2" t="str">
        <f>"76794482"</f>
        <v>76794482</v>
      </c>
      <c r="C4247" s="2" t="str">
        <f>"76794482"</f>
        <v>76794482</v>
      </c>
      <c r="D4247" s="2" t="s">
        <v>3588</v>
      </c>
      <c r="E4247" s="4">
        <v>9500</v>
      </c>
    </row>
    <row r="4248" spans="1:5" ht="26.25" x14ac:dyDescent="0.25">
      <c r="A4248" s="2" t="s">
        <v>889</v>
      </c>
      <c r="B4248" s="2" t="str">
        <f>"87794482"</f>
        <v>87794482</v>
      </c>
      <c r="C4248" s="2" t="str">
        <f>"87794482"</f>
        <v>87794482</v>
      </c>
      <c r="D4248" s="2" t="s">
        <v>3589</v>
      </c>
      <c r="E4248" s="4">
        <v>8500</v>
      </c>
    </row>
    <row r="4249" spans="1:5" ht="26.25" x14ac:dyDescent="0.25">
      <c r="A4249" s="2" t="s">
        <v>889</v>
      </c>
      <c r="B4249" s="2" t="str">
        <f>"877300075"</f>
        <v>877300075</v>
      </c>
      <c r="C4249" s="2" t="str">
        <f>"877300075"</f>
        <v>877300075</v>
      </c>
      <c r="D4249" s="2" t="s">
        <v>3590</v>
      </c>
      <c r="E4249" s="4">
        <v>8500</v>
      </c>
    </row>
    <row r="4250" spans="1:5" ht="26.25" x14ac:dyDescent="0.25">
      <c r="A4250" s="2" t="s">
        <v>21</v>
      </c>
      <c r="B4250" s="2" t="str">
        <f>"10002248"</f>
        <v>10002248</v>
      </c>
      <c r="C4250" s="2" t="str">
        <f>"10002248"</f>
        <v>10002248</v>
      </c>
      <c r="D4250" s="2" t="s">
        <v>3591</v>
      </c>
      <c r="E4250" s="4">
        <v>4500</v>
      </c>
    </row>
    <row r="4251" spans="1:5" ht="26.25" x14ac:dyDescent="0.25">
      <c r="A4251" s="2" t="s">
        <v>154</v>
      </c>
      <c r="B4251" s="2" t="str">
        <f>"10521344"</f>
        <v>10521344</v>
      </c>
      <c r="C4251" s="2" t="str">
        <f>"10521344"</f>
        <v>10521344</v>
      </c>
      <c r="D4251" s="2" t="s">
        <v>3592</v>
      </c>
      <c r="E4251" s="4">
        <v>14990</v>
      </c>
    </row>
    <row r="4252" spans="1:5" x14ac:dyDescent="0.25">
      <c r="A4252" s="2" t="s">
        <v>2893</v>
      </c>
      <c r="B4252" s="2" t="str">
        <f>"90500"</f>
        <v>90500</v>
      </c>
      <c r="C4252" s="2" t="str">
        <f>"90500"</f>
        <v>90500</v>
      </c>
      <c r="D4252" s="2" t="s">
        <v>3593</v>
      </c>
      <c r="E4252" s="2">
        <v>500</v>
      </c>
    </row>
    <row r="4253" spans="1:5" ht="26.25" x14ac:dyDescent="0.25">
      <c r="A4253" s="2" t="s">
        <v>2893</v>
      </c>
      <c r="B4253" s="2" t="str">
        <f>"901000"</f>
        <v>901000</v>
      </c>
      <c r="C4253" s="2" t="str">
        <f>"901000"</f>
        <v>901000</v>
      </c>
      <c r="D4253" s="2" t="s">
        <v>3593</v>
      </c>
      <c r="E4253" s="4">
        <v>1000</v>
      </c>
    </row>
    <row r="4254" spans="1:5" ht="26.25" x14ac:dyDescent="0.25">
      <c r="A4254" s="2" t="s">
        <v>2893</v>
      </c>
      <c r="B4254" s="2" t="str">
        <f>"902000"</f>
        <v>902000</v>
      </c>
      <c r="C4254" s="2" t="str">
        <f>"902000"</f>
        <v>902000</v>
      </c>
      <c r="D4254" s="2" t="s">
        <v>3593</v>
      </c>
      <c r="E4254" s="4">
        <v>2000</v>
      </c>
    </row>
    <row r="4255" spans="1:5" ht="26.25" x14ac:dyDescent="0.25">
      <c r="A4255" s="2" t="s">
        <v>2893</v>
      </c>
      <c r="B4255" s="2" t="str">
        <f>"905000"</f>
        <v>905000</v>
      </c>
      <c r="C4255" s="2" t="str">
        <f>"905000"</f>
        <v>905000</v>
      </c>
      <c r="D4255" s="2" t="s">
        <v>3593</v>
      </c>
      <c r="E4255" s="4">
        <v>5000</v>
      </c>
    </row>
    <row r="4256" spans="1:5" ht="26.25" x14ac:dyDescent="0.25">
      <c r="A4256" s="2" t="s">
        <v>2893</v>
      </c>
      <c r="B4256" s="2" t="str">
        <f>"9010000"</f>
        <v>9010000</v>
      </c>
      <c r="C4256" s="2" t="str">
        <f>"9010000"</f>
        <v>9010000</v>
      </c>
      <c r="D4256" s="2" t="s">
        <v>3593</v>
      </c>
      <c r="E4256" s="4">
        <v>10000</v>
      </c>
    </row>
    <row r="4257" spans="1:5" ht="26.25" x14ac:dyDescent="0.25">
      <c r="A4257" s="2" t="s">
        <v>2893</v>
      </c>
      <c r="B4257" s="2" t="str">
        <f>"9020000"</f>
        <v>9020000</v>
      </c>
      <c r="C4257" s="2" t="str">
        <f>"9020000"</f>
        <v>9020000</v>
      </c>
      <c r="D4257" s="2" t="s">
        <v>3593</v>
      </c>
      <c r="E4257" s="4">
        <v>20000</v>
      </c>
    </row>
    <row r="4258" spans="1:5" x14ac:dyDescent="0.25">
      <c r="A4258" s="2" t="s">
        <v>2893</v>
      </c>
      <c r="B4258" s="2" t="str">
        <f>"80500"</f>
        <v>80500</v>
      </c>
      <c r="C4258" s="2" t="str">
        <f>"80500"</f>
        <v>80500</v>
      </c>
      <c r="D4258" s="2" t="s">
        <v>3594</v>
      </c>
      <c r="E4258" s="2">
        <v>500</v>
      </c>
    </row>
    <row r="4259" spans="1:5" ht="26.25" x14ac:dyDescent="0.25">
      <c r="A4259" s="2" t="s">
        <v>2893</v>
      </c>
      <c r="B4259" s="2" t="str">
        <f>"801000"</f>
        <v>801000</v>
      </c>
      <c r="C4259" s="2" t="str">
        <f>"801000"</f>
        <v>801000</v>
      </c>
      <c r="D4259" s="2" t="s">
        <v>3594</v>
      </c>
      <c r="E4259" s="4">
        <v>1000</v>
      </c>
    </row>
    <row r="4260" spans="1:5" ht="26.25" x14ac:dyDescent="0.25">
      <c r="A4260" s="2" t="s">
        <v>2893</v>
      </c>
      <c r="B4260" s="2" t="str">
        <f>"802000"</f>
        <v>802000</v>
      </c>
      <c r="C4260" s="2" t="str">
        <f>"802000"</f>
        <v>802000</v>
      </c>
      <c r="D4260" s="2" t="s">
        <v>3594</v>
      </c>
      <c r="E4260" s="4">
        <v>2000</v>
      </c>
    </row>
    <row r="4261" spans="1:5" ht="26.25" x14ac:dyDescent="0.25">
      <c r="A4261" s="2" t="s">
        <v>2893</v>
      </c>
      <c r="B4261" s="2" t="str">
        <f>"805000"</f>
        <v>805000</v>
      </c>
      <c r="C4261" s="2" t="str">
        <f>"805000"</f>
        <v>805000</v>
      </c>
      <c r="D4261" s="2" t="s">
        <v>3594</v>
      </c>
      <c r="E4261" s="4">
        <v>5000</v>
      </c>
    </row>
    <row r="4262" spans="1:5" ht="26.25" x14ac:dyDescent="0.25">
      <c r="A4262" s="2" t="s">
        <v>2893</v>
      </c>
      <c r="B4262" s="2" t="str">
        <f>"8010000"</f>
        <v>8010000</v>
      </c>
      <c r="C4262" s="2" t="str">
        <f>"8010000"</f>
        <v>8010000</v>
      </c>
      <c r="D4262" s="2" t="s">
        <v>3594</v>
      </c>
      <c r="E4262" s="4">
        <v>10000</v>
      </c>
    </row>
    <row r="4263" spans="1:5" ht="26.25" x14ac:dyDescent="0.25">
      <c r="A4263" s="2" t="s">
        <v>2893</v>
      </c>
      <c r="B4263" s="2" t="str">
        <f>"8020000"</f>
        <v>8020000</v>
      </c>
      <c r="C4263" s="2" t="str">
        <f>"8020000"</f>
        <v>8020000</v>
      </c>
      <c r="D4263" s="2" t="s">
        <v>3594</v>
      </c>
      <c r="E4263" s="4">
        <v>20000</v>
      </c>
    </row>
    <row r="4264" spans="1:5" ht="26.25" x14ac:dyDescent="0.25">
      <c r="A4264" s="2" t="s">
        <v>2893</v>
      </c>
      <c r="B4264" s="2" t="str">
        <f>"4001000"</f>
        <v>4001000</v>
      </c>
      <c r="C4264" s="2" t="str">
        <f>"4001000"</f>
        <v>4001000</v>
      </c>
      <c r="D4264" s="2" t="s">
        <v>3595</v>
      </c>
      <c r="E4264" s="4">
        <v>1000</v>
      </c>
    </row>
    <row r="4265" spans="1:5" ht="26.25" x14ac:dyDescent="0.25">
      <c r="A4265" s="2" t="s">
        <v>2893</v>
      </c>
      <c r="B4265" s="2" t="str">
        <f>"4000500"</f>
        <v>4000500</v>
      </c>
      <c r="C4265" s="2" t="str">
        <f>"4000500"</f>
        <v>4000500</v>
      </c>
      <c r="D4265" s="2" t="s">
        <v>3595</v>
      </c>
      <c r="E4265" s="2">
        <v>500</v>
      </c>
    </row>
    <row r="4266" spans="1:5" ht="26.25" x14ac:dyDescent="0.25">
      <c r="A4266" s="2" t="s">
        <v>2893</v>
      </c>
      <c r="B4266" s="2" t="str">
        <f>"4005000"</f>
        <v>4005000</v>
      </c>
      <c r="C4266" s="2" t="str">
        <f>"4005000"</f>
        <v>4005000</v>
      </c>
      <c r="D4266" s="2" t="s">
        <v>3595</v>
      </c>
      <c r="E4266" s="4">
        <v>5000</v>
      </c>
    </row>
    <row r="4267" spans="1:5" ht="26.25" x14ac:dyDescent="0.25">
      <c r="A4267" s="2" t="s">
        <v>2893</v>
      </c>
      <c r="B4267" s="2" t="str">
        <f>"4010000"</f>
        <v>4010000</v>
      </c>
      <c r="C4267" s="2" t="str">
        <f>"4010000"</f>
        <v>4010000</v>
      </c>
      <c r="D4267" s="2" t="s">
        <v>3595</v>
      </c>
      <c r="E4267" s="4">
        <v>10000</v>
      </c>
    </row>
    <row r="4268" spans="1:5" ht="26.25" x14ac:dyDescent="0.25">
      <c r="A4268" s="2" t="s">
        <v>2893</v>
      </c>
      <c r="B4268" s="2" t="str">
        <f>"4020000"</f>
        <v>4020000</v>
      </c>
      <c r="C4268" s="2" t="str">
        <f>"4020000"</f>
        <v>4020000</v>
      </c>
      <c r="D4268" s="2" t="s">
        <v>3595</v>
      </c>
      <c r="E4268" s="4">
        <v>20000</v>
      </c>
    </row>
    <row r="4269" spans="1:5" ht="26.25" x14ac:dyDescent="0.25">
      <c r="A4269" s="2" t="s">
        <v>2893</v>
      </c>
      <c r="B4269" s="2" t="str">
        <f>"2000500"</f>
        <v>2000500</v>
      </c>
      <c r="C4269" s="2" t="str">
        <f>"2000500"</f>
        <v>2000500</v>
      </c>
      <c r="D4269" s="2" t="s">
        <v>3596</v>
      </c>
      <c r="E4269" s="2">
        <v>500</v>
      </c>
    </row>
    <row r="4270" spans="1:5" ht="26.25" x14ac:dyDescent="0.25">
      <c r="A4270" s="2" t="s">
        <v>2893</v>
      </c>
      <c r="B4270" s="2" t="str">
        <f>"2001000"</f>
        <v>2001000</v>
      </c>
      <c r="C4270" s="2" t="str">
        <f>"2001000"</f>
        <v>2001000</v>
      </c>
      <c r="D4270" s="2" t="s">
        <v>3596</v>
      </c>
      <c r="E4270" s="4">
        <v>1000</v>
      </c>
    </row>
    <row r="4271" spans="1:5" ht="26.25" x14ac:dyDescent="0.25">
      <c r="A4271" s="2" t="s">
        <v>2893</v>
      </c>
      <c r="B4271" s="2" t="str">
        <f>"2005000"</f>
        <v>2005000</v>
      </c>
      <c r="C4271" s="2" t="str">
        <f>"2005000"</f>
        <v>2005000</v>
      </c>
      <c r="D4271" s="2" t="s">
        <v>3596</v>
      </c>
      <c r="E4271" s="4">
        <v>5000</v>
      </c>
    </row>
    <row r="4272" spans="1:5" ht="26.25" x14ac:dyDescent="0.25">
      <c r="A4272" s="2" t="s">
        <v>2893</v>
      </c>
      <c r="B4272" s="2" t="str">
        <f>"2010000"</f>
        <v>2010000</v>
      </c>
      <c r="C4272" s="2" t="str">
        <f>"2010000"</f>
        <v>2010000</v>
      </c>
      <c r="D4272" s="2" t="s">
        <v>3596</v>
      </c>
      <c r="E4272" s="4">
        <v>10000</v>
      </c>
    </row>
    <row r="4273" spans="1:5" ht="26.25" x14ac:dyDescent="0.25">
      <c r="A4273" s="2" t="s">
        <v>2893</v>
      </c>
      <c r="B4273" s="2" t="str">
        <f>"2020000"</f>
        <v>2020000</v>
      </c>
      <c r="C4273" s="2" t="str">
        <f>"2020000"</f>
        <v>2020000</v>
      </c>
      <c r="D4273" s="2" t="s">
        <v>3596</v>
      </c>
      <c r="E4273" s="4">
        <v>20000</v>
      </c>
    </row>
    <row r="4274" spans="1:5" ht="26.25" x14ac:dyDescent="0.25">
      <c r="A4274" s="2" t="s">
        <v>2893</v>
      </c>
      <c r="B4274" s="2" t="str">
        <f>"60001000"</f>
        <v>60001000</v>
      </c>
      <c r="C4274" s="2" t="str">
        <f>"60001000"</f>
        <v>60001000</v>
      </c>
      <c r="D4274" s="2" t="s">
        <v>3597</v>
      </c>
      <c r="E4274" s="4">
        <v>1000</v>
      </c>
    </row>
    <row r="4275" spans="1:5" ht="26.25" x14ac:dyDescent="0.25">
      <c r="A4275" s="2" t="s">
        <v>21</v>
      </c>
      <c r="B4275" s="2" t="str">
        <f>"10111836"</f>
        <v>10111836</v>
      </c>
      <c r="C4275" s="2" t="str">
        <f>"10111836"</f>
        <v>10111836</v>
      </c>
      <c r="D4275" s="2" t="s">
        <v>3598</v>
      </c>
      <c r="E4275" s="4">
        <v>5990</v>
      </c>
    </row>
    <row r="4276" spans="1:5" ht="26.25" x14ac:dyDescent="0.25">
      <c r="A4276" s="2" t="s">
        <v>21</v>
      </c>
      <c r="B4276" s="2" t="str">
        <f>"766623421027"</f>
        <v>766623421027</v>
      </c>
      <c r="C4276" s="2" t="str">
        <f>"56521027"</f>
        <v>56521027</v>
      </c>
      <c r="D4276" s="2" t="s">
        <v>3599</v>
      </c>
      <c r="E4276" s="4">
        <v>10990</v>
      </c>
    </row>
    <row r="4277" spans="1:5" ht="26.25" x14ac:dyDescent="0.25">
      <c r="A4277" s="2" t="s">
        <v>21</v>
      </c>
      <c r="B4277" s="2" t="str">
        <f>"766623421010"</f>
        <v>766623421010</v>
      </c>
      <c r="C4277" s="2" t="str">
        <f>"56521010"</f>
        <v>56521010</v>
      </c>
      <c r="D4277" s="2" t="s">
        <v>3600</v>
      </c>
      <c r="E4277" s="4">
        <v>6500</v>
      </c>
    </row>
    <row r="4278" spans="1:5" ht="26.25" x14ac:dyDescent="0.25">
      <c r="A4278" s="2" t="s">
        <v>21</v>
      </c>
      <c r="B4278" s="2" t="str">
        <f>"7268279003112"</f>
        <v>7268279003112</v>
      </c>
      <c r="C4278" s="2" t="str">
        <f>"78PLC00311"</f>
        <v>78PLC00311</v>
      </c>
      <c r="D4278" s="2" t="s">
        <v>3601</v>
      </c>
      <c r="E4278" s="4">
        <v>4500</v>
      </c>
    </row>
    <row r="4279" spans="1:5" ht="26.25" x14ac:dyDescent="0.25">
      <c r="A4279" s="2" t="s">
        <v>21</v>
      </c>
      <c r="B4279" s="2" t="str">
        <f>"10001689"</f>
        <v>10001689</v>
      </c>
      <c r="C4279" s="2" t="str">
        <f>"10001689"</f>
        <v>10001689</v>
      </c>
      <c r="D4279" s="2" t="s">
        <v>3602</v>
      </c>
      <c r="E4279" s="4">
        <v>1990</v>
      </c>
    </row>
    <row r="4280" spans="1:5" ht="26.25" x14ac:dyDescent="0.25">
      <c r="A4280" s="2" t="s">
        <v>21</v>
      </c>
      <c r="B4280" s="2" t="str">
        <f>"10004218"</f>
        <v>10004218</v>
      </c>
      <c r="C4280" s="2" t="str">
        <f>"10004218"</f>
        <v>10004218</v>
      </c>
      <c r="D4280" s="2" t="s">
        <v>3603</v>
      </c>
      <c r="E4280" s="4">
        <v>5000</v>
      </c>
    </row>
    <row r="4281" spans="1:5" ht="26.25" x14ac:dyDescent="0.25">
      <c r="A4281" s="2" t="s">
        <v>1590</v>
      </c>
      <c r="B4281" s="2" t="str">
        <f>"76210001"</f>
        <v>76210001</v>
      </c>
      <c r="C4281" s="2" t="str">
        <f>"76210001"</f>
        <v>76210001</v>
      </c>
      <c r="D4281" s="2" t="s">
        <v>3604</v>
      </c>
      <c r="E4281" s="4">
        <v>3000</v>
      </c>
    </row>
    <row r="4282" spans="1:5" ht="26.25" x14ac:dyDescent="0.25">
      <c r="A4282" s="2" t="s">
        <v>949</v>
      </c>
      <c r="B4282" s="2" t="str">
        <f>"6971410550628"</f>
        <v>6971410550628</v>
      </c>
      <c r="C4282" s="2" t="str">
        <f>"34210026"</f>
        <v>34210026</v>
      </c>
      <c r="D4282" s="2" t="s">
        <v>3605</v>
      </c>
      <c r="E4282" s="4">
        <v>22500</v>
      </c>
    </row>
    <row r="4283" spans="1:5" ht="26.25" x14ac:dyDescent="0.25">
      <c r="A4283" s="2" t="s">
        <v>21</v>
      </c>
      <c r="B4283" s="2" t="str">
        <f>"10014441"</f>
        <v>10014441</v>
      </c>
      <c r="C4283" s="2" t="str">
        <f>"10014441"</f>
        <v>10014441</v>
      </c>
      <c r="D4283" s="2" t="s">
        <v>3606</v>
      </c>
      <c r="E4283" s="4">
        <v>17700</v>
      </c>
    </row>
    <row r="4284" spans="1:5" ht="26.25" x14ac:dyDescent="0.25">
      <c r="A4284" s="2" t="s">
        <v>21</v>
      </c>
      <c r="B4284" s="2" t="str">
        <f>"10006103"</f>
        <v>10006103</v>
      </c>
      <c r="C4284" s="2" t="str">
        <f>"10006103"</f>
        <v>10006103</v>
      </c>
      <c r="D4284" s="2" t="s">
        <v>3607</v>
      </c>
      <c r="E4284" s="4">
        <v>17850</v>
      </c>
    </row>
    <row r="4285" spans="1:5" ht="26.25" x14ac:dyDescent="0.25">
      <c r="A4285" s="2" t="s">
        <v>21</v>
      </c>
      <c r="B4285" s="2" t="str">
        <f>"67200004"</f>
        <v>67200004</v>
      </c>
      <c r="C4285" s="2" t="str">
        <f>"67200004"</f>
        <v>67200004</v>
      </c>
      <c r="D4285" s="2" t="s">
        <v>3608</v>
      </c>
      <c r="E4285" s="4">
        <v>69500</v>
      </c>
    </row>
    <row r="4286" spans="1:5" ht="26.25" x14ac:dyDescent="0.25">
      <c r="A4286" s="2" t="s">
        <v>21</v>
      </c>
      <c r="B4286" s="2" t="str">
        <f>"10117809"</f>
        <v>10117809</v>
      </c>
      <c r="C4286" s="2" t="str">
        <f>"10117809"</f>
        <v>10117809</v>
      </c>
      <c r="D4286" s="2" t="s">
        <v>3609</v>
      </c>
      <c r="E4286" s="4">
        <v>44990</v>
      </c>
    </row>
    <row r="4287" spans="1:5" ht="26.25" x14ac:dyDescent="0.25">
      <c r="A4287" s="2" t="s">
        <v>21</v>
      </c>
      <c r="B4287" s="2" t="str">
        <f>"8669885003340"</f>
        <v>8669885003340</v>
      </c>
      <c r="C4287" s="2" t="str">
        <f>"66523340"</f>
        <v>66523340</v>
      </c>
      <c r="D4287" s="2" t="s">
        <v>3610</v>
      </c>
      <c r="E4287" s="4">
        <v>14900</v>
      </c>
    </row>
    <row r="4288" spans="1:5" ht="26.25" x14ac:dyDescent="0.25">
      <c r="A4288" s="2" t="s">
        <v>16</v>
      </c>
      <c r="B4288" s="2" t="str">
        <f>"22139004"</f>
        <v>22139004</v>
      </c>
      <c r="C4288" s="2" t="str">
        <f>"22139004"</f>
        <v>22139004</v>
      </c>
      <c r="D4288" s="2" t="s">
        <v>3611</v>
      </c>
      <c r="E4288" s="4">
        <v>20000</v>
      </c>
    </row>
    <row r="4289" spans="1:5" ht="26.25" x14ac:dyDescent="0.25">
      <c r="A4289" s="2" t="s">
        <v>21</v>
      </c>
      <c r="B4289" s="2" t="str">
        <f>"4710007730485"</f>
        <v>4710007730485</v>
      </c>
      <c r="C4289" s="2" t="str">
        <f>"65520485"</f>
        <v>65520485</v>
      </c>
      <c r="D4289" s="2" t="s">
        <v>3612</v>
      </c>
      <c r="E4289" s="4">
        <v>13900</v>
      </c>
    </row>
    <row r="4290" spans="1:5" ht="26.25" x14ac:dyDescent="0.25">
      <c r="A4290" s="2" t="s">
        <v>201</v>
      </c>
      <c r="B4290" s="2" t="str">
        <f>"10003020"</f>
        <v>10003020</v>
      </c>
      <c r="C4290" s="2" t="str">
        <f>"10003020"</f>
        <v>10003020</v>
      </c>
      <c r="D4290" s="2" t="s">
        <v>3613</v>
      </c>
      <c r="E4290" s="4">
        <v>15000</v>
      </c>
    </row>
    <row r="4291" spans="1:5" ht="26.25" x14ac:dyDescent="0.25">
      <c r="A4291" s="2" t="s">
        <v>21</v>
      </c>
      <c r="B4291" s="2" t="str">
        <f>"6925871690096"</f>
        <v>6925871690096</v>
      </c>
      <c r="C4291" s="2" t="str">
        <f>"22529009"</f>
        <v>22529009</v>
      </c>
      <c r="D4291" s="2" t="s">
        <v>3614</v>
      </c>
      <c r="E4291" s="4">
        <v>14990</v>
      </c>
    </row>
    <row r="4292" spans="1:5" ht="26.25" x14ac:dyDescent="0.25">
      <c r="A4292" s="2" t="s">
        <v>21</v>
      </c>
      <c r="B4292" s="2" t="str">
        <f>"6925871690119"</f>
        <v>6925871690119</v>
      </c>
      <c r="C4292" s="2" t="str">
        <f>"22529011"</f>
        <v>22529011</v>
      </c>
      <c r="D4292" s="2" t="s">
        <v>3615</v>
      </c>
      <c r="E4292" s="4">
        <v>18990</v>
      </c>
    </row>
    <row r="4293" spans="1:5" ht="26.25" x14ac:dyDescent="0.25">
      <c r="A4293" s="2" t="s">
        <v>21</v>
      </c>
      <c r="B4293" s="2" t="str">
        <f>"7858816083167"</f>
        <v>7858816083167</v>
      </c>
      <c r="C4293" s="2" t="str">
        <f>"87528316"</f>
        <v>87528316</v>
      </c>
      <c r="D4293" s="2" t="s">
        <v>3616</v>
      </c>
      <c r="E4293" s="4">
        <v>29990</v>
      </c>
    </row>
    <row r="4294" spans="1:5" ht="26.25" x14ac:dyDescent="0.25">
      <c r="A4294" s="2" t="s">
        <v>21</v>
      </c>
      <c r="B4294" s="2" t="str">
        <f>"7858816083174"</f>
        <v>7858816083174</v>
      </c>
      <c r="C4294" s="2" t="str">
        <f>"87528317"</f>
        <v>87528317</v>
      </c>
      <c r="D4294" s="2" t="s">
        <v>3617</v>
      </c>
      <c r="E4294" s="4">
        <v>34990</v>
      </c>
    </row>
    <row r="4295" spans="1:5" ht="26.25" x14ac:dyDescent="0.25">
      <c r="A4295" s="2" t="s">
        <v>21</v>
      </c>
      <c r="B4295" s="2" t="str">
        <f>"7858816086366"</f>
        <v>7858816086366</v>
      </c>
      <c r="C4295" s="2" t="str">
        <f>"87528636"</f>
        <v>87528636</v>
      </c>
      <c r="D4295" s="2" t="s">
        <v>3618</v>
      </c>
      <c r="E4295" s="4">
        <v>25990</v>
      </c>
    </row>
    <row r="4296" spans="1:5" ht="26.25" x14ac:dyDescent="0.25">
      <c r="A4296" s="2" t="s">
        <v>1981</v>
      </c>
      <c r="B4296" s="2" t="str">
        <f>"34190004"</f>
        <v>34190004</v>
      </c>
      <c r="C4296" s="2" t="str">
        <f>"34190004"</f>
        <v>34190004</v>
      </c>
      <c r="D4296" s="2" t="s">
        <v>3619</v>
      </c>
      <c r="E4296" s="4">
        <v>3000</v>
      </c>
    </row>
    <row r="4297" spans="1:5" ht="26.25" x14ac:dyDescent="0.25">
      <c r="A4297" s="2" t="s">
        <v>1981</v>
      </c>
      <c r="B4297" s="2" t="str">
        <f>"11203443"</f>
        <v>11203443</v>
      </c>
      <c r="C4297" s="2" t="str">
        <f>"11203443"</f>
        <v>11203443</v>
      </c>
      <c r="D4297" s="2" t="s">
        <v>3620</v>
      </c>
      <c r="E4297" s="4">
        <v>3000</v>
      </c>
    </row>
    <row r="4298" spans="1:5" ht="26.25" x14ac:dyDescent="0.25">
      <c r="A4298" s="2" t="s">
        <v>921</v>
      </c>
      <c r="B4298" s="2" t="str">
        <f>"42052251"</f>
        <v>42052251</v>
      </c>
      <c r="C4298" s="2" t="str">
        <f>"42052251"</f>
        <v>42052251</v>
      </c>
      <c r="D4298" s="2" t="s">
        <v>3621</v>
      </c>
      <c r="E4298" s="4">
        <v>39900</v>
      </c>
    </row>
    <row r="4299" spans="1:5" ht="26.25" x14ac:dyDescent="0.25">
      <c r="A4299" s="2" t="s">
        <v>2388</v>
      </c>
      <c r="B4299" s="2" t="str">
        <f>"86380005"</f>
        <v>86380005</v>
      </c>
      <c r="C4299" s="2" t="str">
        <f>"86380005"</f>
        <v>86380005</v>
      </c>
      <c r="D4299" s="2" t="s">
        <v>3622</v>
      </c>
      <c r="E4299" s="4">
        <v>5000</v>
      </c>
    </row>
    <row r="4300" spans="1:5" ht="26.25" x14ac:dyDescent="0.25">
      <c r="A4300" s="2" t="s">
        <v>2388</v>
      </c>
      <c r="B4300" s="2" t="str">
        <f>"7858816050688"</f>
        <v>7858816050688</v>
      </c>
      <c r="C4300" s="2" t="str">
        <f>"87385068"</f>
        <v>87385068</v>
      </c>
      <c r="D4300" s="2" t="s">
        <v>3623</v>
      </c>
      <c r="E4300" s="4">
        <v>4500</v>
      </c>
    </row>
    <row r="4301" spans="1:5" ht="26.25" x14ac:dyDescent="0.25">
      <c r="A4301" s="2" t="s">
        <v>2388</v>
      </c>
      <c r="B4301" s="2" t="str">
        <f>"7858816038211"</f>
        <v>7858816038211</v>
      </c>
      <c r="C4301" s="2" t="str">
        <f>"87213821"</f>
        <v>87213821</v>
      </c>
      <c r="D4301" s="2" t="s">
        <v>3624</v>
      </c>
      <c r="E4301" s="4">
        <v>6300</v>
      </c>
    </row>
    <row r="4302" spans="1:5" ht="26.25" x14ac:dyDescent="0.25">
      <c r="A4302" s="2" t="s">
        <v>2388</v>
      </c>
      <c r="B4302" s="2" t="str">
        <f>"10382002"</f>
        <v>10382002</v>
      </c>
      <c r="C4302" s="2" t="str">
        <f>"10382002"</f>
        <v>10382002</v>
      </c>
      <c r="D4302" s="2" t="s">
        <v>3625</v>
      </c>
      <c r="E4302" s="4">
        <v>3990</v>
      </c>
    </row>
    <row r="4303" spans="1:5" ht="26.25" x14ac:dyDescent="0.25">
      <c r="A4303" s="2" t="s">
        <v>2388</v>
      </c>
      <c r="B4303" s="2" t="str">
        <f>"10382492"</f>
        <v>10382492</v>
      </c>
      <c r="C4303" s="2" t="str">
        <f>"10382492"</f>
        <v>10382492</v>
      </c>
      <c r="D4303" s="2" t="s">
        <v>3626</v>
      </c>
      <c r="E4303" s="4">
        <v>5400</v>
      </c>
    </row>
    <row r="4304" spans="1:5" ht="26.25" x14ac:dyDescent="0.25">
      <c r="A4304" s="2" t="s">
        <v>2388</v>
      </c>
      <c r="B4304" s="2" t="str">
        <f>"8669885010157"</f>
        <v>8669885010157</v>
      </c>
      <c r="C4304" s="2" t="str">
        <f>"66381015"</f>
        <v>66381015</v>
      </c>
      <c r="D4304" s="2" t="s">
        <v>3627</v>
      </c>
      <c r="E4304" s="4">
        <v>2000</v>
      </c>
    </row>
    <row r="4305" spans="1:5" ht="26.25" x14ac:dyDescent="0.25">
      <c r="A4305" s="2" t="s">
        <v>21</v>
      </c>
      <c r="B4305" s="2" t="str">
        <f>"25520008"</f>
        <v>25520008</v>
      </c>
      <c r="C4305" s="2" t="str">
        <f>"25520008"</f>
        <v>25520008</v>
      </c>
      <c r="D4305" s="2" t="s">
        <v>3628</v>
      </c>
      <c r="E4305" s="4">
        <v>19990</v>
      </c>
    </row>
    <row r="4306" spans="1:5" ht="26.25" x14ac:dyDescent="0.25">
      <c r="A4306" s="2" t="s">
        <v>21</v>
      </c>
      <c r="B4306" s="2" t="str">
        <f>"6923450656181"</f>
        <v>6923450656181</v>
      </c>
      <c r="C4306" s="2" t="str">
        <f>"40523270"</f>
        <v>40523270</v>
      </c>
      <c r="D4306" s="2" t="s">
        <v>3629</v>
      </c>
      <c r="E4306" s="4">
        <v>41990</v>
      </c>
    </row>
    <row r="4307" spans="1:5" ht="26.25" x14ac:dyDescent="0.25">
      <c r="A4307" s="2" t="s">
        <v>21</v>
      </c>
      <c r="B4307" s="2" t="str">
        <f>"25520006"</f>
        <v>25520006</v>
      </c>
      <c r="C4307" s="2" t="str">
        <f>"25520006"</f>
        <v>25520006</v>
      </c>
      <c r="D4307" s="2" t="s">
        <v>3630</v>
      </c>
      <c r="E4307" s="4">
        <v>11990</v>
      </c>
    </row>
    <row r="4308" spans="1:5" ht="26.25" x14ac:dyDescent="0.25">
      <c r="A4308" s="2" t="s">
        <v>21</v>
      </c>
      <c r="B4308" s="2" t="str">
        <f>"10111451"</f>
        <v>10111451</v>
      </c>
      <c r="C4308" s="2" t="str">
        <f>"10111451"</f>
        <v>10111451</v>
      </c>
      <c r="D4308" s="2" t="s">
        <v>3631</v>
      </c>
      <c r="E4308" s="4">
        <v>5990</v>
      </c>
    </row>
    <row r="4309" spans="1:5" ht="26.25" x14ac:dyDescent="0.25">
      <c r="A4309" s="2" t="s">
        <v>21</v>
      </c>
      <c r="B4309" s="2" t="str">
        <f>"798302162006"</f>
        <v>798302162006</v>
      </c>
      <c r="C4309" s="2" t="str">
        <f>"92520375"</f>
        <v>92520375</v>
      </c>
      <c r="D4309" s="2" t="s">
        <v>3632</v>
      </c>
      <c r="E4309" s="4">
        <v>16990</v>
      </c>
    </row>
    <row r="4310" spans="1:5" ht="26.25" x14ac:dyDescent="0.25">
      <c r="A4310" s="2" t="s">
        <v>21</v>
      </c>
      <c r="B4310" s="2" t="str">
        <f>"10003265"</f>
        <v>10003265</v>
      </c>
      <c r="C4310" s="2" t="str">
        <f>"10003265"</f>
        <v>10003265</v>
      </c>
      <c r="D4310" s="2" t="s">
        <v>3633</v>
      </c>
      <c r="E4310" s="4">
        <v>6800</v>
      </c>
    </row>
    <row r="4311" spans="1:5" ht="26.25" x14ac:dyDescent="0.25">
      <c r="A4311" s="2" t="s">
        <v>2388</v>
      </c>
      <c r="B4311" s="2" t="str">
        <f>"10382220"</f>
        <v>10382220</v>
      </c>
      <c r="C4311" s="2" t="str">
        <f>"10382220"</f>
        <v>10382220</v>
      </c>
      <c r="D4311" s="2" t="s">
        <v>3634</v>
      </c>
      <c r="E4311" s="4">
        <v>2900</v>
      </c>
    </row>
    <row r="4312" spans="1:5" ht="26.25" x14ac:dyDescent="0.25">
      <c r="A4312" s="2" t="s">
        <v>21</v>
      </c>
      <c r="B4312" s="2" t="str">
        <f>"10111440"</f>
        <v>10111440</v>
      </c>
      <c r="C4312" s="2" t="str">
        <f>"10111440"</f>
        <v>10111440</v>
      </c>
      <c r="D4312" s="2" t="s">
        <v>3635</v>
      </c>
      <c r="E4312" s="4">
        <v>11990</v>
      </c>
    </row>
    <row r="4313" spans="1:5" ht="26.25" x14ac:dyDescent="0.25">
      <c r="A4313" s="2" t="s">
        <v>21</v>
      </c>
      <c r="B4313" s="2" t="str">
        <f>"4895185615066"</f>
        <v>4895185615066</v>
      </c>
      <c r="C4313" s="2" t="str">
        <f>"98523642"</f>
        <v>98523642</v>
      </c>
      <c r="D4313" s="2" t="s">
        <v>3636</v>
      </c>
      <c r="E4313" s="4">
        <v>29990</v>
      </c>
    </row>
    <row r="4314" spans="1:5" ht="26.25" x14ac:dyDescent="0.25">
      <c r="A4314" s="2" t="s">
        <v>21</v>
      </c>
      <c r="B4314" s="2" t="str">
        <f>"4895185622446"</f>
        <v>4895185622446</v>
      </c>
      <c r="C4314" s="2" t="str">
        <f>"98527442"</f>
        <v>98527442</v>
      </c>
      <c r="D4314" s="2" t="s">
        <v>3637</v>
      </c>
      <c r="E4314" s="4">
        <v>21990</v>
      </c>
    </row>
    <row r="4315" spans="1:5" ht="26.25" x14ac:dyDescent="0.25">
      <c r="A4315" s="2" t="s">
        <v>2388</v>
      </c>
      <c r="B4315" s="2" t="str">
        <f>"10380331"</f>
        <v>10380331</v>
      </c>
      <c r="C4315" s="2" t="str">
        <f>"10380331"</f>
        <v>10380331</v>
      </c>
      <c r="D4315" s="2" t="s">
        <v>3638</v>
      </c>
      <c r="E4315" s="4">
        <v>11500</v>
      </c>
    </row>
    <row r="4316" spans="1:5" ht="26.25" x14ac:dyDescent="0.25">
      <c r="A4316" s="2" t="s">
        <v>2388</v>
      </c>
      <c r="B4316" s="2" t="str">
        <f>"890968703149"</f>
        <v>890968703149</v>
      </c>
      <c r="C4316" s="2" t="str">
        <f>"763870314"</f>
        <v>763870314</v>
      </c>
      <c r="D4316" s="2" t="s">
        <v>3639</v>
      </c>
      <c r="E4316" s="4">
        <v>3990</v>
      </c>
    </row>
    <row r="4317" spans="1:5" ht="26.25" x14ac:dyDescent="0.25">
      <c r="A4317" s="2" t="s">
        <v>2388</v>
      </c>
      <c r="B4317" s="2" t="str">
        <f>"3011691"</f>
        <v>3011691</v>
      </c>
      <c r="C4317" s="2" t="str">
        <f>"30380201"</f>
        <v>30380201</v>
      </c>
      <c r="D4317" s="2" t="s">
        <v>3640</v>
      </c>
      <c r="E4317" s="4">
        <v>7990</v>
      </c>
    </row>
    <row r="4318" spans="1:5" ht="26.25" x14ac:dyDescent="0.25">
      <c r="A4318" s="2" t="s">
        <v>2388</v>
      </c>
      <c r="B4318" s="2" t="str">
        <f>"5626890047083"</f>
        <v>5626890047083</v>
      </c>
      <c r="C4318" s="2" t="str">
        <f>"28384708"</f>
        <v>28384708</v>
      </c>
      <c r="D4318" s="2" t="s">
        <v>3641</v>
      </c>
      <c r="E4318" s="4">
        <v>6500</v>
      </c>
    </row>
    <row r="4319" spans="1:5" ht="26.25" x14ac:dyDescent="0.25">
      <c r="A4319" s="2" t="s">
        <v>2388</v>
      </c>
      <c r="B4319" s="2" t="str">
        <f>"4710007727867"</f>
        <v>4710007727867</v>
      </c>
      <c r="C4319" s="2" t="str">
        <f>"65387867"</f>
        <v>65387867</v>
      </c>
      <c r="D4319" s="2" t="s">
        <v>3642</v>
      </c>
      <c r="E4319" s="4">
        <v>4000</v>
      </c>
    </row>
    <row r="4320" spans="1:5" ht="26.25" x14ac:dyDescent="0.25">
      <c r="A4320" s="2" t="s">
        <v>2388</v>
      </c>
      <c r="B4320" s="2" t="str">
        <f>"8669885020620"</f>
        <v>8669885020620</v>
      </c>
      <c r="C4320" s="2" t="str">
        <f>"66382062"</f>
        <v>66382062</v>
      </c>
      <c r="D4320" s="2" t="s">
        <v>3643</v>
      </c>
      <c r="E4320" s="4">
        <v>2990</v>
      </c>
    </row>
    <row r="4321" spans="1:5" ht="26.25" x14ac:dyDescent="0.25">
      <c r="A4321" s="2" t="s">
        <v>921</v>
      </c>
      <c r="B4321" s="2" t="str">
        <f>"7804625561044"</f>
        <v>7804625561044</v>
      </c>
      <c r="C4321" s="2" t="str">
        <f>"42445139"</f>
        <v>42445139</v>
      </c>
      <c r="D4321" s="2" t="s">
        <v>3644</v>
      </c>
      <c r="E4321" s="4">
        <v>40990</v>
      </c>
    </row>
    <row r="4322" spans="1:5" ht="26.25" x14ac:dyDescent="0.25">
      <c r="A4322" s="2" t="s">
        <v>21</v>
      </c>
      <c r="B4322" s="2" t="str">
        <f>"76520000"</f>
        <v>76520000</v>
      </c>
      <c r="C4322" s="2" t="str">
        <f>"76520000"</f>
        <v>76520000</v>
      </c>
      <c r="D4322" s="2" t="s">
        <v>3645</v>
      </c>
      <c r="E4322" s="4">
        <v>1000</v>
      </c>
    </row>
    <row r="4323" spans="1:5" ht="26.25" x14ac:dyDescent="0.25">
      <c r="A4323" s="2" t="s">
        <v>21</v>
      </c>
      <c r="B4323" s="2" t="str">
        <f>"10003973"</f>
        <v>10003973</v>
      </c>
      <c r="C4323" s="2" t="str">
        <f>"10003973"</f>
        <v>10003973</v>
      </c>
      <c r="D4323" s="2" t="s">
        <v>3646</v>
      </c>
      <c r="E4323" s="4">
        <v>1000</v>
      </c>
    </row>
    <row r="4324" spans="1:5" ht="26.25" x14ac:dyDescent="0.25">
      <c r="A4324" s="2" t="s">
        <v>30</v>
      </c>
      <c r="B4324" s="2" t="str">
        <f>"1578595075392"</f>
        <v>1578595075392</v>
      </c>
      <c r="C4324" s="2" t="str">
        <f>"40025392"</f>
        <v>40025392</v>
      </c>
      <c r="D4324" s="2" t="s">
        <v>3647</v>
      </c>
      <c r="E4324" s="4">
        <v>16990</v>
      </c>
    </row>
    <row r="4325" spans="1:5" ht="26.25" x14ac:dyDescent="0.25">
      <c r="A4325" s="2" t="s">
        <v>21</v>
      </c>
      <c r="B4325" s="2" t="str">
        <f>"1578595018012"</f>
        <v>1578595018012</v>
      </c>
      <c r="C4325" s="2" t="str">
        <f>"40528012"</f>
        <v>40528012</v>
      </c>
      <c r="D4325" s="2" t="s">
        <v>3648</v>
      </c>
      <c r="E4325" s="4">
        <v>12990</v>
      </c>
    </row>
    <row r="4326" spans="1:5" ht="26.25" x14ac:dyDescent="0.25">
      <c r="A4326" s="2" t="s">
        <v>21</v>
      </c>
      <c r="B4326" s="2" t="str">
        <f>"10002353"</f>
        <v>10002353</v>
      </c>
      <c r="C4326" s="2" t="str">
        <f>"10002353"</f>
        <v>10002353</v>
      </c>
      <c r="D4326" s="2" t="s">
        <v>3649</v>
      </c>
      <c r="E4326" s="4">
        <v>13990</v>
      </c>
    </row>
    <row r="4327" spans="1:5" ht="26.25" x14ac:dyDescent="0.25">
      <c r="A4327" s="2" t="s">
        <v>30</v>
      </c>
      <c r="B4327" s="2" t="str">
        <f>"7858816060403"</f>
        <v>7858816060403</v>
      </c>
      <c r="C4327" s="2" t="str">
        <f>"87026040"</f>
        <v>87026040</v>
      </c>
      <c r="D4327" s="2" t="s">
        <v>3650</v>
      </c>
      <c r="E4327" s="4">
        <v>11990</v>
      </c>
    </row>
    <row r="4328" spans="1:5" ht="26.25" x14ac:dyDescent="0.25">
      <c r="A4328" s="2" t="s">
        <v>30</v>
      </c>
      <c r="B4328" s="2" t="str">
        <f>"7858816060410"</f>
        <v>7858816060410</v>
      </c>
      <c r="C4328" s="2" t="str">
        <f>"87026041"</f>
        <v>87026041</v>
      </c>
      <c r="D4328" s="2" t="s">
        <v>3651</v>
      </c>
      <c r="E4328" s="4">
        <v>15990</v>
      </c>
    </row>
    <row r="4329" spans="1:5" ht="26.25" x14ac:dyDescent="0.25">
      <c r="A4329" s="2" t="s">
        <v>921</v>
      </c>
      <c r="B4329" s="2" t="str">
        <f>"7804634420806"</f>
        <v>7804634420806</v>
      </c>
      <c r="C4329" s="2" t="str">
        <f>"29ULX06000"</f>
        <v>29ULX06000</v>
      </c>
      <c r="D4329" s="2" t="s">
        <v>3652</v>
      </c>
      <c r="E4329" s="4">
        <v>13990</v>
      </c>
    </row>
    <row r="4330" spans="1:5" ht="26.25" x14ac:dyDescent="0.25">
      <c r="A4330" s="2" t="s">
        <v>30</v>
      </c>
      <c r="B4330" s="2" t="str">
        <f>"6689996100211"</f>
        <v>6689996100211</v>
      </c>
      <c r="C4330" s="2" t="str">
        <f>"400212125"</f>
        <v>400212125</v>
      </c>
      <c r="D4330" s="2" t="s">
        <v>3653</v>
      </c>
      <c r="E4330" s="4">
        <v>14990</v>
      </c>
    </row>
    <row r="4331" spans="1:5" ht="26.25" x14ac:dyDescent="0.25">
      <c r="A4331" s="2" t="s">
        <v>21</v>
      </c>
      <c r="B4331" s="2" t="str">
        <f>"7858816060298"</f>
        <v>7858816060298</v>
      </c>
      <c r="C4331" s="2" t="str">
        <f>"87026029"</f>
        <v>87026029</v>
      </c>
      <c r="D4331" s="2" t="s">
        <v>3654</v>
      </c>
      <c r="E4331" s="4">
        <v>5990</v>
      </c>
    </row>
    <row r="4332" spans="1:5" ht="26.25" x14ac:dyDescent="0.25">
      <c r="A4332" s="2" t="s">
        <v>21</v>
      </c>
      <c r="B4332" s="2" t="str">
        <f>"87000301"</f>
        <v>87000301</v>
      </c>
      <c r="C4332" s="2" t="str">
        <f>"87000301"</f>
        <v>87000301</v>
      </c>
      <c r="D4332" s="2" t="s">
        <v>3655</v>
      </c>
      <c r="E4332" s="4">
        <v>5500</v>
      </c>
    </row>
    <row r="4333" spans="1:5" ht="26.25" x14ac:dyDescent="0.25">
      <c r="A4333" s="2" t="s">
        <v>10</v>
      </c>
      <c r="B4333" s="2" t="str">
        <f>"764714270"</f>
        <v>764714270</v>
      </c>
      <c r="C4333" s="2" t="str">
        <f>"764714270"</f>
        <v>764714270</v>
      </c>
      <c r="D4333" s="2" t="s">
        <v>3656</v>
      </c>
      <c r="E4333" s="4">
        <v>3500</v>
      </c>
    </row>
    <row r="4334" spans="1:5" ht="26.25" x14ac:dyDescent="0.25">
      <c r="A4334" s="2" t="s">
        <v>10</v>
      </c>
      <c r="B4334" s="2" t="str">
        <f>"17571445"</f>
        <v>17571445</v>
      </c>
      <c r="C4334" s="2" t="str">
        <f>"17571445"</f>
        <v>17571445</v>
      </c>
      <c r="D4334" s="2" t="s">
        <v>3657</v>
      </c>
      <c r="E4334" s="4">
        <v>4000</v>
      </c>
    </row>
    <row r="4335" spans="1:5" ht="26.25" x14ac:dyDescent="0.25">
      <c r="A4335" s="2" t="s">
        <v>10</v>
      </c>
      <c r="B4335" s="2" t="str">
        <f>"17480769"</f>
        <v>17480769</v>
      </c>
      <c r="C4335" s="2" t="str">
        <f>"17480769"</f>
        <v>17480769</v>
      </c>
      <c r="D4335" s="2" t="s">
        <v>3658</v>
      </c>
      <c r="E4335" s="4">
        <v>3500</v>
      </c>
    </row>
    <row r="4336" spans="1:5" ht="26.25" x14ac:dyDescent="0.25">
      <c r="A4336" s="2" t="s">
        <v>1590</v>
      </c>
      <c r="B4336" s="2" t="str">
        <f>"76560716"</f>
        <v>76560716</v>
      </c>
      <c r="C4336" s="2" t="str">
        <f>"76560716"</f>
        <v>76560716</v>
      </c>
      <c r="D4336" s="2" t="s">
        <v>3659</v>
      </c>
      <c r="E4336" s="4">
        <v>5500</v>
      </c>
    </row>
    <row r="4337" spans="1:5" ht="26.25" x14ac:dyDescent="0.25">
      <c r="A4337" s="2" t="s">
        <v>14</v>
      </c>
      <c r="B4337" s="2" t="str">
        <f>"767510231"</f>
        <v>767510231</v>
      </c>
      <c r="C4337" s="2" t="str">
        <f>"767510231"</f>
        <v>767510231</v>
      </c>
      <c r="D4337" s="2" t="s">
        <v>3660</v>
      </c>
      <c r="E4337" s="4">
        <v>5500</v>
      </c>
    </row>
    <row r="4338" spans="1:5" ht="26.25" x14ac:dyDescent="0.25">
      <c r="A4338" s="2" t="s">
        <v>14</v>
      </c>
      <c r="B4338" s="2" t="str">
        <f>"760405295"</f>
        <v>760405295</v>
      </c>
      <c r="C4338" s="2" t="str">
        <f>"760405295"</f>
        <v>760405295</v>
      </c>
      <c r="D4338" s="2" t="s">
        <v>3661</v>
      </c>
      <c r="E4338" s="4">
        <v>7000</v>
      </c>
    </row>
    <row r="4339" spans="1:5" ht="26.25" x14ac:dyDescent="0.25">
      <c r="A4339" s="2" t="s">
        <v>14</v>
      </c>
      <c r="B4339" s="2" t="str">
        <f>"760405248"</f>
        <v>760405248</v>
      </c>
      <c r="C4339" s="2" t="str">
        <f>"760405248"</f>
        <v>760405248</v>
      </c>
      <c r="D4339" s="2" t="s">
        <v>3662</v>
      </c>
      <c r="E4339" s="4">
        <v>7000</v>
      </c>
    </row>
    <row r="4340" spans="1:5" ht="26.25" x14ac:dyDescent="0.25">
      <c r="A4340" s="2" t="s">
        <v>14</v>
      </c>
      <c r="B4340" s="2" t="str">
        <f>"760405160"</f>
        <v>760405160</v>
      </c>
      <c r="C4340" s="2" t="str">
        <f>"760405160"</f>
        <v>760405160</v>
      </c>
      <c r="D4340" s="2" t="s">
        <v>3663</v>
      </c>
      <c r="E4340" s="4">
        <v>7000</v>
      </c>
    </row>
    <row r="4341" spans="1:5" ht="26.25" x14ac:dyDescent="0.25">
      <c r="A4341" s="2" t="s">
        <v>14</v>
      </c>
      <c r="B4341" s="2" t="str">
        <f>"76040715"</f>
        <v>76040715</v>
      </c>
      <c r="C4341" s="2" t="str">
        <f>"76040715"</f>
        <v>76040715</v>
      </c>
      <c r="D4341" s="2" t="s">
        <v>3664</v>
      </c>
      <c r="E4341" s="4">
        <v>7000</v>
      </c>
    </row>
    <row r="4342" spans="1:5" ht="26.25" x14ac:dyDescent="0.25">
      <c r="A4342" s="2" t="s">
        <v>14</v>
      </c>
      <c r="B4342" s="2" t="str">
        <f>"76040716"</f>
        <v>76040716</v>
      </c>
      <c r="C4342" s="2" t="str">
        <f>"76040716"</f>
        <v>76040716</v>
      </c>
      <c r="D4342" s="2" t="s">
        <v>3665</v>
      </c>
      <c r="E4342" s="4">
        <v>7000</v>
      </c>
    </row>
    <row r="4343" spans="1:5" ht="26.25" x14ac:dyDescent="0.25">
      <c r="A4343" s="2" t="s">
        <v>14</v>
      </c>
      <c r="B4343" s="2" t="str">
        <f>"760407253"</f>
        <v>760407253</v>
      </c>
      <c r="C4343" s="2" t="str">
        <f>"760407253"</f>
        <v>760407253</v>
      </c>
      <c r="D4343" s="2" t="s">
        <v>3666</v>
      </c>
      <c r="E4343" s="4">
        <v>7000</v>
      </c>
    </row>
    <row r="4344" spans="1:5" ht="26.25" x14ac:dyDescent="0.25">
      <c r="A4344" s="2" t="s">
        <v>14</v>
      </c>
      <c r="B4344" s="2" t="str">
        <f>"760409293"</f>
        <v>760409293</v>
      </c>
      <c r="C4344" s="2" t="str">
        <f>"760409293"</f>
        <v>760409293</v>
      </c>
      <c r="D4344" s="2" t="s">
        <v>3667</v>
      </c>
      <c r="E4344" s="4">
        <v>7000</v>
      </c>
    </row>
    <row r="4345" spans="1:5" ht="26.25" x14ac:dyDescent="0.25">
      <c r="A4345" s="2" t="s">
        <v>14</v>
      </c>
      <c r="B4345" s="2" t="str">
        <f>"760410297"</f>
        <v>760410297</v>
      </c>
      <c r="C4345" s="2" t="str">
        <f>"760410297"</f>
        <v>760410297</v>
      </c>
      <c r="D4345" s="2" t="s">
        <v>3668</v>
      </c>
      <c r="E4345" s="4">
        <v>7000</v>
      </c>
    </row>
    <row r="4346" spans="1:5" ht="26.25" x14ac:dyDescent="0.25">
      <c r="A4346" s="2" t="s">
        <v>14</v>
      </c>
      <c r="B4346" s="2" t="str">
        <f>"760410301"</f>
        <v>760410301</v>
      </c>
      <c r="C4346" s="2" t="str">
        <f>"760410301"</f>
        <v>760410301</v>
      </c>
      <c r="D4346" s="2" t="s">
        <v>3669</v>
      </c>
      <c r="E4346" s="4">
        <v>7000</v>
      </c>
    </row>
    <row r="4347" spans="1:5" ht="26.25" x14ac:dyDescent="0.25">
      <c r="A4347" s="2" t="s">
        <v>14</v>
      </c>
      <c r="B4347" s="2" t="str">
        <f>"76043166"</f>
        <v>76043166</v>
      </c>
      <c r="C4347" s="2" t="str">
        <f>"76043166"</f>
        <v>76043166</v>
      </c>
      <c r="D4347" s="2" t="s">
        <v>3670</v>
      </c>
      <c r="E4347" s="4">
        <v>7000</v>
      </c>
    </row>
    <row r="4348" spans="1:5" ht="26.25" x14ac:dyDescent="0.25">
      <c r="A4348" s="2" t="s">
        <v>14</v>
      </c>
      <c r="B4348" s="2" t="str">
        <f>"760414125"</f>
        <v>760414125</v>
      </c>
      <c r="C4348" s="2" t="str">
        <f>"760414125"</f>
        <v>760414125</v>
      </c>
      <c r="D4348" s="2" t="s">
        <v>3671</v>
      </c>
      <c r="E4348" s="4">
        <v>7000</v>
      </c>
    </row>
    <row r="4349" spans="1:5" ht="26.25" x14ac:dyDescent="0.25">
      <c r="A4349" s="2" t="s">
        <v>14</v>
      </c>
      <c r="B4349" s="2" t="str">
        <f>"1000001087900"</f>
        <v>1000001087900</v>
      </c>
      <c r="C4349" s="2" t="str">
        <f>"760414283"</f>
        <v>760414283</v>
      </c>
      <c r="D4349" s="2" t="s">
        <v>3672</v>
      </c>
      <c r="E4349" s="4">
        <v>7000</v>
      </c>
    </row>
    <row r="4350" spans="1:5" ht="26.25" x14ac:dyDescent="0.25">
      <c r="A4350" s="2" t="s">
        <v>14</v>
      </c>
      <c r="B4350" s="2" t="str">
        <f>"760414270"</f>
        <v>760414270</v>
      </c>
      <c r="C4350" s="2" t="str">
        <f>"760414270"</f>
        <v>760414270</v>
      </c>
      <c r="D4350" s="2" t="s">
        <v>3673</v>
      </c>
      <c r="E4350" s="4">
        <v>7000</v>
      </c>
    </row>
    <row r="4351" spans="1:5" ht="26.25" x14ac:dyDescent="0.25">
      <c r="A4351" s="2" t="s">
        <v>14</v>
      </c>
      <c r="B4351" s="2" t="str">
        <f>"760414137"</f>
        <v>760414137</v>
      </c>
      <c r="C4351" s="2" t="str">
        <f>"760414137"</f>
        <v>760414137</v>
      </c>
      <c r="D4351" s="2" t="s">
        <v>3674</v>
      </c>
      <c r="E4351" s="4">
        <v>7000</v>
      </c>
    </row>
    <row r="4352" spans="1:5" ht="26.25" x14ac:dyDescent="0.25">
      <c r="A4352" s="2" t="s">
        <v>14</v>
      </c>
      <c r="B4352" s="2" t="str">
        <f>"760414266"</f>
        <v>760414266</v>
      </c>
      <c r="C4352" s="2" t="str">
        <f>"760414266"</f>
        <v>760414266</v>
      </c>
      <c r="D4352" s="2" t="s">
        <v>3675</v>
      </c>
      <c r="E4352" s="4">
        <v>7000</v>
      </c>
    </row>
    <row r="4353" spans="1:5" ht="26.25" x14ac:dyDescent="0.25">
      <c r="A4353" s="2" t="s">
        <v>14</v>
      </c>
      <c r="B4353" s="2" t="str">
        <f>"1000001087993"</f>
        <v>1000001087993</v>
      </c>
      <c r="C4353" s="2" t="str">
        <f>"760414129"</f>
        <v>760414129</v>
      </c>
      <c r="D4353" s="2" t="s">
        <v>3676</v>
      </c>
      <c r="E4353" s="4">
        <v>7000</v>
      </c>
    </row>
    <row r="4354" spans="1:5" ht="26.25" x14ac:dyDescent="0.25">
      <c r="A4354" s="2" t="s">
        <v>14</v>
      </c>
      <c r="B4354" s="2" t="str">
        <f>"760414127"</f>
        <v>760414127</v>
      </c>
      <c r="C4354" s="2" t="str">
        <f>"760414127"</f>
        <v>760414127</v>
      </c>
      <c r="D4354" s="2" t="s">
        <v>3677</v>
      </c>
      <c r="E4354" s="4">
        <v>7000</v>
      </c>
    </row>
    <row r="4355" spans="1:5" ht="26.25" x14ac:dyDescent="0.25">
      <c r="A4355" s="2" t="s">
        <v>14</v>
      </c>
      <c r="B4355" s="2" t="str">
        <f>"34011454"</f>
        <v>34011454</v>
      </c>
      <c r="C4355" s="2" t="str">
        <f>"34011454"</f>
        <v>34011454</v>
      </c>
      <c r="D4355" s="2" t="s">
        <v>3678</v>
      </c>
      <c r="E4355" s="4">
        <v>4900</v>
      </c>
    </row>
    <row r="4356" spans="1:5" ht="26.25" x14ac:dyDescent="0.25">
      <c r="A4356" s="2" t="s">
        <v>10</v>
      </c>
      <c r="B4356" s="2" t="str">
        <f>"344810297"</f>
        <v>344810297</v>
      </c>
      <c r="C4356" s="2" t="str">
        <f>"344810297"</f>
        <v>344810297</v>
      </c>
      <c r="D4356" s="2" t="s">
        <v>3679</v>
      </c>
      <c r="E4356" s="4">
        <v>3500</v>
      </c>
    </row>
    <row r="4357" spans="1:5" ht="26.25" x14ac:dyDescent="0.25">
      <c r="A4357" s="2" t="s">
        <v>10</v>
      </c>
      <c r="B4357" s="2" t="str">
        <f>"17480105"</f>
        <v>17480105</v>
      </c>
      <c r="C4357" s="2" t="str">
        <f>"17480105"</f>
        <v>17480105</v>
      </c>
      <c r="D4357" s="2" t="s">
        <v>3680</v>
      </c>
      <c r="E4357" s="4">
        <v>3000</v>
      </c>
    </row>
    <row r="4358" spans="1:5" ht="26.25" x14ac:dyDescent="0.25">
      <c r="A4358" s="2" t="s">
        <v>10</v>
      </c>
      <c r="B4358" s="2" t="str">
        <f>"34481505"</f>
        <v>34481505</v>
      </c>
      <c r="C4358" s="2" t="str">
        <f>"34481505"</f>
        <v>34481505</v>
      </c>
      <c r="D4358" s="2" t="s">
        <v>3680</v>
      </c>
      <c r="E4358" s="4">
        <v>3000</v>
      </c>
    </row>
    <row r="4359" spans="1:5" ht="26.25" x14ac:dyDescent="0.25">
      <c r="A4359" s="2" t="s">
        <v>10</v>
      </c>
      <c r="B4359" s="2" t="str">
        <f>"17480111"</f>
        <v>17480111</v>
      </c>
      <c r="C4359" s="2" t="str">
        <f>"17480111"</f>
        <v>17480111</v>
      </c>
      <c r="D4359" s="2" t="s">
        <v>3681</v>
      </c>
      <c r="E4359" s="4">
        <v>3500</v>
      </c>
    </row>
    <row r="4360" spans="1:5" ht="26.25" x14ac:dyDescent="0.25">
      <c r="A4360" s="2" t="s">
        <v>10</v>
      </c>
      <c r="B4360" s="2" t="str">
        <f>"34480111"</f>
        <v>34480111</v>
      </c>
      <c r="C4360" s="2" t="str">
        <f>"34480111"</f>
        <v>34480111</v>
      </c>
      <c r="D4360" s="2" t="s">
        <v>3681</v>
      </c>
      <c r="E4360" s="4">
        <v>3500</v>
      </c>
    </row>
    <row r="4361" spans="1:5" ht="26.25" x14ac:dyDescent="0.25">
      <c r="A4361" s="2" t="s">
        <v>10</v>
      </c>
      <c r="B4361" s="2" t="str">
        <f>"17480112"</f>
        <v>17480112</v>
      </c>
      <c r="C4361" s="2" t="str">
        <f>"17480112"</f>
        <v>17480112</v>
      </c>
      <c r="D4361" s="2" t="s">
        <v>3682</v>
      </c>
      <c r="E4361" s="4">
        <v>3000</v>
      </c>
    </row>
    <row r="4362" spans="1:5" ht="26.25" x14ac:dyDescent="0.25">
      <c r="A4362" s="2" t="s">
        <v>10</v>
      </c>
      <c r="B4362" s="2" t="str">
        <f>"34480112"</f>
        <v>34480112</v>
      </c>
      <c r="C4362" s="2" t="str">
        <f>"34480112"</f>
        <v>34480112</v>
      </c>
      <c r="D4362" s="2" t="s">
        <v>3682</v>
      </c>
      <c r="E4362" s="4">
        <v>3500</v>
      </c>
    </row>
    <row r="4363" spans="1:5" ht="26.25" x14ac:dyDescent="0.25">
      <c r="A4363" s="2" t="s">
        <v>10</v>
      </c>
      <c r="B4363" s="2" t="str">
        <f>"174801288"</f>
        <v>174801288</v>
      </c>
      <c r="C4363" s="2" t="str">
        <f>"174801288"</f>
        <v>174801288</v>
      </c>
      <c r="D4363" s="2" t="s">
        <v>3683</v>
      </c>
      <c r="E4363" s="4">
        <v>3000</v>
      </c>
    </row>
    <row r="4364" spans="1:5" ht="26.25" x14ac:dyDescent="0.25">
      <c r="A4364" s="2" t="s">
        <v>10</v>
      </c>
      <c r="B4364" s="2" t="str">
        <f>"17200178"</f>
        <v>17200178</v>
      </c>
      <c r="C4364" s="2" t="str">
        <f>"17200178"</f>
        <v>17200178</v>
      </c>
      <c r="D4364" s="2" t="s">
        <v>3684</v>
      </c>
      <c r="E4364" s="4">
        <v>3500</v>
      </c>
    </row>
    <row r="4365" spans="1:5" ht="26.25" x14ac:dyDescent="0.25">
      <c r="A4365" s="2" t="s">
        <v>10</v>
      </c>
      <c r="B4365" s="2" t="str">
        <f>"17480178"</f>
        <v>17480178</v>
      </c>
      <c r="C4365" s="2" t="str">
        <f>"17480178"</f>
        <v>17480178</v>
      </c>
      <c r="D4365" s="2" t="s">
        <v>3684</v>
      </c>
      <c r="E4365" s="4">
        <v>3500</v>
      </c>
    </row>
    <row r="4366" spans="1:5" ht="26.25" x14ac:dyDescent="0.25">
      <c r="A4366" s="2" t="s">
        <v>10</v>
      </c>
      <c r="B4366" s="2" t="str">
        <f>"174801108"</f>
        <v>174801108</v>
      </c>
      <c r="C4366" s="2" t="str">
        <f>"174801108"</f>
        <v>174801108</v>
      </c>
      <c r="D4366" s="2" t="s">
        <v>3685</v>
      </c>
      <c r="E4366" s="4">
        <v>3500</v>
      </c>
    </row>
    <row r="4367" spans="1:5" ht="26.25" x14ac:dyDescent="0.25">
      <c r="A4367" s="2" t="s">
        <v>10</v>
      </c>
      <c r="B4367" s="2" t="str">
        <f>"344801108"</f>
        <v>344801108</v>
      </c>
      <c r="C4367" s="2" t="str">
        <f>"344801108"</f>
        <v>344801108</v>
      </c>
      <c r="D4367" s="2" t="s">
        <v>3685</v>
      </c>
      <c r="E4367" s="4">
        <v>3500</v>
      </c>
    </row>
    <row r="4368" spans="1:5" ht="26.25" x14ac:dyDescent="0.25">
      <c r="A4368" s="2" t="s">
        <v>10</v>
      </c>
      <c r="B4368" s="2" t="str">
        <f>"174801290"</f>
        <v>174801290</v>
      </c>
      <c r="C4368" s="2" t="str">
        <f>"174801290"</f>
        <v>174801290</v>
      </c>
      <c r="D4368" s="2" t="s">
        <v>3686</v>
      </c>
      <c r="E4368" s="4">
        <v>3500</v>
      </c>
    </row>
    <row r="4369" spans="1:5" ht="26.25" x14ac:dyDescent="0.25">
      <c r="A4369" s="2" t="s">
        <v>10</v>
      </c>
      <c r="B4369" s="2" t="str">
        <f>"174801131"</f>
        <v>174801131</v>
      </c>
      <c r="C4369" s="2" t="str">
        <f>"174801131"</f>
        <v>174801131</v>
      </c>
      <c r="D4369" s="2" t="s">
        <v>3687</v>
      </c>
      <c r="E4369" s="4">
        <v>3500</v>
      </c>
    </row>
    <row r="4370" spans="1:5" ht="26.25" x14ac:dyDescent="0.25">
      <c r="A4370" s="2" t="s">
        <v>10</v>
      </c>
      <c r="B4370" s="2" t="str">
        <f>"174801219"</f>
        <v>174801219</v>
      </c>
      <c r="C4370" s="2" t="str">
        <f>"174801219"</f>
        <v>174801219</v>
      </c>
      <c r="D4370" s="2" t="s">
        <v>3688</v>
      </c>
      <c r="E4370" s="4">
        <v>3500</v>
      </c>
    </row>
    <row r="4371" spans="1:5" ht="26.25" x14ac:dyDescent="0.25">
      <c r="A4371" s="2" t="s">
        <v>10</v>
      </c>
      <c r="B4371" s="2" t="str">
        <f>"174801117"</f>
        <v>174801117</v>
      </c>
      <c r="C4371" s="2" t="str">
        <f>"174801117"</f>
        <v>174801117</v>
      </c>
      <c r="D4371" s="2" t="s">
        <v>3689</v>
      </c>
      <c r="E4371" s="4">
        <v>3000</v>
      </c>
    </row>
    <row r="4372" spans="1:5" ht="26.25" x14ac:dyDescent="0.25">
      <c r="A4372" s="2" t="s">
        <v>10</v>
      </c>
      <c r="B4372" s="2" t="str">
        <f>"174801190"</f>
        <v>174801190</v>
      </c>
      <c r="C4372" s="2" t="str">
        <f>"174801190"</f>
        <v>174801190</v>
      </c>
      <c r="D4372" s="2" t="s">
        <v>3690</v>
      </c>
      <c r="E4372" s="4">
        <v>3500</v>
      </c>
    </row>
    <row r="4373" spans="1:5" ht="26.25" x14ac:dyDescent="0.25">
      <c r="A4373" s="2" t="s">
        <v>10</v>
      </c>
      <c r="B4373" s="2" t="str">
        <f>"174801211"</f>
        <v>174801211</v>
      </c>
      <c r="C4373" s="2" t="str">
        <f>"174801211"</f>
        <v>174801211</v>
      </c>
      <c r="D4373" s="2" t="s">
        <v>3691</v>
      </c>
      <c r="E4373" s="4">
        <v>3500</v>
      </c>
    </row>
    <row r="4374" spans="1:5" ht="26.25" x14ac:dyDescent="0.25">
      <c r="A4374" s="2" t="s">
        <v>10</v>
      </c>
      <c r="B4374" s="2" t="str">
        <f>"174801129"</f>
        <v>174801129</v>
      </c>
      <c r="C4374" s="2" t="str">
        <f>"174801129"</f>
        <v>174801129</v>
      </c>
      <c r="D4374" s="2" t="s">
        <v>3692</v>
      </c>
      <c r="E4374" s="4">
        <v>3000</v>
      </c>
    </row>
    <row r="4375" spans="1:5" ht="26.25" x14ac:dyDescent="0.25">
      <c r="A4375" s="2" t="s">
        <v>10</v>
      </c>
      <c r="B4375" s="2" t="str">
        <f>"174801185"</f>
        <v>174801185</v>
      </c>
      <c r="C4375" s="2" t="str">
        <f>"174801185"</f>
        <v>174801185</v>
      </c>
      <c r="D4375" s="2" t="s">
        <v>3693</v>
      </c>
      <c r="E4375" s="4">
        <v>3500</v>
      </c>
    </row>
    <row r="4376" spans="1:5" ht="26.25" x14ac:dyDescent="0.25">
      <c r="A4376" s="2" t="s">
        <v>10</v>
      </c>
      <c r="B4376" s="2" t="str">
        <f>"174801209"</f>
        <v>174801209</v>
      </c>
      <c r="C4376" s="2" t="str">
        <f>"174801209"</f>
        <v>174801209</v>
      </c>
      <c r="D4376" s="2" t="s">
        <v>3690</v>
      </c>
      <c r="E4376" s="4">
        <v>3500</v>
      </c>
    </row>
    <row r="4377" spans="1:5" ht="26.25" x14ac:dyDescent="0.25">
      <c r="A4377" s="2" t="s">
        <v>10</v>
      </c>
      <c r="B4377" s="2" t="str">
        <f>"174801135"</f>
        <v>174801135</v>
      </c>
      <c r="C4377" s="2" t="str">
        <f>"174801135"</f>
        <v>174801135</v>
      </c>
      <c r="D4377" s="2" t="s">
        <v>3694</v>
      </c>
      <c r="E4377" s="4">
        <v>3500</v>
      </c>
    </row>
    <row r="4378" spans="1:5" ht="26.25" x14ac:dyDescent="0.25">
      <c r="A4378" s="2" t="s">
        <v>10</v>
      </c>
      <c r="B4378" s="2" t="str">
        <f>"174801241"</f>
        <v>174801241</v>
      </c>
      <c r="C4378" s="2" t="str">
        <f>"174801241"</f>
        <v>174801241</v>
      </c>
      <c r="D4378" s="2" t="s">
        <v>3695</v>
      </c>
      <c r="E4378" s="4">
        <v>3000</v>
      </c>
    </row>
    <row r="4379" spans="1:5" ht="26.25" x14ac:dyDescent="0.25">
      <c r="A4379" s="2" t="s">
        <v>10</v>
      </c>
      <c r="B4379" s="2" t="str">
        <f>"174801240"</f>
        <v>174801240</v>
      </c>
      <c r="C4379" s="2" t="str">
        <f>"174801240"</f>
        <v>174801240</v>
      </c>
      <c r="D4379" s="2" t="s">
        <v>3696</v>
      </c>
      <c r="E4379" s="4">
        <v>3500</v>
      </c>
    </row>
    <row r="4380" spans="1:5" ht="26.25" x14ac:dyDescent="0.25">
      <c r="A4380" s="2" t="s">
        <v>10</v>
      </c>
      <c r="B4380" s="2" t="str">
        <f>"174801236"</f>
        <v>174801236</v>
      </c>
      <c r="C4380" s="2" t="str">
        <f>"174801236"</f>
        <v>174801236</v>
      </c>
      <c r="D4380" s="2" t="s">
        <v>3697</v>
      </c>
      <c r="E4380" s="4">
        <v>3500</v>
      </c>
    </row>
    <row r="4381" spans="1:5" ht="26.25" x14ac:dyDescent="0.25">
      <c r="A4381" s="2" t="s">
        <v>10</v>
      </c>
      <c r="B4381" s="2" t="str">
        <f>"174801198"</f>
        <v>174801198</v>
      </c>
      <c r="C4381" s="2" t="str">
        <f>"174801198"</f>
        <v>174801198</v>
      </c>
      <c r="D4381" s="2" t="s">
        <v>3698</v>
      </c>
      <c r="E4381" s="4">
        <v>3500</v>
      </c>
    </row>
    <row r="4382" spans="1:5" ht="26.25" x14ac:dyDescent="0.25">
      <c r="A4382" s="2" t="s">
        <v>10</v>
      </c>
      <c r="B4382" s="2" t="str">
        <f>"17480192"</f>
        <v>17480192</v>
      </c>
      <c r="C4382" s="2" t="str">
        <f>"17480192"</f>
        <v>17480192</v>
      </c>
      <c r="D4382" s="2" t="s">
        <v>3699</v>
      </c>
      <c r="E4382" s="4">
        <v>3500</v>
      </c>
    </row>
    <row r="4383" spans="1:5" ht="26.25" x14ac:dyDescent="0.25">
      <c r="A4383" s="2" t="s">
        <v>10</v>
      </c>
      <c r="B4383" s="2" t="str">
        <f>"174801212"</f>
        <v>174801212</v>
      </c>
      <c r="C4383" s="2" t="str">
        <f>"174801212"</f>
        <v>174801212</v>
      </c>
      <c r="D4383" s="2" t="s">
        <v>3700</v>
      </c>
      <c r="E4383" s="4">
        <v>3500</v>
      </c>
    </row>
    <row r="4384" spans="1:5" ht="26.25" x14ac:dyDescent="0.25">
      <c r="A4384" s="2" t="s">
        <v>10</v>
      </c>
      <c r="B4384" s="2" t="str">
        <f>"174801171"</f>
        <v>174801171</v>
      </c>
      <c r="C4384" s="2" t="str">
        <f>"174801171"</f>
        <v>174801171</v>
      </c>
      <c r="D4384" s="2" t="s">
        <v>3701</v>
      </c>
      <c r="E4384" s="4">
        <v>3500</v>
      </c>
    </row>
    <row r="4385" spans="1:5" ht="26.25" x14ac:dyDescent="0.25">
      <c r="A4385" s="2" t="s">
        <v>10</v>
      </c>
      <c r="B4385" s="2" t="str">
        <f>"174801262"</f>
        <v>174801262</v>
      </c>
      <c r="C4385" s="2" t="str">
        <f>"174801262"</f>
        <v>174801262</v>
      </c>
      <c r="D4385" s="2" t="s">
        <v>3702</v>
      </c>
      <c r="E4385" s="4">
        <v>3500</v>
      </c>
    </row>
    <row r="4386" spans="1:5" ht="26.25" x14ac:dyDescent="0.25">
      <c r="A4386" s="2" t="s">
        <v>10</v>
      </c>
      <c r="B4386" s="2" t="str">
        <f>"174801244"</f>
        <v>174801244</v>
      </c>
      <c r="C4386" s="2" t="str">
        <f>"174801244"</f>
        <v>174801244</v>
      </c>
      <c r="D4386" s="2" t="s">
        <v>3703</v>
      </c>
      <c r="E4386" s="4">
        <v>3500</v>
      </c>
    </row>
    <row r="4387" spans="1:5" ht="26.25" x14ac:dyDescent="0.25">
      <c r="A4387" s="2" t="s">
        <v>10</v>
      </c>
      <c r="B4387" s="2" t="str">
        <f>"914801244"</f>
        <v>914801244</v>
      </c>
      <c r="C4387" s="2" t="str">
        <f>"914801244"</f>
        <v>914801244</v>
      </c>
      <c r="D4387" s="2" t="s">
        <v>3703</v>
      </c>
      <c r="E4387" s="4">
        <v>3500</v>
      </c>
    </row>
    <row r="4388" spans="1:5" ht="26.25" x14ac:dyDescent="0.25">
      <c r="A4388" s="2" t="s">
        <v>10</v>
      </c>
      <c r="B4388" s="2" t="str">
        <f>"174801237"</f>
        <v>174801237</v>
      </c>
      <c r="C4388" s="2" t="str">
        <f>"174801237"</f>
        <v>174801237</v>
      </c>
      <c r="D4388" s="2" t="s">
        <v>3704</v>
      </c>
      <c r="E4388" s="4">
        <v>3500</v>
      </c>
    </row>
    <row r="4389" spans="1:5" ht="26.25" x14ac:dyDescent="0.25">
      <c r="A4389" s="2" t="s">
        <v>10</v>
      </c>
      <c r="B4389" s="2" t="str">
        <f>"344823140"</f>
        <v>344823140</v>
      </c>
      <c r="C4389" s="2" t="str">
        <f>"344823140"</f>
        <v>344823140</v>
      </c>
      <c r="D4389" s="2" t="s">
        <v>3705</v>
      </c>
      <c r="E4389" s="4">
        <v>3500</v>
      </c>
    </row>
    <row r="4390" spans="1:5" ht="26.25" x14ac:dyDescent="0.25">
      <c r="A4390" s="2" t="s">
        <v>10</v>
      </c>
      <c r="B4390" s="2" t="str">
        <f>"174823218"</f>
        <v>174823218</v>
      </c>
      <c r="C4390" s="2" t="str">
        <f>"174823218"</f>
        <v>174823218</v>
      </c>
      <c r="D4390" s="2" t="s">
        <v>3706</v>
      </c>
      <c r="E4390" s="4">
        <v>3500</v>
      </c>
    </row>
    <row r="4391" spans="1:5" ht="26.25" x14ac:dyDescent="0.25">
      <c r="A4391" s="2" t="s">
        <v>10</v>
      </c>
      <c r="B4391" s="2" t="str">
        <f>"174823188"</f>
        <v>174823188</v>
      </c>
      <c r="C4391" s="2" t="str">
        <f>"174823188"</f>
        <v>174823188</v>
      </c>
      <c r="D4391" s="2" t="s">
        <v>3707</v>
      </c>
      <c r="E4391" s="4">
        <v>3500</v>
      </c>
    </row>
    <row r="4392" spans="1:5" ht="26.25" x14ac:dyDescent="0.25">
      <c r="A4392" s="2" t="s">
        <v>10</v>
      </c>
      <c r="B4392" s="2" t="str">
        <f>"110760104"</f>
        <v>110760104</v>
      </c>
      <c r="C4392" s="2" t="str">
        <f>"110760104"</f>
        <v>110760104</v>
      </c>
      <c r="D4392" s="2" t="s">
        <v>3708</v>
      </c>
      <c r="E4392" s="4">
        <v>3500</v>
      </c>
    </row>
    <row r="4393" spans="1:5" ht="26.25" x14ac:dyDescent="0.25">
      <c r="A4393" s="2" t="s">
        <v>10</v>
      </c>
      <c r="B4393" s="2" t="str">
        <f>"764721160"</f>
        <v>764721160</v>
      </c>
      <c r="C4393" s="2" t="str">
        <f>"764721160"</f>
        <v>764721160</v>
      </c>
      <c r="D4393" s="2" t="s">
        <v>3709</v>
      </c>
      <c r="E4393" s="4">
        <v>4000</v>
      </c>
    </row>
    <row r="4394" spans="1:5" ht="26.25" x14ac:dyDescent="0.25">
      <c r="A4394" s="2" t="s">
        <v>10</v>
      </c>
      <c r="B4394" s="2" t="str">
        <f>"174805260"</f>
        <v>174805260</v>
      </c>
      <c r="C4394" s="2" t="str">
        <f>"174805260"</f>
        <v>174805260</v>
      </c>
      <c r="D4394" s="2" t="s">
        <v>3710</v>
      </c>
      <c r="E4394" s="4">
        <v>3500</v>
      </c>
    </row>
    <row r="4395" spans="1:5" ht="26.25" x14ac:dyDescent="0.25">
      <c r="A4395" s="2" t="s">
        <v>10</v>
      </c>
      <c r="B4395" s="2" t="str">
        <f>"17470568"</f>
        <v>17470568</v>
      </c>
      <c r="C4395" s="2" t="str">
        <f>"17470568"</f>
        <v>17470568</v>
      </c>
      <c r="D4395" s="2" t="s">
        <v>3711</v>
      </c>
      <c r="E4395" s="4">
        <v>3500</v>
      </c>
    </row>
    <row r="4396" spans="1:5" ht="26.25" x14ac:dyDescent="0.25">
      <c r="A4396" s="2" t="s">
        <v>10</v>
      </c>
      <c r="B4396" s="2" t="str">
        <f>"76470568"</f>
        <v>76470568</v>
      </c>
      <c r="C4396" s="2" t="str">
        <f>"76470568"</f>
        <v>76470568</v>
      </c>
      <c r="D4396" s="2" t="s">
        <v>3711</v>
      </c>
      <c r="E4396" s="4">
        <v>3500</v>
      </c>
    </row>
    <row r="4397" spans="1:5" ht="26.25" x14ac:dyDescent="0.25">
      <c r="A4397" s="2" t="s">
        <v>10</v>
      </c>
      <c r="B4397" s="2" t="str">
        <f>"17480568"</f>
        <v>17480568</v>
      </c>
      <c r="C4397" s="2" t="str">
        <f>"17480568"</f>
        <v>17480568</v>
      </c>
      <c r="D4397" s="2" t="s">
        <v>3711</v>
      </c>
      <c r="E4397" s="4">
        <v>3500</v>
      </c>
    </row>
    <row r="4398" spans="1:5" ht="26.25" x14ac:dyDescent="0.25">
      <c r="A4398" s="2" t="s">
        <v>10</v>
      </c>
      <c r="B4398" s="2" t="str">
        <f>"34480568"</f>
        <v>34480568</v>
      </c>
      <c r="C4398" s="2" t="str">
        <f>"34480568"</f>
        <v>34480568</v>
      </c>
      <c r="D4398" s="2" t="s">
        <v>3711</v>
      </c>
      <c r="E4398" s="4">
        <v>3500</v>
      </c>
    </row>
    <row r="4399" spans="1:5" ht="26.25" x14ac:dyDescent="0.25">
      <c r="A4399" s="2" t="s">
        <v>10</v>
      </c>
      <c r="B4399" s="2" t="str">
        <f>"76480568"</f>
        <v>76480568</v>
      </c>
      <c r="C4399" s="2" t="str">
        <f>"76480568"</f>
        <v>76480568</v>
      </c>
      <c r="D4399" s="2" t="s">
        <v>3711</v>
      </c>
      <c r="E4399" s="4">
        <v>3000</v>
      </c>
    </row>
    <row r="4400" spans="1:5" ht="26.25" x14ac:dyDescent="0.25">
      <c r="A4400" s="2" t="s">
        <v>10</v>
      </c>
      <c r="B4400" s="2" t="str">
        <f>"17480768"</f>
        <v>17480768</v>
      </c>
      <c r="C4400" s="2" t="str">
        <f>"17480768"</f>
        <v>17480768</v>
      </c>
      <c r="D4400" s="2" t="s">
        <v>3711</v>
      </c>
      <c r="E4400" s="4">
        <v>3500</v>
      </c>
    </row>
    <row r="4401" spans="1:5" ht="26.25" x14ac:dyDescent="0.25">
      <c r="A4401" s="2" t="s">
        <v>10</v>
      </c>
      <c r="B4401" s="2" t="str">
        <f>"17480569"</f>
        <v>17480569</v>
      </c>
      <c r="C4401" s="2" t="str">
        <f>"17480569"</f>
        <v>17480569</v>
      </c>
      <c r="D4401" s="2" t="s">
        <v>3712</v>
      </c>
      <c r="E4401" s="4">
        <v>3500</v>
      </c>
    </row>
    <row r="4402" spans="1:5" ht="26.25" x14ac:dyDescent="0.25">
      <c r="A4402" s="2" t="s">
        <v>10</v>
      </c>
      <c r="B4402" s="2" t="str">
        <f>"76470569"</f>
        <v>76470569</v>
      </c>
      <c r="C4402" s="2" t="str">
        <f>"76470569"</f>
        <v>76470569</v>
      </c>
      <c r="D4402" s="2" t="s">
        <v>3712</v>
      </c>
      <c r="E4402" s="4">
        <v>3000</v>
      </c>
    </row>
    <row r="4403" spans="1:5" ht="26.25" x14ac:dyDescent="0.25">
      <c r="A4403" s="2" t="s">
        <v>10</v>
      </c>
      <c r="B4403" s="2" t="str">
        <f>"17580569"</f>
        <v>17580569</v>
      </c>
      <c r="C4403" s="2" t="str">
        <f>"17580569"</f>
        <v>17580569</v>
      </c>
      <c r="D4403" s="2" t="s">
        <v>3712</v>
      </c>
      <c r="E4403" s="4">
        <v>3500</v>
      </c>
    </row>
    <row r="4404" spans="1:5" ht="26.25" x14ac:dyDescent="0.25">
      <c r="A4404" s="2" t="s">
        <v>10</v>
      </c>
      <c r="B4404" s="2" t="str">
        <f>"34480569"</f>
        <v>34480569</v>
      </c>
      <c r="C4404" s="2" t="str">
        <f>"34480569"</f>
        <v>34480569</v>
      </c>
      <c r="D4404" s="2" t="s">
        <v>3712</v>
      </c>
      <c r="E4404" s="4">
        <v>3500</v>
      </c>
    </row>
    <row r="4405" spans="1:5" ht="26.25" x14ac:dyDescent="0.25">
      <c r="A4405" s="2" t="s">
        <v>10</v>
      </c>
      <c r="B4405" s="2" t="str">
        <f>"76480569"</f>
        <v>76480569</v>
      </c>
      <c r="C4405" s="2" t="str">
        <f>"76480569"</f>
        <v>76480569</v>
      </c>
      <c r="D4405" s="2" t="s">
        <v>3712</v>
      </c>
      <c r="E4405" s="4">
        <v>3500</v>
      </c>
    </row>
    <row r="4406" spans="1:5" ht="26.25" x14ac:dyDescent="0.25">
      <c r="A4406" s="2" t="s">
        <v>10</v>
      </c>
      <c r="B4406" s="2" t="str">
        <f>"76260569"</f>
        <v>76260569</v>
      </c>
      <c r="C4406" s="2" t="str">
        <f>"76260569"</f>
        <v>76260569</v>
      </c>
      <c r="D4406" s="2" t="s">
        <v>3712</v>
      </c>
      <c r="E4406" s="4">
        <v>3000</v>
      </c>
    </row>
    <row r="4407" spans="1:5" ht="26.25" x14ac:dyDescent="0.25">
      <c r="A4407" s="2" t="s">
        <v>10</v>
      </c>
      <c r="B4407" s="2" t="str">
        <f>"76580569"</f>
        <v>76580569</v>
      </c>
      <c r="C4407" s="2" t="str">
        <f>"76580569"</f>
        <v>76580569</v>
      </c>
      <c r="D4407" s="2" t="s">
        <v>3712</v>
      </c>
      <c r="E4407" s="4">
        <v>4500</v>
      </c>
    </row>
    <row r="4408" spans="1:5" ht="26.25" x14ac:dyDescent="0.25">
      <c r="A4408" s="2" t="s">
        <v>10</v>
      </c>
      <c r="B4408" s="2" t="str">
        <f>"110330610"</f>
        <v>110330610</v>
      </c>
      <c r="C4408" s="2" t="str">
        <f>"110330610"</f>
        <v>110330610</v>
      </c>
      <c r="D4408" s="2" t="s">
        <v>3713</v>
      </c>
      <c r="E4408" s="4">
        <v>3500</v>
      </c>
    </row>
    <row r="4409" spans="1:5" ht="26.25" x14ac:dyDescent="0.25">
      <c r="A4409" s="2" t="s">
        <v>10</v>
      </c>
      <c r="B4409" s="2" t="str">
        <f>"17480570"</f>
        <v>17480570</v>
      </c>
      <c r="C4409" s="2" t="str">
        <f>"17480570"</f>
        <v>17480570</v>
      </c>
      <c r="D4409" s="2" t="s">
        <v>3714</v>
      </c>
      <c r="E4409" s="4">
        <v>3500</v>
      </c>
    </row>
    <row r="4410" spans="1:5" ht="26.25" x14ac:dyDescent="0.25">
      <c r="A4410" s="2" t="s">
        <v>10</v>
      </c>
      <c r="B4410" s="2" t="str">
        <f>"174805216"</f>
        <v>174805216</v>
      </c>
      <c r="C4410" s="2" t="str">
        <f>"174805216"</f>
        <v>174805216</v>
      </c>
      <c r="D4410" s="2" t="s">
        <v>3715</v>
      </c>
      <c r="E4410" s="4">
        <v>3500</v>
      </c>
    </row>
    <row r="4411" spans="1:5" ht="26.25" x14ac:dyDescent="0.25">
      <c r="A4411" s="2" t="s">
        <v>10</v>
      </c>
      <c r="B4411" s="2" t="str">
        <f>"174705196"</f>
        <v>174705196</v>
      </c>
      <c r="C4411" s="2" t="str">
        <f>"174705196"</f>
        <v>174705196</v>
      </c>
      <c r="D4411" s="2" t="s">
        <v>3716</v>
      </c>
      <c r="E4411" s="4">
        <v>3500</v>
      </c>
    </row>
    <row r="4412" spans="1:5" ht="26.25" x14ac:dyDescent="0.25">
      <c r="A4412" s="2" t="s">
        <v>10</v>
      </c>
      <c r="B4412" s="2" t="str">
        <f>"174805196"</f>
        <v>174805196</v>
      </c>
      <c r="C4412" s="2" t="str">
        <f>"174805196"</f>
        <v>174805196</v>
      </c>
      <c r="D4412" s="2" t="s">
        <v>3716</v>
      </c>
      <c r="E4412" s="4">
        <v>3500</v>
      </c>
    </row>
    <row r="4413" spans="1:5" ht="26.25" x14ac:dyDescent="0.25">
      <c r="A4413" s="2" t="s">
        <v>10</v>
      </c>
      <c r="B4413" s="2" t="str">
        <f>"764805196"</f>
        <v>764805196</v>
      </c>
      <c r="C4413" s="2" t="str">
        <f>"764805196"</f>
        <v>764805196</v>
      </c>
      <c r="D4413" s="2" t="s">
        <v>3716</v>
      </c>
      <c r="E4413" s="4">
        <v>3500</v>
      </c>
    </row>
    <row r="4414" spans="1:5" ht="26.25" x14ac:dyDescent="0.25">
      <c r="A4414" s="2" t="s">
        <v>10</v>
      </c>
      <c r="B4414" s="2" t="str">
        <f>"76510532"</f>
        <v>76510532</v>
      </c>
      <c r="C4414" s="2" t="str">
        <f>"76510532"</f>
        <v>76510532</v>
      </c>
      <c r="D4414" s="2" t="s">
        <v>3717</v>
      </c>
      <c r="E4414" s="4">
        <v>4500</v>
      </c>
    </row>
    <row r="4415" spans="1:5" ht="26.25" x14ac:dyDescent="0.25">
      <c r="A4415" s="2" t="s">
        <v>10</v>
      </c>
      <c r="B4415" s="2" t="str">
        <f>"76480532"</f>
        <v>76480532</v>
      </c>
      <c r="C4415" s="2" t="str">
        <f>"76480532"</f>
        <v>76480532</v>
      </c>
      <c r="D4415" s="2" t="s">
        <v>3717</v>
      </c>
      <c r="E4415" s="4">
        <v>4500</v>
      </c>
    </row>
    <row r="4416" spans="1:5" ht="26.25" x14ac:dyDescent="0.25">
      <c r="A4416" s="2" t="s">
        <v>10</v>
      </c>
      <c r="B4416" s="2" t="str">
        <f>"76640532"</f>
        <v>76640532</v>
      </c>
      <c r="C4416" s="2" t="str">
        <f>"76640532"</f>
        <v>76640532</v>
      </c>
      <c r="D4416" s="2" t="s">
        <v>3717</v>
      </c>
      <c r="E4416" s="4">
        <v>4500</v>
      </c>
    </row>
    <row r="4417" spans="1:5" ht="26.25" x14ac:dyDescent="0.25">
      <c r="A4417" s="2" t="s">
        <v>10</v>
      </c>
      <c r="B4417" s="2" t="str">
        <f>"764805321"</f>
        <v>764805321</v>
      </c>
      <c r="C4417" s="2" t="str">
        <f>"764805321"</f>
        <v>764805321</v>
      </c>
      <c r="D4417" s="2" t="s">
        <v>3718</v>
      </c>
      <c r="E4417" s="4">
        <v>4500</v>
      </c>
    </row>
    <row r="4418" spans="1:5" ht="39" x14ac:dyDescent="0.25">
      <c r="A4418" s="2" t="s">
        <v>10</v>
      </c>
      <c r="B4418" s="2" t="str">
        <f>"05321"</f>
        <v>05321</v>
      </c>
      <c r="C4418" s="2" t="str">
        <f>"1530835069057"</f>
        <v>1530835069057</v>
      </c>
      <c r="D4418" s="2" t="s">
        <v>3718</v>
      </c>
      <c r="E4418" s="4">
        <v>4500</v>
      </c>
    </row>
    <row r="4419" spans="1:5" ht="26.25" x14ac:dyDescent="0.25">
      <c r="A4419" s="2" t="s">
        <v>10</v>
      </c>
      <c r="B4419" s="2" t="str">
        <f>"17480533"</f>
        <v>17480533</v>
      </c>
      <c r="C4419" s="2" t="str">
        <f>"17480533"</f>
        <v>17480533</v>
      </c>
      <c r="D4419" s="2" t="s">
        <v>3719</v>
      </c>
      <c r="E4419" s="4">
        <v>3500</v>
      </c>
    </row>
    <row r="4420" spans="1:5" ht="26.25" x14ac:dyDescent="0.25">
      <c r="A4420" s="2" t="s">
        <v>10</v>
      </c>
      <c r="B4420" s="2" t="str">
        <f>"76480533"</f>
        <v>76480533</v>
      </c>
      <c r="C4420" s="2" t="str">
        <f>"76480533"</f>
        <v>76480533</v>
      </c>
      <c r="D4420" s="2" t="s">
        <v>3719</v>
      </c>
      <c r="E4420" s="4">
        <v>4500</v>
      </c>
    </row>
    <row r="4421" spans="1:5" ht="26.25" x14ac:dyDescent="0.25">
      <c r="A4421" s="2" t="s">
        <v>10</v>
      </c>
      <c r="B4421" s="2" t="str">
        <f>"76770533"</f>
        <v>76770533</v>
      </c>
      <c r="C4421" s="2" t="str">
        <f>"76770533"</f>
        <v>76770533</v>
      </c>
      <c r="D4421" s="2" t="s">
        <v>3719</v>
      </c>
      <c r="E4421" s="4">
        <v>5000</v>
      </c>
    </row>
    <row r="4422" spans="1:5" ht="26.25" x14ac:dyDescent="0.25">
      <c r="A4422" s="2" t="s">
        <v>10</v>
      </c>
      <c r="B4422" s="2" t="str">
        <f>"76590533"</f>
        <v>76590533</v>
      </c>
      <c r="C4422" s="2" t="str">
        <f>"76590533"</f>
        <v>76590533</v>
      </c>
      <c r="D4422" s="2" t="s">
        <v>3719</v>
      </c>
      <c r="E4422" s="4">
        <v>4500</v>
      </c>
    </row>
    <row r="4423" spans="1:5" ht="26.25" x14ac:dyDescent="0.25">
      <c r="A4423" s="2" t="s">
        <v>10</v>
      </c>
      <c r="B4423" s="2" t="str">
        <f>"76510533"</f>
        <v>76510533</v>
      </c>
      <c r="C4423" s="2" t="str">
        <f>"76510533"</f>
        <v>76510533</v>
      </c>
      <c r="D4423" s="2" t="s">
        <v>3719</v>
      </c>
      <c r="E4423" s="4">
        <v>4500</v>
      </c>
    </row>
    <row r="4424" spans="1:5" ht="26.25" x14ac:dyDescent="0.25">
      <c r="A4424" s="2" t="s">
        <v>10</v>
      </c>
      <c r="B4424" s="2" t="str">
        <f>"684805309"</f>
        <v>684805309</v>
      </c>
      <c r="C4424" s="2" t="str">
        <f>"684805309"</f>
        <v>684805309</v>
      </c>
      <c r="D4424" s="2" t="s">
        <v>3720</v>
      </c>
      <c r="E4424" s="4">
        <v>3500</v>
      </c>
    </row>
    <row r="4425" spans="1:5" ht="26.25" x14ac:dyDescent="0.25">
      <c r="A4425" s="2" t="s">
        <v>10</v>
      </c>
      <c r="B4425" s="2" t="str">
        <f>"1000001099675"</f>
        <v>1000001099675</v>
      </c>
      <c r="C4425" s="2" t="str">
        <f>"764805309"</f>
        <v>764805309</v>
      </c>
      <c r="D4425" s="2" t="s">
        <v>3720</v>
      </c>
      <c r="E4425" s="4">
        <v>4500</v>
      </c>
    </row>
    <row r="4426" spans="1:5" ht="26.25" x14ac:dyDescent="0.25">
      <c r="A4426" s="2" t="s">
        <v>10</v>
      </c>
      <c r="B4426" s="2" t="str">
        <f>"1000001099231"</f>
        <v>1000001099231</v>
      </c>
      <c r="C4426" s="2" t="str">
        <f>"764805307"</f>
        <v>764805307</v>
      </c>
      <c r="D4426" s="2" t="s">
        <v>3721</v>
      </c>
      <c r="E4426" s="4">
        <v>4500</v>
      </c>
    </row>
    <row r="4427" spans="1:5" ht="26.25" x14ac:dyDescent="0.25">
      <c r="A4427" s="2" t="s">
        <v>10</v>
      </c>
      <c r="B4427" s="2" t="str">
        <f>"797905307"</f>
        <v>797905307</v>
      </c>
      <c r="C4427" s="2" t="str">
        <f>"797905307"</f>
        <v>797905307</v>
      </c>
      <c r="D4427" s="2" t="s">
        <v>3721</v>
      </c>
      <c r="E4427" s="4">
        <v>7500</v>
      </c>
    </row>
    <row r="4428" spans="1:5" ht="26.25" x14ac:dyDescent="0.25">
      <c r="A4428" s="2" t="s">
        <v>10</v>
      </c>
      <c r="B4428" s="2" t="str">
        <f>"768905307"</f>
        <v>768905307</v>
      </c>
      <c r="C4428" s="2" t="str">
        <f>"768905307"</f>
        <v>768905307</v>
      </c>
      <c r="D4428" s="2" t="s">
        <v>3721</v>
      </c>
      <c r="E4428" s="4">
        <v>4500</v>
      </c>
    </row>
    <row r="4429" spans="1:5" ht="26.25" x14ac:dyDescent="0.25">
      <c r="A4429" s="2" t="s">
        <v>10</v>
      </c>
      <c r="B4429" s="2" t="str">
        <f>"674805307"</f>
        <v>674805307</v>
      </c>
      <c r="C4429" s="2" t="str">
        <f>"674805307"</f>
        <v>674805307</v>
      </c>
      <c r="D4429" s="2" t="s">
        <v>3721</v>
      </c>
      <c r="E4429" s="4">
        <v>4500</v>
      </c>
    </row>
    <row r="4430" spans="1:5" ht="26.25" x14ac:dyDescent="0.25">
      <c r="A4430" s="2" t="s">
        <v>10</v>
      </c>
      <c r="B4430" s="2" t="str">
        <f>"409905307"</f>
        <v>409905307</v>
      </c>
      <c r="C4430" s="2" t="str">
        <f>"409905307"</f>
        <v>409905307</v>
      </c>
      <c r="D4430" s="2" t="s">
        <v>3721</v>
      </c>
      <c r="E4430" s="4">
        <v>3500</v>
      </c>
    </row>
    <row r="4431" spans="1:5" ht="26.25" x14ac:dyDescent="0.25">
      <c r="A4431" s="2" t="s">
        <v>10</v>
      </c>
      <c r="B4431" s="2" t="str">
        <f>"765105307"</f>
        <v>765105307</v>
      </c>
      <c r="C4431" s="2" t="str">
        <f>"765105307"</f>
        <v>765105307</v>
      </c>
      <c r="D4431" s="2" t="s">
        <v>3721</v>
      </c>
      <c r="E4431" s="4">
        <v>4500</v>
      </c>
    </row>
    <row r="4432" spans="1:5" ht="26.25" x14ac:dyDescent="0.25">
      <c r="A4432" s="2" t="s">
        <v>10</v>
      </c>
      <c r="B4432" s="2" t="str">
        <f>"766205307"</f>
        <v>766205307</v>
      </c>
      <c r="C4432" s="2" t="str">
        <f>"766205307"</f>
        <v>766205307</v>
      </c>
      <c r="D4432" s="2" t="s">
        <v>3721</v>
      </c>
      <c r="E4432" s="4">
        <v>5500</v>
      </c>
    </row>
    <row r="4433" spans="1:5" ht="26.25" x14ac:dyDescent="0.25">
      <c r="A4433" s="2" t="s">
        <v>10</v>
      </c>
      <c r="B4433" s="2" t="str">
        <f>"1000001099774"</f>
        <v>1000001099774</v>
      </c>
      <c r="C4433" s="2" t="str">
        <f>"765105308"</f>
        <v>765105308</v>
      </c>
      <c r="D4433" s="2" t="s">
        <v>3722</v>
      </c>
      <c r="E4433" s="4">
        <v>4500</v>
      </c>
    </row>
    <row r="4434" spans="1:5" ht="26.25" x14ac:dyDescent="0.25">
      <c r="A4434" s="2" t="s">
        <v>10</v>
      </c>
      <c r="B4434" s="2" t="str">
        <f>"765105322"</f>
        <v>765105322</v>
      </c>
      <c r="C4434" s="2" t="str">
        <f>"765105322"</f>
        <v>765105322</v>
      </c>
      <c r="D4434" s="2" t="s">
        <v>3723</v>
      </c>
      <c r="E4434" s="4">
        <v>4500</v>
      </c>
    </row>
    <row r="4435" spans="1:5" ht="26.25" x14ac:dyDescent="0.25">
      <c r="A4435" s="2" t="s">
        <v>10</v>
      </c>
      <c r="B4435" s="2" t="str">
        <f>"174804223"</f>
        <v>174804223</v>
      </c>
      <c r="C4435" s="2" t="str">
        <f>"174804223"</f>
        <v>174804223</v>
      </c>
      <c r="D4435" s="2" t="s">
        <v>3724</v>
      </c>
      <c r="E4435" s="4">
        <v>3500</v>
      </c>
    </row>
    <row r="4436" spans="1:5" ht="26.25" x14ac:dyDescent="0.25">
      <c r="A4436" s="2" t="s">
        <v>10</v>
      </c>
      <c r="B4436" s="2" t="str">
        <f>"174805210"</f>
        <v>174805210</v>
      </c>
      <c r="C4436" s="2" t="str">
        <f>"174805210"</f>
        <v>174805210</v>
      </c>
      <c r="D4436" s="2" t="s">
        <v>3724</v>
      </c>
      <c r="E4436" s="4">
        <v>3500</v>
      </c>
    </row>
    <row r="4437" spans="1:5" ht="26.25" x14ac:dyDescent="0.25">
      <c r="A4437" s="2" t="s">
        <v>10</v>
      </c>
      <c r="B4437" s="2" t="str">
        <f>"174805223"</f>
        <v>174805223</v>
      </c>
      <c r="C4437" s="2" t="str">
        <f>"174805223"</f>
        <v>174805223</v>
      </c>
      <c r="D4437" s="2" t="s">
        <v>3724</v>
      </c>
      <c r="E4437" s="4">
        <v>3500</v>
      </c>
    </row>
    <row r="4438" spans="1:5" ht="26.25" x14ac:dyDescent="0.25">
      <c r="A4438" s="2" t="s">
        <v>10</v>
      </c>
      <c r="B4438" s="2" t="str">
        <f>"174805294"</f>
        <v>174805294</v>
      </c>
      <c r="C4438" s="2" t="str">
        <f>"174805294"</f>
        <v>174805294</v>
      </c>
      <c r="D4438" s="2" t="s">
        <v>3725</v>
      </c>
      <c r="E4438" s="4">
        <v>3500</v>
      </c>
    </row>
    <row r="4439" spans="1:5" ht="26.25" x14ac:dyDescent="0.25">
      <c r="A4439" s="2" t="s">
        <v>10</v>
      </c>
      <c r="B4439" s="2" t="str">
        <f>"174805295"</f>
        <v>174805295</v>
      </c>
      <c r="C4439" s="2" t="str">
        <f>"174805295"</f>
        <v>174805295</v>
      </c>
      <c r="D4439" s="2" t="s">
        <v>3726</v>
      </c>
      <c r="E4439" s="4">
        <v>3500</v>
      </c>
    </row>
    <row r="4440" spans="1:5" ht="26.25" x14ac:dyDescent="0.25">
      <c r="A4440" s="2" t="s">
        <v>10</v>
      </c>
      <c r="B4440" s="2" t="str">
        <f>"935105295"</f>
        <v>935105295</v>
      </c>
      <c r="C4440" s="2" t="str">
        <f>"935105295"</f>
        <v>935105295</v>
      </c>
      <c r="D4440" s="2" t="s">
        <v>3726</v>
      </c>
      <c r="E4440" s="4">
        <v>3500</v>
      </c>
    </row>
    <row r="4441" spans="1:5" ht="26.25" x14ac:dyDescent="0.25">
      <c r="A4441" s="2" t="s">
        <v>10</v>
      </c>
      <c r="B4441" s="2" t="str">
        <f>"767705295"</f>
        <v>767705295</v>
      </c>
      <c r="C4441" s="2" t="str">
        <f>"767705295"</f>
        <v>767705295</v>
      </c>
      <c r="D4441" s="2" t="s">
        <v>3726</v>
      </c>
      <c r="E4441" s="4">
        <v>4500</v>
      </c>
    </row>
    <row r="4442" spans="1:5" ht="26.25" x14ac:dyDescent="0.25">
      <c r="A4442" s="2" t="s">
        <v>10</v>
      </c>
      <c r="B4442" s="2" t="str">
        <f>"764805295"</f>
        <v>764805295</v>
      </c>
      <c r="C4442" s="2" t="str">
        <f>"764805295"</f>
        <v>764805295</v>
      </c>
      <c r="D4442" s="2" t="s">
        <v>3726</v>
      </c>
      <c r="E4442" s="4">
        <v>3500</v>
      </c>
    </row>
    <row r="4443" spans="1:5" ht="26.25" x14ac:dyDescent="0.25">
      <c r="A4443" s="2" t="s">
        <v>10</v>
      </c>
      <c r="B4443" s="2" t="str">
        <f>"684805295"</f>
        <v>684805295</v>
      </c>
      <c r="C4443" s="2" t="str">
        <f>"684805295"</f>
        <v>684805295</v>
      </c>
      <c r="D4443" s="2" t="s">
        <v>3726</v>
      </c>
      <c r="E4443" s="4">
        <v>3500</v>
      </c>
    </row>
    <row r="4444" spans="1:5" ht="26.25" x14ac:dyDescent="0.25">
      <c r="A4444" s="2" t="s">
        <v>10</v>
      </c>
      <c r="B4444" s="2" t="str">
        <f>"765105295"</f>
        <v>765105295</v>
      </c>
      <c r="C4444" s="2" t="str">
        <f>"765105295"</f>
        <v>765105295</v>
      </c>
      <c r="D4444" s="2" t="s">
        <v>3726</v>
      </c>
      <c r="E4444" s="4">
        <v>4500</v>
      </c>
    </row>
    <row r="4445" spans="1:5" ht="26.25" x14ac:dyDescent="0.25">
      <c r="A4445" s="2" t="s">
        <v>10</v>
      </c>
      <c r="B4445" s="2" t="str">
        <f>"766205333"</f>
        <v>766205333</v>
      </c>
      <c r="C4445" s="2" t="str">
        <f>"766205333"</f>
        <v>766205333</v>
      </c>
      <c r="D4445" s="2" t="s">
        <v>3727</v>
      </c>
      <c r="E4445" s="4">
        <v>5500</v>
      </c>
    </row>
    <row r="4446" spans="1:5" ht="26.25" x14ac:dyDescent="0.25">
      <c r="A4446" s="2" t="s">
        <v>10</v>
      </c>
      <c r="B4446" s="2" t="str">
        <f>"174805296"</f>
        <v>174805296</v>
      </c>
      <c r="C4446" s="2" t="str">
        <f>"174805296"</f>
        <v>174805296</v>
      </c>
      <c r="D4446" s="2" t="s">
        <v>3728</v>
      </c>
      <c r="E4446" s="4">
        <v>3500</v>
      </c>
    </row>
    <row r="4447" spans="1:5" ht="26.25" x14ac:dyDescent="0.25">
      <c r="A4447" s="2" t="s">
        <v>10</v>
      </c>
      <c r="B4447" s="2" t="str">
        <f>"764805296"</f>
        <v>764805296</v>
      </c>
      <c r="C4447" s="2" t="str">
        <f>"764805296"</f>
        <v>764805296</v>
      </c>
      <c r="D4447" s="2" t="s">
        <v>3728</v>
      </c>
      <c r="E4447" s="4">
        <v>4500</v>
      </c>
    </row>
    <row r="4448" spans="1:5" ht="26.25" x14ac:dyDescent="0.25">
      <c r="A4448" s="2" t="s">
        <v>10</v>
      </c>
      <c r="B4448" s="2" t="str">
        <f>"334805296"</f>
        <v>334805296</v>
      </c>
      <c r="C4448" s="2" t="str">
        <f>"334805296"</f>
        <v>334805296</v>
      </c>
      <c r="D4448" s="2" t="s">
        <v>3728</v>
      </c>
      <c r="E4448" s="4">
        <v>3500</v>
      </c>
    </row>
    <row r="4449" spans="1:5" ht="26.25" x14ac:dyDescent="0.25">
      <c r="A4449" s="2" t="s">
        <v>10</v>
      </c>
      <c r="B4449" s="2" t="str">
        <f>"765105296"</f>
        <v>765105296</v>
      </c>
      <c r="C4449" s="2" t="str">
        <f>"765105296"</f>
        <v>765105296</v>
      </c>
      <c r="D4449" s="2" t="s">
        <v>3728</v>
      </c>
      <c r="E4449" s="4">
        <v>4500</v>
      </c>
    </row>
    <row r="4450" spans="1:5" ht="26.25" x14ac:dyDescent="0.25">
      <c r="A4450" s="2" t="s">
        <v>10</v>
      </c>
      <c r="B4450" s="2" t="str">
        <f>"765105297"</f>
        <v>765105297</v>
      </c>
      <c r="C4450" s="2" t="str">
        <f>"765105297"</f>
        <v>765105297</v>
      </c>
      <c r="D4450" s="2" t="s">
        <v>3729</v>
      </c>
      <c r="E4450" s="4">
        <v>4500</v>
      </c>
    </row>
    <row r="4451" spans="1:5" ht="26.25" x14ac:dyDescent="0.25">
      <c r="A4451" s="2" t="s">
        <v>10</v>
      </c>
      <c r="B4451" s="2" t="str">
        <f>"174805297"</f>
        <v>174805297</v>
      </c>
      <c r="C4451" s="2" t="str">
        <f>"174805297"</f>
        <v>174805297</v>
      </c>
      <c r="D4451" s="2" t="s">
        <v>3729</v>
      </c>
      <c r="E4451" s="4">
        <v>1600</v>
      </c>
    </row>
    <row r="4452" spans="1:5" ht="26.25" x14ac:dyDescent="0.25">
      <c r="A4452" s="2" t="s">
        <v>10</v>
      </c>
      <c r="B4452" s="2" t="str">
        <f>"765105300"</f>
        <v>765105300</v>
      </c>
      <c r="C4452" s="2" t="str">
        <f>"765105300"</f>
        <v>765105300</v>
      </c>
      <c r="D4452" s="2" t="s">
        <v>3730</v>
      </c>
      <c r="E4452" s="4">
        <v>4500</v>
      </c>
    </row>
    <row r="4453" spans="1:5" ht="26.25" x14ac:dyDescent="0.25">
      <c r="A4453" s="2" t="s">
        <v>10</v>
      </c>
      <c r="B4453" s="2" t="str">
        <f>"764805300"</f>
        <v>764805300</v>
      </c>
      <c r="C4453" s="2" t="str">
        <f>"764805300"</f>
        <v>764805300</v>
      </c>
      <c r="D4453" s="2" t="s">
        <v>3730</v>
      </c>
      <c r="E4453" s="4">
        <v>6000</v>
      </c>
    </row>
    <row r="4454" spans="1:5" ht="26.25" x14ac:dyDescent="0.25">
      <c r="A4454" s="2" t="s">
        <v>10</v>
      </c>
      <c r="B4454" s="2" t="str">
        <f>"684805300"</f>
        <v>684805300</v>
      </c>
      <c r="C4454" s="2" t="str">
        <f>"684805300"</f>
        <v>684805300</v>
      </c>
      <c r="D4454" s="2" t="s">
        <v>3730</v>
      </c>
      <c r="E4454" s="4">
        <v>4500</v>
      </c>
    </row>
    <row r="4455" spans="1:5" ht="26.25" x14ac:dyDescent="0.25">
      <c r="A4455" s="2" t="s">
        <v>10</v>
      </c>
      <c r="B4455" s="2" t="str">
        <f>"765105303"</f>
        <v>765105303</v>
      </c>
      <c r="C4455" s="2" t="str">
        <f>"765105303"</f>
        <v>765105303</v>
      </c>
      <c r="D4455" s="2" t="s">
        <v>3731</v>
      </c>
      <c r="E4455" s="4">
        <v>5000</v>
      </c>
    </row>
    <row r="4456" spans="1:5" ht="26.25" x14ac:dyDescent="0.25">
      <c r="A4456" s="2" t="s">
        <v>10</v>
      </c>
      <c r="B4456" s="2" t="str">
        <f>"1000001095011"</f>
        <v>1000001095011</v>
      </c>
      <c r="C4456" s="2" t="str">
        <f>"764805303"</f>
        <v>764805303</v>
      </c>
      <c r="D4456" s="2" t="s">
        <v>3731</v>
      </c>
      <c r="E4456" s="4">
        <v>4500</v>
      </c>
    </row>
    <row r="4457" spans="1:5" ht="26.25" x14ac:dyDescent="0.25">
      <c r="A4457" s="2" t="s">
        <v>10</v>
      </c>
      <c r="B4457" s="2" t="str">
        <f>"763905303"</f>
        <v>763905303</v>
      </c>
      <c r="C4457" s="2" t="str">
        <f>"763905303"</f>
        <v>763905303</v>
      </c>
      <c r="D4457" s="2" t="s">
        <v>3731</v>
      </c>
      <c r="E4457" s="4">
        <v>4500</v>
      </c>
    </row>
    <row r="4458" spans="1:5" ht="26.25" x14ac:dyDescent="0.25">
      <c r="A4458" s="2" t="s">
        <v>10</v>
      </c>
      <c r="B4458" s="2" t="str">
        <f>"766105303"</f>
        <v>766105303</v>
      </c>
      <c r="C4458" s="2" t="str">
        <f>"766105303"</f>
        <v>766105303</v>
      </c>
      <c r="D4458" s="2" t="s">
        <v>3731</v>
      </c>
      <c r="E4458" s="4">
        <v>5000</v>
      </c>
    </row>
    <row r="4459" spans="1:5" ht="26.25" x14ac:dyDescent="0.25">
      <c r="A4459" s="2" t="s">
        <v>10</v>
      </c>
      <c r="B4459" s="2" t="str">
        <f>"766205303"</f>
        <v>766205303</v>
      </c>
      <c r="C4459" s="2" t="str">
        <f>"766205303"</f>
        <v>766205303</v>
      </c>
      <c r="D4459" s="2" t="s">
        <v>3731</v>
      </c>
      <c r="E4459" s="4">
        <v>6500</v>
      </c>
    </row>
    <row r="4460" spans="1:5" ht="26.25" x14ac:dyDescent="0.25">
      <c r="A4460" s="2" t="s">
        <v>10</v>
      </c>
      <c r="B4460" s="2" t="str">
        <f>"345105303"</f>
        <v>345105303</v>
      </c>
      <c r="C4460" s="2" t="str">
        <f>"345105303"</f>
        <v>345105303</v>
      </c>
      <c r="D4460" s="2" t="s">
        <v>3731</v>
      </c>
      <c r="E4460" s="4">
        <v>13500</v>
      </c>
    </row>
    <row r="4461" spans="1:5" ht="26.25" x14ac:dyDescent="0.25">
      <c r="A4461" s="2" t="s">
        <v>10</v>
      </c>
      <c r="B4461" s="2" t="str">
        <f>"344805303"</f>
        <v>344805303</v>
      </c>
      <c r="C4461" s="2" t="str">
        <f>"344805303"</f>
        <v>344805303</v>
      </c>
      <c r="D4461" s="2" t="s">
        <v>3731</v>
      </c>
      <c r="E4461" s="4">
        <v>4500</v>
      </c>
    </row>
    <row r="4462" spans="1:5" ht="26.25" x14ac:dyDescent="0.25">
      <c r="A4462" s="2" t="s">
        <v>10</v>
      </c>
      <c r="B4462" s="2" t="str">
        <f>"764705303"</f>
        <v>764705303</v>
      </c>
      <c r="C4462" s="2" t="str">
        <f>"764705303"</f>
        <v>764705303</v>
      </c>
      <c r="D4462" s="2" t="s">
        <v>3731</v>
      </c>
      <c r="E4462" s="4">
        <v>3500</v>
      </c>
    </row>
    <row r="4463" spans="1:5" ht="26.25" x14ac:dyDescent="0.25">
      <c r="A4463" s="2" t="s">
        <v>10</v>
      </c>
      <c r="B4463" s="2" t="str">
        <f>"415105303"</f>
        <v>415105303</v>
      </c>
      <c r="C4463" s="2" t="str">
        <f>"415105303"</f>
        <v>415105303</v>
      </c>
      <c r="D4463" s="2" t="s">
        <v>3731</v>
      </c>
      <c r="E4463" s="4">
        <v>4000</v>
      </c>
    </row>
    <row r="4464" spans="1:5" ht="26.25" x14ac:dyDescent="0.25">
      <c r="A4464" s="2" t="s">
        <v>10</v>
      </c>
      <c r="B4464" s="2" t="str">
        <f>"695105303"</f>
        <v>695105303</v>
      </c>
      <c r="C4464" s="2" t="str">
        <f>"695105303"</f>
        <v>695105303</v>
      </c>
      <c r="D4464" s="2" t="s">
        <v>3731</v>
      </c>
      <c r="E4464" s="4">
        <v>4500</v>
      </c>
    </row>
    <row r="4465" spans="1:5" ht="26.25" x14ac:dyDescent="0.25">
      <c r="A4465" s="2" t="s">
        <v>10</v>
      </c>
      <c r="B4465" s="2" t="str">
        <f>"767705303"</f>
        <v>767705303</v>
      </c>
      <c r="C4465" s="2" t="str">
        <f>"767705303"</f>
        <v>767705303</v>
      </c>
      <c r="D4465" s="2" t="s">
        <v>3731</v>
      </c>
      <c r="E4465" s="4">
        <v>4500</v>
      </c>
    </row>
    <row r="4466" spans="1:5" ht="26.25" x14ac:dyDescent="0.25">
      <c r="A4466" s="2" t="s">
        <v>10</v>
      </c>
      <c r="B4466" s="2" t="str">
        <f>"765905303"</f>
        <v>765905303</v>
      </c>
      <c r="C4466" s="2" t="str">
        <f>"765905303"</f>
        <v>765905303</v>
      </c>
      <c r="D4466" s="2" t="s">
        <v>3731</v>
      </c>
      <c r="E4466" s="4">
        <v>5500</v>
      </c>
    </row>
    <row r="4467" spans="1:5" ht="26.25" x14ac:dyDescent="0.25">
      <c r="A4467" s="2" t="s">
        <v>10</v>
      </c>
      <c r="B4467" s="2" t="str">
        <f>"349905303"</f>
        <v>349905303</v>
      </c>
      <c r="C4467" s="2" t="str">
        <f>"349905303"</f>
        <v>349905303</v>
      </c>
      <c r="D4467" s="2" t="s">
        <v>3731</v>
      </c>
      <c r="E4467" s="4">
        <v>7000</v>
      </c>
    </row>
    <row r="4468" spans="1:5" ht="26.25" x14ac:dyDescent="0.25">
      <c r="A4468" s="2" t="s">
        <v>10</v>
      </c>
      <c r="B4468" s="2" t="str">
        <f>"685105303"</f>
        <v>685105303</v>
      </c>
      <c r="C4468" s="2" t="str">
        <f>"685105303"</f>
        <v>685105303</v>
      </c>
      <c r="D4468" s="2" t="s">
        <v>3731</v>
      </c>
      <c r="E4468" s="4">
        <v>4500</v>
      </c>
    </row>
    <row r="4469" spans="1:5" ht="26.25" x14ac:dyDescent="0.25">
      <c r="A4469" s="2" t="s">
        <v>10</v>
      </c>
      <c r="B4469" s="2" t="str">
        <f>"2018110300116"</f>
        <v>2018110300116</v>
      </c>
      <c r="C4469" s="2" t="str">
        <f>"184805303"</f>
        <v>184805303</v>
      </c>
      <c r="D4469" s="2" t="s">
        <v>3731</v>
      </c>
      <c r="E4469" s="4">
        <v>5000</v>
      </c>
    </row>
    <row r="4470" spans="1:5" ht="26.25" x14ac:dyDescent="0.25">
      <c r="A4470" s="2" t="s">
        <v>10</v>
      </c>
      <c r="B4470" s="2" t="str">
        <f>"2018110200102"</f>
        <v>2018110200102</v>
      </c>
      <c r="C4470" s="2" t="str">
        <f>"185105303"</f>
        <v>185105303</v>
      </c>
      <c r="D4470" s="2" t="s">
        <v>3731</v>
      </c>
      <c r="E4470" s="4">
        <v>4500</v>
      </c>
    </row>
    <row r="4471" spans="1:5" ht="26.25" x14ac:dyDescent="0.25">
      <c r="A4471" s="2" t="s">
        <v>10</v>
      </c>
      <c r="B4471" s="2" t="str">
        <f>"185905303"</f>
        <v>185905303</v>
      </c>
      <c r="C4471" s="2" t="str">
        <f>"185905303"</f>
        <v>185905303</v>
      </c>
      <c r="D4471" s="2" t="s">
        <v>3731</v>
      </c>
      <c r="E4471" s="4">
        <v>4500</v>
      </c>
    </row>
    <row r="4472" spans="1:5" ht="26.25" x14ac:dyDescent="0.25">
      <c r="A4472" s="2" t="s">
        <v>10</v>
      </c>
      <c r="B4472" s="2" t="str">
        <f>"675105303"</f>
        <v>675105303</v>
      </c>
      <c r="C4472" s="2" t="str">
        <f>"675105303"</f>
        <v>675105303</v>
      </c>
      <c r="D4472" s="2" t="s">
        <v>3731</v>
      </c>
      <c r="E4472" s="4">
        <v>4500</v>
      </c>
    </row>
    <row r="4473" spans="1:5" ht="26.25" x14ac:dyDescent="0.25">
      <c r="A4473" s="2" t="s">
        <v>10</v>
      </c>
      <c r="B4473" s="2" t="str">
        <f>"674805303"</f>
        <v>674805303</v>
      </c>
      <c r="C4473" s="2" t="str">
        <f>"674805303"</f>
        <v>674805303</v>
      </c>
      <c r="D4473" s="2" t="s">
        <v>3731</v>
      </c>
      <c r="E4473" s="4">
        <v>3500</v>
      </c>
    </row>
    <row r="4474" spans="1:5" ht="26.25" x14ac:dyDescent="0.25">
      <c r="A4474" s="2" t="s">
        <v>10</v>
      </c>
      <c r="B4474" s="2" t="str">
        <f>"768905303"</f>
        <v>768905303</v>
      </c>
      <c r="C4474" s="2" t="str">
        <f>"768905303"</f>
        <v>768905303</v>
      </c>
      <c r="D4474" s="2" t="s">
        <v>3731</v>
      </c>
      <c r="E4474" s="4">
        <v>4500</v>
      </c>
    </row>
    <row r="4475" spans="1:5" ht="26.25" x14ac:dyDescent="0.25">
      <c r="A4475" s="2" t="s">
        <v>10</v>
      </c>
      <c r="B4475" s="2" t="str">
        <f>"687905303"</f>
        <v>687905303</v>
      </c>
      <c r="C4475" s="2" t="str">
        <f>"687905303"</f>
        <v>687905303</v>
      </c>
      <c r="D4475" s="2" t="s">
        <v>3731</v>
      </c>
      <c r="E4475" s="4">
        <v>3500</v>
      </c>
    </row>
    <row r="4476" spans="1:5" ht="26.25" x14ac:dyDescent="0.25">
      <c r="A4476" s="2" t="s">
        <v>10</v>
      </c>
      <c r="B4476" s="2" t="str">
        <f>"404805303"</f>
        <v>404805303</v>
      </c>
      <c r="C4476" s="2" t="str">
        <f>"404805303"</f>
        <v>404805303</v>
      </c>
      <c r="D4476" s="2" t="s">
        <v>3731</v>
      </c>
      <c r="E4476" s="4">
        <v>3500</v>
      </c>
    </row>
    <row r="4477" spans="1:5" ht="26.25" x14ac:dyDescent="0.25">
      <c r="A4477" s="2" t="s">
        <v>10</v>
      </c>
      <c r="B4477" s="2" t="str">
        <f>"2019030102262"</f>
        <v>2019030102262</v>
      </c>
      <c r="C4477" s="2" t="str">
        <f>"186405303"</f>
        <v>186405303</v>
      </c>
      <c r="D4477" s="2" t="s">
        <v>3731</v>
      </c>
      <c r="E4477" s="4">
        <v>4500</v>
      </c>
    </row>
    <row r="4478" spans="1:5" ht="26.25" x14ac:dyDescent="0.25">
      <c r="A4478" s="2" t="s">
        <v>10</v>
      </c>
      <c r="B4478" s="2" t="str">
        <f>"769905303"</f>
        <v>769905303</v>
      </c>
      <c r="C4478" s="2" t="str">
        <f>"769905303"</f>
        <v>769905303</v>
      </c>
      <c r="D4478" s="2" t="s">
        <v>3731</v>
      </c>
      <c r="E4478" s="4">
        <v>6500</v>
      </c>
    </row>
    <row r="4479" spans="1:5" ht="26.25" x14ac:dyDescent="0.25">
      <c r="A4479" s="2" t="s">
        <v>10</v>
      </c>
      <c r="B4479" s="2" t="str">
        <f>"684805303"</f>
        <v>684805303</v>
      </c>
      <c r="C4479" s="2" t="str">
        <f>"684805303"</f>
        <v>684805303</v>
      </c>
      <c r="D4479" s="2" t="s">
        <v>3731</v>
      </c>
      <c r="E4479" s="4">
        <v>3500</v>
      </c>
    </row>
    <row r="4480" spans="1:5" ht="26.25" x14ac:dyDescent="0.25">
      <c r="A4480" s="2" t="s">
        <v>10</v>
      </c>
      <c r="B4480" s="2" t="str">
        <f>"765105305"</f>
        <v>765105305</v>
      </c>
      <c r="C4480" s="2" t="str">
        <f>"765105305"</f>
        <v>765105305</v>
      </c>
      <c r="D4480" s="2" t="s">
        <v>3732</v>
      </c>
      <c r="E4480" s="4">
        <v>4500</v>
      </c>
    </row>
    <row r="4481" spans="1:5" ht="26.25" x14ac:dyDescent="0.25">
      <c r="A4481" s="2" t="s">
        <v>10</v>
      </c>
      <c r="B4481" s="2" t="str">
        <f>"763905305"</f>
        <v>763905305</v>
      </c>
      <c r="C4481" s="2" t="str">
        <f>"763905305"</f>
        <v>763905305</v>
      </c>
      <c r="D4481" s="2" t="s">
        <v>3732</v>
      </c>
      <c r="E4481" s="4">
        <v>4000</v>
      </c>
    </row>
    <row r="4482" spans="1:5" ht="26.25" x14ac:dyDescent="0.25">
      <c r="A4482" s="2" t="s">
        <v>10</v>
      </c>
      <c r="B4482" s="2" t="str">
        <f>"766205314"</f>
        <v>766205314</v>
      </c>
      <c r="C4482" s="2" t="str">
        <f>"766205314"</f>
        <v>766205314</v>
      </c>
      <c r="D4482" s="2" t="s">
        <v>3733</v>
      </c>
      <c r="E4482" s="4">
        <v>5500</v>
      </c>
    </row>
    <row r="4483" spans="1:5" ht="26.25" x14ac:dyDescent="0.25">
      <c r="A4483" s="2" t="s">
        <v>10</v>
      </c>
      <c r="B4483" s="2" t="str">
        <f>"764805314"</f>
        <v>764805314</v>
      </c>
      <c r="C4483" s="2" t="str">
        <f>"764805314"</f>
        <v>764805314</v>
      </c>
      <c r="D4483" s="2" t="s">
        <v>3733</v>
      </c>
      <c r="E4483" s="4">
        <v>4500</v>
      </c>
    </row>
    <row r="4484" spans="1:5" ht="26.25" x14ac:dyDescent="0.25">
      <c r="A4484" s="2" t="s">
        <v>10</v>
      </c>
      <c r="B4484" s="2" t="str">
        <f>"2019030102347"</f>
        <v>2019030102347</v>
      </c>
      <c r="C4484" s="2" t="str">
        <f>"186405314"</f>
        <v>186405314</v>
      </c>
      <c r="D4484" s="2" t="s">
        <v>3733</v>
      </c>
      <c r="E4484" s="4">
        <v>4500</v>
      </c>
    </row>
    <row r="4485" spans="1:5" ht="26.25" x14ac:dyDescent="0.25">
      <c r="A4485" s="2" t="s">
        <v>10</v>
      </c>
      <c r="B4485" s="2" t="str">
        <f>"764805316"</f>
        <v>764805316</v>
      </c>
      <c r="C4485" s="2" t="str">
        <f>"764805316"</f>
        <v>764805316</v>
      </c>
      <c r="D4485" s="2" t="s">
        <v>3734</v>
      </c>
      <c r="E4485" s="4">
        <v>3500</v>
      </c>
    </row>
    <row r="4486" spans="1:5" ht="26.25" x14ac:dyDescent="0.25">
      <c r="A4486" s="2" t="s">
        <v>10</v>
      </c>
      <c r="B4486" s="2" t="str">
        <f>"2019030400245"</f>
        <v>2019030400245</v>
      </c>
      <c r="C4486" s="2" t="str">
        <f>"187505316"</f>
        <v>187505316</v>
      </c>
      <c r="D4486" s="2" t="s">
        <v>3734</v>
      </c>
      <c r="E4486" s="4">
        <v>3500</v>
      </c>
    </row>
    <row r="4487" spans="1:5" ht="26.25" x14ac:dyDescent="0.25">
      <c r="A4487" s="2" t="s">
        <v>10</v>
      </c>
      <c r="B4487" s="2" t="str">
        <f>"797905316"</f>
        <v>797905316</v>
      </c>
      <c r="C4487" s="2" t="str">
        <f>"797905316"</f>
        <v>797905316</v>
      </c>
      <c r="D4487" s="2" t="s">
        <v>3734</v>
      </c>
      <c r="E4487" s="4">
        <v>7500</v>
      </c>
    </row>
    <row r="4488" spans="1:5" ht="26.25" x14ac:dyDescent="0.25">
      <c r="A4488" s="2" t="s">
        <v>10</v>
      </c>
      <c r="B4488" s="2" t="str">
        <f>"347705316"</f>
        <v>347705316</v>
      </c>
      <c r="C4488" s="2" t="str">
        <f>"347705316"</f>
        <v>347705316</v>
      </c>
      <c r="D4488" s="2" t="s">
        <v>3734</v>
      </c>
      <c r="E4488" s="4">
        <v>6000</v>
      </c>
    </row>
    <row r="4489" spans="1:5" ht="26.25" x14ac:dyDescent="0.25">
      <c r="A4489" s="2" t="s">
        <v>10</v>
      </c>
      <c r="B4489" s="2" t="str">
        <f>"765105316"</f>
        <v>765105316</v>
      </c>
      <c r="C4489" s="2" t="str">
        <f>"765105316"</f>
        <v>765105316</v>
      </c>
      <c r="D4489" s="2" t="s">
        <v>3734</v>
      </c>
      <c r="E4489" s="4">
        <v>5000</v>
      </c>
    </row>
    <row r="4490" spans="1:5" ht="26.25" x14ac:dyDescent="0.25">
      <c r="A4490" s="2" t="s">
        <v>10</v>
      </c>
      <c r="B4490" s="2" t="str">
        <f>"1000001025247"</f>
        <v>1000001025247</v>
      </c>
      <c r="C4490" s="2" t="str">
        <f>"764805347"</f>
        <v>764805347</v>
      </c>
      <c r="D4490" s="2" t="s">
        <v>3734</v>
      </c>
      <c r="E4490" s="4">
        <v>4500</v>
      </c>
    </row>
    <row r="4491" spans="1:5" ht="26.25" x14ac:dyDescent="0.25">
      <c r="A4491" s="2" t="s">
        <v>10</v>
      </c>
      <c r="B4491" s="2" t="str">
        <f>"766205316"</f>
        <v>766205316</v>
      </c>
      <c r="C4491" s="2" t="str">
        <f>"766205316"</f>
        <v>766205316</v>
      </c>
      <c r="D4491" s="2" t="s">
        <v>3734</v>
      </c>
      <c r="E4491" s="4">
        <v>5500</v>
      </c>
    </row>
    <row r="4492" spans="1:5" ht="26.25" x14ac:dyDescent="0.25">
      <c r="A4492" s="2" t="s">
        <v>10</v>
      </c>
      <c r="B4492" s="2" t="str">
        <f>"764805318"</f>
        <v>764805318</v>
      </c>
      <c r="C4492" s="2" t="str">
        <f>"764805318"</f>
        <v>764805318</v>
      </c>
      <c r="D4492" s="2" t="s">
        <v>3735</v>
      </c>
      <c r="E4492" s="4">
        <v>4500</v>
      </c>
    </row>
    <row r="4493" spans="1:5" ht="26.25" x14ac:dyDescent="0.25">
      <c r="A4493" s="2" t="s">
        <v>10</v>
      </c>
      <c r="B4493" s="2" t="str">
        <f>"2019030400252"</f>
        <v>2019030400252</v>
      </c>
      <c r="C4493" s="2" t="str">
        <f>"187505318"</f>
        <v>187505318</v>
      </c>
      <c r="D4493" s="2" t="s">
        <v>3735</v>
      </c>
      <c r="E4493" s="4">
        <v>3500</v>
      </c>
    </row>
    <row r="4494" spans="1:5" ht="26.25" x14ac:dyDescent="0.25">
      <c r="A4494" s="2" t="s">
        <v>10</v>
      </c>
      <c r="B4494" s="2" t="str">
        <f>"766205318"</f>
        <v>766205318</v>
      </c>
      <c r="C4494" s="2" t="str">
        <f>"766205318"</f>
        <v>766205318</v>
      </c>
      <c r="D4494" s="2" t="s">
        <v>3735</v>
      </c>
      <c r="E4494" s="4">
        <v>5500</v>
      </c>
    </row>
    <row r="4495" spans="1:5" ht="26.25" x14ac:dyDescent="0.25">
      <c r="A4495" s="2" t="s">
        <v>10</v>
      </c>
      <c r="B4495" s="2" t="str">
        <f>"765105327"</f>
        <v>765105327</v>
      </c>
      <c r="C4495" s="2" t="str">
        <f>"765105327"</f>
        <v>765105327</v>
      </c>
      <c r="D4495" s="2" t="s">
        <v>3736</v>
      </c>
      <c r="E4495" s="4">
        <v>5000</v>
      </c>
    </row>
    <row r="4496" spans="1:5" ht="26.25" x14ac:dyDescent="0.25">
      <c r="A4496" s="2" t="s">
        <v>10</v>
      </c>
      <c r="B4496" s="2" t="str">
        <f>"765105328"</f>
        <v>765105328</v>
      </c>
      <c r="C4496" s="2" t="str">
        <f>"765105328"</f>
        <v>765105328</v>
      </c>
      <c r="D4496" s="2" t="s">
        <v>3737</v>
      </c>
      <c r="E4496" s="4">
        <v>5000</v>
      </c>
    </row>
    <row r="4497" spans="1:5" ht="26.25" x14ac:dyDescent="0.25">
      <c r="A4497" s="2" t="s">
        <v>10</v>
      </c>
      <c r="B4497" s="2" t="str">
        <f>"765114256"</f>
        <v>765114256</v>
      </c>
      <c r="C4497" s="2" t="str">
        <f>"765114256"</f>
        <v>765114256</v>
      </c>
      <c r="D4497" s="2" t="s">
        <v>3737</v>
      </c>
      <c r="E4497" s="4">
        <v>5500</v>
      </c>
    </row>
    <row r="4498" spans="1:5" ht="26.25" x14ac:dyDescent="0.25">
      <c r="A4498" s="2" t="s">
        <v>10</v>
      </c>
      <c r="B4498" s="2" t="str">
        <f>"1000001094991"</f>
        <v>1000001094991</v>
      </c>
      <c r="C4498" s="2" t="str">
        <f>"766114256"</f>
        <v>766114256</v>
      </c>
      <c r="D4498" s="2" t="s">
        <v>3737</v>
      </c>
      <c r="E4498" s="4">
        <v>4500</v>
      </c>
    </row>
    <row r="4499" spans="1:5" ht="26.25" x14ac:dyDescent="0.25">
      <c r="A4499" s="2" t="s">
        <v>10</v>
      </c>
      <c r="B4499" s="2" t="str">
        <f>"764814256"</f>
        <v>764814256</v>
      </c>
      <c r="C4499" s="2" t="str">
        <f>"764814256"</f>
        <v>764814256</v>
      </c>
      <c r="D4499" s="2" t="s">
        <v>3737</v>
      </c>
      <c r="E4499" s="4">
        <v>4500</v>
      </c>
    </row>
    <row r="4500" spans="1:5" ht="26.25" x14ac:dyDescent="0.25">
      <c r="A4500" s="2" t="s">
        <v>10</v>
      </c>
      <c r="B4500" s="2" t="str">
        <f>"1000001094342"</f>
        <v>1000001094342</v>
      </c>
      <c r="C4500" s="2" t="str">
        <f>"766514256"</f>
        <v>766514256</v>
      </c>
      <c r="D4500" s="2" t="s">
        <v>3737</v>
      </c>
      <c r="E4500" s="4">
        <v>7500</v>
      </c>
    </row>
    <row r="4501" spans="1:5" ht="26.25" x14ac:dyDescent="0.25">
      <c r="A4501" s="2" t="s">
        <v>10</v>
      </c>
      <c r="B4501" s="2" t="str">
        <f>"767714256"</f>
        <v>767714256</v>
      </c>
      <c r="C4501" s="2" t="str">
        <f>"767714256"</f>
        <v>767714256</v>
      </c>
      <c r="D4501" s="2" t="s">
        <v>3737</v>
      </c>
      <c r="E4501" s="4">
        <v>5500</v>
      </c>
    </row>
    <row r="4502" spans="1:5" ht="26.25" x14ac:dyDescent="0.25">
      <c r="A4502" s="2" t="s">
        <v>10</v>
      </c>
      <c r="B4502" s="2" t="str">
        <f>"764714256"</f>
        <v>764714256</v>
      </c>
      <c r="C4502" s="2" t="str">
        <f>"764714256"</f>
        <v>764714256</v>
      </c>
      <c r="D4502" s="2" t="s">
        <v>3737</v>
      </c>
      <c r="E4502" s="4">
        <v>3500</v>
      </c>
    </row>
    <row r="4503" spans="1:5" ht="26.25" x14ac:dyDescent="0.25">
      <c r="A4503" s="2" t="s">
        <v>10</v>
      </c>
      <c r="B4503" s="2" t="str">
        <f>"174814256"</f>
        <v>174814256</v>
      </c>
      <c r="C4503" s="2" t="str">
        <f>"174814256"</f>
        <v>174814256</v>
      </c>
      <c r="D4503" s="2" t="s">
        <v>3737</v>
      </c>
      <c r="E4503" s="4">
        <v>3500</v>
      </c>
    </row>
    <row r="4504" spans="1:5" ht="26.25" x14ac:dyDescent="0.25">
      <c r="A4504" s="2" t="s">
        <v>10</v>
      </c>
      <c r="B4504" s="2" t="str">
        <f>"768914256"</f>
        <v>768914256</v>
      </c>
      <c r="C4504" s="2" t="str">
        <f>"768914256"</f>
        <v>768914256</v>
      </c>
      <c r="D4504" s="2" t="s">
        <v>3737</v>
      </c>
      <c r="E4504" s="4">
        <v>4500</v>
      </c>
    </row>
    <row r="4505" spans="1:5" ht="26.25" x14ac:dyDescent="0.25">
      <c r="A4505" s="2" t="s">
        <v>10</v>
      </c>
      <c r="B4505" s="2" t="str">
        <f>"186414256"</f>
        <v>186414256</v>
      </c>
      <c r="C4505" s="2" t="str">
        <f>"186414256"</f>
        <v>186414256</v>
      </c>
      <c r="D4505" s="2" t="s">
        <v>3737</v>
      </c>
      <c r="E4505" s="4">
        <v>4500</v>
      </c>
    </row>
    <row r="4506" spans="1:5" ht="39" x14ac:dyDescent="0.25">
      <c r="A4506" s="2" t="s">
        <v>10</v>
      </c>
      <c r="B4506" s="2" t="str">
        <f>"2020060601175"</f>
        <v>2020060601175</v>
      </c>
      <c r="C4506" s="2" t="str">
        <f>"2020060401126"</f>
        <v>2020060401126</v>
      </c>
      <c r="D4506" s="2" t="s">
        <v>3737</v>
      </c>
      <c r="E4506" s="4">
        <v>5000</v>
      </c>
    </row>
    <row r="4507" spans="1:5" ht="26.25" x14ac:dyDescent="0.25">
      <c r="A4507" s="2" t="s">
        <v>10</v>
      </c>
      <c r="B4507" s="2" t="str">
        <f>"347714256"</f>
        <v>347714256</v>
      </c>
      <c r="C4507" s="2" t="str">
        <f>"347714256"</f>
        <v>347714256</v>
      </c>
      <c r="D4507" s="2" t="s">
        <v>3737</v>
      </c>
      <c r="E4507" s="4">
        <v>6000</v>
      </c>
    </row>
    <row r="4508" spans="1:5" ht="26.25" x14ac:dyDescent="0.25">
      <c r="A4508" s="2" t="s">
        <v>10</v>
      </c>
      <c r="B4508" s="2" t="str">
        <f>"17480598"</f>
        <v>17480598</v>
      </c>
      <c r="C4508" s="2" t="str">
        <f>"17480598"</f>
        <v>17480598</v>
      </c>
      <c r="D4508" s="2" t="s">
        <v>3738</v>
      </c>
      <c r="E4508" s="4">
        <v>3500</v>
      </c>
    </row>
    <row r="4509" spans="1:5" ht="26.25" x14ac:dyDescent="0.25">
      <c r="A4509" s="2" t="s">
        <v>10</v>
      </c>
      <c r="B4509" s="2" t="str">
        <f>"17580598"</f>
        <v>17580598</v>
      </c>
      <c r="C4509" s="2" t="str">
        <f>"17580598"</f>
        <v>17580598</v>
      </c>
      <c r="D4509" s="2" t="s">
        <v>3738</v>
      </c>
      <c r="E4509" s="4">
        <v>3500</v>
      </c>
    </row>
    <row r="4510" spans="1:5" ht="26.25" x14ac:dyDescent="0.25">
      <c r="A4510" s="2" t="s">
        <v>10</v>
      </c>
      <c r="B4510" s="2" t="str">
        <f>"76480598"</f>
        <v>76480598</v>
      </c>
      <c r="C4510" s="2" t="str">
        <f>"76480598"</f>
        <v>76480598</v>
      </c>
      <c r="D4510" s="2" t="s">
        <v>3738</v>
      </c>
      <c r="E4510" s="4">
        <v>3500</v>
      </c>
    </row>
    <row r="4511" spans="1:5" ht="26.25" x14ac:dyDescent="0.25">
      <c r="A4511" s="2" t="s">
        <v>10</v>
      </c>
      <c r="B4511" s="2" t="str">
        <f>"17480548"</f>
        <v>17480548</v>
      </c>
      <c r="C4511" s="2" t="str">
        <f>"17480548"</f>
        <v>17480548</v>
      </c>
      <c r="D4511" s="2" t="s">
        <v>3739</v>
      </c>
      <c r="E4511" s="4">
        <v>3500</v>
      </c>
    </row>
    <row r="4512" spans="1:5" ht="26.25" x14ac:dyDescent="0.25">
      <c r="A4512" s="2" t="s">
        <v>10</v>
      </c>
      <c r="B4512" s="2" t="str">
        <f>"76590548"</f>
        <v>76590548</v>
      </c>
      <c r="C4512" s="2" t="str">
        <f>"76590548"</f>
        <v>76590548</v>
      </c>
      <c r="D4512" s="2" t="s">
        <v>3739</v>
      </c>
      <c r="E4512" s="4">
        <v>4500</v>
      </c>
    </row>
    <row r="4513" spans="1:5" ht="26.25" x14ac:dyDescent="0.25">
      <c r="A4513" s="2" t="s">
        <v>10</v>
      </c>
      <c r="B4513" s="2" t="str">
        <f>"17580548"</f>
        <v>17580548</v>
      </c>
      <c r="C4513" s="2" t="str">
        <f>"17580548"</f>
        <v>17580548</v>
      </c>
      <c r="D4513" s="2" t="s">
        <v>3739</v>
      </c>
      <c r="E4513" s="4">
        <v>3500</v>
      </c>
    </row>
    <row r="4514" spans="1:5" ht="26.25" x14ac:dyDescent="0.25">
      <c r="A4514" s="2" t="s">
        <v>10</v>
      </c>
      <c r="B4514" s="2" t="str">
        <f>"34480548"</f>
        <v>34480548</v>
      </c>
      <c r="C4514" s="2" t="str">
        <f>"34480548"</f>
        <v>34480548</v>
      </c>
      <c r="D4514" s="2" t="s">
        <v>3739</v>
      </c>
      <c r="E4514" s="4">
        <v>3500</v>
      </c>
    </row>
    <row r="4515" spans="1:5" ht="26.25" x14ac:dyDescent="0.25">
      <c r="A4515" s="2" t="s">
        <v>10</v>
      </c>
      <c r="B4515" s="2" t="str">
        <f>"34580548"</f>
        <v>34580548</v>
      </c>
      <c r="C4515" s="2" t="str">
        <f>"34580548"</f>
        <v>34580548</v>
      </c>
      <c r="D4515" s="2" t="s">
        <v>3739</v>
      </c>
      <c r="E4515" s="4">
        <v>5500</v>
      </c>
    </row>
    <row r="4516" spans="1:5" ht="26.25" x14ac:dyDescent="0.25">
      <c r="A4516" s="2" t="s">
        <v>10</v>
      </c>
      <c r="B4516" s="2" t="str">
        <f>"76480548"</f>
        <v>76480548</v>
      </c>
      <c r="C4516" s="2" t="str">
        <f>"76480548"</f>
        <v>76480548</v>
      </c>
      <c r="D4516" s="2" t="s">
        <v>3739</v>
      </c>
      <c r="E4516" s="4">
        <v>3500</v>
      </c>
    </row>
    <row r="4517" spans="1:5" ht="26.25" x14ac:dyDescent="0.25">
      <c r="A4517" s="2" t="s">
        <v>10</v>
      </c>
      <c r="B4517" s="2" t="str">
        <f>"174805103"</f>
        <v>174805103</v>
      </c>
      <c r="C4517" s="2" t="str">
        <f>"174805103"</f>
        <v>174805103</v>
      </c>
      <c r="D4517" s="2" t="s">
        <v>3739</v>
      </c>
      <c r="E4517" s="4">
        <v>3500</v>
      </c>
    </row>
    <row r="4518" spans="1:5" ht="26.25" x14ac:dyDescent="0.25">
      <c r="A4518" s="2" t="s">
        <v>10</v>
      </c>
      <c r="B4518" s="2" t="str">
        <f>"1714805103"</f>
        <v>1714805103</v>
      </c>
      <c r="C4518" s="2" t="str">
        <f>"1714805103"</f>
        <v>1714805103</v>
      </c>
      <c r="D4518" s="2" t="s">
        <v>3739</v>
      </c>
      <c r="E4518" s="4">
        <v>3000</v>
      </c>
    </row>
    <row r="4519" spans="1:5" ht="26.25" x14ac:dyDescent="0.25">
      <c r="A4519" s="2" t="s">
        <v>10</v>
      </c>
      <c r="B4519" s="2" t="str">
        <f>"765805103"</f>
        <v>765805103</v>
      </c>
      <c r="C4519" s="2" t="str">
        <f>"765805103"</f>
        <v>765805103</v>
      </c>
      <c r="D4519" s="2" t="s">
        <v>3739</v>
      </c>
      <c r="E4519" s="4">
        <v>4500</v>
      </c>
    </row>
    <row r="4520" spans="1:5" ht="26.25" x14ac:dyDescent="0.25">
      <c r="A4520" s="2" t="s">
        <v>10</v>
      </c>
      <c r="B4520" s="2" t="str">
        <f>"76510548"</f>
        <v>76510548</v>
      </c>
      <c r="C4520" s="2" t="str">
        <f>"76510548"</f>
        <v>76510548</v>
      </c>
      <c r="D4520" s="2" t="s">
        <v>3739</v>
      </c>
      <c r="E4520" s="4">
        <v>4500</v>
      </c>
    </row>
    <row r="4521" spans="1:5" ht="26.25" x14ac:dyDescent="0.25">
      <c r="A4521" s="2" t="s">
        <v>10</v>
      </c>
      <c r="B4521" s="2" t="str">
        <f>"767505302"</f>
        <v>767505302</v>
      </c>
      <c r="C4521" s="2" t="str">
        <f>"767505302"</f>
        <v>767505302</v>
      </c>
      <c r="D4521" s="2" t="s">
        <v>3740</v>
      </c>
      <c r="E4521" s="4">
        <v>4500</v>
      </c>
    </row>
    <row r="4522" spans="1:5" ht="26.25" x14ac:dyDescent="0.25">
      <c r="A4522" s="2" t="s">
        <v>10</v>
      </c>
      <c r="B4522" s="2" t="str">
        <f>"174805238"</f>
        <v>174805238</v>
      </c>
      <c r="C4522" s="2" t="str">
        <f>"174805238"</f>
        <v>174805238</v>
      </c>
      <c r="D4522" s="2" t="s">
        <v>3741</v>
      </c>
      <c r="E4522" s="4">
        <v>3500</v>
      </c>
    </row>
    <row r="4523" spans="1:5" ht="26.25" x14ac:dyDescent="0.25">
      <c r="A4523" s="2" t="s">
        <v>10</v>
      </c>
      <c r="B4523" s="2" t="str">
        <f>"767505238"</f>
        <v>767505238</v>
      </c>
      <c r="C4523" s="2" t="str">
        <f>"767505238"</f>
        <v>767505238</v>
      </c>
      <c r="D4523" s="2" t="s">
        <v>3741</v>
      </c>
      <c r="E4523" s="4">
        <v>4500</v>
      </c>
    </row>
    <row r="4524" spans="1:5" ht="26.25" x14ac:dyDescent="0.25">
      <c r="A4524" s="2" t="s">
        <v>10</v>
      </c>
      <c r="B4524" s="2" t="str">
        <f>"764805247"</f>
        <v>764805247</v>
      </c>
      <c r="C4524" s="2" t="str">
        <f>"764805247"</f>
        <v>764805247</v>
      </c>
      <c r="D4524" s="2" t="s">
        <v>3742</v>
      </c>
      <c r="E4524" s="4">
        <v>3500</v>
      </c>
    </row>
    <row r="4525" spans="1:5" ht="26.25" x14ac:dyDescent="0.25">
      <c r="A4525" s="2" t="s">
        <v>10</v>
      </c>
      <c r="B4525" s="2" t="str">
        <f>"767505247"</f>
        <v>767505247</v>
      </c>
      <c r="C4525" s="2" t="str">
        <f>"767505247"</f>
        <v>767505247</v>
      </c>
      <c r="D4525" s="2" t="s">
        <v>3742</v>
      </c>
      <c r="E4525" s="4">
        <v>5500</v>
      </c>
    </row>
    <row r="4526" spans="1:5" ht="26.25" x14ac:dyDescent="0.25">
      <c r="A4526" s="2" t="s">
        <v>10</v>
      </c>
      <c r="B4526" s="2" t="str">
        <f>"765805247"</f>
        <v>765805247</v>
      </c>
      <c r="C4526" s="2" t="str">
        <f>"765805247"</f>
        <v>765805247</v>
      </c>
      <c r="D4526" s="2" t="s">
        <v>3742</v>
      </c>
      <c r="E4526" s="4">
        <v>3500</v>
      </c>
    </row>
    <row r="4527" spans="1:5" ht="26.25" x14ac:dyDescent="0.25">
      <c r="A4527" s="2" t="s">
        <v>10</v>
      </c>
      <c r="B4527" s="2" t="str">
        <f>"765105247"</f>
        <v>765105247</v>
      </c>
      <c r="C4527" s="2" t="str">
        <f>"765105247"</f>
        <v>765105247</v>
      </c>
      <c r="D4527" s="2" t="s">
        <v>3742</v>
      </c>
      <c r="E4527" s="4">
        <v>4500</v>
      </c>
    </row>
    <row r="4528" spans="1:5" ht="26.25" x14ac:dyDescent="0.25">
      <c r="A4528" s="2" t="s">
        <v>10</v>
      </c>
      <c r="B4528" s="2" t="str">
        <f>"174805299"</f>
        <v>174805299</v>
      </c>
      <c r="C4528" s="2" t="str">
        <f>"174805299"</f>
        <v>174805299</v>
      </c>
      <c r="D4528" s="2" t="s">
        <v>3743</v>
      </c>
      <c r="E4528" s="4">
        <v>3500</v>
      </c>
    </row>
    <row r="4529" spans="1:5" ht="26.25" x14ac:dyDescent="0.25">
      <c r="A4529" s="2" t="s">
        <v>10</v>
      </c>
      <c r="B4529" s="2" t="str">
        <f>"175105299"</f>
        <v>175105299</v>
      </c>
      <c r="C4529" s="2" t="str">
        <f>"175105299"</f>
        <v>175105299</v>
      </c>
      <c r="D4529" s="2" t="s">
        <v>3743</v>
      </c>
      <c r="E4529" s="4">
        <v>3500</v>
      </c>
    </row>
    <row r="4530" spans="1:5" ht="26.25" x14ac:dyDescent="0.25">
      <c r="A4530" s="2" t="s">
        <v>10</v>
      </c>
      <c r="B4530" s="2" t="str">
        <f>"994805299"</f>
        <v>994805299</v>
      </c>
      <c r="C4530" s="2" t="str">
        <f>"994805299"</f>
        <v>994805299</v>
      </c>
      <c r="D4530" s="2" t="s">
        <v>3743</v>
      </c>
      <c r="E4530" s="4">
        <v>3500</v>
      </c>
    </row>
    <row r="4531" spans="1:5" ht="26.25" x14ac:dyDescent="0.25">
      <c r="A4531" s="2" t="s">
        <v>10</v>
      </c>
      <c r="B4531" s="2" t="str">
        <f>"867705299"</f>
        <v>867705299</v>
      </c>
      <c r="C4531" s="2" t="str">
        <f>"867705299"</f>
        <v>867705299</v>
      </c>
      <c r="D4531" s="2" t="s">
        <v>3743</v>
      </c>
      <c r="E4531" s="4">
        <v>3500</v>
      </c>
    </row>
    <row r="4532" spans="1:5" ht="26.25" x14ac:dyDescent="0.25">
      <c r="A4532" s="2" t="s">
        <v>10</v>
      </c>
      <c r="B4532" s="2" t="str">
        <f>"866405299"</f>
        <v>866405299</v>
      </c>
      <c r="C4532" s="2" t="str">
        <f>"866405299"</f>
        <v>866405299</v>
      </c>
      <c r="D4532" s="2" t="s">
        <v>3743</v>
      </c>
      <c r="E4532" s="4">
        <v>4500</v>
      </c>
    </row>
    <row r="4533" spans="1:5" ht="26.25" x14ac:dyDescent="0.25">
      <c r="A4533" s="2" t="s">
        <v>10</v>
      </c>
      <c r="B4533" s="2" t="str">
        <f>"174805329"</f>
        <v>174805329</v>
      </c>
      <c r="C4533" s="2" t="str">
        <f>"174805329"</f>
        <v>174805329</v>
      </c>
      <c r="D4533" s="2" t="s">
        <v>3744</v>
      </c>
      <c r="E4533" s="4">
        <v>3500</v>
      </c>
    </row>
    <row r="4534" spans="1:5" ht="26.25" x14ac:dyDescent="0.25">
      <c r="A4534" s="2" t="s">
        <v>10</v>
      </c>
      <c r="B4534" s="2" t="str">
        <f>"684805248"</f>
        <v>684805248</v>
      </c>
      <c r="C4534" s="2" t="str">
        <f>"684805248"</f>
        <v>684805248</v>
      </c>
      <c r="D4534" s="2" t="s">
        <v>3745</v>
      </c>
      <c r="E4534" s="4">
        <v>3500</v>
      </c>
    </row>
    <row r="4535" spans="1:5" ht="26.25" x14ac:dyDescent="0.25">
      <c r="A4535" s="2" t="s">
        <v>10</v>
      </c>
      <c r="B4535" s="2" t="str">
        <f>"767505248"</f>
        <v>767505248</v>
      </c>
      <c r="C4535" s="2" t="str">
        <f>"767505248"</f>
        <v>767505248</v>
      </c>
      <c r="D4535" s="2" t="s">
        <v>3745</v>
      </c>
      <c r="E4535" s="4">
        <v>4500</v>
      </c>
    </row>
    <row r="4536" spans="1:5" ht="26.25" x14ac:dyDescent="0.25">
      <c r="A4536" s="2" t="s">
        <v>10</v>
      </c>
      <c r="B4536" s="2" t="str">
        <f>"174805248"</f>
        <v>174805248</v>
      </c>
      <c r="C4536" s="2" t="str">
        <f>"174805248"</f>
        <v>174805248</v>
      </c>
      <c r="D4536" s="2" t="s">
        <v>3745</v>
      </c>
      <c r="E4536" s="4">
        <v>3500</v>
      </c>
    </row>
    <row r="4537" spans="1:5" ht="26.25" x14ac:dyDescent="0.25">
      <c r="A4537" s="2" t="s">
        <v>10</v>
      </c>
      <c r="B4537" s="2" t="str">
        <f>"174805256"</f>
        <v>174805256</v>
      </c>
      <c r="C4537" s="2" t="str">
        <f>"174805256"</f>
        <v>174805256</v>
      </c>
      <c r="D4537" s="2" t="s">
        <v>3746</v>
      </c>
      <c r="E4537" s="4">
        <v>3000</v>
      </c>
    </row>
    <row r="4538" spans="1:5" ht="26.25" x14ac:dyDescent="0.25">
      <c r="A4538" s="2" t="s">
        <v>10</v>
      </c>
      <c r="B4538" s="2" t="str">
        <f>"1000000506164"</f>
        <v>1000000506164</v>
      </c>
      <c r="C4538" s="2" t="str">
        <f>"765105299"</f>
        <v>765105299</v>
      </c>
      <c r="D4538" s="2" t="s">
        <v>3747</v>
      </c>
      <c r="E4538" s="4">
        <v>4500</v>
      </c>
    </row>
    <row r="4539" spans="1:5" ht="26.25" x14ac:dyDescent="0.25">
      <c r="A4539" s="2" t="s">
        <v>10</v>
      </c>
      <c r="B4539" s="2" t="str">
        <f>"175105304"</f>
        <v>175105304</v>
      </c>
      <c r="C4539" s="2" t="str">
        <f>"175105304"</f>
        <v>175105304</v>
      </c>
      <c r="D4539" s="2" t="s">
        <v>3748</v>
      </c>
      <c r="E4539" s="4">
        <v>4500</v>
      </c>
    </row>
    <row r="4540" spans="1:5" ht="26.25" x14ac:dyDescent="0.25">
      <c r="A4540" s="2" t="s">
        <v>10</v>
      </c>
      <c r="B4540" s="2" t="str">
        <f>"174805304"</f>
        <v>174805304</v>
      </c>
      <c r="C4540" s="2" t="str">
        <f>"174805304"</f>
        <v>174805304</v>
      </c>
      <c r="D4540" s="2" t="s">
        <v>3748</v>
      </c>
      <c r="E4540" s="4">
        <v>3500</v>
      </c>
    </row>
    <row r="4541" spans="1:5" ht="26.25" x14ac:dyDescent="0.25">
      <c r="A4541" s="2" t="s">
        <v>10</v>
      </c>
      <c r="B4541" s="2" t="str">
        <f>"765105304"</f>
        <v>765105304</v>
      </c>
      <c r="C4541" s="2" t="str">
        <f>"765105304"</f>
        <v>765105304</v>
      </c>
      <c r="D4541" s="2" t="s">
        <v>3748</v>
      </c>
      <c r="E4541" s="4">
        <v>4500</v>
      </c>
    </row>
    <row r="4542" spans="1:5" ht="26.25" x14ac:dyDescent="0.25">
      <c r="A4542" s="2" t="s">
        <v>10</v>
      </c>
      <c r="B4542" s="2" t="str">
        <f>"867705304"</f>
        <v>867705304</v>
      </c>
      <c r="C4542" s="2" t="str">
        <f>"867705304"</f>
        <v>867705304</v>
      </c>
      <c r="D4542" s="2" t="s">
        <v>3748</v>
      </c>
      <c r="E4542" s="4">
        <v>3500</v>
      </c>
    </row>
    <row r="4543" spans="1:5" ht="26.25" x14ac:dyDescent="0.25">
      <c r="A4543" s="2" t="s">
        <v>10</v>
      </c>
      <c r="B4543" s="2" t="str">
        <f>"764805304"</f>
        <v>764805304</v>
      </c>
      <c r="C4543" s="2" t="str">
        <f>"764805304"</f>
        <v>764805304</v>
      </c>
      <c r="D4543" s="2" t="s">
        <v>3748</v>
      </c>
      <c r="E4543" s="4">
        <v>4500</v>
      </c>
    </row>
    <row r="4544" spans="1:5" ht="26.25" x14ac:dyDescent="0.25">
      <c r="A4544" s="2" t="s">
        <v>10</v>
      </c>
      <c r="B4544" s="2" t="str">
        <f>"763905304"</f>
        <v>763905304</v>
      </c>
      <c r="C4544" s="2" t="str">
        <f>"763905304"</f>
        <v>763905304</v>
      </c>
      <c r="D4544" s="2" t="s">
        <v>3748</v>
      </c>
      <c r="E4544" s="4">
        <v>3500</v>
      </c>
    </row>
    <row r="4545" spans="1:5" ht="26.25" x14ac:dyDescent="0.25">
      <c r="A4545" s="2" t="s">
        <v>10</v>
      </c>
      <c r="B4545" s="2" t="str">
        <f>"415105304"</f>
        <v>415105304</v>
      </c>
      <c r="C4545" s="2" t="str">
        <f>"415105304"</f>
        <v>415105304</v>
      </c>
      <c r="D4545" s="2" t="s">
        <v>3748</v>
      </c>
      <c r="E4545" s="4">
        <v>5000</v>
      </c>
    </row>
    <row r="4546" spans="1:5" ht="26.25" x14ac:dyDescent="0.25">
      <c r="A4546" s="2" t="s">
        <v>10</v>
      </c>
      <c r="B4546" s="2" t="str">
        <f>"866405304"</f>
        <v>866405304</v>
      </c>
      <c r="C4546" s="2" t="str">
        <f>"866405304"</f>
        <v>866405304</v>
      </c>
      <c r="D4546" s="2" t="s">
        <v>3748</v>
      </c>
      <c r="E4546" s="4">
        <v>6500</v>
      </c>
    </row>
    <row r="4547" spans="1:5" ht="26.25" x14ac:dyDescent="0.25">
      <c r="A4547" s="2" t="s">
        <v>10</v>
      </c>
      <c r="B4547" s="2" t="str">
        <f>"864805304"</f>
        <v>864805304</v>
      </c>
      <c r="C4547" s="2" t="str">
        <f>"864805304"</f>
        <v>864805304</v>
      </c>
      <c r="D4547" s="2" t="s">
        <v>3748</v>
      </c>
      <c r="E4547" s="4">
        <v>6500</v>
      </c>
    </row>
    <row r="4548" spans="1:5" ht="26.25" x14ac:dyDescent="0.25">
      <c r="A4548" s="2" t="s">
        <v>10</v>
      </c>
      <c r="B4548" s="2" t="str">
        <f>"345105304"</f>
        <v>345105304</v>
      </c>
      <c r="C4548" s="2" t="str">
        <f>"345105304"</f>
        <v>345105304</v>
      </c>
      <c r="D4548" s="2" t="s">
        <v>3748</v>
      </c>
      <c r="E4548" s="4">
        <v>4500</v>
      </c>
    </row>
    <row r="4549" spans="1:5" ht="26.25" x14ac:dyDescent="0.25">
      <c r="A4549" s="2" t="s">
        <v>10</v>
      </c>
      <c r="B4549" s="2" t="str">
        <f>"325105304"</f>
        <v>325105304</v>
      </c>
      <c r="C4549" s="2" t="str">
        <f>"325105304"</f>
        <v>325105304</v>
      </c>
      <c r="D4549" s="2" t="s">
        <v>3748</v>
      </c>
      <c r="E4549" s="4">
        <v>3500</v>
      </c>
    </row>
    <row r="4550" spans="1:5" ht="26.25" x14ac:dyDescent="0.25">
      <c r="A4550" s="2" t="s">
        <v>10</v>
      </c>
      <c r="B4550" s="2" t="str">
        <f>"764805313"</f>
        <v>764805313</v>
      </c>
      <c r="C4550" s="2" t="str">
        <f>"764805313"</f>
        <v>764805313</v>
      </c>
      <c r="D4550" s="2" t="s">
        <v>3749</v>
      </c>
      <c r="E4550" s="4">
        <v>4500</v>
      </c>
    </row>
    <row r="4551" spans="1:5" ht="26.25" x14ac:dyDescent="0.25">
      <c r="A4551" s="2" t="s">
        <v>10</v>
      </c>
      <c r="B4551" s="2" t="str">
        <f>"797905313"</f>
        <v>797905313</v>
      </c>
      <c r="C4551" s="2" t="str">
        <f>"797905313"</f>
        <v>797905313</v>
      </c>
      <c r="D4551" s="2" t="s">
        <v>3749</v>
      </c>
      <c r="E4551" s="4">
        <v>7500</v>
      </c>
    </row>
    <row r="4552" spans="1:5" ht="26.25" x14ac:dyDescent="0.25">
      <c r="A4552" s="2" t="s">
        <v>10</v>
      </c>
      <c r="B4552" s="2" t="str">
        <f>"2019030102286"</f>
        <v>2019030102286</v>
      </c>
      <c r="C4552" s="2" t="str">
        <f>"186405313"</f>
        <v>186405313</v>
      </c>
      <c r="D4552" s="2" t="s">
        <v>3749</v>
      </c>
      <c r="E4552" s="4">
        <v>4500</v>
      </c>
    </row>
    <row r="4553" spans="1:5" ht="26.25" x14ac:dyDescent="0.25">
      <c r="A4553" s="2" t="s">
        <v>10</v>
      </c>
      <c r="B4553" s="2" t="str">
        <f>"764705183"</f>
        <v>764705183</v>
      </c>
      <c r="C4553" s="2" t="str">
        <f>"764705183"</f>
        <v>764705183</v>
      </c>
      <c r="D4553" s="2" t="s">
        <v>3750</v>
      </c>
      <c r="E4553" s="4">
        <v>4000</v>
      </c>
    </row>
    <row r="4554" spans="1:5" ht="26.25" x14ac:dyDescent="0.25">
      <c r="A4554" s="2" t="s">
        <v>10</v>
      </c>
      <c r="B4554" s="2" t="str">
        <f>"174805230"</f>
        <v>174805230</v>
      </c>
      <c r="C4554" s="2" t="str">
        <f>"174805230"</f>
        <v>174805230</v>
      </c>
      <c r="D4554" s="2" t="s">
        <v>3751</v>
      </c>
      <c r="E4554" s="4">
        <v>3500</v>
      </c>
    </row>
    <row r="4555" spans="1:5" ht="26.25" x14ac:dyDescent="0.25">
      <c r="A4555" s="2" t="s">
        <v>10</v>
      </c>
      <c r="B4555" s="2" t="str">
        <f>"615105230"</f>
        <v>615105230</v>
      </c>
      <c r="C4555" s="2" t="str">
        <f>"615105230"</f>
        <v>615105230</v>
      </c>
      <c r="D4555" s="2" t="s">
        <v>3751</v>
      </c>
      <c r="E4555" s="4">
        <v>3500</v>
      </c>
    </row>
    <row r="4556" spans="1:5" ht="26.25" x14ac:dyDescent="0.25">
      <c r="A4556" s="2" t="s">
        <v>10</v>
      </c>
      <c r="B4556" s="2" t="str">
        <f>"175105230"</f>
        <v>175105230</v>
      </c>
      <c r="C4556" s="2" t="str">
        <f>"175105230"</f>
        <v>175105230</v>
      </c>
      <c r="D4556" s="2" t="s">
        <v>3751</v>
      </c>
      <c r="E4556" s="4">
        <v>3500</v>
      </c>
    </row>
    <row r="4557" spans="1:5" ht="26.25" x14ac:dyDescent="0.25">
      <c r="A4557" s="2" t="s">
        <v>10</v>
      </c>
      <c r="B4557" s="2" t="str">
        <f>"174705229"</f>
        <v>174705229</v>
      </c>
      <c r="C4557" s="2" t="str">
        <f>"174705229"</f>
        <v>174705229</v>
      </c>
      <c r="D4557" s="2" t="s">
        <v>3752</v>
      </c>
      <c r="E4557" s="4">
        <v>3500</v>
      </c>
    </row>
    <row r="4558" spans="1:5" ht="26.25" x14ac:dyDescent="0.25">
      <c r="A4558" s="2" t="s">
        <v>10</v>
      </c>
      <c r="B4558" s="2" t="str">
        <f>"345805229"</f>
        <v>345805229</v>
      </c>
      <c r="C4558" s="2" t="str">
        <f>"345805229"</f>
        <v>345805229</v>
      </c>
      <c r="D4558" s="2" t="s">
        <v>3752</v>
      </c>
      <c r="E4558" s="4">
        <v>5500</v>
      </c>
    </row>
    <row r="4559" spans="1:5" ht="26.25" x14ac:dyDescent="0.25">
      <c r="A4559" s="2" t="s">
        <v>10</v>
      </c>
      <c r="B4559" s="2" t="str">
        <f>"174805229"</f>
        <v>174805229</v>
      </c>
      <c r="C4559" s="2" t="str">
        <f>"174805229"</f>
        <v>174805229</v>
      </c>
      <c r="D4559" s="2" t="s">
        <v>3752</v>
      </c>
      <c r="E4559" s="4">
        <v>3500</v>
      </c>
    </row>
    <row r="4560" spans="1:5" ht="26.25" x14ac:dyDescent="0.25">
      <c r="A4560" s="2" t="s">
        <v>10</v>
      </c>
      <c r="B4560" s="2" t="str">
        <f>"174805317"</f>
        <v>174805317</v>
      </c>
      <c r="C4560" s="2" t="str">
        <f>"174805317"</f>
        <v>174805317</v>
      </c>
      <c r="D4560" s="2" t="s">
        <v>3753</v>
      </c>
      <c r="E4560" s="4">
        <v>3500</v>
      </c>
    </row>
    <row r="4561" spans="1:5" ht="26.25" x14ac:dyDescent="0.25">
      <c r="A4561" s="2" t="s">
        <v>10</v>
      </c>
      <c r="B4561" s="2" t="str">
        <f>"175105317"</f>
        <v>175105317</v>
      </c>
      <c r="C4561" s="2" t="str">
        <f>"175105317"</f>
        <v>175105317</v>
      </c>
      <c r="D4561" s="2" t="s">
        <v>3753</v>
      </c>
      <c r="E4561" s="4">
        <v>3500</v>
      </c>
    </row>
    <row r="4562" spans="1:5" ht="26.25" x14ac:dyDescent="0.25">
      <c r="A4562" s="2" t="s">
        <v>10</v>
      </c>
      <c r="B4562" s="2" t="str">
        <f>"174805517"</f>
        <v>174805517</v>
      </c>
      <c r="C4562" s="2" t="str">
        <f>"174805517"</f>
        <v>174805517</v>
      </c>
      <c r="D4562" s="2" t="s">
        <v>3753</v>
      </c>
      <c r="E4562" s="4">
        <v>1600</v>
      </c>
    </row>
    <row r="4563" spans="1:5" ht="26.25" x14ac:dyDescent="0.25">
      <c r="A4563" s="2" t="s">
        <v>10</v>
      </c>
      <c r="B4563" s="2" t="str">
        <f>"765105306"</f>
        <v>765105306</v>
      </c>
      <c r="C4563" s="2" t="str">
        <f>"765105306"</f>
        <v>765105306</v>
      </c>
      <c r="D4563" s="2" t="s">
        <v>3754</v>
      </c>
      <c r="E4563" s="4">
        <v>4500</v>
      </c>
    </row>
    <row r="4564" spans="1:5" ht="26.25" x14ac:dyDescent="0.25">
      <c r="A4564" s="2" t="s">
        <v>10</v>
      </c>
      <c r="B4564" s="2" t="str">
        <f>"685105306"</f>
        <v>685105306</v>
      </c>
      <c r="C4564" s="2" t="str">
        <f>"685105306"</f>
        <v>685105306</v>
      </c>
      <c r="D4564" s="2" t="s">
        <v>3754</v>
      </c>
      <c r="E4564" s="4">
        <v>3500</v>
      </c>
    </row>
    <row r="4565" spans="1:5" ht="26.25" x14ac:dyDescent="0.25">
      <c r="A4565" s="2" t="s">
        <v>10</v>
      </c>
      <c r="B4565" s="2" t="str">
        <f>"345805260"</f>
        <v>345805260</v>
      </c>
      <c r="C4565" s="2" t="str">
        <f>"345805260"</f>
        <v>345805260</v>
      </c>
      <c r="D4565" s="2" t="s">
        <v>3710</v>
      </c>
      <c r="E4565" s="4">
        <v>5500</v>
      </c>
    </row>
    <row r="4566" spans="1:5" ht="26.25" x14ac:dyDescent="0.25">
      <c r="A4566" s="2" t="s">
        <v>10</v>
      </c>
      <c r="B4566" s="2" t="str">
        <f>"767505260"</f>
        <v>767505260</v>
      </c>
      <c r="C4566" s="2" t="str">
        <f>"767505260"</f>
        <v>767505260</v>
      </c>
      <c r="D4566" s="2" t="s">
        <v>3710</v>
      </c>
      <c r="E4566" s="4">
        <v>5500</v>
      </c>
    </row>
    <row r="4567" spans="1:5" ht="26.25" x14ac:dyDescent="0.25">
      <c r="A4567" s="2" t="s">
        <v>10</v>
      </c>
      <c r="B4567" s="2" t="str">
        <f>"764805260"</f>
        <v>764805260</v>
      </c>
      <c r="C4567" s="2" t="str">
        <f>"764805260"</f>
        <v>764805260</v>
      </c>
      <c r="D4567" s="2" t="s">
        <v>3710</v>
      </c>
      <c r="E4567" s="4">
        <v>3500</v>
      </c>
    </row>
    <row r="4568" spans="1:5" ht="26.25" x14ac:dyDescent="0.25">
      <c r="A4568" s="2" t="s">
        <v>10</v>
      </c>
      <c r="B4568" s="2" t="str">
        <f>"174705260"</f>
        <v>174705260</v>
      </c>
      <c r="C4568" s="2" t="str">
        <f>"174705260"</f>
        <v>174705260</v>
      </c>
      <c r="D4568" s="2" t="s">
        <v>3710</v>
      </c>
      <c r="E4568" s="4">
        <v>3500</v>
      </c>
    </row>
    <row r="4569" spans="1:5" ht="26.25" x14ac:dyDescent="0.25">
      <c r="A4569" s="2" t="s">
        <v>10</v>
      </c>
      <c r="B4569" s="2" t="str">
        <f>"764805317"</f>
        <v>764805317</v>
      </c>
      <c r="C4569" s="2" t="str">
        <f>"764805317"</f>
        <v>764805317</v>
      </c>
      <c r="D4569" s="2" t="s">
        <v>3755</v>
      </c>
      <c r="E4569" s="4">
        <v>3500</v>
      </c>
    </row>
    <row r="4570" spans="1:5" ht="26.25" x14ac:dyDescent="0.25">
      <c r="A4570" s="2" t="s">
        <v>10</v>
      </c>
      <c r="B4570" s="2" t="str">
        <f>"174805157"</f>
        <v>174805157</v>
      </c>
      <c r="C4570" s="2" t="str">
        <f>"174805157"</f>
        <v>174805157</v>
      </c>
      <c r="D4570" s="2" t="s">
        <v>3756</v>
      </c>
      <c r="E4570" s="4">
        <v>3500</v>
      </c>
    </row>
    <row r="4571" spans="1:5" ht="26.25" x14ac:dyDescent="0.25">
      <c r="A4571" s="2" t="s">
        <v>10</v>
      </c>
      <c r="B4571" s="2" t="str">
        <f>"174805159"</f>
        <v>174805159</v>
      </c>
      <c r="C4571" s="2" t="str">
        <f>"174805159"</f>
        <v>174805159</v>
      </c>
      <c r="D4571" s="2" t="s">
        <v>3757</v>
      </c>
      <c r="E4571" s="4">
        <v>3500</v>
      </c>
    </row>
    <row r="4572" spans="1:5" ht="26.25" x14ac:dyDescent="0.25">
      <c r="A4572" s="2" t="s">
        <v>10</v>
      </c>
      <c r="B4572" s="2" t="str">
        <f>"764805159"</f>
        <v>764805159</v>
      </c>
      <c r="C4572" s="2" t="str">
        <f>"764805159"</f>
        <v>764805159</v>
      </c>
      <c r="D4572" s="2" t="s">
        <v>3757</v>
      </c>
      <c r="E4572" s="4">
        <v>3500</v>
      </c>
    </row>
    <row r="4573" spans="1:5" ht="26.25" x14ac:dyDescent="0.25">
      <c r="A4573" s="2" t="s">
        <v>10</v>
      </c>
      <c r="B4573" s="2" t="str">
        <f>"345905280"</f>
        <v>345905280</v>
      </c>
      <c r="C4573" s="2" t="str">
        <f>"345905280"</f>
        <v>345905280</v>
      </c>
      <c r="D4573" s="2" t="s">
        <v>3758</v>
      </c>
      <c r="E4573" s="4">
        <v>6500</v>
      </c>
    </row>
    <row r="4574" spans="1:5" ht="26.25" x14ac:dyDescent="0.25">
      <c r="A4574" s="2" t="s">
        <v>10</v>
      </c>
      <c r="B4574" s="2" t="str">
        <f>"1000001094915"</f>
        <v>1000001094915</v>
      </c>
      <c r="C4574" s="2" t="str">
        <f>"765105282"</f>
        <v>765105282</v>
      </c>
      <c r="D4574" s="2" t="s">
        <v>3759</v>
      </c>
      <c r="E4574" s="4">
        <v>5000</v>
      </c>
    </row>
    <row r="4575" spans="1:5" ht="26.25" x14ac:dyDescent="0.25">
      <c r="A4575" s="2" t="s">
        <v>10</v>
      </c>
      <c r="B4575" s="2" t="str">
        <f>"766205282"</f>
        <v>766205282</v>
      </c>
      <c r="C4575" s="2" t="str">
        <f>"766205282"</f>
        <v>766205282</v>
      </c>
      <c r="D4575" s="2" t="s">
        <v>3759</v>
      </c>
      <c r="E4575" s="4">
        <v>6500</v>
      </c>
    </row>
    <row r="4576" spans="1:5" ht="26.25" x14ac:dyDescent="0.25">
      <c r="A4576" s="2" t="s">
        <v>10</v>
      </c>
      <c r="B4576" s="2" t="str">
        <f>"766105282"</f>
        <v>766105282</v>
      </c>
      <c r="C4576" s="2" t="str">
        <f>"766105282"</f>
        <v>766105282</v>
      </c>
      <c r="D4576" s="2" t="s">
        <v>3759</v>
      </c>
      <c r="E4576" s="4">
        <v>4500</v>
      </c>
    </row>
    <row r="4577" spans="1:5" ht="26.25" x14ac:dyDescent="0.25">
      <c r="A4577" s="2" t="s">
        <v>10</v>
      </c>
      <c r="B4577" s="2" t="str">
        <f>"175105282"</f>
        <v>175105282</v>
      </c>
      <c r="C4577" s="2" t="str">
        <f>"175105282"</f>
        <v>175105282</v>
      </c>
      <c r="D4577" s="2" t="s">
        <v>3759</v>
      </c>
      <c r="E4577" s="4">
        <v>4500</v>
      </c>
    </row>
    <row r="4578" spans="1:5" ht="26.25" x14ac:dyDescent="0.25">
      <c r="A4578" s="2" t="s">
        <v>10</v>
      </c>
      <c r="B4578" s="2" t="str">
        <f>"1000001094229"</f>
        <v>1000001094229</v>
      </c>
      <c r="C4578" s="2" t="str">
        <f>"766505282"</f>
        <v>766505282</v>
      </c>
      <c r="D4578" s="2" t="s">
        <v>3759</v>
      </c>
      <c r="E4578" s="4">
        <v>7500</v>
      </c>
    </row>
    <row r="4579" spans="1:5" ht="26.25" x14ac:dyDescent="0.25">
      <c r="A4579" s="2" t="s">
        <v>10</v>
      </c>
      <c r="B4579" s="2" t="str">
        <f>"763905282"</f>
        <v>763905282</v>
      </c>
      <c r="C4579" s="2" t="str">
        <f>"763905282"</f>
        <v>763905282</v>
      </c>
      <c r="D4579" s="2" t="s">
        <v>3759</v>
      </c>
      <c r="E4579" s="4">
        <v>5500</v>
      </c>
    </row>
    <row r="4580" spans="1:5" ht="26.25" x14ac:dyDescent="0.25">
      <c r="A4580" s="2" t="s">
        <v>10</v>
      </c>
      <c r="B4580" s="2" t="str">
        <f>"766405282"</f>
        <v>766405282</v>
      </c>
      <c r="C4580" s="2" t="str">
        <f>"766405282"</f>
        <v>766405282</v>
      </c>
      <c r="D4580" s="2" t="s">
        <v>3759</v>
      </c>
      <c r="E4580" s="4">
        <v>3500</v>
      </c>
    </row>
    <row r="4581" spans="1:5" ht="26.25" x14ac:dyDescent="0.25">
      <c r="A4581" s="2" t="s">
        <v>10</v>
      </c>
      <c r="B4581" s="2" t="str">
        <f>"768905282"</f>
        <v>768905282</v>
      </c>
      <c r="C4581" s="2" t="str">
        <f>"768905282"</f>
        <v>768905282</v>
      </c>
      <c r="D4581" s="2" t="s">
        <v>3759</v>
      </c>
      <c r="E4581" s="4">
        <v>4500</v>
      </c>
    </row>
    <row r="4582" spans="1:5" ht="26.25" x14ac:dyDescent="0.25">
      <c r="A4582" s="2" t="s">
        <v>10</v>
      </c>
      <c r="B4582" s="2" t="str">
        <f>"2019030400214"</f>
        <v>2019030400214</v>
      </c>
      <c r="C4582" s="2" t="str">
        <f>"187505317"</f>
        <v>187505317</v>
      </c>
      <c r="D4582" s="2" t="s">
        <v>3759</v>
      </c>
      <c r="E4582" s="4">
        <v>3500</v>
      </c>
    </row>
    <row r="4583" spans="1:5" ht="26.25" x14ac:dyDescent="0.25">
      <c r="A4583" s="2" t="s">
        <v>10</v>
      </c>
      <c r="B4583" s="2" t="str">
        <f>"1000001092010"</f>
        <v>1000001092010</v>
      </c>
      <c r="C4583" s="2" t="str">
        <f>"767705282"</f>
        <v>767705282</v>
      </c>
      <c r="D4583" s="2" t="s">
        <v>3759</v>
      </c>
      <c r="E4583" s="4">
        <v>4500</v>
      </c>
    </row>
    <row r="4584" spans="1:5" ht="26.25" x14ac:dyDescent="0.25">
      <c r="A4584" s="2" t="s">
        <v>10</v>
      </c>
      <c r="B4584" s="2" t="str">
        <f>"2019030102323"</f>
        <v>2019030102323</v>
      </c>
      <c r="C4584" s="2" t="str">
        <f>"614805317"</f>
        <v>614805317</v>
      </c>
      <c r="D4584" s="2" t="s">
        <v>3760</v>
      </c>
      <c r="E4584" s="4">
        <v>4500</v>
      </c>
    </row>
    <row r="4585" spans="1:5" ht="26.25" x14ac:dyDescent="0.25">
      <c r="A4585" s="2" t="s">
        <v>10</v>
      </c>
      <c r="B4585" s="2" t="str">
        <f>"1000001021263"</f>
        <v>1000001021263</v>
      </c>
      <c r="C4585" s="2" t="str">
        <f>"765105317"</f>
        <v>765105317</v>
      </c>
      <c r="D4585" s="2" t="s">
        <v>3760</v>
      </c>
      <c r="E4585" s="4">
        <v>5500</v>
      </c>
    </row>
    <row r="4586" spans="1:5" ht="26.25" x14ac:dyDescent="0.25">
      <c r="A4586" s="2" t="s">
        <v>10</v>
      </c>
      <c r="B4586" s="2" t="str">
        <f>"174805280"</f>
        <v>174805280</v>
      </c>
      <c r="C4586" s="2" t="str">
        <f>"174805280"</f>
        <v>174805280</v>
      </c>
      <c r="D4586" s="2" t="s">
        <v>3761</v>
      </c>
      <c r="E4586" s="4">
        <v>3600</v>
      </c>
    </row>
    <row r="4587" spans="1:5" ht="26.25" x14ac:dyDescent="0.25">
      <c r="A4587" s="2" t="s">
        <v>10</v>
      </c>
      <c r="B4587" s="2" t="str">
        <f>"766405280"</f>
        <v>766405280</v>
      </c>
      <c r="C4587" s="2" t="str">
        <f>"766405280"</f>
        <v>766405280</v>
      </c>
      <c r="D4587" s="2" t="s">
        <v>3761</v>
      </c>
      <c r="E4587" s="4">
        <v>6500</v>
      </c>
    </row>
    <row r="4588" spans="1:5" ht="26.25" x14ac:dyDescent="0.25">
      <c r="A4588" s="2" t="s">
        <v>10</v>
      </c>
      <c r="B4588" s="2" t="str">
        <f>"935105280"</f>
        <v>935105280</v>
      </c>
      <c r="C4588" s="2" t="str">
        <f>"935105280"</f>
        <v>935105280</v>
      </c>
      <c r="D4588" s="2" t="s">
        <v>3761</v>
      </c>
      <c r="E4588" s="4">
        <v>3500</v>
      </c>
    </row>
    <row r="4589" spans="1:5" ht="26.25" x14ac:dyDescent="0.25">
      <c r="A4589" s="2" t="s">
        <v>10</v>
      </c>
      <c r="B4589" s="2" t="str">
        <f>"175105280"</f>
        <v>175105280</v>
      </c>
      <c r="C4589" s="2" t="str">
        <f>"175105280"</f>
        <v>175105280</v>
      </c>
      <c r="D4589" s="2" t="s">
        <v>3761</v>
      </c>
      <c r="E4589" s="4">
        <v>4500</v>
      </c>
    </row>
    <row r="4590" spans="1:5" ht="26.25" x14ac:dyDescent="0.25">
      <c r="A4590" s="2" t="s">
        <v>10</v>
      </c>
      <c r="B4590" s="2" t="str">
        <f>"866405280"</f>
        <v>866405280</v>
      </c>
      <c r="C4590" s="2" t="str">
        <f>"866405280"</f>
        <v>866405280</v>
      </c>
      <c r="D4590" s="2" t="s">
        <v>3761</v>
      </c>
      <c r="E4590" s="4">
        <v>6500</v>
      </c>
    </row>
    <row r="4591" spans="1:5" ht="26.25" x14ac:dyDescent="0.25">
      <c r="A4591" s="2" t="s">
        <v>10</v>
      </c>
      <c r="B4591" s="2" t="str">
        <f>"175805280"</f>
        <v>175805280</v>
      </c>
      <c r="C4591" s="2" t="str">
        <f>"175805280"</f>
        <v>175805280</v>
      </c>
      <c r="D4591" s="2" t="s">
        <v>3761</v>
      </c>
      <c r="E4591" s="4">
        <v>3500</v>
      </c>
    </row>
    <row r="4592" spans="1:5" ht="26.25" x14ac:dyDescent="0.25">
      <c r="A4592" s="2" t="s">
        <v>10</v>
      </c>
      <c r="B4592" s="2" t="str">
        <f>"764805280"</f>
        <v>764805280</v>
      </c>
      <c r="C4592" s="2" t="str">
        <f>"764805280"</f>
        <v>764805280</v>
      </c>
      <c r="D4592" s="2" t="s">
        <v>3761</v>
      </c>
      <c r="E4592" s="4">
        <v>4500</v>
      </c>
    </row>
    <row r="4593" spans="1:5" ht="26.25" x14ac:dyDescent="0.25">
      <c r="A4593" s="2" t="s">
        <v>10</v>
      </c>
      <c r="B4593" s="2" t="str">
        <f>"344805280"</f>
        <v>344805280</v>
      </c>
      <c r="C4593" s="2" t="str">
        <f>"344805280"</f>
        <v>344805280</v>
      </c>
      <c r="D4593" s="2" t="s">
        <v>3761</v>
      </c>
      <c r="E4593" s="4">
        <v>3500</v>
      </c>
    </row>
    <row r="4594" spans="1:5" ht="26.25" x14ac:dyDescent="0.25">
      <c r="A4594" s="2" t="s">
        <v>10</v>
      </c>
      <c r="B4594" s="2" t="str">
        <f>"766105280"</f>
        <v>766105280</v>
      </c>
      <c r="C4594" s="2" t="str">
        <f>"766105280"</f>
        <v>766105280</v>
      </c>
      <c r="D4594" s="2" t="s">
        <v>3761</v>
      </c>
      <c r="E4594" s="4">
        <v>4500</v>
      </c>
    </row>
    <row r="4595" spans="1:5" ht="26.25" x14ac:dyDescent="0.25">
      <c r="A4595" s="2" t="s">
        <v>10</v>
      </c>
      <c r="B4595" s="2" t="str">
        <f>"760405280"</f>
        <v>760405280</v>
      </c>
      <c r="C4595" s="2" t="str">
        <f>"760405280"</f>
        <v>760405280</v>
      </c>
      <c r="D4595" s="2" t="s">
        <v>3761</v>
      </c>
      <c r="E4595" s="4">
        <v>4500</v>
      </c>
    </row>
    <row r="4596" spans="1:5" ht="26.25" x14ac:dyDescent="0.25">
      <c r="A4596" s="2" t="s">
        <v>10</v>
      </c>
      <c r="B4596" s="2" t="str">
        <f>"765105280"</f>
        <v>765105280</v>
      </c>
      <c r="C4596" s="2" t="str">
        <f>"765105280"</f>
        <v>765105280</v>
      </c>
      <c r="D4596" s="2" t="s">
        <v>3761</v>
      </c>
      <c r="E4596" s="4">
        <v>4500</v>
      </c>
    </row>
    <row r="4597" spans="1:5" ht="26.25" x14ac:dyDescent="0.25">
      <c r="A4597" s="2" t="s">
        <v>10</v>
      </c>
      <c r="B4597" s="2" t="str">
        <f>"174805620"</f>
        <v>174805620</v>
      </c>
      <c r="C4597" s="2" t="str">
        <f>"174805620"</f>
        <v>174805620</v>
      </c>
      <c r="D4597" s="2" t="s">
        <v>3762</v>
      </c>
      <c r="E4597" s="4">
        <v>3000</v>
      </c>
    </row>
    <row r="4598" spans="1:5" ht="26.25" x14ac:dyDescent="0.25">
      <c r="A4598" s="2" t="s">
        <v>10</v>
      </c>
      <c r="B4598" s="2" t="str">
        <f>"17470572"</f>
        <v>17470572</v>
      </c>
      <c r="C4598" s="2" t="str">
        <f>"17470572"</f>
        <v>17470572</v>
      </c>
      <c r="D4598" s="2" t="s">
        <v>3763</v>
      </c>
      <c r="E4598" s="4">
        <v>3500</v>
      </c>
    </row>
    <row r="4599" spans="1:5" ht="26.25" x14ac:dyDescent="0.25">
      <c r="A4599" s="2" t="s">
        <v>10</v>
      </c>
      <c r="B4599" s="2" t="str">
        <f>"76470572"</f>
        <v>76470572</v>
      </c>
      <c r="C4599" s="2" t="str">
        <f>"76470572"</f>
        <v>76470572</v>
      </c>
      <c r="D4599" s="2" t="s">
        <v>3763</v>
      </c>
      <c r="E4599" s="4">
        <v>4000</v>
      </c>
    </row>
    <row r="4600" spans="1:5" ht="26.25" x14ac:dyDescent="0.25">
      <c r="A4600" s="2" t="s">
        <v>10</v>
      </c>
      <c r="B4600" s="2" t="str">
        <f>"17480572"</f>
        <v>17480572</v>
      </c>
      <c r="C4600" s="2" t="str">
        <f>"17480572"</f>
        <v>17480572</v>
      </c>
      <c r="D4600" s="2" t="s">
        <v>3763</v>
      </c>
      <c r="E4600" s="4">
        <v>3000</v>
      </c>
    </row>
    <row r="4601" spans="1:5" ht="26.25" x14ac:dyDescent="0.25">
      <c r="A4601" s="2" t="s">
        <v>10</v>
      </c>
      <c r="B4601" s="2" t="str">
        <f>"17480574"</f>
        <v>17480574</v>
      </c>
      <c r="C4601" s="2" t="str">
        <f>"17480574"</f>
        <v>17480574</v>
      </c>
      <c r="D4601" s="2" t="s">
        <v>3763</v>
      </c>
      <c r="E4601" s="4">
        <v>3500</v>
      </c>
    </row>
    <row r="4602" spans="1:5" ht="26.25" x14ac:dyDescent="0.25">
      <c r="A4602" s="2" t="s">
        <v>10</v>
      </c>
      <c r="B4602" s="2" t="str">
        <f>"34480572"</f>
        <v>34480572</v>
      </c>
      <c r="C4602" s="2" t="str">
        <f>"34480572"</f>
        <v>34480572</v>
      </c>
      <c r="D4602" s="2" t="s">
        <v>3763</v>
      </c>
      <c r="E4602" s="4">
        <v>3500</v>
      </c>
    </row>
    <row r="4603" spans="1:5" ht="26.25" x14ac:dyDescent="0.25">
      <c r="A4603" s="2" t="s">
        <v>10</v>
      </c>
      <c r="B4603" s="2" t="str">
        <f>"34480574"</f>
        <v>34480574</v>
      </c>
      <c r="C4603" s="2" t="str">
        <f>"34480574"</f>
        <v>34480574</v>
      </c>
      <c r="D4603" s="2" t="s">
        <v>3763</v>
      </c>
      <c r="E4603" s="4">
        <v>3500</v>
      </c>
    </row>
    <row r="4604" spans="1:5" ht="26.25" x14ac:dyDescent="0.25">
      <c r="A4604" s="2" t="s">
        <v>10</v>
      </c>
      <c r="B4604" s="2" t="str">
        <f>"76480572"</f>
        <v>76480572</v>
      </c>
      <c r="C4604" s="2" t="str">
        <f>"76480572"</f>
        <v>76480572</v>
      </c>
      <c r="D4604" s="2" t="s">
        <v>3763</v>
      </c>
      <c r="E4604" s="4">
        <v>3500</v>
      </c>
    </row>
    <row r="4605" spans="1:5" ht="26.25" x14ac:dyDescent="0.25">
      <c r="A4605" s="2" t="s">
        <v>10</v>
      </c>
      <c r="B4605" s="2" t="str">
        <f>"174805118"</f>
        <v>174805118</v>
      </c>
      <c r="C4605" s="2" t="str">
        <f>"174805118"</f>
        <v>174805118</v>
      </c>
      <c r="D4605" s="2" t="s">
        <v>3764</v>
      </c>
      <c r="E4605" s="4">
        <v>3500</v>
      </c>
    </row>
    <row r="4606" spans="1:5" ht="26.25" x14ac:dyDescent="0.25">
      <c r="A4606" s="2" t="s">
        <v>10</v>
      </c>
      <c r="B4606" s="2" t="str">
        <f>"344805118"</f>
        <v>344805118</v>
      </c>
      <c r="C4606" s="2" t="str">
        <f>"344805118"</f>
        <v>344805118</v>
      </c>
      <c r="D4606" s="2" t="s">
        <v>3764</v>
      </c>
      <c r="E4606" s="4">
        <v>3500</v>
      </c>
    </row>
    <row r="4607" spans="1:5" ht="26.25" x14ac:dyDescent="0.25">
      <c r="A4607" s="2" t="s">
        <v>10</v>
      </c>
      <c r="B4607" s="2" t="str">
        <f>"174805170"</f>
        <v>174805170</v>
      </c>
      <c r="C4607" s="2" t="str">
        <f>"174805170"</f>
        <v>174805170</v>
      </c>
      <c r="D4607" s="2" t="s">
        <v>3765</v>
      </c>
      <c r="E4607" s="4">
        <v>3500</v>
      </c>
    </row>
    <row r="4608" spans="1:5" ht="26.25" x14ac:dyDescent="0.25">
      <c r="A4608" s="2" t="s">
        <v>10</v>
      </c>
      <c r="B4608" s="2" t="str">
        <f>"1000001099613"</f>
        <v>1000001099613</v>
      </c>
      <c r="C4608" s="2" t="str">
        <f>"765114263"</f>
        <v>765114263</v>
      </c>
      <c r="D4608" s="2" t="s">
        <v>3766</v>
      </c>
      <c r="E4608" s="4">
        <v>4500</v>
      </c>
    </row>
    <row r="4609" spans="1:5" ht="26.25" x14ac:dyDescent="0.25">
      <c r="A4609" s="2" t="s">
        <v>10</v>
      </c>
      <c r="B4609" s="2" t="str">
        <f>"1000001022796"</f>
        <v>1000001022796</v>
      </c>
      <c r="C4609" s="2" t="str">
        <f>"768914263"</f>
        <v>768914263</v>
      </c>
      <c r="D4609" s="2" t="s">
        <v>3766</v>
      </c>
      <c r="E4609" s="4">
        <v>4500</v>
      </c>
    </row>
    <row r="4610" spans="1:5" ht="26.25" x14ac:dyDescent="0.25">
      <c r="A4610" s="2" t="s">
        <v>10</v>
      </c>
      <c r="B4610" s="2" t="str">
        <f>"2020060401089"</f>
        <v>2020060401089</v>
      </c>
      <c r="C4610" s="2" t="str">
        <f>"185105329"</f>
        <v>185105329</v>
      </c>
      <c r="D4610" s="2" t="s">
        <v>3766</v>
      </c>
      <c r="E4610" s="4">
        <v>5000</v>
      </c>
    </row>
    <row r="4611" spans="1:5" ht="26.25" x14ac:dyDescent="0.25">
      <c r="A4611" s="2" t="s">
        <v>10</v>
      </c>
      <c r="B4611" s="2" t="str">
        <f>"2018110200164"</f>
        <v>2018110200164</v>
      </c>
      <c r="C4611" s="2" t="str">
        <f>"187514263"</f>
        <v>187514263</v>
      </c>
      <c r="D4611" s="2" t="s">
        <v>3766</v>
      </c>
      <c r="E4611" s="4">
        <v>3500</v>
      </c>
    </row>
    <row r="4612" spans="1:5" ht="26.25" x14ac:dyDescent="0.25">
      <c r="A4612" s="2" t="s">
        <v>10</v>
      </c>
      <c r="B4612" s="2" t="str">
        <f>"2018110300154"</f>
        <v>2018110300154</v>
      </c>
      <c r="C4612" s="2" t="str">
        <f>"186414263"</f>
        <v>186414263</v>
      </c>
      <c r="D4612" s="2" t="s">
        <v>3766</v>
      </c>
      <c r="E4612" s="4">
        <v>4500</v>
      </c>
    </row>
    <row r="4613" spans="1:5" ht="26.25" x14ac:dyDescent="0.25">
      <c r="A4613" s="2" t="s">
        <v>10</v>
      </c>
      <c r="B4613" s="2" t="str">
        <f>"684814263"</f>
        <v>684814263</v>
      </c>
      <c r="C4613" s="2" t="str">
        <f>"684814263"</f>
        <v>684814263</v>
      </c>
      <c r="D4613" s="2" t="s">
        <v>3766</v>
      </c>
      <c r="E4613" s="4">
        <v>3500</v>
      </c>
    </row>
    <row r="4614" spans="1:5" ht="26.25" x14ac:dyDescent="0.25">
      <c r="A4614" s="2" t="s">
        <v>10</v>
      </c>
      <c r="B4614" s="2" t="str">
        <f>"174805160"</f>
        <v>174805160</v>
      </c>
      <c r="C4614" s="2" t="str">
        <f>"174805160"</f>
        <v>174805160</v>
      </c>
      <c r="D4614" s="2" t="s">
        <v>3767</v>
      </c>
      <c r="E4614" s="4">
        <v>4500</v>
      </c>
    </row>
    <row r="4615" spans="1:5" ht="26.25" x14ac:dyDescent="0.25">
      <c r="A4615" s="2" t="s">
        <v>10</v>
      </c>
      <c r="B4615" s="2" t="str">
        <f>"1000001087801"</f>
        <v>1000001087801</v>
      </c>
      <c r="C4615" s="2" t="str">
        <f>"764805160"</f>
        <v>764805160</v>
      </c>
      <c r="D4615" s="2" t="s">
        <v>3767</v>
      </c>
      <c r="E4615" s="4">
        <v>4500</v>
      </c>
    </row>
    <row r="4616" spans="1:5" ht="26.25" x14ac:dyDescent="0.25">
      <c r="A4616" s="2" t="s">
        <v>10</v>
      </c>
      <c r="B4616" s="2" t="str">
        <f>"175105160"</f>
        <v>175105160</v>
      </c>
      <c r="C4616" s="2" t="str">
        <f>"175105160"</f>
        <v>175105160</v>
      </c>
      <c r="D4616" s="2" t="s">
        <v>3767</v>
      </c>
      <c r="E4616" s="4">
        <v>3500</v>
      </c>
    </row>
    <row r="4617" spans="1:5" ht="26.25" x14ac:dyDescent="0.25">
      <c r="A4617" s="2" t="s">
        <v>10</v>
      </c>
      <c r="B4617" s="2" t="str">
        <f>"766405160"</f>
        <v>766405160</v>
      </c>
      <c r="C4617" s="2" t="str">
        <f>"766405160"</f>
        <v>766405160</v>
      </c>
      <c r="D4617" s="2" t="s">
        <v>3767</v>
      </c>
      <c r="E4617" s="4">
        <v>6000</v>
      </c>
    </row>
    <row r="4618" spans="1:5" ht="26.25" x14ac:dyDescent="0.25">
      <c r="A4618" s="2" t="s">
        <v>10</v>
      </c>
      <c r="B4618" s="2" t="str">
        <f>"935105160"</f>
        <v>935105160</v>
      </c>
      <c r="C4618" s="2" t="str">
        <f>"935105160"</f>
        <v>935105160</v>
      </c>
      <c r="D4618" s="2" t="s">
        <v>3767</v>
      </c>
      <c r="E4618" s="4">
        <v>3500</v>
      </c>
    </row>
    <row r="4619" spans="1:5" ht="26.25" x14ac:dyDescent="0.25">
      <c r="A4619" s="2" t="s">
        <v>10</v>
      </c>
      <c r="B4619" s="2" t="str">
        <f>"615105160"</f>
        <v>615105160</v>
      </c>
      <c r="C4619" s="2" t="str">
        <f>"615105160"</f>
        <v>615105160</v>
      </c>
      <c r="D4619" s="2" t="s">
        <v>3767</v>
      </c>
      <c r="E4619" s="4">
        <v>3500</v>
      </c>
    </row>
    <row r="4620" spans="1:5" ht="26.25" x14ac:dyDescent="0.25">
      <c r="A4620" s="2" t="s">
        <v>10</v>
      </c>
      <c r="B4620" s="2" t="str">
        <f>"765105160"</f>
        <v>765105160</v>
      </c>
      <c r="C4620" s="2" t="str">
        <f>"765105160"</f>
        <v>765105160</v>
      </c>
      <c r="D4620" s="2" t="s">
        <v>3767</v>
      </c>
      <c r="E4620" s="4">
        <v>4500</v>
      </c>
    </row>
    <row r="4621" spans="1:5" ht="26.25" x14ac:dyDescent="0.25">
      <c r="A4621" s="2" t="s">
        <v>10</v>
      </c>
      <c r="B4621" s="2" t="str">
        <f>"1000001094373"</f>
        <v>1000001094373</v>
      </c>
      <c r="C4621" s="2" t="str">
        <f>"765105162"</f>
        <v>765105162</v>
      </c>
      <c r="D4621" s="2" t="s">
        <v>3768</v>
      </c>
      <c r="E4621" s="4">
        <v>4500</v>
      </c>
    </row>
    <row r="4622" spans="1:5" ht="26.25" x14ac:dyDescent="0.25">
      <c r="A4622" s="2" t="s">
        <v>10</v>
      </c>
      <c r="B4622" s="2" t="str">
        <f>"764805162"</f>
        <v>764805162</v>
      </c>
      <c r="C4622" s="2" t="str">
        <f>"764805162"</f>
        <v>764805162</v>
      </c>
      <c r="D4622" s="2" t="s">
        <v>3768</v>
      </c>
      <c r="E4622" s="4">
        <v>5500</v>
      </c>
    </row>
    <row r="4623" spans="1:5" ht="26.25" x14ac:dyDescent="0.25">
      <c r="A4623" s="2" t="s">
        <v>10</v>
      </c>
      <c r="B4623" s="2" t="str">
        <f>"175105162"</f>
        <v>175105162</v>
      </c>
      <c r="C4623" s="2" t="str">
        <f>"175105162"</f>
        <v>175105162</v>
      </c>
      <c r="D4623" s="2" t="s">
        <v>3768</v>
      </c>
      <c r="E4623" s="4">
        <v>4500</v>
      </c>
    </row>
    <row r="4624" spans="1:5" ht="26.25" x14ac:dyDescent="0.25">
      <c r="A4624" s="2" t="s">
        <v>10</v>
      </c>
      <c r="B4624" s="2" t="str">
        <f>"615105162"</f>
        <v>615105162</v>
      </c>
      <c r="C4624" s="2" t="str">
        <f>"615105162"</f>
        <v>615105162</v>
      </c>
      <c r="D4624" s="2" t="s">
        <v>3768</v>
      </c>
      <c r="E4624" s="4">
        <v>3500</v>
      </c>
    </row>
    <row r="4625" spans="1:5" ht="26.25" x14ac:dyDescent="0.25">
      <c r="A4625" s="2" t="s">
        <v>10</v>
      </c>
      <c r="B4625" s="2" t="str">
        <f>"1000001094236"</f>
        <v>1000001094236</v>
      </c>
      <c r="C4625" s="2" t="str">
        <f>"766505162"</f>
        <v>766505162</v>
      </c>
      <c r="D4625" s="2" t="s">
        <v>3768</v>
      </c>
      <c r="E4625" s="4">
        <v>7500</v>
      </c>
    </row>
    <row r="4626" spans="1:5" ht="26.25" x14ac:dyDescent="0.25">
      <c r="A4626" s="2" t="s">
        <v>10</v>
      </c>
      <c r="B4626" s="2" t="str">
        <f>"1000001098586"</f>
        <v>1000001098586</v>
      </c>
      <c r="C4626" s="2" t="str">
        <f>"767705162"</f>
        <v>767705162</v>
      </c>
      <c r="D4626" s="2" t="s">
        <v>3768</v>
      </c>
      <c r="E4626" s="4">
        <v>4500</v>
      </c>
    </row>
    <row r="4627" spans="1:5" ht="26.25" x14ac:dyDescent="0.25">
      <c r="A4627" s="2" t="s">
        <v>10</v>
      </c>
      <c r="B4627" s="2" t="str">
        <f>"415105162"</f>
        <v>415105162</v>
      </c>
      <c r="C4627" s="2" t="str">
        <f>"415105162"</f>
        <v>415105162</v>
      </c>
      <c r="D4627" s="2" t="s">
        <v>3768</v>
      </c>
      <c r="E4627" s="4">
        <v>5000</v>
      </c>
    </row>
    <row r="4628" spans="1:5" ht="26.25" x14ac:dyDescent="0.25">
      <c r="A4628" s="2" t="s">
        <v>10</v>
      </c>
      <c r="B4628" s="2" t="str">
        <f>"768905162"</f>
        <v>768905162</v>
      </c>
      <c r="C4628" s="2" t="str">
        <f>"768905162"</f>
        <v>768905162</v>
      </c>
      <c r="D4628" s="2" t="s">
        <v>3768</v>
      </c>
      <c r="E4628" s="4">
        <v>4500</v>
      </c>
    </row>
    <row r="4629" spans="1:5" ht="26.25" x14ac:dyDescent="0.25">
      <c r="A4629" s="2" t="s">
        <v>10</v>
      </c>
      <c r="B4629" s="2" t="str">
        <f>"409905162"</f>
        <v>409905162</v>
      </c>
      <c r="C4629" s="2" t="str">
        <f>"409905162"</f>
        <v>409905162</v>
      </c>
      <c r="D4629" s="2" t="s">
        <v>3768</v>
      </c>
      <c r="E4629" s="4">
        <v>3500</v>
      </c>
    </row>
    <row r="4630" spans="1:5" ht="26.25" x14ac:dyDescent="0.25">
      <c r="A4630" s="2" t="s">
        <v>10</v>
      </c>
      <c r="B4630" s="2" t="str">
        <f>"797905315"</f>
        <v>797905315</v>
      </c>
      <c r="C4630" s="2" t="str">
        <f>"797905315"</f>
        <v>797905315</v>
      </c>
      <c r="D4630" s="2" t="s">
        <v>3769</v>
      </c>
      <c r="E4630" s="4">
        <v>7500</v>
      </c>
    </row>
    <row r="4631" spans="1:5" ht="26.25" x14ac:dyDescent="0.25">
      <c r="A4631" s="2" t="s">
        <v>10</v>
      </c>
      <c r="B4631" s="2" t="str">
        <f>"1000001021256"</f>
        <v>1000001021256</v>
      </c>
      <c r="C4631" s="2" t="str">
        <f>"764805315"</f>
        <v>764805315</v>
      </c>
      <c r="D4631" s="2" t="s">
        <v>3769</v>
      </c>
      <c r="E4631" s="4">
        <v>5000</v>
      </c>
    </row>
    <row r="4632" spans="1:5" ht="26.25" x14ac:dyDescent="0.25">
      <c r="A4632" s="2" t="s">
        <v>10</v>
      </c>
      <c r="B4632" s="2" t="str">
        <f>"675105315"</f>
        <v>675105315</v>
      </c>
      <c r="C4632" s="2" t="str">
        <f>"675105315"</f>
        <v>675105315</v>
      </c>
      <c r="D4632" s="2" t="s">
        <v>3769</v>
      </c>
      <c r="E4632" s="4">
        <v>4500</v>
      </c>
    </row>
    <row r="4633" spans="1:5" ht="26.25" x14ac:dyDescent="0.25">
      <c r="A4633" s="2" t="s">
        <v>10</v>
      </c>
      <c r="B4633" s="2" t="str">
        <f>"2019030102330"</f>
        <v>2019030102330</v>
      </c>
      <c r="C4633" s="2" t="str">
        <f>"186405315"</f>
        <v>186405315</v>
      </c>
      <c r="D4633" s="2" t="s">
        <v>3769</v>
      </c>
      <c r="E4633" s="4">
        <v>4500</v>
      </c>
    </row>
    <row r="4634" spans="1:5" ht="26.25" x14ac:dyDescent="0.25">
      <c r="A4634" s="2" t="s">
        <v>10</v>
      </c>
      <c r="B4634" s="2" t="str">
        <f>"1578087031579"</f>
        <v>1578087031579</v>
      </c>
      <c r="C4634" s="2" t="str">
        <f>"764810555"</f>
        <v>764810555</v>
      </c>
      <c r="D4634" s="2" t="s">
        <v>3769</v>
      </c>
      <c r="E4634" s="4">
        <v>3500</v>
      </c>
    </row>
    <row r="4635" spans="1:5" ht="26.25" x14ac:dyDescent="0.25">
      <c r="A4635" s="2" t="s">
        <v>10</v>
      </c>
      <c r="B4635" s="2" t="str">
        <f>"1000001025667"</f>
        <v>1000001025667</v>
      </c>
      <c r="C4635" s="2" t="str">
        <f>"765605324"</f>
        <v>765605324</v>
      </c>
      <c r="D4635" s="2" t="s">
        <v>3770</v>
      </c>
      <c r="E4635" s="4">
        <v>6990</v>
      </c>
    </row>
    <row r="4636" spans="1:5" ht="26.25" x14ac:dyDescent="0.25">
      <c r="A4636" s="2" t="s">
        <v>10</v>
      </c>
      <c r="B4636" s="2" t="str">
        <f>"1000001024936"</f>
        <v>1000001024936</v>
      </c>
      <c r="C4636" s="2" t="str">
        <f>"765605325"</f>
        <v>765605325</v>
      </c>
      <c r="D4636" s="2" t="s">
        <v>3771</v>
      </c>
      <c r="E4636" s="4">
        <v>6990</v>
      </c>
    </row>
    <row r="4637" spans="1:5" ht="26.25" x14ac:dyDescent="0.25">
      <c r="A4637" s="2" t="s">
        <v>10</v>
      </c>
      <c r="B4637" s="2" t="str">
        <f>"765105325"</f>
        <v>765105325</v>
      </c>
      <c r="C4637" s="2" t="str">
        <f>"765105325"</f>
        <v>765105325</v>
      </c>
      <c r="D4637" s="2" t="s">
        <v>3771</v>
      </c>
      <c r="E4637" s="4">
        <v>5000</v>
      </c>
    </row>
    <row r="4638" spans="1:5" ht="26.25" x14ac:dyDescent="0.25">
      <c r="A4638" s="2" t="s">
        <v>10</v>
      </c>
      <c r="B4638" s="2" t="str">
        <f>"765105161"</f>
        <v>765105161</v>
      </c>
      <c r="C4638" s="2" t="str">
        <f>"765105161"</f>
        <v>765105161</v>
      </c>
      <c r="D4638" s="2" t="s">
        <v>3772</v>
      </c>
      <c r="E4638" s="4">
        <v>4500</v>
      </c>
    </row>
    <row r="4639" spans="1:5" ht="26.25" x14ac:dyDescent="0.25">
      <c r="A4639" s="2" t="s">
        <v>10</v>
      </c>
      <c r="B4639" s="2" t="str">
        <f>"764805161"</f>
        <v>764805161</v>
      </c>
      <c r="C4639" s="2" t="str">
        <f>"764805161"</f>
        <v>764805161</v>
      </c>
      <c r="D4639" s="2" t="s">
        <v>3772</v>
      </c>
      <c r="E4639" s="4">
        <v>4500</v>
      </c>
    </row>
    <row r="4640" spans="1:5" ht="26.25" x14ac:dyDescent="0.25">
      <c r="A4640" s="2" t="s">
        <v>10</v>
      </c>
      <c r="B4640" s="2" t="str">
        <f>"766205161"</f>
        <v>766205161</v>
      </c>
      <c r="C4640" s="2" t="str">
        <f>"766205161"</f>
        <v>766205161</v>
      </c>
      <c r="D4640" s="2" t="s">
        <v>3772</v>
      </c>
      <c r="E4640" s="4">
        <v>6500</v>
      </c>
    </row>
    <row r="4641" spans="1:5" ht="26.25" x14ac:dyDescent="0.25">
      <c r="A4641" s="2" t="s">
        <v>10</v>
      </c>
      <c r="B4641" s="2" t="str">
        <f>"1000001094243"</f>
        <v>1000001094243</v>
      </c>
      <c r="C4641" s="2" t="str">
        <f>"766505161"</f>
        <v>766505161</v>
      </c>
      <c r="D4641" s="2" t="s">
        <v>3772</v>
      </c>
      <c r="E4641" s="4">
        <v>7500</v>
      </c>
    </row>
    <row r="4642" spans="1:5" ht="26.25" x14ac:dyDescent="0.25">
      <c r="A4642" s="2" t="s">
        <v>10</v>
      </c>
      <c r="B4642" s="2" t="str">
        <f>"768905310"</f>
        <v>768905310</v>
      </c>
      <c r="C4642" s="2" t="str">
        <f>"768905310"</f>
        <v>768905310</v>
      </c>
      <c r="D4642" s="2" t="s">
        <v>3772</v>
      </c>
      <c r="E4642" s="4">
        <v>4500</v>
      </c>
    </row>
    <row r="4643" spans="1:5" ht="26.25" x14ac:dyDescent="0.25">
      <c r="A4643" s="2" t="s">
        <v>10</v>
      </c>
      <c r="B4643" s="2" t="str">
        <f>"1000001022802"</f>
        <v>1000001022802</v>
      </c>
      <c r="C4643" s="2" t="str">
        <f>"764805310"</f>
        <v>764805310</v>
      </c>
      <c r="D4643" s="2" t="s">
        <v>3773</v>
      </c>
      <c r="E4643" s="4">
        <v>4500</v>
      </c>
    </row>
    <row r="4644" spans="1:5" ht="26.25" x14ac:dyDescent="0.25">
      <c r="A4644" s="2" t="s">
        <v>10</v>
      </c>
      <c r="B4644" s="2" t="str">
        <f>"675105310"</f>
        <v>675105310</v>
      </c>
      <c r="C4644" s="2" t="str">
        <f>"675105310"</f>
        <v>675105310</v>
      </c>
      <c r="D4644" s="2" t="s">
        <v>3773</v>
      </c>
      <c r="E4644" s="4">
        <v>4500</v>
      </c>
    </row>
    <row r="4645" spans="1:5" ht="26.25" x14ac:dyDescent="0.25">
      <c r="A4645" s="2" t="s">
        <v>10</v>
      </c>
      <c r="B4645" s="2" t="str">
        <f>"409905310"</f>
        <v>409905310</v>
      </c>
      <c r="C4645" s="2" t="str">
        <f>"409905310"</f>
        <v>409905310</v>
      </c>
      <c r="D4645" s="2" t="s">
        <v>3773</v>
      </c>
      <c r="E4645" s="4">
        <v>3500</v>
      </c>
    </row>
    <row r="4646" spans="1:5" ht="26.25" x14ac:dyDescent="0.25">
      <c r="A4646" s="2" t="s">
        <v>10</v>
      </c>
      <c r="B4646" s="2" t="str">
        <f>"766205310"</f>
        <v>766205310</v>
      </c>
      <c r="C4646" s="2" t="str">
        <f>"766205310"</f>
        <v>766205310</v>
      </c>
      <c r="D4646" s="2" t="s">
        <v>3773</v>
      </c>
      <c r="E4646" s="4">
        <v>5500</v>
      </c>
    </row>
    <row r="4647" spans="1:5" ht="26.25" x14ac:dyDescent="0.25">
      <c r="A4647" s="2" t="s">
        <v>10</v>
      </c>
      <c r="B4647" s="2" t="str">
        <f>"614805310"</f>
        <v>614805310</v>
      </c>
      <c r="C4647" s="2" t="str">
        <f>"614805310"</f>
        <v>614805310</v>
      </c>
      <c r="D4647" s="2" t="s">
        <v>3773</v>
      </c>
      <c r="E4647" s="4">
        <v>5000</v>
      </c>
    </row>
    <row r="4648" spans="1:5" ht="26.25" x14ac:dyDescent="0.25">
      <c r="A4648" s="2" t="s">
        <v>10</v>
      </c>
      <c r="B4648" s="2" t="str">
        <f>"797905319"</f>
        <v>797905319</v>
      </c>
      <c r="C4648" s="2" t="str">
        <f>"797905319"</f>
        <v>797905319</v>
      </c>
      <c r="D4648" s="2" t="s">
        <v>3774</v>
      </c>
      <c r="E4648" s="4">
        <v>7500</v>
      </c>
    </row>
    <row r="4649" spans="1:5" ht="26.25" x14ac:dyDescent="0.25">
      <c r="A4649" s="2" t="s">
        <v>10</v>
      </c>
      <c r="B4649" s="2" t="str">
        <f>"765105319"</f>
        <v>765105319</v>
      </c>
      <c r="C4649" s="2" t="str">
        <f>"765105319"</f>
        <v>765105319</v>
      </c>
      <c r="D4649" s="2" t="s">
        <v>3774</v>
      </c>
      <c r="E4649" s="4">
        <v>4000</v>
      </c>
    </row>
    <row r="4650" spans="1:5" ht="26.25" x14ac:dyDescent="0.25">
      <c r="A4650" s="2" t="s">
        <v>10</v>
      </c>
      <c r="B4650" s="2" t="str">
        <f>"1000001025612"</f>
        <v>1000001025612</v>
      </c>
      <c r="C4650" s="2" t="str">
        <f>"765605320"</f>
        <v>765605320</v>
      </c>
      <c r="D4650" s="2" t="s">
        <v>3775</v>
      </c>
      <c r="E4650" s="4">
        <v>6990</v>
      </c>
    </row>
    <row r="4651" spans="1:5" ht="26.25" x14ac:dyDescent="0.25">
      <c r="A4651" s="2" t="s">
        <v>10</v>
      </c>
      <c r="B4651" s="2" t="str">
        <f>"765105320"</f>
        <v>765105320</v>
      </c>
      <c r="C4651" s="2" t="str">
        <f>"765105320"</f>
        <v>765105320</v>
      </c>
      <c r="D4651" s="2" t="s">
        <v>3775</v>
      </c>
      <c r="E4651" s="4">
        <v>5000</v>
      </c>
    </row>
    <row r="4652" spans="1:5" ht="26.25" x14ac:dyDescent="0.25">
      <c r="A4652" s="2" t="s">
        <v>10</v>
      </c>
      <c r="B4652" s="2" t="str">
        <f>"1000001024363"</f>
        <v>1000001024363</v>
      </c>
      <c r="C4652" s="2" t="str">
        <f>"765607601"</f>
        <v>765607601</v>
      </c>
      <c r="D4652" s="2" t="s">
        <v>3776</v>
      </c>
      <c r="E4652" s="4">
        <v>6990</v>
      </c>
    </row>
    <row r="4653" spans="1:5" ht="26.25" x14ac:dyDescent="0.25">
      <c r="A4653" s="2" t="s">
        <v>10</v>
      </c>
      <c r="B4653" s="2" t="str">
        <f>"767907601"</f>
        <v>767907601</v>
      </c>
      <c r="C4653" s="2" t="str">
        <f>"767907601"</f>
        <v>767907601</v>
      </c>
      <c r="D4653" s="2" t="s">
        <v>3776</v>
      </c>
      <c r="E4653" s="4">
        <v>6990</v>
      </c>
    </row>
    <row r="4654" spans="1:5" ht="26.25" x14ac:dyDescent="0.25">
      <c r="A4654" s="2" t="s">
        <v>10</v>
      </c>
      <c r="B4654" s="2" t="str">
        <f>"190199269149"</f>
        <v>190199269149</v>
      </c>
      <c r="C4654" s="2" t="str">
        <f>"395907601"</f>
        <v>395907601</v>
      </c>
      <c r="D4654" s="2" t="s">
        <v>3776</v>
      </c>
      <c r="E4654" s="4">
        <v>9990</v>
      </c>
    </row>
    <row r="4655" spans="1:5" ht="26.25" x14ac:dyDescent="0.25">
      <c r="A4655" s="2" t="s">
        <v>10</v>
      </c>
      <c r="B4655" s="2" t="str">
        <f>"135107601"</f>
        <v>135107601</v>
      </c>
      <c r="C4655" s="2" t="str">
        <f>"135107601"</f>
        <v>135107601</v>
      </c>
      <c r="D4655" s="2" t="s">
        <v>3776</v>
      </c>
      <c r="E4655" s="4">
        <v>5000</v>
      </c>
    </row>
    <row r="4656" spans="1:5" ht="26.25" x14ac:dyDescent="0.25">
      <c r="A4656" s="2" t="s">
        <v>10</v>
      </c>
      <c r="B4656" s="2" t="str">
        <f>"765114255"</f>
        <v>765114255</v>
      </c>
      <c r="C4656" s="2" t="str">
        <f>"765114255"</f>
        <v>765114255</v>
      </c>
      <c r="D4656" s="2" t="s">
        <v>3776</v>
      </c>
      <c r="E4656" s="4">
        <v>5500</v>
      </c>
    </row>
    <row r="4657" spans="1:5" ht="26.25" x14ac:dyDescent="0.25">
      <c r="A4657" s="2" t="s">
        <v>10</v>
      </c>
      <c r="B4657" s="2" t="str">
        <f>"766114255"</f>
        <v>766114255</v>
      </c>
      <c r="C4657" s="2" t="str">
        <f>"766114255"</f>
        <v>766114255</v>
      </c>
      <c r="D4657" s="2" t="s">
        <v>3776</v>
      </c>
      <c r="E4657" s="4">
        <v>4500</v>
      </c>
    </row>
    <row r="4658" spans="1:5" ht="26.25" x14ac:dyDescent="0.25">
      <c r="A4658" s="2" t="s">
        <v>10</v>
      </c>
      <c r="B4658" s="2" t="str">
        <f>"764814255"</f>
        <v>764814255</v>
      </c>
      <c r="C4658" s="2" t="str">
        <f>"764814255"</f>
        <v>764814255</v>
      </c>
      <c r="D4658" s="2" t="s">
        <v>3776</v>
      </c>
      <c r="E4658" s="4">
        <v>3500</v>
      </c>
    </row>
    <row r="4659" spans="1:5" ht="26.25" x14ac:dyDescent="0.25">
      <c r="A4659" s="2" t="s">
        <v>10</v>
      </c>
      <c r="B4659" s="2" t="str">
        <f>"1000001094335"</f>
        <v>1000001094335</v>
      </c>
      <c r="C4659" s="2" t="str">
        <f>"766514255"</f>
        <v>766514255</v>
      </c>
      <c r="D4659" s="2" t="s">
        <v>3776</v>
      </c>
      <c r="E4659" s="4">
        <v>7500</v>
      </c>
    </row>
    <row r="4660" spans="1:5" ht="26.25" x14ac:dyDescent="0.25">
      <c r="A4660" s="2" t="s">
        <v>10</v>
      </c>
      <c r="B4660" s="2" t="str">
        <f>"766414255"</f>
        <v>766414255</v>
      </c>
      <c r="C4660" s="2" t="str">
        <f>"766414255"</f>
        <v>766414255</v>
      </c>
      <c r="D4660" s="2" t="s">
        <v>3776</v>
      </c>
      <c r="E4660" s="4">
        <v>4500</v>
      </c>
    </row>
    <row r="4661" spans="1:5" ht="26.25" x14ac:dyDescent="0.25">
      <c r="A4661" s="2" t="s">
        <v>10</v>
      </c>
      <c r="B4661" s="2" t="str">
        <f>"768914255"</f>
        <v>768914255</v>
      </c>
      <c r="C4661" s="2" t="str">
        <f>"768914255"</f>
        <v>768914255</v>
      </c>
      <c r="D4661" s="2" t="s">
        <v>3776</v>
      </c>
      <c r="E4661" s="4">
        <v>4500</v>
      </c>
    </row>
    <row r="4662" spans="1:5" ht="26.25" x14ac:dyDescent="0.25">
      <c r="A4662" s="2" t="s">
        <v>10</v>
      </c>
      <c r="B4662" s="2" t="str">
        <f>"409914255"</f>
        <v>409914255</v>
      </c>
      <c r="C4662" s="2" t="str">
        <f>"409914255"</f>
        <v>409914255</v>
      </c>
      <c r="D4662" s="2" t="s">
        <v>3776</v>
      </c>
      <c r="E4662" s="4">
        <v>3500</v>
      </c>
    </row>
    <row r="4663" spans="1:5" ht="26.25" x14ac:dyDescent="0.25">
      <c r="A4663" s="2" t="s">
        <v>10</v>
      </c>
      <c r="B4663" s="2" t="str">
        <f>"186414255"</f>
        <v>186414255</v>
      </c>
      <c r="C4663" s="2" t="str">
        <f>"186414255"</f>
        <v>186414255</v>
      </c>
      <c r="D4663" s="2" t="s">
        <v>3776</v>
      </c>
      <c r="E4663" s="4">
        <v>4500</v>
      </c>
    </row>
    <row r="4664" spans="1:5" ht="26.25" x14ac:dyDescent="0.25">
      <c r="A4664" s="2" t="s">
        <v>10</v>
      </c>
      <c r="B4664" s="2" t="str">
        <f>"2019081000029"</f>
        <v>2019081000029</v>
      </c>
      <c r="C4664" s="2" t="str">
        <f>"185107601"</f>
        <v>185107601</v>
      </c>
      <c r="D4664" s="2" t="s">
        <v>3776</v>
      </c>
      <c r="E4664" s="4">
        <v>4500</v>
      </c>
    </row>
    <row r="4665" spans="1:5" ht="26.25" x14ac:dyDescent="0.25">
      <c r="A4665" s="2" t="s">
        <v>10</v>
      </c>
      <c r="B4665" s="2" t="str">
        <f>"2018110200072"</f>
        <v>2018110200072</v>
      </c>
      <c r="C4665" s="2" t="str">
        <f>"187514255"</f>
        <v>187514255</v>
      </c>
      <c r="D4665" s="2" t="s">
        <v>3776</v>
      </c>
      <c r="E4665" s="4">
        <v>3500</v>
      </c>
    </row>
    <row r="4666" spans="1:5" ht="26.25" x14ac:dyDescent="0.25">
      <c r="A4666" s="2" t="s">
        <v>10</v>
      </c>
      <c r="B4666" s="2" t="str">
        <f>"797907601"</f>
        <v>797907601</v>
      </c>
      <c r="C4666" s="2" t="str">
        <f>"797907601"</f>
        <v>797907601</v>
      </c>
      <c r="D4666" s="2" t="s">
        <v>3776</v>
      </c>
      <c r="E4666" s="4">
        <v>7990</v>
      </c>
    </row>
    <row r="4667" spans="1:5" ht="26.25" x14ac:dyDescent="0.25">
      <c r="A4667" s="2" t="s">
        <v>10</v>
      </c>
      <c r="B4667" s="2" t="str">
        <f>"764807601"</f>
        <v>764807601</v>
      </c>
      <c r="C4667" s="2" t="str">
        <f>"764807601"</f>
        <v>764807601</v>
      </c>
      <c r="D4667" s="2" t="s">
        <v>3776</v>
      </c>
      <c r="E4667" s="4">
        <v>3500</v>
      </c>
    </row>
    <row r="4668" spans="1:5" ht="26.25" x14ac:dyDescent="0.25">
      <c r="A4668" s="2" t="s">
        <v>10</v>
      </c>
      <c r="B4668" s="2" t="str">
        <f>"4549995030280"</f>
        <v>4549995030280</v>
      </c>
      <c r="C4668" s="2" t="str">
        <f>"349907601"</f>
        <v>349907601</v>
      </c>
      <c r="D4668" s="2" t="s">
        <v>3776</v>
      </c>
      <c r="E4668" s="4">
        <v>9990</v>
      </c>
    </row>
    <row r="4669" spans="1:5" ht="26.25" x14ac:dyDescent="0.25">
      <c r="A4669" s="2" t="s">
        <v>10</v>
      </c>
      <c r="B4669" s="2" t="str">
        <f>"764814123"</f>
        <v>764814123</v>
      </c>
      <c r="C4669" s="2" t="str">
        <f>"765107601"</f>
        <v>765107601</v>
      </c>
      <c r="D4669" s="2" t="s">
        <v>3776</v>
      </c>
      <c r="E4669" s="4">
        <v>4000</v>
      </c>
    </row>
    <row r="4670" spans="1:5" ht="26.25" x14ac:dyDescent="0.25">
      <c r="A4670" s="2" t="s">
        <v>10</v>
      </c>
      <c r="B4670" s="2" t="str">
        <f>"764907602"</f>
        <v>764907602</v>
      </c>
      <c r="C4670" s="2" t="str">
        <f>"764807602"</f>
        <v>764807602</v>
      </c>
      <c r="D4670" s="2" t="s">
        <v>3777</v>
      </c>
      <c r="E4670" s="4">
        <v>4500</v>
      </c>
    </row>
    <row r="4671" spans="1:5" ht="26.25" x14ac:dyDescent="0.25">
      <c r="A4671" s="2" t="s">
        <v>10</v>
      </c>
      <c r="B4671" s="2" t="str">
        <f>"4549995030303"</f>
        <v>4549995030303</v>
      </c>
      <c r="C4671" s="2" t="str">
        <f>"349907602"</f>
        <v>349907602</v>
      </c>
      <c r="D4671" s="2" t="s">
        <v>3777</v>
      </c>
      <c r="E4671" s="4">
        <v>9990</v>
      </c>
    </row>
    <row r="4672" spans="1:5" ht="26.25" x14ac:dyDescent="0.25">
      <c r="A4672" s="2" t="s">
        <v>10</v>
      </c>
      <c r="B4672" s="2" t="str">
        <f>"766207603"</f>
        <v>766207603</v>
      </c>
      <c r="C4672" s="2" t="str">
        <f>"766207603"</f>
        <v>766207603</v>
      </c>
      <c r="D4672" s="2" t="s">
        <v>3778</v>
      </c>
      <c r="E4672" s="4">
        <v>6000</v>
      </c>
    </row>
    <row r="4673" spans="1:5" ht="26.25" x14ac:dyDescent="0.25">
      <c r="A4673" s="2" t="s">
        <v>10</v>
      </c>
      <c r="B4673" s="2" t="str">
        <f>"797907603"</f>
        <v>797907603</v>
      </c>
      <c r="C4673" s="2" t="str">
        <f>"797907603"</f>
        <v>797907603</v>
      </c>
      <c r="D4673" s="2" t="s">
        <v>3778</v>
      </c>
      <c r="E4673" s="4">
        <v>7990</v>
      </c>
    </row>
    <row r="4674" spans="1:5" ht="26.25" x14ac:dyDescent="0.25">
      <c r="A4674" s="2" t="s">
        <v>10</v>
      </c>
      <c r="B4674" s="2" t="str">
        <f>"797907606"</f>
        <v>797907606</v>
      </c>
      <c r="C4674" s="2" t="str">
        <f>"797907606"</f>
        <v>797907606</v>
      </c>
      <c r="D4674" s="2" t="s">
        <v>3779</v>
      </c>
      <c r="E4674" s="4">
        <v>7990</v>
      </c>
    </row>
    <row r="4675" spans="1:5" ht="26.25" x14ac:dyDescent="0.25">
      <c r="A4675" s="2" t="s">
        <v>10</v>
      </c>
      <c r="B4675" s="2" t="str">
        <f>"797907608"</f>
        <v>797907608</v>
      </c>
      <c r="C4675" s="2" t="str">
        <f>"797907608"</f>
        <v>797907608</v>
      </c>
      <c r="D4675" s="2" t="s">
        <v>3780</v>
      </c>
      <c r="E4675" s="4">
        <v>7990</v>
      </c>
    </row>
    <row r="4676" spans="1:5" ht="26.25" x14ac:dyDescent="0.25">
      <c r="A4676" s="2" t="s">
        <v>10</v>
      </c>
      <c r="B4676" s="2" t="str">
        <f>"766207601"</f>
        <v>766207601</v>
      </c>
      <c r="C4676" s="2" t="str">
        <f>"766207601"</f>
        <v>766207601</v>
      </c>
      <c r="D4676" s="2" t="s">
        <v>3780</v>
      </c>
      <c r="E4676" s="4">
        <v>5500</v>
      </c>
    </row>
    <row r="4677" spans="1:5" ht="26.25" x14ac:dyDescent="0.25">
      <c r="A4677" s="2" t="s">
        <v>10</v>
      </c>
      <c r="B4677" s="2" t="str">
        <f>"768007608"</f>
        <v>768007608</v>
      </c>
      <c r="C4677" s="2" t="str">
        <f>"768007608"</f>
        <v>768007608</v>
      </c>
      <c r="D4677" s="2" t="s">
        <v>3780</v>
      </c>
      <c r="E4677" s="4">
        <v>9990</v>
      </c>
    </row>
    <row r="4678" spans="1:5" ht="26.25" x14ac:dyDescent="0.25">
      <c r="A4678" s="2" t="s">
        <v>10</v>
      </c>
      <c r="B4678" s="2" t="str">
        <f>"764807608"</f>
        <v>764807608</v>
      </c>
      <c r="C4678" s="2" t="str">
        <f>"764807608"</f>
        <v>764807608</v>
      </c>
      <c r="D4678" s="2" t="s">
        <v>3780</v>
      </c>
      <c r="E4678" s="4">
        <v>4000</v>
      </c>
    </row>
    <row r="4679" spans="1:5" ht="26.25" x14ac:dyDescent="0.25">
      <c r="A4679" s="2" t="s">
        <v>10</v>
      </c>
      <c r="B4679" s="2" t="str">
        <f>"419907608"</f>
        <v>419907608</v>
      </c>
      <c r="C4679" s="2" t="str">
        <f>"395907608"</f>
        <v>395907608</v>
      </c>
      <c r="D4679" s="2" t="s">
        <v>3780</v>
      </c>
      <c r="E4679" s="4">
        <v>9990</v>
      </c>
    </row>
    <row r="4680" spans="1:5" ht="26.25" x14ac:dyDescent="0.25">
      <c r="A4680" s="2" t="s">
        <v>10</v>
      </c>
      <c r="B4680" s="2" t="str">
        <f>"797907605"</f>
        <v>797907605</v>
      </c>
      <c r="C4680" s="2" t="str">
        <f>"797907605"</f>
        <v>797907605</v>
      </c>
      <c r="D4680" s="2" t="s">
        <v>3781</v>
      </c>
      <c r="E4680" s="4">
        <v>7900</v>
      </c>
    </row>
    <row r="4681" spans="1:5" ht="26.25" x14ac:dyDescent="0.25">
      <c r="A4681" s="2" t="s">
        <v>10</v>
      </c>
      <c r="B4681" s="2" t="str">
        <f>"17480714"</f>
        <v>17480714</v>
      </c>
      <c r="C4681" s="2" t="str">
        <f>"17480714"</f>
        <v>17480714</v>
      </c>
      <c r="D4681" s="2" t="s">
        <v>3782</v>
      </c>
      <c r="E4681" s="4">
        <v>3500</v>
      </c>
    </row>
    <row r="4682" spans="1:5" ht="26.25" x14ac:dyDescent="0.25">
      <c r="A4682" s="2" t="s">
        <v>10</v>
      </c>
      <c r="B4682" s="2" t="str">
        <f>"17580714"</f>
        <v>17580714</v>
      </c>
      <c r="C4682" s="2" t="str">
        <f>"17580714"</f>
        <v>17580714</v>
      </c>
      <c r="D4682" s="2" t="s">
        <v>3782</v>
      </c>
      <c r="E4682" s="4">
        <v>3500</v>
      </c>
    </row>
    <row r="4683" spans="1:5" ht="26.25" x14ac:dyDescent="0.25">
      <c r="A4683" s="2" t="s">
        <v>10</v>
      </c>
      <c r="B4683" s="2" t="str">
        <f>"34470714"</f>
        <v>34470714</v>
      </c>
      <c r="C4683" s="2" t="str">
        <f>"34470714"</f>
        <v>34470714</v>
      </c>
      <c r="D4683" s="2" t="s">
        <v>3782</v>
      </c>
      <c r="E4683" s="4">
        <v>7500</v>
      </c>
    </row>
    <row r="4684" spans="1:5" ht="26.25" x14ac:dyDescent="0.25">
      <c r="A4684" s="2" t="s">
        <v>10</v>
      </c>
      <c r="B4684" s="2" t="str">
        <f>"76480714"</f>
        <v>76480714</v>
      </c>
      <c r="C4684" s="2" t="str">
        <f>"76480714"</f>
        <v>76480714</v>
      </c>
      <c r="D4684" s="2" t="s">
        <v>3782</v>
      </c>
      <c r="E4684" s="4">
        <v>3500</v>
      </c>
    </row>
    <row r="4685" spans="1:5" ht="26.25" x14ac:dyDescent="0.25">
      <c r="A4685" s="2" t="s">
        <v>10</v>
      </c>
      <c r="B4685" s="2" t="str">
        <f>"3401071"</f>
        <v>3401071</v>
      </c>
      <c r="C4685" s="2" t="str">
        <f>"3401071"</f>
        <v>3401071</v>
      </c>
      <c r="D4685" s="2" t="s">
        <v>3783</v>
      </c>
      <c r="E4685" s="4">
        <v>4500</v>
      </c>
    </row>
    <row r="4686" spans="1:5" ht="26.25" x14ac:dyDescent="0.25">
      <c r="A4686" s="2" t="s">
        <v>10</v>
      </c>
      <c r="B4686" s="2" t="str">
        <f>"17510715"</f>
        <v>17510715</v>
      </c>
      <c r="C4686" s="2" t="str">
        <f>"17510715"</f>
        <v>17510715</v>
      </c>
      <c r="D4686" s="2" t="s">
        <v>3783</v>
      </c>
      <c r="E4686" s="4">
        <v>3500</v>
      </c>
    </row>
    <row r="4687" spans="1:5" ht="26.25" x14ac:dyDescent="0.25">
      <c r="A4687" s="2" t="s">
        <v>10</v>
      </c>
      <c r="B4687" s="2" t="str">
        <f>"1000001096285"</f>
        <v>1000001096285</v>
      </c>
      <c r="C4687" s="2" t="str">
        <f>"76640715"</f>
        <v>76640715</v>
      </c>
      <c r="D4687" s="2" t="s">
        <v>3783</v>
      </c>
      <c r="E4687" s="4">
        <v>4500</v>
      </c>
    </row>
    <row r="4688" spans="1:5" ht="26.25" x14ac:dyDescent="0.25">
      <c r="A4688" s="2" t="s">
        <v>10</v>
      </c>
      <c r="B4688" s="2" t="str">
        <f>"76390715"</f>
        <v>76390715</v>
      </c>
      <c r="C4688" s="2" t="str">
        <f>"76390715"</f>
        <v>76390715</v>
      </c>
      <c r="D4688" s="2" t="s">
        <v>3783</v>
      </c>
      <c r="E4688" s="4">
        <v>5000</v>
      </c>
    </row>
    <row r="4689" spans="1:5" ht="26.25" x14ac:dyDescent="0.25">
      <c r="A4689" s="2" t="s">
        <v>10</v>
      </c>
      <c r="B4689" s="2" t="str">
        <f>"76470715"</f>
        <v>76470715</v>
      </c>
      <c r="C4689" s="2" t="str">
        <f>"76470715"</f>
        <v>76470715</v>
      </c>
      <c r="D4689" s="2" t="s">
        <v>3783</v>
      </c>
      <c r="E4689" s="4">
        <v>5500</v>
      </c>
    </row>
    <row r="4690" spans="1:5" ht="26.25" x14ac:dyDescent="0.25">
      <c r="A4690" s="2" t="s">
        <v>10</v>
      </c>
      <c r="B4690" s="2" t="str">
        <f>"17770715"</f>
        <v>17770715</v>
      </c>
      <c r="C4690" s="2" t="str">
        <f>"17770715"</f>
        <v>17770715</v>
      </c>
      <c r="D4690" s="2" t="s">
        <v>3783</v>
      </c>
      <c r="E4690" s="4">
        <v>4500</v>
      </c>
    </row>
    <row r="4691" spans="1:5" ht="26.25" x14ac:dyDescent="0.25">
      <c r="A4691" s="2" t="s">
        <v>10</v>
      </c>
      <c r="B4691" s="2" t="str">
        <f>"34480715"</f>
        <v>34480715</v>
      </c>
      <c r="C4691" s="2" t="str">
        <f>"34480715"</f>
        <v>34480715</v>
      </c>
      <c r="D4691" s="2" t="s">
        <v>3783</v>
      </c>
      <c r="E4691" s="4">
        <v>4500</v>
      </c>
    </row>
    <row r="4692" spans="1:5" ht="26.25" x14ac:dyDescent="0.25">
      <c r="A4692" s="2" t="s">
        <v>10</v>
      </c>
      <c r="B4692" s="2" t="str">
        <f>"76990715"</f>
        <v>76990715</v>
      </c>
      <c r="C4692" s="2" t="str">
        <f>"76990715"</f>
        <v>76990715</v>
      </c>
      <c r="D4692" s="2" t="s">
        <v>3783</v>
      </c>
      <c r="E4692" s="4">
        <v>6500</v>
      </c>
    </row>
    <row r="4693" spans="1:5" ht="26.25" x14ac:dyDescent="0.25">
      <c r="A4693" s="2" t="s">
        <v>10</v>
      </c>
      <c r="B4693" s="2" t="str">
        <f>"2019030400016"</f>
        <v>2019030400016</v>
      </c>
      <c r="C4693" s="2" t="str">
        <f>"18750715"</f>
        <v>18750715</v>
      </c>
      <c r="D4693" s="2" t="s">
        <v>3783</v>
      </c>
      <c r="E4693" s="4">
        <v>3500</v>
      </c>
    </row>
    <row r="4694" spans="1:5" ht="26.25" x14ac:dyDescent="0.25">
      <c r="A4694" s="2" t="s">
        <v>10</v>
      </c>
      <c r="B4694" s="2" t="str">
        <f>"17480715"</f>
        <v>17480715</v>
      </c>
      <c r="C4694" s="2" t="str">
        <f>"17480715"</f>
        <v>17480715</v>
      </c>
      <c r="D4694" s="2" t="s">
        <v>3783</v>
      </c>
      <c r="E4694" s="4">
        <v>3500</v>
      </c>
    </row>
    <row r="4695" spans="1:5" ht="26.25" x14ac:dyDescent="0.25">
      <c r="A4695" s="2" t="s">
        <v>10</v>
      </c>
      <c r="B4695" s="2" t="str">
        <f>"17480720"</f>
        <v>17480720</v>
      </c>
      <c r="C4695" s="2" t="str">
        <f>"17480720"</f>
        <v>17480720</v>
      </c>
      <c r="D4695" s="2" t="s">
        <v>3783</v>
      </c>
      <c r="E4695" s="4">
        <v>3500</v>
      </c>
    </row>
    <row r="4696" spans="1:5" ht="26.25" x14ac:dyDescent="0.25">
      <c r="A4696" s="2" t="s">
        <v>10</v>
      </c>
      <c r="B4696" s="2" t="str">
        <f>"17580715"</f>
        <v>17580715</v>
      </c>
      <c r="C4696" s="2" t="str">
        <f>"17580715"</f>
        <v>17580715</v>
      </c>
      <c r="D4696" s="2" t="s">
        <v>3783</v>
      </c>
      <c r="E4696" s="4">
        <v>3500</v>
      </c>
    </row>
    <row r="4697" spans="1:5" ht="26.25" x14ac:dyDescent="0.25">
      <c r="A4697" s="2" t="s">
        <v>10</v>
      </c>
      <c r="B4697" s="2" t="str">
        <f>"17750715"</f>
        <v>17750715</v>
      </c>
      <c r="C4697" s="2" t="str">
        <f>"17750715"</f>
        <v>17750715</v>
      </c>
      <c r="D4697" s="2" t="s">
        <v>3783</v>
      </c>
      <c r="E4697" s="4">
        <v>5000</v>
      </c>
    </row>
    <row r="4698" spans="1:5" ht="26.25" x14ac:dyDescent="0.25">
      <c r="A4698" s="2" t="s">
        <v>10</v>
      </c>
      <c r="B4698" s="2" t="str">
        <f>"34480720"</f>
        <v>34480720</v>
      </c>
      <c r="C4698" s="2" t="str">
        <f>"34480720"</f>
        <v>34480720</v>
      </c>
      <c r="D4698" s="2" t="s">
        <v>3783</v>
      </c>
      <c r="E4698" s="4">
        <v>3500</v>
      </c>
    </row>
    <row r="4699" spans="1:5" ht="26.25" x14ac:dyDescent="0.25">
      <c r="A4699" s="2" t="s">
        <v>10</v>
      </c>
      <c r="B4699" s="2" t="str">
        <f>"34580715"</f>
        <v>34580715</v>
      </c>
      <c r="C4699" s="2" t="str">
        <f>"34580715"</f>
        <v>34580715</v>
      </c>
      <c r="D4699" s="2" t="s">
        <v>3783</v>
      </c>
      <c r="E4699" s="4">
        <v>5500</v>
      </c>
    </row>
    <row r="4700" spans="1:5" ht="26.25" x14ac:dyDescent="0.25">
      <c r="A4700" s="2" t="s">
        <v>10</v>
      </c>
      <c r="B4700" s="2" t="str">
        <f>"34770715"</f>
        <v>34770715</v>
      </c>
      <c r="C4700" s="2" t="str">
        <f>"34770715"</f>
        <v>34770715</v>
      </c>
      <c r="D4700" s="2" t="s">
        <v>3783</v>
      </c>
      <c r="E4700" s="4">
        <v>4500</v>
      </c>
    </row>
    <row r="4701" spans="1:5" ht="26.25" x14ac:dyDescent="0.25">
      <c r="A4701" s="2" t="s">
        <v>10</v>
      </c>
      <c r="B4701" s="2" t="str">
        <f>"76480715"</f>
        <v>76480715</v>
      </c>
      <c r="C4701" s="2" t="str">
        <f>"76480715"</f>
        <v>76480715</v>
      </c>
      <c r="D4701" s="2" t="s">
        <v>3783</v>
      </c>
      <c r="E4701" s="4">
        <v>3500</v>
      </c>
    </row>
    <row r="4702" spans="1:5" ht="26.25" x14ac:dyDescent="0.25">
      <c r="A4702" s="2" t="s">
        <v>10</v>
      </c>
      <c r="B4702" s="2" t="str">
        <f>"1000001023991"</f>
        <v>1000001023991</v>
      </c>
      <c r="C4702" s="2" t="str">
        <f>"76580715"</f>
        <v>76580715</v>
      </c>
      <c r="D4702" s="2" t="s">
        <v>3783</v>
      </c>
      <c r="E4702" s="4">
        <v>4500</v>
      </c>
    </row>
    <row r="4703" spans="1:5" ht="26.25" x14ac:dyDescent="0.25">
      <c r="A4703" s="2" t="s">
        <v>10</v>
      </c>
      <c r="B4703" s="2" t="str">
        <f>"76580720"</f>
        <v>76580720</v>
      </c>
      <c r="C4703" s="2" t="str">
        <f>"76580720"</f>
        <v>76580720</v>
      </c>
      <c r="D4703" s="2" t="s">
        <v>3783</v>
      </c>
      <c r="E4703" s="4">
        <v>4000</v>
      </c>
    </row>
    <row r="4704" spans="1:5" ht="26.25" x14ac:dyDescent="0.25">
      <c r="A4704" s="2" t="s">
        <v>10</v>
      </c>
      <c r="B4704" s="2" t="str">
        <f>"1000001093970"</f>
        <v>1000001093970</v>
      </c>
      <c r="C4704" s="2" t="str">
        <f>"76650715"</f>
        <v>76650715</v>
      </c>
      <c r="D4704" s="2" t="s">
        <v>3783</v>
      </c>
      <c r="E4704" s="4">
        <v>7500</v>
      </c>
    </row>
    <row r="4705" spans="1:5" ht="26.25" x14ac:dyDescent="0.25">
      <c r="A4705" s="2" t="s">
        <v>10</v>
      </c>
      <c r="B4705" s="2" t="str">
        <f>"93480715"</f>
        <v>93480715</v>
      </c>
      <c r="C4705" s="2" t="str">
        <f>"93480715"</f>
        <v>93480715</v>
      </c>
      <c r="D4705" s="2" t="s">
        <v>3783</v>
      </c>
      <c r="E4705" s="4">
        <v>3500</v>
      </c>
    </row>
    <row r="4706" spans="1:5" ht="26.25" x14ac:dyDescent="0.25">
      <c r="A4706" s="2" t="s">
        <v>10</v>
      </c>
      <c r="B4706" s="2" t="str">
        <f>"68480715"</f>
        <v>68480715</v>
      </c>
      <c r="C4706" s="2" t="str">
        <f>"68480715"</f>
        <v>68480715</v>
      </c>
      <c r="D4706" s="2" t="s">
        <v>3783</v>
      </c>
      <c r="E4706" s="4">
        <v>3500</v>
      </c>
    </row>
    <row r="4707" spans="1:5" ht="26.25" x14ac:dyDescent="0.25">
      <c r="A4707" s="2" t="s">
        <v>10</v>
      </c>
      <c r="B4707" s="2" t="str">
        <f>"76510715"</f>
        <v>76510715</v>
      </c>
      <c r="C4707" s="2" t="str">
        <f>"76510715"</f>
        <v>76510715</v>
      </c>
      <c r="D4707" s="2" t="s">
        <v>3783</v>
      </c>
      <c r="E4707" s="4">
        <v>3500</v>
      </c>
    </row>
    <row r="4708" spans="1:5" ht="26.25" x14ac:dyDescent="0.25">
      <c r="A4708" s="2" t="s">
        <v>10</v>
      </c>
      <c r="B4708" s="2" t="str">
        <f>"76590715"</f>
        <v>76590715</v>
      </c>
      <c r="C4708" s="2" t="str">
        <f>"76590715"</f>
        <v>76590715</v>
      </c>
      <c r="D4708" s="2" t="s">
        <v>3783</v>
      </c>
      <c r="E4708" s="4">
        <v>7000</v>
      </c>
    </row>
    <row r="4709" spans="1:5" ht="26.25" x14ac:dyDescent="0.25">
      <c r="A4709" s="2" t="s">
        <v>10</v>
      </c>
      <c r="B4709" s="2" t="str">
        <f>"76760715"</f>
        <v>76760715</v>
      </c>
      <c r="C4709" s="2" t="str">
        <f>"76760715"</f>
        <v>76760715</v>
      </c>
      <c r="D4709" s="2" t="s">
        <v>3784</v>
      </c>
      <c r="E4709" s="4">
        <v>5500</v>
      </c>
    </row>
    <row r="4710" spans="1:5" ht="26.25" x14ac:dyDescent="0.25">
      <c r="A4710" s="2" t="s">
        <v>10</v>
      </c>
      <c r="B4710" s="2" t="str">
        <f>"17480716"</f>
        <v>17480716</v>
      </c>
      <c r="C4710" s="2" t="str">
        <f>"17480716"</f>
        <v>17480716</v>
      </c>
      <c r="D4710" s="2" t="s">
        <v>3785</v>
      </c>
      <c r="E4710" s="4">
        <v>3500</v>
      </c>
    </row>
    <row r="4711" spans="1:5" ht="26.25" x14ac:dyDescent="0.25">
      <c r="A4711" s="2" t="s">
        <v>10</v>
      </c>
      <c r="B4711" s="2" t="str">
        <f>"27510716"</f>
        <v>27510716</v>
      </c>
      <c r="C4711" s="2" t="str">
        <f>"27510716"</f>
        <v>27510716</v>
      </c>
      <c r="D4711" s="2" t="s">
        <v>3785</v>
      </c>
      <c r="E4711" s="4">
        <v>3500</v>
      </c>
    </row>
    <row r="4712" spans="1:5" ht="26.25" x14ac:dyDescent="0.25">
      <c r="A4712" s="2" t="s">
        <v>10</v>
      </c>
      <c r="B4712" s="2" t="str">
        <f>"1000001094946"</f>
        <v>1000001094946</v>
      </c>
      <c r="C4712" s="2" t="str">
        <f>"76590716"</f>
        <v>76590716</v>
      </c>
      <c r="D4712" s="2" t="s">
        <v>3785</v>
      </c>
      <c r="E4712" s="4">
        <v>4500</v>
      </c>
    </row>
    <row r="4713" spans="1:5" ht="26.25" x14ac:dyDescent="0.25">
      <c r="A4713" s="2" t="s">
        <v>10</v>
      </c>
      <c r="B4713" s="2" t="str">
        <f>"17510716"</f>
        <v>17510716</v>
      </c>
      <c r="C4713" s="2" t="str">
        <f>"17510716"</f>
        <v>17510716</v>
      </c>
      <c r="D4713" s="2" t="s">
        <v>3785</v>
      </c>
      <c r="E4713" s="4">
        <v>3500</v>
      </c>
    </row>
    <row r="4714" spans="1:5" ht="26.25" x14ac:dyDescent="0.25">
      <c r="A4714" s="2" t="s">
        <v>10</v>
      </c>
      <c r="B4714" s="2" t="str">
        <f>"76390716"</f>
        <v>76390716</v>
      </c>
      <c r="C4714" s="2" t="str">
        <f>"76390716"</f>
        <v>76390716</v>
      </c>
      <c r="D4714" s="2" t="s">
        <v>3785</v>
      </c>
      <c r="E4714" s="4">
        <v>7000</v>
      </c>
    </row>
    <row r="4715" spans="1:5" ht="26.25" x14ac:dyDescent="0.25">
      <c r="A4715" s="2" t="s">
        <v>10</v>
      </c>
      <c r="B4715" s="2" t="str">
        <f>"99480716"</f>
        <v>99480716</v>
      </c>
      <c r="C4715" s="2" t="str">
        <f>"99480716"</f>
        <v>99480716</v>
      </c>
      <c r="D4715" s="2" t="s">
        <v>3785</v>
      </c>
      <c r="E4715" s="4">
        <v>4500</v>
      </c>
    </row>
    <row r="4716" spans="1:5" ht="26.25" x14ac:dyDescent="0.25">
      <c r="A4716" s="2" t="s">
        <v>10</v>
      </c>
      <c r="B4716" s="2" t="str">
        <f>"76640716"</f>
        <v>76640716</v>
      </c>
      <c r="C4716" s="2" t="str">
        <f>"76640716"</f>
        <v>76640716</v>
      </c>
      <c r="D4716" s="2" t="s">
        <v>3785</v>
      </c>
      <c r="E4716" s="4">
        <v>5500</v>
      </c>
    </row>
    <row r="4717" spans="1:5" ht="26.25" x14ac:dyDescent="0.25">
      <c r="A4717" s="2" t="s">
        <v>10</v>
      </c>
      <c r="B4717" s="2" t="str">
        <f>"1000001024004"</f>
        <v>1000001024004</v>
      </c>
      <c r="C4717" s="2" t="str">
        <f>"76610716"</f>
        <v>76610716</v>
      </c>
      <c r="D4717" s="2" t="s">
        <v>3785</v>
      </c>
      <c r="E4717" s="4">
        <v>4500</v>
      </c>
    </row>
    <row r="4718" spans="1:5" ht="26.25" x14ac:dyDescent="0.25">
      <c r="A4718" s="2" t="s">
        <v>10</v>
      </c>
      <c r="B4718" s="2" t="str">
        <f>"86480716"</f>
        <v>86480716</v>
      </c>
      <c r="C4718" s="2" t="str">
        <f>"86480716"</f>
        <v>86480716</v>
      </c>
      <c r="D4718" s="2" t="s">
        <v>3785</v>
      </c>
      <c r="E4718" s="4">
        <v>6000</v>
      </c>
    </row>
    <row r="4719" spans="1:5" ht="26.25" x14ac:dyDescent="0.25">
      <c r="A4719" s="2" t="s">
        <v>10</v>
      </c>
      <c r="B4719" s="2" t="str">
        <f>"34510716"</f>
        <v>34510716</v>
      </c>
      <c r="C4719" s="2" t="str">
        <f>"34510716"</f>
        <v>34510716</v>
      </c>
      <c r="D4719" s="2" t="s">
        <v>3785</v>
      </c>
      <c r="E4719" s="4">
        <v>5000</v>
      </c>
    </row>
    <row r="4720" spans="1:5" ht="26.25" x14ac:dyDescent="0.25">
      <c r="A4720" s="2" t="s">
        <v>10</v>
      </c>
      <c r="B4720" s="2" t="str">
        <f>"34590716"</f>
        <v>34590716</v>
      </c>
      <c r="C4720" s="2" t="str">
        <f>"34590716"</f>
        <v>34590716</v>
      </c>
      <c r="D4720" s="2" t="s">
        <v>3785</v>
      </c>
      <c r="E4720" s="4">
        <v>4500</v>
      </c>
    </row>
    <row r="4721" spans="1:5" ht="26.25" x14ac:dyDescent="0.25">
      <c r="A4721" s="2" t="s">
        <v>10</v>
      </c>
      <c r="B4721" s="2" t="str">
        <f>"1000001025148"</f>
        <v>1000001025148</v>
      </c>
      <c r="C4721" s="2" t="str">
        <f>"76990716"</f>
        <v>76990716</v>
      </c>
      <c r="D4721" s="2" t="s">
        <v>3785</v>
      </c>
      <c r="E4721" s="4">
        <v>6000</v>
      </c>
    </row>
    <row r="4722" spans="1:5" ht="26.25" x14ac:dyDescent="0.25">
      <c r="A4722" s="2" t="s">
        <v>10</v>
      </c>
      <c r="B4722" s="2" t="str">
        <f>"17590716"</f>
        <v>17590716</v>
      </c>
      <c r="C4722" s="2" t="str">
        <f>"17590716"</f>
        <v>17590716</v>
      </c>
      <c r="D4722" s="2" t="s">
        <v>3785</v>
      </c>
      <c r="E4722" s="4">
        <v>1500</v>
      </c>
    </row>
    <row r="4723" spans="1:5" ht="26.25" x14ac:dyDescent="0.25">
      <c r="A4723" s="2" t="s">
        <v>10</v>
      </c>
      <c r="B4723" s="2" t="str">
        <f>"41510716"</f>
        <v>41510716</v>
      </c>
      <c r="C4723" s="2" t="str">
        <f>"41510716"</f>
        <v>41510716</v>
      </c>
      <c r="D4723" s="2" t="s">
        <v>3785</v>
      </c>
      <c r="E4723" s="4">
        <v>4000</v>
      </c>
    </row>
    <row r="4724" spans="1:5" ht="26.25" x14ac:dyDescent="0.25">
      <c r="A4724" s="2" t="s">
        <v>10</v>
      </c>
      <c r="B4724" s="2" t="str">
        <f>"69510716"</f>
        <v>69510716</v>
      </c>
      <c r="C4724" s="2" t="str">
        <f>"69510716"</f>
        <v>69510716</v>
      </c>
      <c r="D4724" s="2" t="s">
        <v>3785</v>
      </c>
      <c r="E4724" s="4">
        <v>4500</v>
      </c>
    </row>
    <row r="4725" spans="1:5" ht="26.25" x14ac:dyDescent="0.25">
      <c r="A4725" s="2" t="s">
        <v>10</v>
      </c>
      <c r="B4725" s="2" t="str">
        <f>"1000001096056"</f>
        <v>1000001096056</v>
      </c>
      <c r="C4725" s="2" t="str">
        <f>"76980716"</f>
        <v>76980716</v>
      </c>
      <c r="D4725" s="2" t="s">
        <v>3785</v>
      </c>
      <c r="E4725" s="4">
        <v>9900</v>
      </c>
    </row>
    <row r="4726" spans="1:5" ht="26.25" x14ac:dyDescent="0.25">
      <c r="A4726" s="2" t="s">
        <v>10</v>
      </c>
      <c r="B4726" s="2" t="str">
        <f>"4001166040035"</f>
        <v>4001166040035</v>
      </c>
      <c r="C4726" s="2" t="str">
        <f>"41480716"</f>
        <v>41480716</v>
      </c>
      <c r="D4726" s="2" t="s">
        <v>3785</v>
      </c>
      <c r="E4726" s="4">
        <v>4000</v>
      </c>
    </row>
    <row r="4727" spans="1:5" ht="26.25" x14ac:dyDescent="0.25">
      <c r="A4727" s="2" t="s">
        <v>10</v>
      </c>
      <c r="B4727" s="2" t="str">
        <f>"86640716"</f>
        <v>86640716</v>
      </c>
      <c r="C4727" s="2" t="str">
        <f>"86640716"</f>
        <v>86640716</v>
      </c>
      <c r="D4727" s="2" t="s">
        <v>3785</v>
      </c>
      <c r="E4727" s="4">
        <v>6500</v>
      </c>
    </row>
    <row r="4728" spans="1:5" ht="26.25" x14ac:dyDescent="0.25">
      <c r="A4728" s="2" t="s">
        <v>10</v>
      </c>
      <c r="B4728" s="2" t="str">
        <f>"86780716"</f>
        <v>86780716</v>
      </c>
      <c r="C4728" s="2" t="str">
        <f>"86780716"</f>
        <v>86780716</v>
      </c>
      <c r="D4728" s="2" t="s">
        <v>3785</v>
      </c>
      <c r="E4728" s="4">
        <v>4500</v>
      </c>
    </row>
    <row r="4729" spans="1:5" ht="26.25" x14ac:dyDescent="0.25">
      <c r="A4729" s="2" t="s">
        <v>10</v>
      </c>
      <c r="B4729" s="2" t="str">
        <f>"34990716"</f>
        <v>34990716</v>
      </c>
      <c r="C4729" s="2" t="str">
        <f>"34990716"</f>
        <v>34990716</v>
      </c>
      <c r="D4729" s="2" t="s">
        <v>3785</v>
      </c>
      <c r="E4729" s="4">
        <v>9990</v>
      </c>
    </row>
    <row r="4730" spans="1:5" ht="26.25" x14ac:dyDescent="0.25">
      <c r="A4730" s="2" t="s">
        <v>10</v>
      </c>
      <c r="B4730" s="2" t="str">
        <f>"76890716"</f>
        <v>76890716</v>
      </c>
      <c r="C4730" s="2" t="str">
        <f>"76890716"</f>
        <v>76890716</v>
      </c>
      <c r="D4730" s="2" t="s">
        <v>3785</v>
      </c>
      <c r="E4730" s="4">
        <v>4500</v>
      </c>
    </row>
    <row r="4731" spans="1:5" ht="26.25" x14ac:dyDescent="0.25">
      <c r="A4731" s="2" t="s">
        <v>10</v>
      </c>
      <c r="B4731" s="2" t="str">
        <f>"2019030101104"</f>
        <v>2019030101104</v>
      </c>
      <c r="C4731" s="2" t="str">
        <f>"18640716"</f>
        <v>18640716</v>
      </c>
      <c r="D4731" s="2" t="s">
        <v>3785</v>
      </c>
      <c r="E4731" s="4">
        <v>4500</v>
      </c>
    </row>
    <row r="4732" spans="1:5" ht="26.25" x14ac:dyDescent="0.25">
      <c r="A4732" s="2" t="s">
        <v>10</v>
      </c>
      <c r="B4732" s="2" t="str">
        <f>"54480716"</f>
        <v>54480716</v>
      </c>
      <c r="C4732" s="2" t="str">
        <f>"54480716"</f>
        <v>54480716</v>
      </c>
      <c r="D4732" s="2" t="s">
        <v>3785</v>
      </c>
      <c r="E4732" s="4">
        <v>9990</v>
      </c>
    </row>
    <row r="4733" spans="1:5" ht="26.25" x14ac:dyDescent="0.25">
      <c r="A4733" s="2" t="s">
        <v>10</v>
      </c>
      <c r="B4733" s="2" t="str">
        <f>"2019040100012"</f>
        <v>2019040100012</v>
      </c>
      <c r="C4733" s="2" t="str">
        <f>"18480716"</f>
        <v>18480716</v>
      </c>
      <c r="D4733" s="2" t="s">
        <v>3785</v>
      </c>
      <c r="E4733" s="4">
        <v>5500</v>
      </c>
    </row>
    <row r="4734" spans="1:5" ht="26.25" x14ac:dyDescent="0.25">
      <c r="A4734" s="2" t="s">
        <v>10</v>
      </c>
      <c r="B4734" s="2" t="str">
        <f>"13510716"</f>
        <v>13510716</v>
      </c>
      <c r="C4734" s="2" t="str">
        <f>"13510716"</f>
        <v>13510716</v>
      </c>
      <c r="D4734" s="2" t="s">
        <v>3785</v>
      </c>
      <c r="E4734" s="4">
        <v>4500</v>
      </c>
    </row>
    <row r="4735" spans="1:5" ht="26.25" x14ac:dyDescent="0.25">
      <c r="A4735" s="2" t="s">
        <v>10</v>
      </c>
      <c r="B4735" s="2" t="str">
        <f>"4547597934296"</f>
        <v>4547597934296</v>
      </c>
      <c r="C4735" s="2" t="str">
        <f>"39590716"</f>
        <v>39590716</v>
      </c>
      <c r="D4735" s="2" t="s">
        <v>3785</v>
      </c>
      <c r="E4735" s="4">
        <v>9990</v>
      </c>
    </row>
    <row r="4736" spans="1:5" ht="26.25" x14ac:dyDescent="0.25">
      <c r="A4736" s="2" t="s">
        <v>10</v>
      </c>
      <c r="B4736" s="2" t="str">
        <f>"17580716"</f>
        <v>17580716</v>
      </c>
      <c r="C4736" s="2" t="str">
        <f>"17580716"</f>
        <v>17580716</v>
      </c>
      <c r="D4736" s="2" t="s">
        <v>3785</v>
      </c>
      <c r="E4736" s="4">
        <v>3500</v>
      </c>
    </row>
    <row r="4737" spans="1:5" ht="26.25" x14ac:dyDescent="0.25">
      <c r="A4737" s="2" t="s">
        <v>10</v>
      </c>
      <c r="B4737" s="2" t="str">
        <f>"34480716"</f>
        <v>34480716</v>
      </c>
      <c r="C4737" s="2" t="str">
        <f>"34480716"</f>
        <v>34480716</v>
      </c>
      <c r="D4737" s="2" t="s">
        <v>3785</v>
      </c>
      <c r="E4737" s="4">
        <v>3500</v>
      </c>
    </row>
    <row r="4738" spans="1:5" ht="26.25" x14ac:dyDescent="0.25">
      <c r="A4738" s="2" t="s">
        <v>10</v>
      </c>
      <c r="B4738" s="2" t="str">
        <f>"69400716"</f>
        <v>69400716</v>
      </c>
      <c r="C4738" s="2" t="str">
        <f>"69400716"</f>
        <v>69400716</v>
      </c>
      <c r="D4738" s="2" t="s">
        <v>3785</v>
      </c>
      <c r="E4738" s="4">
        <v>3500</v>
      </c>
    </row>
    <row r="4739" spans="1:5" ht="26.25" x14ac:dyDescent="0.25">
      <c r="A4739" s="2" t="s">
        <v>10</v>
      </c>
      <c r="B4739" s="2" t="str">
        <f>"86920716"</f>
        <v>86920716</v>
      </c>
      <c r="C4739" s="2" t="str">
        <f>"86920716"</f>
        <v>86920716</v>
      </c>
      <c r="D4739" s="2" t="s">
        <v>3785</v>
      </c>
      <c r="E4739" s="4">
        <v>3000</v>
      </c>
    </row>
    <row r="4740" spans="1:5" ht="26.25" x14ac:dyDescent="0.25">
      <c r="A4740" s="2" t="s">
        <v>10</v>
      </c>
      <c r="B4740" s="2" t="str">
        <f>"76470716"</f>
        <v>76470716</v>
      </c>
      <c r="C4740" s="2" t="str">
        <f>"76470716"</f>
        <v>76470716</v>
      </c>
      <c r="D4740" s="2" t="s">
        <v>3785</v>
      </c>
      <c r="E4740" s="4">
        <v>6500</v>
      </c>
    </row>
    <row r="4741" spans="1:5" ht="26.25" x14ac:dyDescent="0.25">
      <c r="A4741" s="2" t="s">
        <v>10</v>
      </c>
      <c r="B4741" s="2" t="str">
        <f>"76480716"</f>
        <v>76480716</v>
      </c>
      <c r="C4741" s="2" t="str">
        <f>"76480716"</f>
        <v>76480716</v>
      </c>
      <c r="D4741" s="2" t="s">
        <v>3785</v>
      </c>
      <c r="E4741" s="4">
        <v>4000</v>
      </c>
    </row>
    <row r="4742" spans="1:5" ht="26.25" x14ac:dyDescent="0.25">
      <c r="A4742" s="2" t="s">
        <v>10</v>
      </c>
      <c r="B4742" s="2" t="str">
        <f>"76580716"</f>
        <v>76580716</v>
      </c>
      <c r="C4742" s="2" t="str">
        <f>"76580716"</f>
        <v>76580716</v>
      </c>
      <c r="D4742" s="2" t="s">
        <v>3785</v>
      </c>
      <c r="E4742" s="4">
        <v>5500</v>
      </c>
    </row>
    <row r="4743" spans="1:5" ht="26.25" x14ac:dyDescent="0.25">
      <c r="A4743" s="2" t="s">
        <v>10</v>
      </c>
      <c r="B4743" s="2" t="str">
        <f>"1000001093987"</f>
        <v>1000001093987</v>
      </c>
      <c r="C4743" s="2" t="str">
        <f>"76650716"</f>
        <v>76650716</v>
      </c>
      <c r="D4743" s="2" t="s">
        <v>3785</v>
      </c>
      <c r="E4743" s="4">
        <v>7500</v>
      </c>
    </row>
    <row r="4744" spans="1:5" ht="26.25" x14ac:dyDescent="0.25">
      <c r="A4744" s="2" t="s">
        <v>10</v>
      </c>
      <c r="B4744" s="2" t="str">
        <f>"79790716"</f>
        <v>79790716</v>
      </c>
      <c r="C4744" s="2" t="str">
        <f>"79790716"</f>
        <v>79790716</v>
      </c>
      <c r="D4744" s="2" t="s">
        <v>3785</v>
      </c>
      <c r="E4744" s="4">
        <v>7990</v>
      </c>
    </row>
    <row r="4745" spans="1:5" ht="26.25" x14ac:dyDescent="0.25">
      <c r="A4745" s="2" t="s">
        <v>10</v>
      </c>
      <c r="B4745" s="2" t="str">
        <f>"76790716"</f>
        <v>76790716</v>
      </c>
      <c r="C4745" s="2" t="str">
        <f>"76790716"</f>
        <v>76790716</v>
      </c>
      <c r="D4745" s="2" t="s">
        <v>3785</v>
      </c>
      <c r="E4745" s="4">
        <v>6990</v>
      </c>
    </row>
    <row r="4746" spans="1:5" ht="26.25" x14ac:dyDescent="0.25">
      <c r="A4746" s="2" t="s">
        <v>10</v>
      </c>
      <c r="B4746" s="2" t="str">
        <f>"17770716"</f>
        <v>17770716</v>
      </c>
      <c r="C4746" s="2" t="str">
        <f>"17770716"</f>
        <v>17770716</v>
      </c>
      <c r="D4746" s="2" t="s">
        <v>3785</v>
      </c>
      <c r="E4746" s="4">
        <v>2333</v>
      </c>
    </row>
    <row r="4747" spans="1:5" ht="26.25" x14ac:dyDescent="0.25">
      <c r="A4747" s="2" t="s">
        <v>10</v>
      </c>
      <c r="B4747" s="2" t="str">
        <f>"76010716"</f>
        <v>76010716</v>
      </c>
      <c r="C4747" s="2" t="str">
        <f>"76010716"</f>
        <v>76010716</v>
      </c>
      <c r="D4747" s="2" t="s">
        <v>3785</v>
      </c>
      <c r="E4747" s="4">
        <v>4500</v>
      </c>
    </row>
    <row r="4748" spans="1:5" ht="26.25" x14ac:dyDescent="0.25">
      <c r="A4748" s="2" t="s">
        <v>10</v>
      </c>
      <c r="B4748" s="2" t="str">
        <f>"34790716"</f>
        <v>34790716</v>
      </c>
      <c r="C4748" s="2" t="str">
        <f>"34790716"</f>
        <v>34790716</v>
      </c>
      <c r="D4748" s="2" t="s">
        <v>3785</v>
      </c>
      <c r="E4748" s="4">
        <v>8000</v>
      </c>
    </row>
    <row r="4749" spans="1:5" ht="26.25" x14ac:dyDescent="0.25">
      <c r="A4749" s="2" t="s">
        <v>10</v>
      </c>
      <c r="B4749" s="2" t="str">
        <f>"76510716"</f>
        <v>76510716</v>
      </c>
      <c r="C4749" s="2" t="str">
        <f>"76510716"</f>
        <v>76510716</v>
      </c>
      <c r="D4749" s="2" t="s">
        <v>3785</v>
      </c>
      <c r="E4749" s="4">
        <v>4000</v>
      </c>
    </row>
    <row r="4750" spans="1:5" ht="26.25" x14ac:dyDescent="0.25">
      <c r="A4750" s="2" t="s">
        <v>10</v>
      </c>
      <c r="B4750" s="2" t="str">
        <f>"110170744"</f>
        <v>110170744</v>
      </c>
      <c r="C4750" s="2" t="str">
        <f>"110170744"</f>
        <v>110170744</v>
      </c>
      <c r="D4750" s="2" t="s">
        <v>3786</v>
      </c>
      <c r="E4750" s="4">
        <v>3500</v>
      </c>
    </row>
    <row r="4751" spans="1:5" ht="26.25" x14ac:dyDescent="0.25">
      <c r="A4751" s="2" t="s">
        <v>10</v>
      </c>
      <c r="B4751" s="2" t="str">
        <f>"110171713"</f>
        <v>110171713</v>
      </c>
      <c r="C4751" s="2" t="str">
        <f>"110171713"</f>
        <v>110171713</v>
      </c>
      <c r="D4751" s="2" t="s">
        <v>3786</v>
      </c>
      <c r="E4751" s="4">
        <v>3500</v>
      </c>
    </row>
    <row r="4752" spans="1:5" ht="26.25" x14ac:dyDescent="0.25">
      <c r="A4752" s="2" t="s">
        <v>10</v>
      </c>
      <c r="B4752" s="2" t="str">
        <f>"17480717"</f>
        <v>17480717</v>
      </c>
      <c r="C4752" s="2" t="str">
        <f>"17480717"</f>
        <v>17480717</v>
      </c>
      <c r="D4752" s="2" t="s">
        <v>3787</v>
      </c>
      <c r="E4752" s="4">
        <v>3500</v>
      </c>
    </row>
    <row r="4753" spans="1:5" ht="26.25" x14ac:dyDescent="0.25">
      <c r="A4753" s="2" t="s">
        <v>10</v>
      </c>
      <c r="B4753" s="2" t="str">
        <f>"79790717"</f>
        <v>79790717</v>
      </c>
      <c r="C4753" s="2" t="str">
        <f>"79790717"</f>
        <v>79790717</v>
      </c>
      <c r="D4753" s="2" t="s">
        <v>3787</v>
      </c>
      <c r="E4753" s="4">
        <v>7990</v>
      </c>
    </row>
    <row r="4754" spans="1:5" ht="26.25" x14ac:dyDescent="0.25">
      <c r="A4754" s="2" t="s">
        <v>10</v>
      </c>
      <c r="B4754" s="2" t="str">
        <f>"1000001096773"</f>
        <v>1000001096773</v>
      </c>
      <c r="C4754" s="2" t="str">
        <f>"76980717"</f>
        <v>76980717</v>
      </c>
      <c r="D4754" s="2" t="s">
        <v>3787</v>
      </c>
      <c r="E4754" s="4">
        <v>9900</v>
      </c>
    </row>
    <row r="4755" spans="1:5" ht="26.25" x14ac:dyDescent="0.25">
      <c r="A4755" s="2" t="s">
        <v>10</v>
      </c>
      <c r="B4755" s="2" t="str">
        <f>"86780717"</f>
        <v>86780717</v>
      </c>
      <c r="C4755" s="2" t="str">
        <f>"86780717"</f>
        <v>86780717</v>
      </c>
      <c r="D4755" s="2" t="s">
        <v>3787</v>
      </c>
      <c r="E4755" s="4">
        <v>5500</v>
      </c>
    </row>
    <row r="4756" spans="1:5" ht="26.25" x14ac:dyDescent="0.25">
      <c r="A4756" s="2" t="s">
        <v>10</v>
      </c>
      <c r="B4756" s="2" t="str">
        <f>"86920717"</f>
        <v>86920717</v>
      </c>
      <c r="C4756" s="2" t="str">
        <f>"86920717"</f>
        <v>86920717</v>
      </c>
      <c r="D4756" s="2" t="s">
        <v>3787</v>
      </c>
      <c r="E4756" s="4">
        <v>3000</v>
      </c>
    </row>
    <row r="4757" spans="1:5" ht="26.25" x14ac:dyDescent="0.25">
      <c r="A4757" s="2" t="s">
        <v>10</v>
      </c>
      <c r="B4757" s="2" t="str">
        <f>"17580717"</f>
        <v>17580717</v>
      </c>
      <c r="C4757" s="2" t="str">
        <f>"17580717"</f>
        <v>17580717</v>
      </c>
      <c r="D4757" s="2" t="s">
        <v>3787</v>
      </c>
      <c r="E4757" s="4">
        <v>4500</v>
      </c>
    </row>
    <row r="4758" spans="1:5" ht="26.25" x14ac:dyDescent="0.25">
      <c r="A4758" s="2" t="s">
        <v>10</v>
      </c>
      <c r="B4758" s="2" t="str">
        <f>"27580717"</f>
        <v>27580717</v>
      </c>
      <c r="C4758" s="2" t="str">
        <f>"27580717"</f>
        <v>27580717</v>
      </c>
      <c r="D4758" s="2" t="s">
        <v>3787</v>
      </c>
      <c r="E4758" s="4">
        <v>3600</v>
      </c>
    </row>
    <row r="4759" spans="1:5" ht="26.25" x14ac:dyDescent="0.25">
      <c r="A4759" s="2" t="s">
        <v>10</v>
      </c>
      <c r="B4759" s="2" t="str">
        <f>"76260717"</f>
        <v>76260717</v>
      </c>
      <c r="C4759" s="2" t="str">
        <f>"76260717"</f>
        <v>76260717</v>
      </c>
      <c r="D4759" s="2" t="s">
        <v>3787</v>
      </c>
      <c r="E4759" s="4">
        <v>3000</v>
      </c>
    </row>
    <row r="4760" spans="1:5" ht="26.25" x14ac:dyDescent="0.25">
      <c r="A4760" s="2" t="s">
        <v>10</v>
      </c>
      <c r="B4760" s="2" t="str">
        <f>"76470717"</f>
        <v>76470717</v>
      </c>
      <c r="C4760" s="2" t="str">
        <f>"76470717"</f>
        <v>76470717</v>
      </c>
      <c r="D4760" s="2" t="s">
        <v>3787</v>
      </c>
      <c r="E4760" s="4">
        <v>3500</v>
      </c>
    </row>
    <row r="4761" spans="1:5" ht="26.25" x14ac:dyDescent="0.25">
      <c r="A4761" s="2" t="s">
        <v>10</v>
      </c>
      <c r="B4761" s="2" t="str">
        <f>"76580717"</f>
        <v>76580717</v>
      </c>
      <c r="C4761" s="2" t="str">
        <f>"76580717"</f>
        <v>76580717</v>
      </c>
      <c r="D4761" s="2" t="s">
        <v>3787</v>
      </c>
      <c r="E4761" s="4">
        <v>5500</v>
      </c>
    </row>
    <row r="4762" spans="1:5" ht="26.25" x14ac:dyDescent="0.25">
      <c r="A4762" s="2" t="s">
        <v>10</v>
      </c>
      <c r="B4762" s="2" t="str">
        <f>"76750717"</f>
        <v>76750717</v>
      </c>
      <c r="C4762" s="2" t="str">
        <f>"76750717"</f>
        <v>76750717</v>
      </c>
      <c r="D4762" s="2" t="s">
        <v>3787</v>
      </c>
      <c r="E4762" s="4">
        <v>5500</v>
      </c>
    </row>
    <row r="4763" spans="1:5" ht="26.25" x14ac:dyDescent="0.25">
      <c r="A4763" s="2" t="s">
        <v>10</v>
      </c>
      <c r="B4763" s="2" t="str">
        <f>"110171712"</f>
        <v>110171712</v>
      </c>
      <c r="C4763" s="2" t="str">
        <f>"110171712"</f>
        <v>110171712</v>
      </c>
      <c r="D4763" s="2" t="s">
        <v>3787</v>
      </c>
      <c r="E4763" s="4">
        <v>3500</v>
      </c>
    </row>
    <row r="4764" spans="1:5" ht="26.25" x14ac:dyDescent="0.25">
      <c r="A4764" s="2" t="s">
        <v>10</v>
      </c>
      <c r="B4764" s="2" t="str">
        <f>"110561713"</f>
        <v>110561713</v>
      </c>
      <c r="C4764" s="2" t="str">
        <f>"110561713"</f>
        <v>110561713</v>
      </c>
      <c r="D4764" s="2" t="s">
        <v>3787</v>
      </c>
      <c r="E4764" s="4">
        <v>3500</v>
      </c>
    </row>
    <row r="4765" spans="1:5" ht="26.25" x14ac:dyDescent="0.25">
      <c r="A4765" s="2" t="s">
        <v>10</v>
      </c>
      <c r="B4765" s="2" t="str">
        <f>"17900717"</f>
        <v>17900717</v>
      </c>
      <c r="C4765" s="2" t="str">
        <f>"17900717"</f>
        <v>17900717</v>
      </c>
      <c r="D4765" s="2" t="s">
        <v>3787</v>
      </c>
      <c r="E4765" s="4">
        <v>8000</v>
      </c>
    </row>
    <row r="4766" spans="1:5" ht="26.25" x14ac:dyDescent="0.25">
      <c r="A4766" s="2" t="s">
        <v>10</v>
      </c>
      <c r="B4766" s="2" t="str">
        <f>"68480717"</f>
        <v>68480717</v>
      </c>
      <c r="C4766" s="2" t="str">
        <f>"68480717"</f>
        <v>68480717</v>
      </c>
      <c r="D4766" s="2" t="s">
        <v>3787</v>
      </c>
      <c r="E4766" s="4">
        <v>3500</v>
      </c>
    </row>
    <row r="4767" spans="1:5" ht="26.25" x14ac:dyDescent="0.25">
      <c r="A4767" s="2" t="s">
        <v>10</v>
      </c>
      <c r="B4767" s="2" t="str">
        <f>"76510717"</f>
        <v>76510717</v>
      </c>
      <c r="C4767" s="2" t="str">
        <f>"76510717"</f>
        <v>76510717</v>
      </c>
      <c r="D4767" s="2" t="s">
        <v>3787</v>
      </c>
      <c r="E4767" s="4">
        <v>4500</v>
      </c>
    </row>
    <row r="4768" spans="1:5" ht="26.25" x14ac:dyDescent="0.25">
      <c r="A4768" s="2" t="s">
        <v>10</v>
      </c>
      <c r="B4768" s="2" t="str">
        <f>"174714266"</f>
        <v>174714266</v>
      </c>
      <c r="C4768" s="2" t="str">
        <f>"174714266"</f>
        <v>174714266</v>
      </c>
      <c r="D4768" s="2" t="s">
        <v>3788</v>
      </c>
      <c r="E4768" s="4">
        <v>3500</v>
      </c>
    </row>
    <row r="4769" spans="1:5" ht="26.25" x14ac:dyDescent="0.25">
      <c r="A4769" s="2" t="s">
        <v>10</v>
      </c>
      <c r="B4769" s="2" t="str">
        <f>"765914266"</f>
        <v>765914266</v>
      </c>
      <c r="C4769" s="2" t="str">
        <f>"765914266"</f>
        <v>765914266</v>
      </c>
      <c r="D4769" s="2" t="s">
        <v>3788</v>
      </c>
      <c r="E4769" s="4">
        <v>7000</v>
      </c>
    </row>
    <row r="4770" spans="1:5" ht="26.25" x14ac:dyDescent="0.25">
      <c r="A4770" s="2" t="s">
        <v>10</v>
      </c>
      <c r="B4770" s="2" t="str">
        <f>"766414266"</f>
        <v>766414266</v>
      </c>
      <c r="C4770" s="2" t="str">
        <f>"766414266"</f>
        <v>766414266</v>
      </c>
      <c r="D4770" s="2" t="s">
        <v>3788</v>
      </c>
      <c r="E4770" s="4">
        <v>4500</v>
      </c>
    </row>
    <row r="4771" spans="1:5" ht="26.25" x14ac:dyDescent="0.25">
      <c r="A4771" s="2" t="s">
        <v>10</v>
      </c>
      <c r="B4771" s="2" t="str">
        <f>"934814266"</f>
        <v>934814266</v>
      </c>
      <c r="C4771" s="2" t="str">
        <f>"934814266"</f>
        <v>934814266</v>
      </c>
      <c r="D4771" s="2" t="s">
        <v>3788</v>
      </c>
      <c r="E4771" s="4">
        <v>5000</v>
      </c>
    </row>
    <row r="4772" spans="1:5" ht="26.25" x14ac:dyDescent="0.25">
      <c r="A4772" s="2" t="s">
        <v>10</v>
      </c>
      <c r="B4772" s="2" t="str">
        <f>"766114266"</f>
        <v>766114266</v>
      </c>
      <c r="C4772" s="2" t="str">
        <f>"766114266"</f>
        <v>766114266</v>
      </c>
      <c r="D4772" s="2" t="s">
        <v>3788</v>
      </c>
      <c r="E4772" s="4">
        <v>5000</v>
      </c>
    </row>
    <row r="4773" spans="1:5" ht="26.25" x14ac:dyDescent="0.25">
      <c r="A4773" s="2" t="s">
        <v>10</v>
      </c>
      <c r="B4773" s="2" t="str">
        <f>"766214266"</f>
        <v>766214266</v>
      </c>
      <c r="C4773" s="2" t="str">
        <f>"766214266"</f>
        <v>766214266</v>
      </c>
      <c r="D4773" s="2" t="s">
        <v>3788</v>
      </c>
      <c r="E4773" s="4">
        <v>6500</v>
      </c>
    </row>
    <row r="4774" spans="1:5" ht="26.25" x14ac:dyDescent="0.25">
      <c r="A4774" s="2" t="s">
        <v>10</v>
      </c>
      <c r="B4774" s="2" t="str">
        <f>"345114266"</f>
        <v>345114266</v>
      </c>
      <c r="C4774" s="2" t="str">
        <f>"345114266"</f>
        <v>345114266</v>
      </c>
      <c r="D4774" s="2" t="s">
        <v>3788</v>
      </c>
      <c r="E4774" s="4">
        <v>5000</v>
      </c>
    </row>
    <row r="4775" spans="1:5" ht="26.25" x14ac:dyDescent="0.25">
      <c r="A4775" s="2" t="s">
        <v>10</v>
      </c>
      <c r="B4775" s="2" t="str">
        <f>"175114266"</f>
        <v>175114266</v>
      </c>
      <c r="C4775" s="2" t="str">
        <f>"175114266"</f>
        <v>175114266</v>
      </c>
      <c r="D4775" s="2" t="s">
        <v>3788</v>
      </c>
      <c r="E4775" s="4">
        <v>4500</v>
      </c>
    </row>
    <row r="4776" spans="1:5" ht="26.25" x14ac:dyDescent="0.25">
      <c r="A4776" s="2" t="s">
        <v>10</v>
      </c>
      <c r="B4776" s="2" t="str">
        <f>"415114266"</f>
        <v>415114266</v>
      </c>
      <c r="C4776" s="2" t="str">
        <f>"415114266"</f>
        <v>415114266</v>
      </c>
      <c r="D4776" s="2" t="s">
        <v>3788</v>
      </c>
      <c r="E4776" s="4">
        <v>4000</v>
      </c>
    </row>
    <row r="4777" spans="1:5" ht="26.25" x14ac:dyDescent="0.25">
      <c r="A4777" s="2" t="s">
        <v>10</v>
      </c>
      <c r="B4777" s="2" t="str">
        <f>"4001166010557"</f>
        <v>4001166010557</v>
      </c>
      <c r="C4777" s="2" t="str">
        <f>"414814266"</f>
        <v>414814266</v>
      </c>
      <c r="D4777" s="2" t="s">
        <v>3788</v>
      </c>
      <c r="E4777" s="4">
        <v>4000</v>
      </c>
    </row>
    <row r="4778" spans="1:5" ht="26.25" x14ac:dyDescent="0.25">
      <c r="A4778" s="2" t="s">
        <v>10</v>
      </c>
      <c r="B4778" s="2" t="str">
        <f>"866414266"</f>
        <v>866414266</v>
      </c>
      <c r="C4778" s="2" t="str">
        <f>"866414266"</f>
        <v>866414266</v>
      </c>
      <c r="D4778" s="2" t="s">
        <v>3788</v>
      </c>
      <c r="E4778" s="4">
        <v>6500</v>
      </c>
    </row>
    <row r="4779" spans="1:5" ht="26.25" x14ac:dyDescent="0.25">
      <c r="A4779" s="2" t="s">
        <v>10</v>
      </c>
      <c r="B4779" s="2" t="str">
        <f>"349914266"</f>
        <v>349914266</v>
      </c>
      <c r="C4779" s="2" t="str">
        <f>"349914266"</f>
        <v>349914266</v>
      </c>
      <c r="D4779" s="2" t="s">
        <v>3788</v>
      </c>
      <c r="E4779" s="4">
        <v>7000</v>
      </c>
    </row>
    <row r="4780" spans="1:5" ht="26.25" x14ac:dyDescent="0.25">
      <c r="A4780" s="2" t="s">
        <v>10</v>
      </c>
      <c r="B4780" s="2" t="str">
        <f>"2020060401010"</f>
        <v>2020060401010</v>
      </c>
      <c r="C4780" s="2" t="str">
        <f>"185107253"</f>
        <v>185107253</v>
      </c>
      <c r="D4780" s="2" t="s">
        <v>3788</v>
      </c>
      <c r="E4780" s="4">
        <v>5000</v>
      </c>
    </row>
    <row r="4781" spans="1:5" ht="26.25" x14ac:dyDescent="0.25">
      <c r="A4781" s="2" t="s">
        <v>10</v>
      </c>
      <c r="B4781" s="2" t="str">
        <f>"614807253"</f>
        <v>614807253</v>
      </c>
      <c r="C4781" s="2" t="str">
        <f>"614807253"</f>
        <v>614807253</v>
      </c>
      <c r="D4781" s="2" t="s">
        <v>3788</v>
      </c>
      <c r="E4781" s="4">
        <v>5000</v>
      </c>
    </row>
    <row r="4782" spans="1:5" ht="26.25" x14ac:dyDescent="0.25">
      <c r="A4782" s="2" t="s">
        <v>10</v>
      </c>
      <c r="B4782" s="2" t="str">
        <f>"134807253"</f>
        <v>134807253</v>
      </c>
      <c r="C4782" s="2" t="str">
        <f>"134807253"</f>
        <v>134807253</v>
      </c>
      <c r="D4782" s="2" t="s">
        <v>3788</v>
      </c>
      <c r="E4782" s="4">
        <v>4000</v>
      </c>
    </row>
    <row r="4783" spans="1:5" ht="26.25" x14ac:dyDescent="0.25">
      <c r="A4783" s="2" t="s">
        <v>10</v>
      </c>
      <c r="B4783" s="2" t="str">
        <f>"395907253"</f>
        <v>395907253</v>
      </c>
      <c r="C4783" s="2" t="str">
        <f>"395907253"</f>
        <v>395907253</v>
      </c>
      <c r="D4783" s="2" t="s">
        <v>3788</v>
      </c>
      <c r="E4783" s="4">
        <v>9990</v>
      </c>
    </row>
    <row r="4784" spans="1:5" ht="26.25" x14ac:dyDescent="0.25">
      <c r="A4784" s="2" t="s">
        <v>10</v>
      </c>
      <c r="B4784" s="2" t="str">
        <f>"174807253"</f>
        <v>174807253</v>
      </c>
      <c r="C4784" s="2" t="str">
        <f>"174807253"</f>
        <v>174807253</v>
      </c>
      <c r="D4784" s="2" t="s">
        <v>3788</v>
      </c>
      <c r="E4784" s="4">
        <v>3500</v>
      </c>
    </row>
    <row r="4785" spans="1:5" ht="26.25" x14ac:dyDescent="0.25">
      <c r="A4785" s="2" t="s">
        <v>10</v>
      </c>
      <c r="B4785" s="2" t="str">
        <f>"765807253"</f>
        <v>765807253</v>
      </c>
      <c r="C4785" s="2" t="str">
        <f>"765807253"</f>
        <v>765807253</v>
      </c>
      <c r="D4785" s="2" t="s">
        <v>3788</v>
      </c>
      <c r="E4785" s="4">
        <v>5500</v>
      </c>
    </row>
    <row r="4786" spans="1:5" ht="26.25" x14ac:dyDescent="0.25">
      <c r="A4786" s="2" t="s">
        <v>10</v>
      </c>
      <c r="B4786" s="2" t="str">
        <f>"347707253"</f>
        <v>347707253</v>
      </c>
      <c r="C4786" s="2" t="str">
        <f>"347707253"</f>
        <v>347707253</v>
      </c>
      <c r="D4786" s="2" t="s">
        <v>3788</v>
      </c>
      <c r="E4786" s="4">
        <v>6000</v>
      </c>
    </row>
    <row r="4787" spans="1:5" ht="26.25" x14ac:dyDescent="0.25">
      <c r="A4787" s="2" t="s">
        <v>10</v>
      </c>
      <c r="B4787" s="2" t="str">
        <f>"767507253"</f>
        <v>767507253</v>
      </c>
      <c r="C4787" s="2" t="str">
        <f>"767507253"</f>
        <v>767507253</v>
      </c>
      <c r="D4787" s="2" t="s">
        <v>3788</v>
      </c>
      <c r="E4787" s="4">
        <v>5500</v>
      </c>
    </row>
    <row r="4788" spans="1:5" ht="26.25" x14ac:dyDescent="0.25">
      <c r="A4788" s="2" t="s">
        <v>10</v>
      </c>
      <c r="B4788" s="2" t="str">
        <f>"766407253"</f>
        <v>766407253</v>
      </c>
      <c r="C4788" s="2" t="str">
        <f>"766407253"</f>
        <v>766407253</v>
      </c>
      <c r="D4788" s="2" t="s">
        <v>3788</v>
      </c>
      <c r="E4788" s="4">
        <v>5500</v>
      </c>
    </row>
    <row r="4789" spans="1:5" ht="26.25" x14ac:dyDescent="0.25">
      <c r="A4789" s="2" t="s">
        <v>10</v>
      </c>
      <c r="B4789" s="2" t="str">
        <f>"765907253"</f>
        <v>765907253</v>
      </c>
      <c r="C4789" s="2" t="str">
        <f>"765907253"</f>
        <v>765907253</v>
      </c>
      <c r="D4789" s="2" t="s">
        <v>3788</v>
      </c>
      <c r="E4789" s="4">
        <v>6500</v>
      </c>
    </row>
    <row r="4790" spans="1:5" ht="26.25" x14ac:dyDescent="0.25">
      <c r="A4790" s="2" t="s">
        <v>10</v>
      </c>
      <c r="B4790" s="2" t="str">
        <f>"177707253"</f>
        <v>177707253</v>
      </c>
      <c r="C4790" s="2" t="str">
        <f>"177707253"</f>
        <v>177707253</v>
      </c>
      <c r="D4790" s="2" t="s">
        <v>3788</v>
      </c>
      <c r="E4790" s="4">
        <v>2333</v>
      </c>
    </row>
    <row r="4791" spans="1:5" ht="26.25" x14ac:dyDescent="0.25">
      <c r="A4791" s="2" t="s">
        <v>10</v>
      </c>
      <c r="B4791" s="2" t="str">
        <f>"345107253"</f>
        <v>345107253</v>
      </c>
      <c r="C4791" s="2" t="str">
        <f>"345107253"</f>
        <v>345107253</v>
      </c>
      <c r="D4791" s="2" t="s">
        <v>3788</v>
      </c>
      <c r="E4791" s="4">
        <v>5000</v>
      </c>
    </row>
    <row r="4792" spans="1:5" ht="26.25" x14ac:dyDescent="0.25">
      <c r="A4792" s="2" t="s">
        <v>10</v>
      </c>
      <c r="B4792" s="2" t="str">
        <f>"344807253"</f>
        <v>344807253</v>
      </c>
      <c r="C4792" s="2" t="str">
        <f>"344807253"</f>
        <v>344807253</v>
      </c>
      <c r="D4792" s="2" t="s">
        <v>3788</v>
      </c>
      <c r="E4792" s="4">
        <v>4500</v>
      </c>
    </row>
    <row r="4793" spans="1:5" ht="26.25" x14ac:dyDescent="0.25">
      <c r="A4793" s="2" t="s">
        <v>10</v>
      </c>
      <c r="B4793" s="2" t="str">
        <f>"763907253"</f>
        <v>763907253</v>
      </c>
      <c r="C4793" s="2" t="str">
        <f>"763907253"</f>
        <v>763907253</v>
      </c>
      <c r="D4793" s="2" t="s">
        <v>3788</v>
      </c>
      <c r="E4793" s="4">
        <v>5000</v>
      </c>
    </row>
    <row r="4794" spans="1:5" ht="26.25" x14ac:dyDescent="0.25">
      <c r="A4794" s="2" t="s">
        <v>10</v>
      </c>
      <c r="B4794" s="2" t="str">
        <f>"175107253"</f>
        <v>175107253</v>
      </c>
      <c r="C4794" s="2" t="str">
        <f>"175107253"</f>
        <v>175107253</v>
      </c>
      <c r="D4794" s="2" t="s">
        <v>3788</v>
      </c>
      <c r="E4794" s="4">
        <v>4000</v>
      </c>
    </row>
    <row r="4795" spans="1:5" ht="26.25" x14ac:dyDescent="0.25">
      <c r="A4795" s="2" t="s">
        <v>10</v>
      </c>
      <c r="B4795" s="2" t="str">
        <f>"1000001094007"</f>
        <v>1000001094007</v>
      </c>
      <c r="C4795" s="2" t="str">
        <f>"766507253"</f>
        <v>766507253</v>
      </c>
      <c r="D4795" s="2" t="s">
        <v>3788</v>
      </c>
      <c r="E4795" s="4">
        <v>7500</v>
      </c>
    </row>
    <row r="4796" spans="1:5" ht="26.25" x14ac:dyDescent="0.25">
      <c r="A4796" s="2" t="s">
        <v>10</v>
      </c>
      <c r="B4796" s="2" t="str">
        <f>"415107253"</f>
        <v>415107253</v>
      </c>
      <c r="C4796" s="2" t="str">
        <f>"415107253"</f>
        <v>415107253</v>
      </c>
      <c r="D4796" s="2" t="s">
        <v>3788</v>
      </c>
      <c r="E4796" s="4">
        <v>4000</v>
      </c>
    </row>
    <row r="4797" spans="1:5" ht="26.25" x14ac:dyDescent="0.25">
      <c r="A4797" s="2" t="s">
        <v>10</v>
      </c>
      <c r="B4797" s="2" t="str">
        <f>"1000001096063"</f>
        <v>1000001096063</v>
      </c>
      <c r="C4797" s="2" t="str">
        <f>"769807253"</f>
        <v>769807253</v>
      </c>
      <c r="D4797" s="2" t="s">
        <v>3788</v>
      </c>
      <c r="E4797" s="4">
        <v>9900</v>
      </c>
    </row>
    <row r="4798" spans="1:5" ht="26.25" x14ac:dyDescent="0.25">
      <c r="A4798" s="2" t="s">
        <v>10</v>
      </c>
      <c r="B4798" s="2" t="str">
        <f>"866407253"</f>
        <v>866407253</v>
      </c>
      <c r="C4798" s="2" t="str">
        <f>"866407253"</f>
        <v>866407253</v>
      </c>
      <c r="D4798" s="2" t="s">
        <v>3788</v>
      </c>
      <c r="E4798" s="4">
        <v>6500</v>
      </c>
    </row>
    <row r="4799" spans="1:5" ht="26.25" x14ac:dyDescent="0.25">
      <c r="A4799" s="2" t="s">
        <v>10</v>
      </c>
      <c r="B4799" s="2" t="str">
        <f>"867807253"</f>
        <v>867807253</v>
      </c>
      <c r="C4799" s="2" t="str">
        <f>"867807253"</f>
        <v>867807253</v>
      </c>
      <c r="D4799" s="2" t="s">
        <v>3788</v>
      </c>
      <c r="E4799" s="4">
        <v>5500</v>
      </c>
    </row>
    <row r="4800" spans="1:5" ht="26.25" x14ac:dyDescent="0.25">
      <c r="A4800" s="2" t="s">
        <v>10</v>
      </c>
      <c r="B4800" s="2" t="str">
        <f>"349907253"</f>
        <v>349907253</v>
      </c>
      <c r="C4800" s="2" t="str">
        <f>"349907253"</f>
        <v>349907253</v>
      </c>
      <c r="D4800" s="2" t="s">
        <v>3788</v>
      </c>
      <c r="E4800" s="4">
        <v>9990</v>
      </c>
    </row>
    <row r="4801" spans="1:5" ht="26.25" x14ac:dyDescent="0.25">
      <c r="A4801" s="2" t="s">
        <v>10</v>
      </c>
      <c r="B4801" s="2" t="str">
        <f>"869207253"</f>
        <v>869207253</v>
      </c>
      <c r="C4801" s="2" t="str">
        <f>"869207253"</f>
        <v>869207253</v>
      </c>
      <c r="D4801" s="2" t="s">
        <v>3788</v>
      </c>
      <c r="E4801" s="4">
        <v>3000</v>
      </c>
    </row>
    <row r="4802" spans="1:5" ht="26.25" x14ac:dyDescent="0.25">
      <c r="A4802" s="2" t="s">
        <v>10</v>
      </c>
      <c r="B4802" s="2" t="str">
        <f>"1000001085869"</f>
        <v>1000001085869</v>
      </c>
      <c r="C4802" s="2" t="str">
        <f>"760107253"</f>
        <v>760107253</v>
      </c>
      <c r="D4802" s="2" t="s">
        <v>3788</v>
      </c>
      <c r="E4802" s="4">
        <v>4500</v>
      </c>
    </row>
    <row r="4803" spans="1:5" ht="26.25" x14ac:dyDescent="0.25">
      <c r="A4803" s="2" t="s">
        <v>10</v>
      </c>
      <c r="B4803" s="2" t="str">
        <f>"864807253"</f>
        <v>864807253</v>
      </c>
      <c r="C4803" s="2" t="str">
        <f>"864807253"</f>
        <v>864807253</v>
      </c>
      <c r="D4803" s="2" t="s">
        <v>3788</v>
      </c>
      <c r="E4803" s="4">
        <v>7500</v>
      </c>
    </row>
    <row r="4804" spans="1:5" ht="26.25" x14ac:dyDescent="0.25">
      <c r="A4804" s="2" t="s">
        <v>10</v>
      </c>
      <c r="B4804" s="2" t="str">
        <f>"767607253"</f>
        <v>767607253</v>
      </c>
      <c r="C4804" s="2" t="str">
        <f>"767607253"</f>
        <v>767607253</v>
      </c>
      <c r="D4804" s="2" t="s">
        <v>3788</v>
      </c>
      <c r="E4804" s="4">
        <v>5500</v>
      </c>
    </row>
    <row r="4805" spans="1:5" ht="26.25" x14ac:dyDescent="0.25">
      <c r="A4805" s="2" t="s">
        <v>10</v>
      </c>
      <c r="B4805" s="2" t="str">
        <f>"764707253"</f>
        <v>764707253</v>
      </c>
      <c r="C4805" s="2" t="str">
        <f>"764707253"</f>
        <v>764707253</v>
      </c>
      <c r="D4805" s="2" t="s">
        <v>3788</v>
      </c>
      <c r="E4805" s="4">
        <v>4200</v>
      </c>
    </row>
    <row r="4806" spans="1:5" ht="26.25" x14ac:dyDescent="0.25">
      <c r="A4806" s="2" t="s">
        <v>10</v>
      </c>
      <c r="B4806" s="2" t="str">
        <f>"765107253"</f>
        <v>765107253</v>
      </c>
      <c r="C4806" s="2" t="str">
        <f>"765107253"</f>
        <v>765107253</v>
      </c>
      <c r="D4806" s="2" t="s">
        <v>3788</v>
      </c>
      <c r="E4806" s="4">
        <v>4000</v>
      </c>
    </row>
    <row r="4807" spans="1:5" ht="26.25" x14ac:dyDescent="0.25">
      <c r="A4807" s="2" t="s">
        <v>10</v>
      </c>
      <c r="B4807" s="2" t="str">
        <f>"345907253"</f>
        <v>345907253</v>
      </c>
      <c r="C4807" s="2" t="str">
        <f>"345907253"</f>
        <v>345907253</v>
      </c>
      <c r="D4807" s="2" t="s">
        <v>3788</v>
      </c>
      <c r="E4807" s="4">
        <v>4500</v>
      </c>
    </row>
    <row r="4808" spans="1:5" ht="26.25" x14ac:dyDescent="0.25">
      <c r="A4808" s="2" t="s">
        <v>1590</v>
      </c>
      <c r="B4808" s="2" t="str">
        <f>"764807253"</f>
        <v>764807253</v>
      </c>
      <c r="C4808" s="2" t="str">
        <f>"764807253"</f>
        <v>764807253</v>
      </c>
      <c r="D4808" s="2" t="s">
        <v>3788</v>
      </c>
      <c r="E4808" s="4">
        <v>4000</v>
      </c>
    </row>
    <row r="4809" spans="1:5" ht="26.25" x14ac:dyDescent="0.25">
      <c r="A4809" s="2" t="s">
        <v>1590</v>
      </c>
      <c r="B4809" s="2" t="str">
        <f>"866807253"</f>
        <v>866807253</v>
      </c>
      <c r="C4809" s="2" t="str">
        <f>"866807253"</f>
        <v>866807253</v>
      </c>
      <c r="D4809" s="2" t="s">
        <v>3788</v>
      </c>
      <c r="E4809" s="4">
        <v>3000</v>
      </c>
    </row>
    <row r="4810" spans="1:5" ht="26.25" x14ac:dyDescent="0.25">
      <c r="A4810" s="2" t="s">
        <v>1590</v>
      </c>
      <c r="B4810" s="2" t="str">
        <f>"2019512588035"</f>
        <v>2019512588035</v>
      </c>
      <c r="C4810" s="2" t="str">
        <f>"344907253"</f>
        <v>344907253</v>
      </c>
      <c r="D4810" s="2" t="s">
        <v>3788</v>
      </c>
      <c r="E4810" s="4">
        <v>3000</v>
      </c>
    </row>
    <row r="4811" spans="1:5" ht="26.25" x14ac:dyDescent="0.25">
      <c r="A4811" s="2" t="s">
        <v>10</v>
      </c>
      <c r="B4811" s="2" t="str">
        <f>"694407253"</f>
        <v>694407253</v>
      </c>
      <c r="C4811" s="2" t="str">
        <f>"694407253"</f>
        <v>694407253</v>
      </c>
      <c r="D4811" s="2" t="s">
        <v>3789</v>
      </c>
      <c r="E4811" s="4">
        <v>12990</v>
      </c>
    </row>
    <row r="4812" spans="1:5" ht="26.25" x14ac:dyDescent="0.25">
      <c r="A4812" s="2" t="s">
        <v>10</v>
      </c>
      <c r="B4812" s="2" t="str">
        <f>"797907254"</f>
        <v>797907254</v>
      </c>
      <c r="C4812" s="2" t="str">
        <f>"797907254"</f>
        <v>797907254</v>
      </c>
      <c r="D4812" s="2" t="s">
        <v>3790</v>
      </c>
      <c r="E4812" s="4">
        <v>7990</v>
      </c>
    </row>
    <row r="4813" spans="1:5" ht="26.25" x14ac:dyDescent="0.25">
      <c r="A4813" s="2" t="s">
        <v>10</v>
      </c>
      <c r="B4813" s="2" t="str">
        <f>"766107254"</f>
        <v>766107254</v>
      </c>
      <c r="C4813" s="2" t="str">
        <f>"766107254"</f>
        <v>766107254</v>
      </c>
      <c r="D4813" s="2" t="s">
        <v>3790</v>
      </c>
      <c r="E4813" s="4">
        <v>4500</v>
      </c>
    </row>
    <row r="4814" spans="1:5" ht="26.25" x14ac:dyDescent="0.25">
      <c r="A4814" s="2" t="s">
        <v>10</v>
      </c>
      <c r="B4814" s="2" t="str">
        <f>"764707254"</f>
        <v>764707254</v>
      </c>
      <c r="C4814" s="2" t="str">
        <f>"764707254"</f>
        <v>764707254</v>
      </c>
      <c r="D4814" s="2" t="s">
        <v>3790</v>
      </c>
      <c r="E4814" s="4">
        <v>5000</v>
      </c>
    </row>
    <row r="4815" spans="1:5" ht="26.25" x14ac:dyDescent="0.25">
      <c r="A4815" s="2" t="s">
        <v>10</v>
      </c>
      <c r="B4815" s="2" t="str">
        <f>"864805254"</f>
        <v>864805254</v>
      </c>
      <c r="C4815" s="2" t="str">
        <f>"864805254"</f>
        <v>864805254</v>
      </c>
      <c r="D4815" s="2" t="s">
        <v>3790</v>
      </c>
      <c r="E4815" s="4">
        <v>7500</v>
      </c>
    </row>
    <row r="4816" spans="1:5" ht="26.25" x14ac:dyDescent="0.25">
      <c r="A4816" s="2" t="s">
        <v>10</v>
      </c>
      <c r="B4816" s="2" t="str">
        <f>"1000001096780"</f>
        <v>1000001096780</v>
      </c>
      <c r="C4816" s="2" t="str">
        <f>"769807254"</f>
        <v>769807254</v>
      </c>
      <c r="D4816" s="2" t="s">
        <v>3790</v>
      </c>
      <c r="E4816" s="4">
        <v>5500</v>
      </c>
    </row>
    <row r="4817" spans="1:5" ht="26.25" x14ac:dyDescent="0.25">
      <c r="A4817" s="2" t="s">
        <v>10</v>
      </c>
      <c r="B4817" s="2" t="str">
        <f>"867807254"</f>
        <v>867807254</v>
      </c>
      <c r="C4817" s="2" t="str">
        <f>"867807254"</f>
        <v>867807254</v>
      </c>
      <c r="D4817" s="2" t="s">
        <v>3790</v>
      </c>
      <c r="E4817" s="4">
        <v>4500</v>
      </c>
    </row>
    <row r="4818" spans="1:5" ht="26.25" x14ac:dyDescent="0.25">
      <c r="A4818" s="2" t="s">
        <v>10</v>
      </c>
      <c r="B4818" s="2" t="str">
        <f>"1908070132005"</f>
        <v>1908070132005</v>
      </c>
      <c r="C4818" s="2" t="str">
        <f>"349905305"</f>
        <v>349905305</v>
      </c>
      <c r="D4818" s="2" t="s">
        <v>3790</v>
      </c>
      <c r="E4818" s="4">
        <v>7000</v>
      </c>
    </row>
    <row r="4819" spans="1:5" ht="26.25" x14ac:dyDescent="0.25">
      <c r="A4819" s="2" t="s">
        <v>10</v>
      </c>
      <c r="B4819" s="2" t="str">
        <f>"175807254"</f>
        <v>175807254</v>
      </c>
      <c r="C4819" s="2" t="str">
        <f>"175807254"</f>
        <v>175807254</v>
      </c>
      <c r="D4819" s="2" t="s">
        <v>3790</v>
      </c>
      <c r="E4819" s="4">
        <v>3500</v>
      </c>
    </row>
    <row r="4820" spans="1:5" ht="26.25" x14ac:dyDescent="0.25">
      <c r="A4820" s="2" t="s">
        <v>10</v>
      </c>
      <c r="B4820" s="2" t="str">
        <f>"349907254"</f>
        <v>349907254</v>
      </c>
      <c r="C4820" s="2" t="str">
        <f>"349907254"</f>
        <v>349907254</v>
      </c>
      <c r="D4820" s="2" t="s">
        <v>3790</v>
      </c>
      <c r="E4820" s="4">
        <v>7000</v>
      </c>
    </row>
    <row r="4821" spans="1:5" ht="26.25" x14ac:dyDescent="0.25">
      <c r="A4821" s="2" t="s">
        <v>10</v>
      </c>
      <c r="B4821" s="2" t="str">
        <f>"760107254"</f>
        <v>760107254</v>
      </c>
      <c r="C4821" s="2" t="str">
        <f>"760107254"</f>
        <v>760107254</v>
      </c>
      <c r="D4821" s="2" t="s">
        <v>3790</v>
      </c>
      <c r="E4821" s="4">
        <v>4500</v>
      </c>
    </row>
    <row r="4822" spans="1:5" ht="26.25" x14ac:dyDescent="0.25">
      <c r="A4822" s="2" t="s">
        <v>10</v>
      </c>
      <c r="B4822" s="2" t="str">
        <f>"765807254"</f>
        <v>765807254</v>
      </c>
      <c r="C4822" s="2" t="str">
        <f>"765807254"</f>
        <v>765807254</v>
      </c>
      <c r="D4822" s="2" t="s">
        <v>3790</v>
      </c>
      <c r="E4822" s="4">
        <v>5500</v>
      </c>
    </row>
    <row r="4823" spans="1:5" ht="26.25" x14ac:dyDescent="0.25">
      <c r="A4823" s="2" t="s">
        <v>10</v>
      </c>
      <c r="B4823" s="2" t="str">
        <f>"767507254"</f>
        <v>767507254</v>
      </c>
      <c r="C4823" s="2" t="str">
        <f>"767507254"</f>
        <v>767507254</v>
      </c>
      <c r="D4823" s="2" t="s">
        <v>3790</v>
      </c>
      <c r="E4823" s="4">
        <v>5500</v>
      </c>
    </row>
    <row r="4824" spans="1:5" ht="26.25" x14ac:dyDescent="0.25">
      <c r="A4824" s="2" t="s">
        <v>10</v>
      </c>
      <c r="B4824" s="2" t="str">
        <f>"765107254"</f>
        <v>765107254</v>
      </c>
      <c r="C4824" s="2" t="str">
        <f>"765107254"</f>
        <v>765107254</v>
      </c>
      <c r="D4824" s="2" t="s">
        <v>3790</v>
      </c>
      <c r="E4824" s="4">
        <v>4000</v>
      </c>
    </row>
    <row r="4825" spans="1:5" ht="26.25" x14ac:dyDescent="0.25">
      <c r="A4825" s="2" t="s">
        <v>10</v>
      </c>
      <c r="B4825" s="2" t="str">
        <f>"765107255"</f>
        <v>765107255</v>
      </c>
      <c r="C4825" s="2" t="str">
        <f>"765107255"</f>
        <v>765107255</v>
      </c>
      <c r="D4825" s="2" t="s">
        <v>3791</v>
      </c>
      <c r="E4825" s="4">
        <v>4500</v>
      </c>
    </row>
    <row r="4826" spans="1:5" ht="26.25" x14ac:dyDescent="0.25">
      <c r="A4826" s="2" t="s">
        <v>10</v>
      </c>
      <c r="B4826" s="2" t="str">
        <f>"864807255"</f>
        <v>864807255</v>
      </c>
      <c r="C4826" s="2" t="str">
        <f>"864807255"</f>
        <v>864807255</v>
      </c>
      <c r="D4826" s="2" t="s">
        <v>3791</v>
      </c>
      <c r="E4826" s="4">
        <v>7500</v>
      </c>
    </row>
    <row r="4827" spans="1:5" ht="26.25" x14ac:dyDescent="0.25">
      <c r="A4827" s="2" t="s">
        <v>10</v>
      </c>
      <c r="B4827" s="2" t="str">
        <f>"866407255"</f>
        <v>866407255</v>
      </c>
      <c r="C4827" s="2" t="str">
        <f>"866407255"</f>
        <v>866407255</v>
      </c>
      <c r="D4827" s="2" t="s">
        <v>3791</v>
      </c>
      <c r="E4827" s="4">
        <v>6500</v>
      </c>
    </row>
    <row r="4828" spans="1:5" ht="26.25" x14ac:dyDescent="0.25">
      <c r="A4828" s="2" t="s">
        <v>10</v>
      </c>
      <c r="B4828" s="2" t="str">
        <f>"869207255"</f>
        <v>869207255</v>
      </c>
      <c r="C4828" s="2" t="str">
        <f>"869207255"</f>
        <v>869207255</v>
      </c>
      <c r="D4828" s="2" t="s">
        <v>3791</v>
      </c>
      <c r="E4828" s="4">
        <v>3000</v>
      </c>
    </row>
    <row r="4829" spans="1:5" ht="26.25" x14ac:dyDescent="0.25">
      <c r="A4829" s="2" t="s">
        <v>10</v>
      </c>
      <c r="B4829" s="2" t="str">
        <f>"674807255"</f>
        <v>674807255</v>
      </c>
      <c r="C4829" s="2" t="str">
        <f>"674807255"</f>
        <v>674807255</v>
      </c>
      <c r="D4829" s="2" t="s">
        <v>3791</v>
      </c>
      <c r="E4829" s="4">
        <v>4500</v>
      </c>
    </row>
    <row r="4830" spans="1:5" ht="26.25" x14ac:dyDescent="0.25">
      <c r="A4830" s="2" t="s">
        <v>10</v>
      </c>
      <c r="B4830" s="2" t="str">
        <f>"864807256"</f>
        <v>864807256</v>
      </c>
      <c r="C4830" s="2" t="str">
        <f>"864807256"</f>
        <v>864807256</v>
      </c>
      <c r="D4830" s="2" t="s">
        <v>3792</v>
      </c>
      <c r="E4830" s="4">
        <v>7500</v>
      </c>
    </row>
    <row r="4831" spans="1:5" ht="26.25" x14ac:dyDescent="0.25">
      <c r="A4831" s="2" t="s">
        <v>10</v>
      </c>
      <c r="B4831" s="2" t="str">
        <f>"867807255"</f>
        <v>867807255</v>
      </c>
      <c r="C4831" s="2" t="str">
        <f>"867807255"</f>
        <v>867807255</v>
      </c>
      <c r="D4831" s="2" t="s">
        <v>3792</v>
      </c>
      <c r="E4831" s="4">
        <v>8900</v>
      </c>
    </row>
    <row r="4832" spans="1:5" ht="26.25" x14ac:dyDescent="0.25">
      <c r="A4832" s="2" t="s">
        <v>10</v>
      </c>
      <c r="B4832" s="2" t="str">
        <f>"174807257"</f>
        <v>174807257</v>
      </c>
      <c r="C4832" s="2" t="str">
        <f>"174807257"</f>
        <v>174807257</v>
      </c>
      <c r="D4832" s="2" t="s">
        <v>3793</v>
      </c>
      <c r="E4832" s="4">
        <v>4500</v>
      </c>
    </row>
    <row r="4833" spans="1:5" ht="26.25" x14ac:dyDescent="0.25">
      <c r="A4833" s="2" t="s">
        <v>10</v>
      </c>
      <c r="B4833" s="2" t="str">
        <f>"1000001088402"</f>
        <v>1000001088402</v>
      </c>
      <c r="C4833" s="2" t="str">
        <f>"766407257"</f>
        <v>766407257</v>
      </c>
      <c r="D4833" s="2" t="s">
        <v>3793</v>
      </c>
      <c r="E4833" s="4">
        <v>4500</v>
      </c>
    </row>
    <row r="4834" spans="1:5" ht="26.25" x14ac:dyDescent="0.25">
      <c r="A4834" s="2" t="s">
        <v>10</v>
      </c>
      <c r="B4834" s="2" t="str">
        <f>"765107257"</f>
        <v>765107257</v>
      </c>
      <c r="C4834" s="2" t="str">
        <f>"765107257"</f>
        <v>765107257</v>
      </c>
      <c r="D4834" s="2" t="s">
        <v>3793</v>
      </c>
      <c r="E4834" s="4">
        <v>2333</v>
      </c>
    </row>
    <row r="4835" spans="1:5" ht="26.25" x14ac:dyDescent="0.25">
      <c r="A4835" s="2" t="s">
        <v>10</v>
      </c>
      <c r="B4835" s="2" t="str">
        <f>"765907257"</f>
        <v>765907257</v>
      </c>
      <c r="C4835" s="2" t="str">
        <f>"765907257"</f>
        <v>765907257</v>
      </c>
      <c r="D4835" s="2" t="s">
        <v>3793</v>
      </c>
      <c r="E4835" s="4">
        <v>6000</v>
      </c>
    </row>
    <row r="4836" spans="1:5" ht="26.25" x14ac:dyDescent="0.25">
      <c r="A4836" s="2" t="s">
        <v>10</v>
      </c>
      <c r="B4836" s="2" t="str">
        <f>"766107257"</f>
        <v>766107257</v>
      </c>
      <c r="C4836" s="2" t="str">
        <f>"766107257"</f>
        <v>766107257</v>
      </c>
      <c r="D4836" s="2" t="s">
        <v>3793</v>
      </c>
      <c r="E4836" s="4">
        <v>5000</v>
      </c>
    </row>
    <row r="4837" spans="1:5" ht="26.25" x14ac:dyDescent="0.25">
      <c r="A4837" s="2" t="s">
        <v>10</v>
      </c>
      <c r="B4837" s="2" t="str">
        <f>"797907257"</f>
        <v>797907257</v>
      </c>
      <c r="C4837" s="2" t="str">
        <f>"797907257"</f>
        <v>797907257</v>
      </c>
      <c r="D4837" s="2" t="s">
        <v>3793</v>
      </c>
      <c r="E4837" s="4">
        <v>7990</v>
      </c>
    </row>
    <row r="4838" spans="1:5" ht="26.25" x14ac:dyDescent="0.25">
      <c r="A4838" s="2" t="s">
        <v>10</v>
      </c>
      <c r="B4838" s="2" t="str">
        <f>"866407257"</f>
        <v>866407257</v>
      </c>
      <c r="C4838" s="2" t="str">
        <f>"866407257"</f>
        <v>866407257</v>
      </c>
      <c r="D4838" s="2" t="s">
        <v>3793</v>
      </c>
      <c r="E4838" s="4">
        <v>6500</v>
      </c>
    </row>
    <row r="4839" spans="1:5" ht="26.25" x14ac:dyDescent="0.25">
      <c r="A4839" s="2" t="s">
        <v>10</v>
      </c>
      <c r="B4839" s="2" t="str">
        <f>"867807257"</f>
        <v>867807257</v>
      </c>
      <c r="C4839" s="2" t="str">
        <f>"867807257"</f>
        <v>867807257</v>
      </c>
      <c r="D4839" s="2" t="s">
        <v>3793</v>
      </c>
      <c r="E4839" s="4">
        <v>4500</v>
      </c>
    </row>
    <row r="4840" spans="1:5" ht="26.25" x14ac:dyDescent="0.25">
      <c r="A4840" s="2" t="s">
        <v>10</v>
      </c>
      <c r="B4840" s="2" t="str">
        <f>"869207257"</f>
        <v>869207257</v>
      </c>
      <c r="C4840" s="2" t="str">
        <f>"869207257"</f>
        <v>869207257</v>
      </c>
      <c r="D4840" s="2" t="s">
        <v>3793</v>
      </c>
      <c r="E4840" s="4">
        <v>3000</v>
      </c>
    </row>
    <row r="4841" spans="1:5" ht="26.25" x14ac:dyDescent="0.25">
      <c r="A4841" s="2" t="s">
        <v>10</v>
      </c>
      <c r="B4841" s="2" t="str">
        <f>"349907257"</f>
        <v>349907257</v>
      </c>
      <c r="C4841" s="2" t="str">
        <f>"349907257"</f>
        <v>349907257</v>
      </c>
      <c r="D4841" s="2" t="s">
        <v>3793</v>
      </c>
      <c r="E4841" s="4">
        <v>7200</v>
      </c>
    </row>
    <row r="4842" spans="1:5" ht="26.25" x14ac:dyDescent="0.25">
      <c r="A4842" s="2" t="s">
        <v>10</v>
      </c>
      <c r="B4842" s="2" t="str">
        <f>"347907257"</f>
        <v>347907257</v>
      </c>
      <c r="C4842" s="2" t="str">
        <f>"347907257"</f>
        <v>347907257</v>
      </c>
      <c r="D4842" s="2" t="s">
        <v>3793</v>
      </c>
      <c r="E4842" s="4">
        <v>8000</v>
      </c>
    </row>
    <row r="4843" spans="1:5" ht="26.25" x14ac:dyDescent="0.25">
      <c r="A4843" s="2" t="s">
        <v>10</v>
      </c>
      <c r="B4843" s="2" t="str">
        <f>"694407257"</f>
        <v>694407257</v>
      </c>
      <c r="C4843" s="2" t="str">
        <f>"694407257"</f>
        <v>694407257</v>
      </c>
      <c r="D4843" s="2" t="s">
        <v>3794</v>
      </c>
      <c r="E4843" s="4">
        <v>20990</v>
      </c>
    </row>
    <row r="4844" spans="1:5" ht="26.25" x14ac:dyDescent="0.25">
      <c r="A4844" s="2" t="s">
        <v>10</v>
      </c>
      <c r="B4844" s="2" t="str">
        <f>"1000001024356"</f>
        <v>1000001024356</v>
      </c>
      <c r="C4844" s="2" t="str">
        <f>"765607259"</f>
        <v>765607259</v>
      </c>
      <c r="D4844" s="2" t="s">
        <v>3795</v>
      </c>
      <c r="E4844" s="4">
        <v>6990</v>
      </c>
    </row>
    <row r="4845" spans="1:5" ht="26.25" x14ac:dyDescent="0.25">
      <c r="A4845" s="2" t="s">
        <v>10</v>
      </c>
      <c r="B4845" s="2" t="str">
        <f>"135607259"</f>
        <v>135607259</v>
      </c>
      <c r="C4845" s="2" t="str">
        <f>"135607259"</f>
        <v>135607259</v>
      </c>
      <c r="D4845" s="2" t="s">
        <v>3795</v>
      </c>
      <c r="E4845" s="4">
        <v>5000</v>
      </c>
    </row>
    <row r="4846" spans="1:5" ht="26.25" x14ac:dyDescent="0.25">
      <c r="A4846" s="2" t="s">
        <v>10</v>
      </c>
      <c r="B4846" s="2" t="str">
        <f>"2018430100090"</f>
        <v>2018430100090</v>
      </c>
      <c r="C4846" s="2" t="str">
        <f>"184807259"</f>
        <v>184807259</v>
      </c>
      <c r="D4846" s="2" t="s">
        <v>3795</v>
      </c>
      <c r="E4846" s="4">
        <v>4500</v>
      </c>
    </row>
    <row r="4847" spans="1:5" ht="26.25" x14ac:dyDescent="0.25">
      <c r="A4847" s="2" t="s">
        <v>10</v>
      </c>
      <c r="B4847" s="2" t="str">
        <f>"764807259"</f>
        <v>764807259</v>
      </c>
      <c r="C4847" s="2" t="str">
        <f>"764807259"</f>
        <v>764807259</v>
      </c>
      <c r="D4847" s="2" t="s">
        <v>3795</v>
      </c>
      <c r="E4847" s="4">
        <v>3500</v>
      </c>
    </row>
    <row r="4848" spans="1:5" ht="26.25" x14ac:dyDescent="0.25">
      <c r="A4848" s="2" t="s">
        <v>10</v>
      </c>
      <c r="B4848" s="2" t="str">
        <f>"674807259"</f>
        <v>674807259</v>
      </c>
      <c r="C4848" s="2" t="str">
        <f>"674807259"</f>
        <v>674807259</v>
      </c>
      <c r="D4848" s="2" t="s">
        <v>3795</v>
      </c>
      <c r="E4848" s="4">
        <v>4500</v>
      </c>
    </row>
    <row r="4849" spans="1:5" ht="26.25" x14ac:dyDescent="0.25">
      <c r="A4849" s="2" t="s">
        <v>10</v>
      </c>
      <c r="B4849" s="2" t="str">
        <f>"174807258"</f>
        <v>174807258</v>
      </c>
      <c r="C4849" s="2" t="str">
        <f>"174807258"</f>
        <v>174807258</v>
      </c>
      <c r="D4849" s="2" t="s">
        <v>3796</v>
      </c>
      <c r="E4849" s="4">
        <v>3500</v>
      </c>
    </row>
    <row r="4850" spans="1:5" ht="26.25" x14ac:dyDescent="0.25">
      <c r="A4850" s="2" t="s">
        <v>10</v>
      </c>
      <c r="B4850" s="2" t="str">
        <f>"765107258"</f>
        <v>765107258</v>
      </c>
      <c r="C4850" s="2" t="str">
        <f>"765107258"</f>
        <v>765107258</v>
      </c>
      <c r="D4850" s="2" t="s">
        <v>3796</v>
      </c>
      <c r="E4850" s="4">
        <v>4500</v>
      </c>
    </row>
    <row r="4851" spans="1:5" ht="26.25" x14ac:dyDescent="0.25">
      <c r="A4851" s="2" t="s">
        <v>10</v>
      </c>
      <c r="B4851" s="2" t="str">
        <f>"174807600"</f>
        <v>174807600</v>
      </c>
      <c r="C4851" s="2" t="str">
        <f>"174807600"</f>
        <v>174807600</v>
      </c>
      <c r="D4851" s="2" t="s">
        <v>3797</v>
      </c>
      <c r="E4851" s="4">
        <v>3500</v>
      </c>
    </row>
    <row r="4852" spans="1:5" ht="26.25" x14ac:dyDescent="0.25">
      <c r="A4852" s="2" t="s">
        <v>10</v>
      </c>
      <c r="B4852" s="2" t="str">
        <f>"1000001100005"</f>
        <v>1000001100005</v>
      </c>
      <c r="C4852" s="2" t="str">
        <f>"764807600"</f>
        <v>764807600</v>
      </c>
      <c r="D4852" s="2" t="s">
        <v>3797</v>
      </c>
      <c r="E4852" s="4">
        <v>4500</v>
      </c>
    </row>
    <row r="4853" spans="1:5" ht="26.25" x14ac:dyDescent="0.25">
      <c r="A4853" s="2" t="s">
        <v>10</v>
      </c>
      <c r="B4853" s="2" t="str">
        <f>"674807600"</f>
        <v>674807600</v>
      </c>
      <c r="C4853" s="2" t="str">
        <f>"674807600"</f>
        <v>674807600</v>
      </c>
      <c r="D4853" s="2" t="s">
        <v>3797</v>
      </c>
      <c r="E4853" s="4">
        <v>4500</v>
      </c>
    </row>
    <row r="4854" spans="1:5" ht="26.25" x14ac:dyDescent="0.25">
      <c r="A4854" s="2" t="s">
        <v>10</v>
      </c>
      <c r="B4854" s="2" t="str">
        <f>"275832293"</f>
        <v>275832293</v>
      </c>
      <c r="C4854" s="2" t="str">
        <f>"275832293"</f>
        <v>275832293</v>
      </c>
      <c r="D4854" s="2" t="s">
        <v>3798</v>
      </c>
      <c r="E4854" s="4">
        <v>3600</v>
      </c>
    </row>
    <row r="4855" spans="1:5" ht="26.25" x14ac:dyDescent="0.25">
      <c r="A4855" s="2" t="s">
        <v>10</v>
      </c>
      <c r="B4855" s="2" t="str">
        <f>"174832233"</f>
        <v>174832233</v>
      </c>
      <c r="C4855" s="2" t="str">
        <f>"174832233"</f>
        <v>174832233</v>
      </c>
      <c r="D4855" s="2" t="s">
        <v>3799</v>
      </c>
      <c r="E4855" s="4">
        <v>3500</v>
      </c>
    </row>
    <row r="4856" spans="1:5" ht="26.25" x14ac:dyDescent="0.25">
      <c r="A4856" s="2" t="s">
        <v>10</v>
      </c>
      <c r="B4856" s="2" t="str">
        <f>"174832281"</f>
        <v>174832281</v>
      </c>
      <c r="C4856" s="2" t="str">
        <f>"174832281"</f>
        <v>174832281</v>
      </c>
      <c r="D4856" s="2" t="s">
        <v>3800</v>
      </c>
      <c r="E4856" s="4">
        <v>3000</v>
      </c>
    </row>
    <row r="4857" spans="1:5" ht="26.25" x14ac:dyDescent="0.25">
      <c r="A4857" s="2" t="s">
        <v>10</v>
      </c>
      <c r="B4857" s="2" t="str">
        <f>"174832291"</f>
        <v>174832291</v>
      </c>
      <c r="C4857" s="2" t="str">
        <f>"174832291"</f>
        <v>174832291</v>
      </c>
      <c r="D4857" s="2" t="s">
        <v>3800</v>
      </c>
      <c r="E4857" s="4">
        <v>3000</v>
      </c>
    </row>
    <row r="4858" spans="1:5" ht="26.25" x14ac:dyDescent="0.25">
      <c r="A4858" s="2" t="s">
        <v>10</v>
      </c>
      <c r="B4858" s="2" t="str">
        <f>"174832214"</f>
        <v>174832214</v>
      </c>
      <c r="C4858" s="2" t="str">
        <f>"174832214"</f>
        <v>174832214</v>
      </c>
      <c r="D4858" s="2" t="s">
        <v>3801</v>
      </c>
      <c r="E4858" s="4">
        <v>3500</v>
      </c>
    </row>
    <row r="4859" spans="1:5" ht="26.25" x14ac:dyDescent="0.25">
      <c r="A4859" s="2" t="s">
        <v>10</v>
      </c>
      <c r="B4859" s="2" t="str">
        <f>"764832214"</f>
        <v>764832214</v>
      </c>
      <c r="C4859" s="2" t="str">
        <f>"764832214"</f>
        <v>764832214</v>
      </c>
      <c r="D4859" s="2" t="s">
        <v>3801</v>
      </c>
      <c r="E4859" s="4">
        <v>3500</v>
      </c>
    </row>
    <row r="4860" spans="1:5" ht="26.25" x14ac:dyDescent="0.25">
      <c r="A4860" s="2" t="s">
        <v>10</v>
      </c>
      <c r="B4860" s="2" t="str">
        <f>"76483214"</f>
        <v>76483214</v>
      </c>
      <c r="C4860" s="2" t="str">
        <f>"76483214"</f>
        <v>76483214</v>
      </c>
      <c r="D4860" s="2" t="s">
        <v>3801</v>
      </c>
      <c r="E4860" s="4">
        <v>3500</v>
      </c>
    </row>
    <row r="4861" spans="1:5" ht="26.25" x14ac:dyDescent="0.25">
      <c r="A4861" s="2" t="s">
        <v>10</v>
      </c>
      <c r="B4861" s="2" t="str">
        <f>"174832295"</f>
        <v>174832295</v>
      </c>
      <c r="C4861" s="2" t="str">
        <f>"174832295"</f>
        <v>174832295</v>
      </c>
      <c r="D4861" s="2" t="s">
        <v>3802</v>
      </c>
      <c r="E4861" s="4">
        <v>3500</v>
      </c>
    </row>
    <row r="4862" spans="1:5" ht="26.25" x14ac:dyDescent="0.25">
      <c r="A4862" s="2" t="s">
        <v>10</v>
      </c>
      <c r="B4862" s="2" t="str">
        <f>"767632296"</f>
        <v>767632296</v>
      </c>
      <c r="C4862" s="2" t="str">
        <f>"767632296"</f>
        <v>767632296</v>
      </c>
      <c r="D4862" s="2" t="s">
        <v>3803</v>
      </c>
      <c r="E4862" s="4">
        <v>5500</v>
      </c>
    </row>
    <row r="4863" spans="1:5" ht="26.25" x14ac:dyDescent="0.25">
      <c r="A4863" s="2" t="s">
        <v>10</v>
      </c>
      <c r="B4863" s="2" t="str">
        <f>"174832296"</f>
        <v>174832296</v>
      </c>
      <c r="C4863" s="2" t="str">
        <f>"174832296"</f>
        <v>174832296</v>
      </c>
      <c r="D4863" s="2" t="s">
        <v>3803</v>
      </c>
      <c r="E4863" s="4">
        <v>3500</v>
      </c>
    </row>
    <row r="4864" spans="1:5" ht="26.25" x14ac:dyDescent="0.25">
      <c r="A4864" s="2" t="s">
        <v>10</v>
      </c>
      <c r="B4864" s="2" t="str">
        <f>"767732296"</f>
        <v>767732296</v>
      </c>
      <c r="C4864" s="2" t="str">
        <f>"767732296"</f>
        <v>767732296</v>
      </c>
      <c r="D4864" s="2" t="s">
        <v>3803</v>
      </c>
      <c r="E4864" s="4">
        <v>4500</v>
      </c>
    </row>
    <row r="4865" spans="1:5" ht="26.25" x14ac:dyDescent="0.25">
      <c r="A4865" s="2" t="s">
        <v>10</v>
      </c>
      <c r="B4865" s="2" t="str">
        <f>"174809261"</f>
        <v>174809261</v>
      </c>
      <c r="C4865" s="2" t="str">
        <f>"174809261"</f>
        <v>174809261</v>
      </c>
      <c r="D4865" s="2" t="s">
        <v>3804</v>
      </c>
      <c r="E4865" s="4">
        <v>3500</v>
      </c>
    </row>
    <row r="4866" spans="1:5" ht="26.25" x14ac:dyDescent="0.25">
      <c r="A4866" s="2" t="s">
        <v>10</v>
      </c>
      <c r="B4866" s="2" t="str">
        <f>"76480965"</f>
        <v>76480965</v>
      </c>
      <c r="C4866" s="2" t="str">
        <f>"76480965"</f>
        <v>76480965</v>
      </c>
      <c r="D4866" s="2" t="s">
        <v>3805</v>
      </c>
      <c r="E4866" s="4">
        <v>3000</v>
      </c>
    </row>
    <row r="4867" spans="1:5" ht="26.25" x14ac:dyDescent="0.25">
      <c r="A4867" s="2" t="s">
        <v>10</v>
      </c>
      <c r="B4867" s="2" t="str">
        <f>"764809107"</f>
        <v>764809107</v>
      </c>
      <c r="C4867" s="2" t="str">
        <f>"764809107"</f>
        <v>764809107</v>
      </c>
      <c r="D4867" s="2" t="s">
        <v>3806</v>
      </c>
      <c r="E4867" s="4">
        <v>3500</v>
      </c>
    </row>
    <row r="4868" spans="1:5" ht="26.25" x14ac:dyDescent="0.25">
      <c r="A4868" s="2" t="s">
        <v>10</v>
      </c>
      <c r="B4868" s="2" t="str">
        <f>"110170708"</f>
        <v>110170708</v>
      </c>
      <c r="C4868" s="2" t="str">
        <f>"110170708"</f>
        <v>110170708</v>
      </c>
      <c r="D4868" s="2" t="s">
        <v>3807</v>
      </c>
      <c r="E4868" s="4">
        <v>3500</v>
      </c>
    </row>
    <row r="4869" spans="1:5" ht="26.25" x14ac:dyDescent="0.25">
      <c r="A4869" s="2" t="s">
        <v>10</v>
      </c>
      <c r="B4869" s="2" t="str">
        <f>"110172001"</f>
        <v>110172001</v>
      </c>
      <c r="C4869" s="2" t="str">
        <f>"110172001"</f>
        <v>110172001</v>
      </c>
      <c r="D4869" s="2" t="s">
        <v>3807</v>
      </c>
      <c r="E4869" s="4">
        <v>4000</v>
      </c>
    </row>
    <row r="4870" spans="1:5" ht="26.25" x14ac:dyDescent="0.25">
      <c r="A4870" s="2" t="s">
        <v>10</v>
      </c>
      <c r="B4870" s="2" t="str">
        <f>"174809130"</f>
        <v>174809130</v>
      </c>
      <c r="C4870" s="2" t="str">
        <f>"174809130"</f>
        <v>174809130</v>
      </c>
      <c r="D4870" s="2" t="s">
        <v>3808</v>
      </c>
      <c r="E4870" s="4">
        <v>3500</v>
      </c>
    </row>
    <row r="4871" spans="1:5" ht="26.25" x14ac:dyDescent="0.25">
      <c r="A4871" s="2" t="s">
        <v>10</v>
      </c>
      <c r="B4871" s="2" t="str">
        <f>"76580965"</f>
        <v>76580965</v>
      </c>
      <c r="C4871" s="2" t="str">
        <f>"76580965"</f>
        <v>76580965</v>
      </c>
      <c r="D4871" s="2" t="s">
        <v>3809</v>
      </c>
      <c r="E4871" s="4">
        <v>5000</v>
      </c>
    </row>
    <row r="4872" spans="1:5" ht="26.25" x14ac:dyDescent="0.25">
      <c r="A4872" s="2" t="s">
        <v>10</v>
      </c>
      <c r="B4872" s="2" t="str">
        <f>"76470966"</f>
        <v>76470966</v>
      </c>
      <c r="C4872" s="2" t="str">
        <f>"76470966"</f>
        <v>76470966</v>
      </c>
      <c r="D4872" s="2" t="s">
        <v>3810</v>
      </c>
      <c r="E4872" s="4">
        <v>4500</v>
      </c>
    </row>
    <row r="4873" spans="1:5" ht="26.25" x14ac:dyDescent="0.25">
      <c r="A4873" s="2" t="s">
        <v>10</v>
      </c>
      <c r="B4873" s="2" t="str">
        <f>"76480966"</f>
        <v>76480966</v>
      </c>
      <c r="C4873" s="2" t="str">
        <f>"76480966"</f>
        <v>76480966</v>
      </c>
      <c r="D4873" s="2" t="s">
        <v>3810</v>
      </c>
      <c r="E4873" s="4">
        <v>3500</v>
      </c>
    </row>
    <row r="4874" spans="1:5" ht="26.25" x14ac:dyDescent="0.25">
      <c r="A4874" s="2" t="s">
        <v>10</v>
      </c>
      <c r="B4874" s="2" t="str">
        <f>"17480951"</f>
        <v>17480951</v>
      </c>
      <c r="C4874" s="2" t="str">
        <f>"17480951"</f>
        <v>17480951</v>
      </c>
      <c r="D4874" s="2" t="s">
        <v>3811</v>
      </c>
      <c r="E4874" s="4">
        <v>3500</v>
      </c>
    </row>
    <row r="4875" spans="1:5" ht="26.25" x14ac:dyDescent="0.25">
      <c r="A4875" s="2" t="s">
        <v>10</v>
      </c>
      <c r="B4875" s="2" t="str">
        <f>"76480951"</f>
        <v>76480951</v>
      </c>
      <c r="C4875" s="2" t="str">
        <f>"76480951"</f>
        <v>76480951</v>
      </c>
      <c r="D4875" s="2" t="s">
        <v>3811</v>
      </c>
      <c r="E4875" s="4">
        <v>3500</v>
      </c>
    </row>
    <row r="4876" spans="1:5" ht="26.25" x14ac:dyDescent="0.25">
      <c r="A4876" s="2" t="s">
        <v>10</v>
      </c>
      <c r="B4876" s="2" t="str">
        <f>"17480989"</f>
        <v>17480989</v>
      </c>
      <c r="C4876" s="2" t="str">
        <f>"17480989"</f>
        <v>17480989</v>
      </c>
      <c r="D4876" s="2" t="s">
        <v>3811</v>
      </c>
      <c r="E4876" s="4">
        <v>3500</v>
      </c>
    </row>
    <row r="4877" spans="1:5" ht="26.25" x14ac:dyDescent="0.25">
      <c r="A4877" s="2" t="s">
        <v>10</v>
      </c>
      <c r="B4877" s="2" t="str">
        <f>"76480989"</f>
        <v>76480989</v>
      </c>
      <c r="C4877" s="2" t="str">
        <f>"76480989"</f>
        <v>76480989</v>
      </c>
      <c r="D4877" s="2" t="s">
        <v>3812</v>
      </c>
      <c r="E4877" s="4">
        <v>3500</v>
      </c>
    </row>
    <row r="4878" spans="1:5" ht="26.25" x14ac:dyDescent="0.25">
      <c r="A4878" s="2" t="s">
        <v>10</v>
      </c>
      <c r="B4878" s="2" t="str">
        <f>"17480956"</f>
        <v>17480956</v>
      </c>
      <c r="C4878" s="2" t="str">
        <f>"17480956"</f>
        <v>17480956</v>
      </c>
      <c r="D4878" s="2" t="s">
        <v>3813</v>
      </c>
      <c r="E4878" s="4">
        <v>3500</v>
      </c>
    </row>
    <row r="4879" spans="1:5" ht="26.25" x14ac:dyDescent="0.25">
      <c r="A4879" s="2" t="s">
        <v>10</v>
      </c>
      <c r="B4879" s="2" t="str">
        <f>"76480956"</f>
        <v>76480956</v>
      </c>
      <c r="C4879" s="2" t="str">
        <f>"76480956"</f>
        <v>76480956</v>
      </c>
      <c r="D4879" s="2" t="s">
        <v>3813</v>
      </c>
      <c r="E4879" s="4">
        <v>3500</v>
      </c>
    </row>
    <row r="4880" spans="1:5" ht="26.25" x14ac:dyDescent="0.25">
      <c r="A4880" s="2" t="s">
        <v>10</v>
      </c>
      <c r="B4880" s="2" t="str">
        <f>"17480952"</f>
        <v>17480952</v>
      </c>
      <c r="C4880" s="2" t="str">
        <f>"17480952"</f>
        <v>17480952</v>
      </c>
      <c r="D4880" s="2" t="s">
        <v>3814</v>
      </c>
      <c r="E4880" s="4">
        <v>3500</v>
      </c>
    </row>
    <row r="4881" spans="1:5" ht="26.25" x14ac:dyDescent="0.25">
      <c r="A4881" s="2" t="s">
        <v>10</v>
      </c>
      <c r="B4881" s="2" t="str">
        <f>"76580952"</f>
        <v>76580952</v>
      </c>
      <c r="C4881" s="2" t="str">
        <f>"76580952"</f>
        <v>76580952</v>
      </c>
      <c r="D4881" s="2" t="s">
        <v>3814</v>
      </c>
      <c r="E4881" s="4">
        <v>4500</v>
      </c>
    </row>
    <row r="4882" spans="1:5" ht="26.25" x14ac:dyDescent="0.25">
      <c r="A4882" s="2" t="s">
        <v>10</v>
      </c>
      <c r="B4882" s="2" t="str">
        <f>"174809154"</f>
        <v>174809154</v>
      </c>
      <c r="C4882" s="2" t="str">
        <f>"174809154"</f>
        <v>174809154</v>
      </c>
      <c r="D4882" s="2" t="s">
        <v>3814</v>
      </c>
      <c r="E4882" s="4">
        <v>3500</v>
      </c>
    </row>
    <row r="4883" spans="1:5" ht="26.25" x14ac:dyDescent="0.25">
      <c r="A4883" s="2" t="s">
        <v>10</v>
      </c>
      <c r="B4883" s="2" t="str">
        <f>"174810952"</f>
        <v>174810952</v>
      </c>
      <c r="C4883" s="2" t="str">
        <f>"174810952"</f>
        <v>174810952</v>
      </c>
      <c r="D4883" s="2" t="s">
        <v>3814</v>
      </c>
      <c r="E4883" s="4">
        <v>3500</v>
      </c>
    </row>
    <row r="4884" spans="1:5" ht="26.25" x14ac:dyDescent="0.25">
      <c r="A4884" s="2" t="s">
        <v>10</v>
      </c>
      <c r="B4884" s="2" t="str">
        <f>"344809154"</f>
        <v>344809154</v>
      </c>
      <c r="C4884" s="2" t="str">
        <f>"344809154"</f>
        <v>344809154</v>
      </c>
      <c r="D4884" s="2" t="s">
        <v>3814</v>
      </c>
      <c r="E4884" s="4">
        <v>3500</v>
      </c>
    </row>
    <row r="4885" spans="1:5" ht="26.25" x14ac:dyDescent="0.25">
      <c r="A4885" s="2" t="s">
        <v>10</v>
      </c>
      <c r="B4885" s="2" t="str">
        <f>"764809154"</f>
        <v>764809154</v>
      </c>
      <c r="C4885" s="2" t="str">
        <f>"764809154"</f>
        <v>764809154</v>
      </c>
      <c r="D4885" s="2" t="s">
        <v>3814</v>
      </c>
      <c r="E4885" s="4">
        <v>3500</v>
      </c>
    </row>
    <row r="4886" spans="1:5" ht="26.25" x14ac:dyDescent="0.25">
      <c r="A4886" s="2" t="s">
        <v>10</v>
      </c>
      <c r="B4886" s="2" t="str">
        <f>"174809205"</f>
        <v>174809205</v>
      </c>
      <c r="C4886" s="2" t="str">
        <f>"174809205"</f>
        <v>174809205</v>
      </c>
      <c r="D4886" s="2" t="s">
        <v>3815</v>
      </c>
      <c r="E4886" s="4">
        <v>3500</v>
      </c>
    </row>
    <row r="4887" spans="1:5" ht="26.25" x14ac:dyDescent="0.25">
      <c r="A4887" s="2" t="s">
        <v>10</v>
      </c>
      <c r="B4887" s="2" t="str">
        <f>"174709221"</f>
        <v>174709221</v>
      </c>
      <c r="C4887" s="2" t="str">
        <f>"174709221"</f>
        <v>174709221</v>
      </c>
      <c r="D4887" s="2" t="s">
        <v>3816</v>
      </c>
      <c r="E4887" s="4">
        <v>3500</v>
      </c>
    </row>
    <row r="4888" spans="1:5" ht="26.25" x14ac:dyDescent="0.25">
      <c r="A4888" s="2" t="s">
        <v>10</v>
      </c>
      <c r="B4888" s="2" t="str">
        <f>"765909221"</f>
        <v>765909221</v>
      </c>
      <c r="C4888" s="2" t="str">
        <f>"765909221"</f>
        <v>765909221</v>
      </c>
      <c r="D4888" s="2" t="s">
        <v>3816</v>
      </c>
      <c r="E4888" s="4">
        <v>4500</v>
      </c>
    </row>
    <row r="4889" spans="1:5" ht="26.25" x14ac:dyDescent="0.25">
      <c r="A4889" s="2" t="s">
        <v>10</v>
      </c>
      <c r="B4889" s="2" t="str">
        <f>"174809221"</f>
        <v>174809221</v>
      </c>
      <c r="C4889" s="2" t="str">
        <f>"174809221"</f>
        <v>174809221</v>
      </c>
      <c r="D4889" s="2" t="s">
        <v>3816</v>
      </c>
      <c r="E4889" s="4">
        <v>3500</v>
      </c>
    </row>
    <row r="4890" spans="1:5" ht="26.25" x14ac:dyDescent="0.25">
      <c r="A4890" s="2" t="s">
        <v>10</v>
      </c>
      <c r="B4890" s="2" t="str">
        <f>"175809221"</f>
        <v>175809221</v>
      </c>
      <c r="C4890" s="2" t="str">
        <f>"175809221"</f>
        <v>175809221</v>
      </c>
      <c r="D4890" s="2" t="s">
        <v>3816</v>
      </c>
      <c r="E4890" s="4">
        <v>3500</v>
      </c>
    </row>
    <row r="4891" spans="1:5" ht="26.25" x14ac:dyDescent="0.25">
      <c r="A4891" s="2" t="s">
        <v>10</v>
      </c>
      <c r="B4891" s="2" t="str">
        <f>"764809221"</f>
        <v>764809221</v>
      </c>
      <c r="C4891" s="2" t="str">
        <f>"764809221"</f>
        <v>764809221</v>
      </c>
      <c r="D4891" s="2" t="s">
        <v>3816</v>
      </c>
      <c r="E4891" s="4">
        <v>3500</v>
      </c>
    </row>
    <row r="4892" spans="1:5" ht="26.25" x14ac:dyDescent="0.25">
      <c r="A4892" s="2" t="s">
        <v>10</v>
      </c>
      <c r="B4892" s="2" t="str">
        <f>"764890221"</f>
        <v>764890221</v>
      </c>
      <c r="C4892" s="2" t="str">
        <f>"764890221"</f>
        <v>764890221</v>
      </c>
      <c r="D4892" s="2" t="s">
        <v>3816</v>
      </c>
      <c r="E4892" s="4">
        <v>3500</v>
      </c>
    </row>
    <row r="4893" spans="1:5" ht="26.25" x14ac:dyDescent="0.25">
      <c r="A4893" s="2" t="s">
        <v>10</v>
      </c>
      <c r="B4893" s="2" t="str">
        <f>"767509221"</f>
        <v>767509221</v>
      </c>
      <c r="C4893" s="2" t="str">
        <f>"767509221"</f>
        <v>767509221</v>
      </c>
      <c r="D4893" s="2" t="s">
        <v>3816</v>
      </c>
      <c r="E4893" s="4">
        <v>5500</v>
      </c>
    </row>
    <row r="4894" spans="1:5" ht="26.25" x14ac:dyDescent="0.25">
      <c r="A4894" s="2" t="s">
        <v>10</v>
      </c>
      <c r="B4894" s="2" t="str">
        <f>"767609221"</f>
        <v>767609221</v>
      </c>
      <c r="C4894" s="2" t="str">
        <f>"767609221"</f>
        <v>767609221</v>
      </c>
      <c r="D4894" s="2" t="s">
        <v>3816</v>
      </c>
      <c r="E4894" s="4">
        <v>5500</v>
      </c>
    </row>
    <row r="4895" spans="1:5" ht="26.25" x14ac:dyDescent="0.25">
      <c r="A4895" s="2" t="s">
        <v>10</v>
      </c>
      <c r="B4895" s="2" t="str">
        <f>"767709221"</f>
        <v>767709221</v>
      </c>
      <c r="C4895" s="2" t="str">
        <f>"767709221"</f>
        <v>767709221</v>
      </c>
      <c r="D4895" s="2" t="s">
        <v>3816</v>
      </c>
      <c r="E4895" s="4">
        <v>4500</v>
      </c>
    </row>
    <row r="4896" spans="1:5" ht="26.25" x14ac:dyDescent="0.25">
      <c r="A4896" s="2" t="s">
        <v>10</v>
      </c>
      <c r="B4896" s="2" t="str">
        <f>"684809221"</f>
        <v>684809221</v>
      </c>
      <c r="C4896" s="2" t="str">
        <f>"684809221"</f>
        <v>684809221</v>
      </c>
      <c r="D4896" s="2" t="s">
        <v>3816</v>
      </c>
      <c r="E4896" s="4">
        <v>3500</v>
      </c>
    </row>
    <row r="4897" spans="1:5" ht="26.25" x14ac:dyDescent="0.25">
      <c r="A4897" s="2" t="s">
        <v>10</v>
      </c>
      <c r="B4897" s="2" t="str">
        <f>"763909221"</f>
        <v>763909221</v>
      </c>
      <c r="C4897" s="2" t="str">
        <f>"763909221"</f>
        <v>763909221</v>
      </c>
      <c r="D4897" s="2" t="s">
        <v>3816</v>
      </c>
      <c r="E4897" s="4">
        <v>4500</v>
      </c>
    </row>
    <row r="4898" spans="1:5" ht="26.25" x14ac:dyDescent="0.25">
      <c r="A4898" s="2" t="s">
        <v>10</v>
      </c>
      <c r="B4898" s="2" t="str">
        <f>"765109221"</f>
        <v>765109221</v>
      </c>
      <c r="C4898" s="2" t="str">
        <f>"765109221"</f>
        <v>765109221</v>
      </c>
      <c r="D4898" s="2" t="s">
        <v>3816</v>
      </c>
      <c r="E4898" s="4">
        <v>4500</v>
      </c>
    </row>
    <row r="4899" spans="1:5" ht="26.25" x14ac:dyDescent="0.25">
      <c r="A4899" s="2" t="s">
        <v>10</v>
      </c>
      <c r="B4899" s="2" t="str">
        <f>"764809293"</f>
        <v>764809293</v>
      </c>
      <c r="C4899" s="2" t="str">
        <f>"764809293"</f>
        <v>764809293</v>
      </c>
      <c r="D4899" s="2" t="s">
        <v>3817</v>
      </c>
      <c r="E4899" s="4">
        <v>3500</v>
      </c>
    </row>
    <row r="4900" spans="1:5" ht="26.25" x14ac:dyDescent="0.25">
      <c r="A4900" s="2" t="s">
        <v>10</v>
      </c>
      <c r="B4900" s="2" t="str">
        <f>"1000000506157"</f>
        <v>1000000506157</v>
      </c>
      <c r="C4900" s="2" t="str">
        <f>"763909293"</f>
        <v>763909293</v>
      </c>
      <c r="D4900" s="2" t="s">
        <v>3817</v>
      </c>
      <c r="E4900" s="4">
        <v>4500</v>
      </c>
    </row>
    <row r="4901" spans="1:5" ht="26.25" x14ac:dyDescent="0.25">
      <c r="A4901" s="2" t="s">
        <v>10</v>
      </c>
      <c r="B4901" s="2" t="str">
        <f>"766409293"</f>
        <v>766409293</v>
      </c>
      <c r="C4901" s="2" t="str">
        <f>"766409293"</f>
        <v>766409293</v>
      </c>
      <c r="D4901" s="2" t="s">
        <v>3817</v>
      </c>
      <c r="E4901" s="4">
        <v>6000</v>
      </c>
    </row>
    <row r="4902" spans="1:5" ht="26.25" x14ac:dyDescent="0.25">
      <c r="A4902" s="2" t="s">
        <v>10</v>
      </c>
      <c r="B4902" s="2" t="str">
        <f>"174809293"</f>
        <v>174809293</v>
      </c>
      <c r="C4902" s="2" t="str">
        <f>"174809293"</f>
        <v>174809293</v>
      </c>
      <c r="D4902" s="2" t="s">
        <v>3817</v>
      </c>
      <c r="E4902" s="4">
        <v>3500</v>
      </c>
    </row>
    <row r="4903" spans="1:5" ht="26.25" x14ac:dyDescent="0.25">
      <c r="A4903" s="2" t="s">
        <v>10</v>
      </c>
      <c r="B4903" s="2" t="str">
        <f>"765109293"</f>
        <v>765109293</v>
      </c>
      <c r="C4903" s="2" t="str">
        <f>"765109293"</f>
        <v>765109293</v>
      </c>
      <c r="D4903" s="2" t="s">
        <v>3817</v>
      </c>
      <c r="E4903" s="4">
        <v>4500</v>
      </c>
    </row>
    <row r="4904" spans="1:5" ht="26.25" x14ac:dyDescent="0.25">
      <c r="A4904" s="2" t="s">
        <v>10</v>
      </c>
      <c r="B4904" s="2" t="str">
        <f>"1000001095257"</f>
        <v>1000001095257</v>
      </c>
      <c r="C4904" s="2" t="str">
        <f>"764809327"</f>
        <v>764809327</v>
      </c>
      <c r="D4904" s="2" t="s">
        <v>3818</v>
      </c>
      <c r="E4904" s="4">
        <v>4500</v>
      </c>
    </row>
    <row r="4905" spans="1:5" ht="26.25" x14ac:dyDescent="0.25">
      <c r="A4905" s="2" t="s">
        <v>10</v>
      </c>
      <c r="B4905" s="2" t="str">
        <f>"764809332"</f>
        <v>764809332</v>
      </c>
      <c r="C4905" s="2" t="str">
        <f>"764809332"</f>
        <v>764809332</v>
      </c>
      <c r="D4905" s="2" t="s">
        <v>3819</v>
      </c>
      <c r="E4905" s="4">
        <v>4500</v>
      </c>
    </row>
    <row r="4906" spans="1:5" ht="26.25" x14ac:dyDescent="0.25">
      <c r="A4906" s="2" t="s">
        <v>10</v>
      </c>
      <c r="B4906" s="2" t="str">
        <f>"764809291"</f>
        <v>764809291</v>
      </c>
      <c r="C4906" s="2" t="str">
        <f>"764809291"</f>
        <v>764809291</v>
      </c>
      <c r="D4906" s="2" t="s">
        <v>3820</v>
      </c>
      <c r="E4906" s="4">
        <v>4500</v>
      </c>
    </row>
    <row r="4907" spans="1:5" ht="26.25" x14ac:dyDescent="0.25">
      <c r="A4907" s="2" t="s">
        <v>10</v>
      </c>
      <c r="B4907" s="2" t="str">
        <f>"935109291"</f>
        <v>935109291</v>
      </c>
      <c r="C4907" s="2" t="str">
        <f>"935109291"</f>
        <v>935109291</v>
      </c>
      <c r="D4907" s="2" t="s">
        <v>3820</v>
      </c>
      <c r="E4907" s="4">
        <v>3500</v>
      </c>
    </row>
    <row r="4908" spans="1:5" ht="26.25" x14ac:dyDescent="0.25">
      <c r="A4908" s="2" t="s">
        <v>10</v>
      </c>
      <c r="B4908" s="2" t="str">
        <f>"765909291"</f>
        <v>765909291</v>
      </c>
      <c r="C4908" s="2" t="str">
        <f>"765909291"</f>
        <v>765909291</v>
      </c>
      <c r="D4908" s="2" t="s">
        <v>3820</v>
      </c>
      <c r="E4908" s="4">
        <v>4500</v>
      </c>
    </row>
    <row r="4909" spans="1:5" ht="26.25" x14ac:dyDescent="0.25">
      <c r="A4909" s="2" t="s">
        <v>10</v>
      </c>
      <c r="B4909" s="2" t="str">
        <f>"615109291"</f>
        <v>615109291</v>
      </c>
      <c r="C4909" s="2" t="str">
        <f>"615109291"</f>
        <v>615109291</v>
      </c>
      <c r="D4909" s="2" t="s">
        <v>3820</v>
      </c>
      <c r="E4909" s="4">
        <v>3500</v>
      </c>
    </row>
    <row r="4910" spans="1:5" ht="26.25" x14ac:dyDescent="0.25">
      <c r="A4910" s="2" t="s">
        <v>10</v>
      </c>
      <c r="B4910" s="2" t="str">
        <f>"325109291"</f>
        <v>325109291</v>
      </c>
      <c r="C4910" s="2" t="str">
        <f>"325109291"</f>
        <v>325109291</v>
      </c>
      <c r="D4910" s="2" t="s">
        <v>3820</v>
      </c>
      <c r="E4910" s="4">
        <v>3500</v>
      </c>
    </row>
    <row r="4911" spans="1:5" ht="26.25" x14ac:dyDescent="0.25">
      <c r="A4911" s="2" t="s">
        <v>10</v>
      </c>
      <c r="B4911" s="2" t="str">
        <f>"174809291"</f>
        <v>174809291</v>
      </c>
      <c r="C4911" s="2" t="str">
        <f>"174809291"</f>
        <v>174809291</v>
      </c>
      <c r="D4911" s="2" t="s">
        <v>3820</v>
      </c>
      <c r="E4911" s="4">
        <v>3500</v>
      </c>
    </row>
    <row r="4912" spans="1:5" ht="26.25" x14ac:dyDescent="0.25">
      <c r="A4912" s="2" t="s">
        <v>10</v>
      </c>
      <c r="B4912" s="2" t="str">
        <f>"763909291"</f>
        <v>763909291</v>
      </c>
      <c r="C4912" s="2" t="str">
        <f>"763909291"</f>
        <v>763909291</v>
      </c>
      <c r="D4912" s="2" t="s">
        <v>3820</v>
      </c>
      <c r="E4912" s="4">
        <v>4500</v>
      </c>
    </row>
    <row r="4913" spans="1:5" ht="26.25" x14ac:dyDescent="0.25">
      <c r="A4913" s="2" t="s">
        <v>10</v>
      </c>
      <c r="B4913" s="2" t="str">
        <f>"765109291"</f>
        <v>765109291</v>
      </c>
      <c r="C4913" s="2" t="str">
        <f>"765109291"</f>
        <v>765109291</v>
      </c>
      <c r="D4913" s="2" t="s">
        <v>3820</v>
      </c>
      <c r="E4913" s="4">
        <v>4500</v>
      </c>
    </row>
    <row r="4914" spans="1:5" ht="26.25" x14ac:dyDescent="0.25">
      <c r="A4914" s="2" t="s">
        <v>10</v>
      </c>
      <c r="B4914" s="2" t="str">
        <f>"1000001024134"</f>
        <v>1000001024134</v>
      </c>
      <c r="C4914" s="2" t="str">
        <f>"765109334"</f>
        <v>765109334</v>
      </c>
      <c r="D4914" s="2" t="s">
        <v>3821</v>
      </c>
      <c r="E4914" s="4">
        <v>4500</v>
      </c>
    </row>
    <row r="4915" spans="1:5" ht="26.25" x14ac:dyDescent="0.25">
      <c r="A4915" s="2" t="s">
        <v>10</v>
      </c>
      <c r="B4915" s="2" t="str">
        <f>"765109335"</f>
        <v>765109335</v>
      </c>
      <c r="C4915" s="2" t="str">
        <f>"765109335"</f>
        <v>765109335</v>
      </c>
      <c r="D4915" s="2" t="s">
        <v>3821</v>
      </c>
      <c r="E4915" s="4">
        <v>4500</v>
      </c>
    </row>
    <row r="4916" spans="1:5" ht="26.25" x14ac:dyDescent="0.25">
      <c r="A4916" s="2" t="s">
        <v>10</v>
      </c>
      <c r="B4916" s="2" t="str">
        <f>"685109334"</f>
        <v>685109334</v>
      </c>
      <c r="C4916" s="2" t="str">
        <f>"685109334"</f>
        <v>685109334</v>
      </c>
      <c r="D4916" s="2" t="s">
        <v>3821</v>
      </c>
      <c r="E4916" s="4">
        <v>4000</v>
      </c>
    </row>
    <row r="4917" spans="1:5" ht="26.25" x14ac:dyDescent="0.25">
      <c r="A4917" s="2" t="s">
        <v>10</v>
      </c>
      <c r="B4917" s="2" t="str">
        <f>"764809334"</f>
        <v>764809334</v>
      </c>
      <c r="C4917" s="2" t="str">
        <f>"764809334"</f>
        <v>764809334</v>
      </c>
      <c r="D4917" s="2" t="s">
        <v>3821</v>
      </c>
      <c r="E4917" s="4">
        <v>3500</v>
      </c>
    </row>
    <row r="4918" spans="1:5" ht="26.25" x14ac:dyDescent="0.25">
      <c r="A4918" s="2" t="s">
        <v>10</v>
      </c>
      <c r="B4918" s="2" t="str">
        <f>"174809214"</f>
        <v>174809214</v>
      </c>
      <c r="C4918" s="2" t="str">
        <f>"174809214"</f>
        <v>174809214</v>
      </c>
      <c r="D4918" s="2" t="s">
        <v>3822</v>
      </c>
      <c r="E4918" s="4">
        <v>3500</v>
      </c>
    </row>
    <row r="4919" spans="1:5" ht="26.25" x14ac:dyDescent="0.25">
      <c r="A4919" s="2" t="s">
        <v>10</v>
      </c>
      <c r="B4919" s="2" t="str">
        <f>"764809214"</f>
        <v>764809214</v>
      </c>
      <c r="C4919" s="2" t="str">
        <f>"764809214"</f>
        <v>764809214</v>
      </c>
      <c r="D4919" s="2" t="s">
        <v>3822</v>
      </c>
      <c r="E4919" s="4">
        <v>3500</v>
      </c>
    </row>
    <row r="4920" spans="1:5" ht="26.25" x14ac:dyDescent="0.25">
      <c r="A4920" s="2" t="s">
        <v>10</v>
      </c>
      <c r="B4920" s="2" t="str">
        <f>"765109333"</f>
        <v>765109333</v>
      </c>
      <c r="C4920" s="2" t="str">
        <f>"765109333"</f>
        <v>765109333</v>
      </c>
      <c r="D4920" s="2" t="s">
        <v>3823</v>
      </c>
      <c r="E4920" s="4">
        <v>4500</v>
      </c>
    </row>
    <row r="4921" spans="1:5" ht="26.25" x14ac:dyDescent="0.25">
      <c r="A4921" s="2" t="s">
        <v>10</v>
      </c>
      <c r="B4921" s="2" t="str">
        <f>"687109264"</f>
        <v>687109264</v>
      </c>
      <c r="C4921" s="2" t="str">
        <f>"687109264"</f>
        <v>687109264</v>
      </c>
      <c r="D4921" s="2" t="s">
        <v>3824</v>
      </c>
      <c r="E4921" s="4">
        <v>4800</v>
      </c>
    </row>
    <row r="4922" spans="1:5" ht="26.25" x14ac:dyDescent="0.25">
      <c r="A4922" s="2" t="s">
        <v>10</v>
      </c>
      <c r="B4922" s="2" t="str">
        <f>"174809250"</f>
        <v>174809250</v>
      </c>
      <c r="C4922" s="2" t="str">
        <f>"174809250"</f>
        <v>174809250</v>
      </c>
      <c r="D4922" s="2" t="s">
        <v>3825</v>
      </c>
      <c r="E4922" s="4">
        <v>3500</v>
      </c>
    </row>
    <row r="4923" spans="1:5" ht="26.25" x14ac:dyDescent="0.25">
      <c r="A4923" s="2" t="s">
        <v>10</v>
      </c>
      <c r="B4923" s="2" t="str">
        <f>"174809258"</f>
        <v>174809258</v>
      </c>
      <c r="C4923" s="2" t="str">
        <f>"174809258"</f>
        <v>174809258</v>
      </c>
      <c r="D4923" s="2" t="s">
        <v>3826</v>
      </c>
      <c r="E4923" s="4">
        <v>3500</v>
      </c>
    </row>
    <row r="4924" spans="1:5" ht="26.25" x14ac:dyDescent="0.25">
      <c r="A4924" s="2" t="s">
        <v>10</v>
      </c>
      <c r="B4924" s="2" t="str">
        <f>"764809258"</f>
        <v>764809258</v>
      </c>
      <c r="C4924" s="2" t="str">
        <f>"764809258"</f>
        <v>764809258</v>
      </c>
      <c r="D4924" s="2" t="s">
        <v>3826</v>
      </c>
      <c r="E4924" s="4">
        <v>3000</v>
      </c>
    </row>
    <row r="4925" spans="1:5" ht="26.25" x14ac:dyDescent="0.25">
      <c r="A4925" s="2" t="s">
        <v>10</v>
      </c>
      <c r="B4925" s="2" t="str">
        <f>"174809213"</f>
        <v>174809213</v>
      </c>
      <c r="C4925" s="2" t="str">
        <f>"174809213"</f>
        <v>174809213</v>
      </c>
      <c r="D4925" s="2" t="s">
        <v>3827</v>
      </c>
      <c r="E4925" s="4">
        <v>3500</v>
      </c>
    </row>
    <row r="4926" spans="1:5" ht="26.25" x14ac:dyDescent="0.25">
      <c r="A4926" s="2" t="s">
        <v>10</v>
      </c>
      <c r="B4926" s="2" t="str">
        <f>"1748009213"</f>
        <v>1748009213</v>
      </c>
      <c r="C4926" s="2" t="str">
        <f>"1748009213"</f>
        <v>1748009213</v>
      </c>
      <c r="D4926" s="2" t="s">
        <v>3827</v>
      </c>
      <c r="E4926" s="4">
        <v>3000</v>
      </c>
    </row>
    <row r="4927" spans="1:5" ht="26.25" x14ac:dyDescent="0.25">
      <c r="A4927" s="2" t="s">
        <v>10</v>
      </c>
      <c r="B4927" s="2" t="str">
        <f>"345809213"</f>
        <v>345809213</v>
      </c>
      <c r="C4927" s="2" t="str">
        <f>"345809213"</f>
        <v>345809213</v>
      </c>
      <c r="D4927" s="2" t="s">
        <v>3827</v>
      </c>
      <c r="E4927" s="4">
        <v>5500</v>
      </c>
    </row>
    <row r="4928" spans="1:5" ht="26.25" x14ac:dyDescent="0.25">
      <c r="A4928" s="2" t="s">
        <v>10</v>
      </c>
      <c r="B4928" s="2" t="str">
        <f>"767509213"</f>
        <v>767509213</v>
      </c>
      <c r="C4928" s="2" t="str">
        <f>"767509213"</f>
        <v>767509213</v>
      </c>
      <c r="D4928" s="2" t="s">
        <v>3827</v>
      </c>
      <c r="E4928" s="4">
        <v>4500</v>
      </c>
    </row>
    <row r="4929" spans="1:5" ht="26.25" x14ac:dyDescent="0.25">
      <c r="A4929" s="2" t="s">
        <v>10</v>
      </c>
      <c r="B4929" s="2" t="str">
        <f>"174809215"</f>
        <v>174809215</v>
      </c>
      <c r="C4929" s="2" t="str">
        <f>"174809215"</f>
        <v>174809215</v>
      </c>
      <c r="D4929" s="2" t="s">
        <v>3828</v>
      </c>
      <c r="E4929" s="4">
        <v>3500</v>
      </c>
    </row>
    <row r="4930" spans="1:5" ht="26.25" x14ac:dyDescent="0.25">
      <c r="A4930" s="2" t="s">
        <v>10</v>
      </c>
      <c r="B4930" s="2" t="str">
        <f>"275109215"</f>
        <v>275109215</v>
      </c>
      <c r="C4930" s="2" t="str">
        <f>"275109215"</f>
        <v>275109215</v>
      </c>
      <c r="D4930" s="2" t="s">
        <v>3828</v>
      </c>
      <c r="E4930" s="4">
        <v>3500</v>
      </c>
    </row>
    <row r="4931" spans="1:5" ht="26.25" x14ac:dyDescent="0.25">
      <c r="A4931" s="2" t="s">
        <v>10</v>
      </c>
      <c r="B4931" s="2" t="str">
        <f>"764809215"</f>
        <v>764809215</v>
      </c>
      <c r="C4931" s="2" t="str">
        <f>"764809215"</f>
        <v>764809215</v>
      </c>
      <c r="D4931" s="2" t="s">
        <v>3828</v>
      </c>
      <c r="E4931" s="4">
        <v>4500</v>
      </c>
    </row>
    <row r="4932" spans="1:5" ht="26.25" x14ac:dyDescent="0.25">
      <c r="A4932" s="2" t="s">
        <v>10</v>
      </c>
      <c r="B4932" s="2" t="str">
        <f>"765109215"</f>
        <v>765109215</v>
      </c>
      <c r="C4932" s="2" t="str">
        <f>"765109215"</f>
        <v>765109215</v>
      </c>
      <c r="D4932" s="2" t="s">
        <v>3828</v>
      </c>
      <c r="E4932" s="4">
        <v>4500</v>
      </c>
    </row>
    <row r="4933" spans="1:5" ht="26.25" x14ac:dyDescent="0.25">
      <c r="A4933" s="2" t="s">
        <v>10</v>
      </c>
      <c r="B4933" s="2" t="str">
        <f>"764714155"</f>
        <v>764714155</v>
      </c>
      <c r="C4933" s="2" t="str">
        <f>"764714155"</f>
        <v>764714155</v>
      </c>
      <c r="D4933" s="2" t="s">
        <v>3829</v>
      </c>
      <c r="E4933" s="4">
        <v>3000</v>
      </c>
    </row>
    <row r="4934" spans="1:5" ht="26.25" x14ac:dyDescent="0.25">
      <c r="A4934" s="2" t="s">
        <v>10</v>
      </c>
      <c r="B4934" s="2" t="str">
        <f>"764809193"</f>
        <v>764809193</v>
      </c>
      <c r="C4934" s="2" t="str">
        <f>"764809193"</f>
        <v>764809193</v>
      </c>
      <c r="D4934" s="2" t="s">
        <v>3829</v>
      </c>
      <c r="E4934" s="4">
        <v>3500</v>
      </c>
    </row>
    <row r="4935" spans="1:5" ht="26.25" x14ac:dyDescent="0.25">
      <c r="A4935" s="2" t="s">
        <v>10</v>
      </c>
      <c r="B4935" s="2" t="str">
        <f>"764814107"</f>
        <v>764814107</v>
      </c>
      <c r="C4935" s="2" t="str">
        <f>"764814107"</f>
        <v>764814107</v>
      </c>
      <c r="D4935" s="2" t="s">
        <v>3829</v>
      </c>
      <c r="E4935" s="4">
        <v>3500</v>
      </c>
    </row>
    <row r="4936" spans="1:5" ht="26.25" x14ac:dyDescent="0.25">
      <c r="A4936" s="2" t="s">
        <v>10</v>
      </c>
      <c r="B4936" s="2" t="str">
        <f>"764609107"</f>
        <v>764609107</v>
      </c>
      <c r="C4936" s="2" t="str">
        <f>"764609107"</f>
        <v>764609107</v>
      </c>
      <c r="D4936" s="2" t="s">
        <v>3830</v>
      </c>
      <c r="E4936" s="4">
        <v>3900</v>
      </c>
    </row>
    <row r="4937" spans="1:5" ht="26.25" x14ac:dyDescent="0.25">
      <c r="A4937" s="2" t="s">
        <v>10</v>
      </c>
      <c r="B4937" s="2" t="str">
        <f>"174809263"</f>
        <v>174809263</v>
      </c>
      <c r="C4937" s="2" t="str">
        <f>"174809263"</f>
        <v>174809263</v>
      </c>
      <c r="D4937" s="2" t="s">
        <v>3831</v>
      </c>
      <c r="E4937" s="4">
        <v>3500</v>
      </c>
    </row>
    <row r="4938" spans="1:5" ht="26.25" x14ac:dyDescent="0.25">
      <c r="A4938" s="2" t="s">
        <v>10</v>
      </c>
      <c r="B4938" s="2" t="str">
        <f>"17480971"</f>
        <v>17480971</v>
      </c>
      <c r="C4938" s="2" t="str">
        <f>"17480971"</f>
        <v>17480971</v>
      </c>
      <c r="D4938" s="2" t="s">
        <v>3832</v>
      </c>
      <c r="E4938" s="4">
        <v>3500</v>
      </c>
    </row>
    <row r="4939" spans="1:5" ht="26.25" x14ac:dyDescent="0.25">
      <c r="A4939" s="2" t="s">
        <v>10</v>
      </c>
      <c r="B4939" s="2" t="str">
        <f>"76480971"</f>
        <v>76480971</v>
      </c>
      <c r="C4939" s="2" t="str">
        <f>"76480971"</f>
        <v>76480971</v>
      </c>
      <c r="D4939" s="2" t="s">
        <v>3832</v>
      </c>
      <c r="E4939" s="4">
        <v>3500</v>
      </c>
    </row>
    <row r="4940" spans="1:5" ht="26.25" x14ac:dyDescent="0.25">
      <c r="A4940" s="2" t="s">
        <v>10</v>
      </c>
      <c r="B4940" s="2" t="str">
        <f>"76580971"</f>
        <v>76580971</v>
      </c>
      <c r="C4940" s="2" t="str">
        <f>"76580971"</f>
        <v>76580971</v>
      </c>
      <c r="D4940" s="2" t="s">
        <v>3833</v>
      </c>
      <c r="E4940" s="4">
        <v>4500</v>
      </c>
    </row>
    <row r="4941" spans="1:5" ht="26.25" x14ac:dyDescent="0.25">
      <c r="A4941" s="2" t="s">
        <v>10</v>
      </c>
      <c r="B4941" s="2" t="str">
        <f>"17480990"</f>
        <v>17480990</v>
      </c>
      <c r="C4941" s="2" t="str">
        <f>"17480990"</f>
        <v>17480990</v>
      </c>
      <c r="D4941" s="2" t="s">
        <v>3834</v>
      </c>
      <c r="E4941" s="4">
        <v>3500</v>
      </c>
    </row>
    <row r="4942" spans="1:5" ht="26.25" x14ac:dyDescent="0.25">
      <c r="A4942" s="2" t="s">
        <v>10</v>
      </c>
      <c r="B4942" s="2" t="str">
        <f>"76480990"</f>
        <v>76480990</v>
      </c>
      <c r="C4942" s="2" t="str">
        <f>"76480990"</f>
        <v>76480990</v>
      </c>
      <c r="D4942" s="2" t="s">
        <v>3834</v>
      </c>
      <c r="E4942" s="4">
        <v>3500</v>
      </c>
    </row>
    <row r="4943" spans="1:5" ht="26.25" x14ac:dyDescent="0.25">
      <c r="A4943" s="2" t="s">
        <v>10</v>
      </c>
      <c r="B4943" s="2" t="str">
        <f>"17480910"</f>
        <v>17480910</v>
      </c>
      <c r="C4943" s="2" t="str">
        <f>"17480910"</f>
        <v>17480910</v>
      </c>
      <c r="D4943" s="2" t="s">
        <v>3835</v>
      </c>
      <c r="E4943" s="4">
        <v>3500</v>
      </c>
    </row>
    <row r="4944" spans="1:5" ht="26.25" x14ac:dyDescent="0.25">
      <c r="A4944" s="2" t="s">
        <v>10</v>
      </c>
      <c r="B4944" s="2" t="str">
        <f>"34480910"</f>
        <v>34480910</v>
      </c>
      <c r="C4944" s="2" t="str">
        <f>"34480910"</f>
        <v>34480910</v>
      </c>
      <c r="D4944" s="2" t="s">
        <v>3835</v>
      </c>
      <c r="E4944" s="4">
        <v>3500</v>
      </c>
    </row>
    <row r="4945" spans="1:5" ht="26.25" x14ac:dyDescent="0.25">
      <c r="A4945" s="2" t="s">
        <v>10</v>
      </c>
      <c r="B4945" s="2" t="str">
        <f>"76480934"</f>
        <v>76480934</v>
      </c>
      <c r="C4945" s="2" t="str">
        <f>"76480934"</f>
        <v>76480934</v>
      </c>
      <c r="D4945" s="2" t="s">
        <v>3835</v>
      </c>
      <c r="E4945" s="4">
        <v>3500</v>
      </c>
    </row>
    <row r="4946" spans="1:5" ht="26.25" x14ac:dyDescent="0.25">
      <c r="A4946" s="2" t="s">
        <v>10</v>
      </c>
      <c r="B4946" s="2" t="str">
        <f>"76480910"</f>
        <v>76480910</v>
      </c>
      <c r="C4946" s="2" t="str">
        <f>"76480910"</f>
        <v>76480910</v>
      </c>
      <c r="D4946" s="2" t="s">
        <v>3836</v>
      </c>
      <c r="E4946" s="4">
        <v>3500</v>
      </c>
    </row>
    <row r="4947" spans="1:5" ht="26.25" x14ac:dyDescent="0.25">
      <c r="A4947" s="2" t="s">
        <v>10</v>
      </c>
      <c r="B4947" s="2" t="str">
        <f>"764614107"</f>
        <v>764614107</v>
      </c>
      <c r="C4947" s="2" t="str">
        <f>"764614107"</f>
        <v>764614107</v>
      </c>
      <c r="D4947" s="2" t="s">
        <v>3837</v>
      </c>
      <c r="E4947" s="4">
        <v>3900</v>
      </c>
    </row>
    <row r="4948" spans="1:5" ht="26.25" x14ac:dyDescent="0.25">
      <c r="A4948" s="2" t="s">
        <v>10</v>
      </c>
      <c r="B4948" s="2" t="str">
        <f>"174809155"</f>
        <v>174809155</v>
      </c>
      <c r="C4948" s="2" t="str">
        <f>"174809155"</f>
        <v>174809155</v>
      </c>
      <c r="D4948" s="2" t="s">
        <v>3838</v>
      </c>
      <c r="E4948" s="4">
        <v>3500</v>
      </c>
    </row>
    <row r="4949" spans="1:5" ht="26.25" x14ac:dyDescent="0.25">
      <c r="A4949" s="2" t="s">
        <v>10</v>
      </c>
      <c r="B4949" s="2" t="str">
        <f>"764809328"</f>
        <v>764809328</v>
      </c>
      <c r="C4949" s="2" t="str">
        <f>"764809328"</f>
        <v>764809328</v>
      </c>
      <c r="D4949" s="2" t="s">
        <v>3839</v>
      </c>
      <c r="E4949" s="4">
        <v>4500</v>
      </c>
    </row>
    <row r="4950" spans="1:5" ht="26.25" x14ac:dyDescent="0.25">
      <c r="A4950" s="2" t="s">
        <v>10</v>
      </c>
      <c r="B4950" s="2" t="str">
        <f>"765109325"</f>
        <v>765109325</v>
      </c>
      <c r="C4950" s="2" t="str">
        <f>"765109325"</f>
        <v>765109325</v>
      </c>
      <c r="D4950" s="2" t="s">
        <v>3840</v>
      </c>
      <c r="E4950" s="4">
        <v>4500</v>
      </c>
    </row>
    <row r="4951" spans="1:5" ht="26.25" x14ac:dyDescent="0.25">
      <c r="A4951" s="2" t="s">
        <v>10</v>
      </c>
      <c r="B4951" s="2" t="str">
        <f>"764809325"</f>
        <v>764809325</v>
      </c>
      <c r="C4951" s="2" t="str">
        <f>"764809325"</f>
        <v>764809325</v>
      </c>
      <c r="D4951" s="2" t="s">
        <v>3840</v>
      </c>
      <c r="E4951" s="4">
        <v>4500</v>
      </c>
    </row>
    <row r="4952" spans="1:5" ht="26.25" x14ac:dyDescent="0.25">
      <c r="A4952" s="2" t="s">
        <v>10</v>
      </c>
      <c r="B4952" s="2" t="str">
        <f>"1000001095271"</f>
        <v>1000001095271</v>
      </c>
      <c r="C4952" s="2" t="str">
        <f>"765109326"</f>
        <v>765109326</v>
      </c>
      <c r="D4952" s="2" t="s">
        <v>3841</v>
      </c>
      <c r="E4952" s="4">
        <v>4500</v>
      </c>
    </row>
    <row r="4953" spans="1:5" ht="26.25" x14ac:dyDescent="0.25">
      <c r="A4953" s="2" t="s">
        <v>10</v>
      </c>
      <c r="B4953" s="2" t="str">
        <f>"767709235"</f>
        <v>767709235</v>
      </c>
      <c r="C4953" s="2" t="str">
        <f>"767709235"</f>
        <v>767709235</v>
      </c>
      <c r="D4953" s="2" t="s">
        <v>3842</v>
      </c>
      <c r="E4953" s="4">
        <v>1500</v>
      </c>
    </row>
    <row r="4954" spans="1:5" ht="26.25" x14ac:dyDescent="0.25">
      <c r="A4954" s="2" t="s">
        <v>10</v>
      </c>
      <c r="B4954" s="2" t="str">
        <f>"764809292"</f>
        <v>764809292</v>
      </c>
      <c r="C4954" s="2" t="str">
        <f>"764809292"</f>
        <v>764809292</v>
      </c>
      <c r="D4954" s="2" t="s">
        <v>3843</v>
      </c>
      <c r="E4954" s="4">
        <v>4500</v>
      </c>
    </row>
    <row r="4955" spans="1:5" ht="26.25" x14ac:dyDescent="0.25">
      <c r="A4955" s="2" t="s">
        <v>10</v>
      </c>
      <c r="B4955" s="2" t="str">
        <f>"764709292"</f>
        <v>764709292</v>
      </c>
      <c r="C4955" s="2" t="str">
        <f>"764709292"</f>
        <v>764709292</v>
      </c>
      <c r="D4955" s="2" t="s">
        <v>3843</v>
      </c>
      <c r="E4955" s="4">
        <v>4500</v>
      </c>
    </row>
    <row r="4956" spans="1:5" ht="26.25" x14ac:dyDescent="0.25">
      <c r="A4956" s="2" t="s">
        <v>10</v>
      </c>
      <c r="B4956" s="2" t="str">
        <f>"175109292"</f>
        <v>175109292</v>
      </c>
      <c r="C4956" s="2" t="str">
        <f>"175109292"</f>
        <v>175109292</v>
      </c>
      <c r="D4956" s="2" t="s">
        <v>3843</v>
      </c>
      <c r="E4956" s="4">
        <v>3500</v>
      </c>
    </row>
    <row r="4957" spans="1:5" ht="26.25" x14ac:dyDescent="0.25">
      <c r="A4957" s="2" t="s">
        <v>10</v>
      </c>
      <c r="B4957" s="2" t="str">
        <f>"765109292"</f>
        <v>765109292</v>
      </c>
      <c r="C4957" s="2" t="str">
        <f>"765109292"</f>
        <v>765109292</v>
      </c>
      <c r="D4957" s="2" t="s">
        <v>3843</v>
      </c>
      <c r="E4957" s="4">
        <v>4500</v>
      </c>
    </row>
    <row r="4958" spans="1:5" ht="26.25" x14ac:dyDescent="0.25">
      <c r="A4958" s="2" t="s">
        <v>10</v>
      </c>
      <c r="B4958" s="2" t="str">
        <f>"935109292"</f>
        <v>935109292</v>
      </c>
      <c r="C4958" s="2" t="str">
        <f>"935109292"</f>
        <v>935109292</v>
      </c>
      <c r="D4958" s="2" t="s">
        <v>3843</v>
      </c>
      <c r="E4958" s="4">
        <v>3500</v>
      </c>
    </row>
    <row r="4959" spans="1:5" ht="26.25" x14ac:dyDescent="0.25">
      <c r="A4959" s="2" t="s">
        <v>10</v>
      </c>
      <c r="B4959" s="2" t="str">
        <f>"685109292"</f>
        <v>685109292</v>
      </c>
      <c r="C4959" s="2" t="str">
        <f>"685109292"</f>
        <v>685109292</v>
      </c>
      <c r="D4959" s="2" t="s">
        <v>3843</v>
      </c>
      <c r="E4959" s="4">
        <v>3500</v>
      </c>
    </row>
    <row r="4960" spans="1:5" ht="26.25" x14ac:dyDescent="0.25">
      <c r="A4960" s="2" t="s">
        <v>10</v>
      </c>
      <c r="B4960" s="2" t="str">
        <f>"767509292"</f>
        <v>767509292</v>
      </c>
      <c r="C4960" s="2" t="str">
        <f>"767510292"</f>
        <v>767510292</v>
      </c>
      <c r="D4960" s="2" t="s">
        <v>3843</v>
      </c>
      <c r="E4960" s="4">
        <v>4500</v>
      </c>
    </row>
    <row r="4961" spans="1:5" ht="26.25" x14ac:dyDescent="0.25">
      <c r="A4961" s="2" t="s">
        <v>10</v>
      </c>
      <c r="B4961" s="2" t="str">
        <f>"174709261"</f>
        <v>174709261</v>
      </c>
      <c r="C4961" s="2" t="str">
        <f>"174709261"</f>
        <v>174709261</v>
      </c>
      <c r="D4961" s="2" t="s">
        <v>3804</v>
      </c>
      <c r="E4961" s="4">
        <v>3500</v>
      </c>
    </row>
    <row r="4962" spans="1:5" ht="26.25" x14ac:dyDescent="0.25">
      <c r="A4962" s="2" t="s">
        <v>10</v>
      </c>
      <c r="B4962" s="2" t="str">
        <f>"275809261"</f>
        <v>275809261</v>
      </c>
      <c r="C4962" s="2" t="str">
        <f>"275809261"</f>
        <v>275809261</v>
      </c>
      <c r="D4962" s="2" t="s">
        <v>3804</v>
      </c>
      <c r="E4962" s="4">
        <v>3600</v>
      </c>
    </row>
    <row r="4963" spans="1:5" ht="26.25" x14ac:dyDescent="0.25">
      <c r="A4963" s="2" t="s">
        <v>10</v>
      </c>
      <c r="B4963" s="2" t="str">
        <f>"767509261"</f>
        <v>767509261</v>
      </c>
      <c r="C4963" s="2" t="str">
        <f>"767509261"</f>
        <v>767509261</v>
      </c>
      <c r="D4963" s="2" t="s">
        <v>3804</v>
      </c>
      <c r="E4963" s="4">
        <v>5500</v>
      </c>
    </row>
    <row r="4964" spans="1:5" ht="26.25" x14ac:dyDescent="0.25">
      <c r="A4964" s="2" t="s">
        <v>10</v>
      </c>
      <c r="B4964" s="2" t="str">
        <f>"760409292"</f>
        <v>760409292</v>
      </c>
      <c r="C4964" s="2" t="str">
        <f>"760409292"</f>
        <v>760409292</v>
      </c>
      <c r="D4964" s="2" t="s">
        <v>3844</v>
      </c>
      <c r="E4964" s="4">
        <v>4500</v>
      </c>
    </row>
    <row r="4965" spans="1:5" ht="26.25" x14ac:dyDescent="0.25">
      <c r="A4965" s="2" t="s">
        <v>10</v>
      </c>
      <c r="B4965" s="2" t="str">
        <f>"174809292"</f>
        <v>174809292</v>
      </c>
      <c r="C4965" s="2" t="str">
        <f>"174809292"</f>
        <v>174809292</v>
      </c>
      <c r="D4965" s="2" t="s">
        <v>3844</v>
      </c>
      <c r="E4965" s="4">
        <v>3500</v>
      </c>
    </row>
    <row r="4966" spans="1:5" ht="26.25" x14ac:dyDescent="0.25">
      <c r="A4966" s="2" t="s">
        <v>10</v>
      </c>
      <c r="B4966" s="2" t="str">
        <f>"174809204"</f>
        <v>174809204</v>
      </c>
      <c r="C4966" s="2" t="str">
        <f>"174809204"</f>
        <v>174809204</v>
      </c>
      <c r="D4966" s="2" t="s">
        <v>3845</v>
      </c>
      <c r="E4966" s="4">
        <v>3500</v>
      </c>
    </row>
    <row r="4967" spans="1:5" ht="26.25" x14ac:dyDescent="0.25">
      <c r="A4967" s="2" t="s">
        <v>10</v>
      </c>
      <c r="B4967" s="2" t="str">
        <f>"765809271"</f>
        <v>765809271</v>
      </c>
      <c r="C4967" s="2" t="str">
        <f>"765809271"</f>
        <v>765809271</v>
      </c>
      <c r="D4967" s="2" t="s">
        <v>3846</v>
      </c>
      <c r="E4967" s="4">
        <v>5500</v>
      </c>
    </row>
    <row r="4968" spans="1:5" ht="26.25" x14ac:dyDescent="0.25">
      <c r="A4968" s="2" t="s">
        <v>10</v>
      </c>
      <c r="B4968" s="2" t="str">
        <f>"174809277"</f>
        <v>174809277</v>
      </c>
      <c r="C4968" s="2" t="str">
        <f>"174809277"</f>
        <v>174809277</v>
      </c>
      <c r="D4968" s="2" t="s">
        <v>3847</v>
      </c>
      <c r="E4968" s="4">
        <v>3600</v>
      </c>
    </row>
    <row r="4969" spans="1:5" ht="26.25" x14ac:dyDescent="0.25">
      <c r="A4969" s="2" t="s">
        <v>10</v>
      </c>
      <c r="B4969" s="2" t="str">
        <f>"175809277"</f>
        <v>175809277</v>
      </c>
      <c r="C4969" s="2" t="str">
        <f>"175809277"</f>
        <v>175809277</v>
      </c>
      <c r="D4969" s="2" t="s">
        <v>3847</v>
      </c>
      <c r="E4969" s="4">
        <v>3500</v>
      </c>
    </row>
    <row r="4970" spans="1:5" ht="26.25" x14ac:dyDescent="0.25">
      <c r="A4970" s="2" t="s">
        <v>10</v>
      </c>
      <c r="B4970" s="2" t="str">
        <f>"684809277"</f>
        <v>684809277</v>
      </c>
      <c r="C4970" s="2" t="str">
        <f>"684809277"</f>
        <v>684809277</v>
      </c>
      <c r="D4970" s="2" t="s">
        <v>3847</v>
      </c>
      <c r="E4970" s="4">
        <v>3500</v>
      </c>
    </row>
    <row r="4971" spans="1:5" ht="26.25" x14ac:dyDescent="0.25">
      <c r="A4971" s="2" t="s">
        <v>10</v>
      </c>
      <c r="B4971" s="2" t="str">
        <f>"767509277"</f>
        <v>767509277</v>
      </c>
      <c r="C4971" s="2" t="str">
        <f>"767509277"</f>
        <v>767509277</v>
      </c>
      <c r="D4971" s="2" t="s">
        <v>3847</v>
      </c>
      <c r="E4971" s="4">
        <v>4500</v>
      </c>
    </row>
    <row r="4972" spans="1:5" ht="26.25" x14ac:dyDescent="0.25">
      <c r="A4972" s="2" t="s">
        <v>10</v>
      </c>
      <c r="B4972" s="2" t="str">
        <f>"767709285"</f>
        <v>767709285</v>
      </c>
      <c r="C4972" s="2" t="str">
        <f>"767709285"</f>
        <v>767709285</v>
      </c>
      <c r="D4972" s="2" t="s">
        <v>3848</v>
      </c>
      <c r="E4972" s="4">
        <v>4500</v>
      </c>
    </row>
    <row r="4973" spans="1:5" ht="26.25" x14ac:dyDescent="0.25">
      <c r="A4973" s="2" t="s">
        <v>10</v>
      </c>
      <c r="B4973" s="2" t="str">
        <f>"174809286"</f>
        <v>174809286</v>
      </c>
      <c r="C4973" s="2" t="str">
        <f>"174809286"</f>
        <v>174809286</v>
      </c>
      <c r="D4973" s="2" t="s">
        <v>3849</v>
      </c>
      <c r="E4973" s="4">
        <v>3500</v>
      </c>
    </row>
    <row r="4974" spans="1:5" ht="26.25" x14ac:dyDescent="0.25">
      <c r="A4974" s="2" t="s">
        <v>10</v>
      </c>
      <c r="B4974" s="2" t="str">
        <f>"684809286"</f>
        <v>684809286</v>
      </c>
      <c r="C4974" s="2" t="str">
        <f>"684809286"</f>
        <v>684809286</v>
      </c>
      <c r="D4974" s="2" t="s">
        <v>3850</v>
      </c>
      <c r="E4974" s="4">
        <v>3500</v>
      </c>
    </row>
    <row r="4975" spans="1:5" ht="26.25" x14ac:dyDescent="0.25">
      <c r="A4975" s="2" t="s">
        <v>10</v>
      </c>
      <c r="B4975" s="2" t="str">
        <f>"175809250"</f>
        <v>175809250</v>
      </c>
      <c r="C4975" s="2" t="str">
        <f>"175809250"</f>
        <v>175809250</v>
      </c>
      <c r="D4975" s="2" t="s">
        <v>3851</v>
      </c>
      <c r="E4975" s="4">
        <v>3500</v>
      </c>
    </row>
    <row r="4976" spans="1:5" ht="26.25" x14ac:dyDescent="0.25">
      <c r="A4976" s="2" t="s">
        <v>10</v>
      </c>
      <c r="B4976" s="2" t="str">
        <f>"174809271"</f>
        <v>174809271</v>
      </c>
      <c r="C4976" s="2" t="str">
        <f>"174809271"</f>
        <v>174809271</v>
      </c>
      <c r="D4976" s="2" t="s">
        <v>3852</v>
      </c>
      <c r="E4976" s="4">
        <v>3500</v>
      </c>
    </row>
    <row r="4977" spans="1:5" ht="26.25" x14ac:dyDescent="0.25">
      <c r="A4977" s="2" t="s">
        <v>10</v>
      </c>
      <c r="B4977" s="2" t="str">
        <f>"764810297"</f>
        <v>764810297</v>
      </c>
      <c r="C4977" s="2" t="str">
        <f>"764810297"</f>
        <v>764810297</v>
      </c>
      <c r="D4977" s="2" t="s">
        <v>3679</v>
      </c>
      <c r="E4977" s="4">
        <v>3500</v>
      </c>
    </row>
    <row r="4978" spans="1:5" ht="26.25" x14ac:dyDescent="0.25">
      <c r="A4978" s="2" t="s">
        <v>10</v>
      </c>
      <c r="B4978" s="2" t="str">
        <f>"177710297"</f>
        <v>177710297</v>
      </c>
      <c r="C4978" s="2" t="str">
        <f>"177710297"</f>
        <v>177710297</v>
      </c>
      <c r="D4978" s="2" t="s">
        <v>3679</v>
      </c>
      <c r="E4978" s="4">
        <v>4500</v>
      </c>
    </row>
    <row r="4979" spans="1:5" ht="26.25" x14ac:dyDescent="0.25">
      <c r="A4979" s="2" t="s">
        <v>10</v>
      </c>
      <c r="B4979" s="2" t="str">
        <f>"175910297"</f>
        <v>175910297</v>
      </c>
      <c r="C4979" s="2" t="str">
        <f>"175910297"</f>
        <v>175910297</v>
      </c>
      <c r="D4979" s="2" t="s">
        <v>3679</v>
      </c>
      <c r="E4979" s="4">
        <v>3500</v>
      </c>
    </row>
    <row r="4980" spans="1:5" ht="26.25" x14ac:dyDescent="0.25">
      <c r="A4980" s="2" t="s">
        <v>10</v>
      </c>
      <c r="B4980" s="2" t="str">
        <f>"866410297"</f>
        <v>866410297</v>
      </c>
      <c r="C4980" s="2" t="str">
        <f>"866410297"</f>
        <v>866410297</v>
      </c>
      <c r="D4980" s="2" t="s">
        <v>3679</v>
      </c>
      <c r="E4980" s="4">
        <v>6500</v>
      </c>
    </row>
    <row r="4981" spans="1:5" ht="26.25" x14ac:dyDescent="0.25">
      <c r="A4981" s="2" t="s">
        <v>10</v>
      </c>
      <c r="B4981" s="2" t="str">
        <f>"765110297"</f>
        <v>765110297</v>
      </c>
      <c r="C4981" s="2" t="str">
        <f>"765110297"</f>
        <v>765110297</v>
      </c>
      <c r="D4981" s="2" t="s">
        <v>3679</v>
      </c>
      <c r="E4981" s="4">
        <v>4500</v>
      </c>
    </row>
    <row r="4982" spans="1:5" ht="26.25" x14ac:dyDescent="0.25">
      <c r="A4982" s="2" t="s">
        <v>10</v>
      </c>
      <c r="B4982" s="2" t="str">
        <f>"174810297"</f>
        <v>174810297</v>
      </c>
      <c r="C4982" s="2" t="str">
        <f>"174810297"</f>
        <v>174810297</v>
      </c>
      <c r="D4982" s="2" t="s">
        <v>3679</v>
      </c>
      <c r="E4982" s="4">
        <v>3500</v>
      </c>
    </row>
    <row r="4983" spans="1:5" ht="26.25" x14ac:dyDescent="0.25">
      <c r="A4983" s="2" t="s">
        <v>10</v>
      </c>
      <c r="B4983" s="2" t="str">
        <f>"175110297"</f>
        <v>175110297</v>
      </c>
      <c r="C4983" s="2" t="str">
        <f>"175110297"</f>
        <v>175110297</v>
      </c>
      <c r="D4983" s="2" t="s">
        <v>3679</v>
      </c>
      <c r="E4983" s="4">
        <v>4500</v>
      </c>
    </row>
    <row r="4984" spans="1:5" ht="26.25" x14ac:dyDescent="0.25">
      <c r="A4984" s="2" t="s">
        <v>10</v>
      </c>
      <c r="B4984" s="2" t="str">
        <f>"764810301"</f>
        <v>764810301</v>
      </c>
      <c r="C4984" s="2" t="str">
        <f>"764810301"</f>
        <v>764810301</v>
      </c>
      <c r="D4984" s="2" t="s">
        <v>3853</v>
      </c>
      <c r="E4984" s="4">
        <v>3500</v>
      </c>
    </row>
    <row r="4985" spans="1:5" ht="26.25" x14ac:dyDescent="0.25">
      <c r="A4985" s="2" t="s">
        <v>10</v>
      </c>
      <c r="B4985" s="2" t="str">
        <f>"174810301"</f>
        <v>174810301</v>
      </c>
      <c r="C4985" s="2" t="str">
        <f>"174810301"</f>
        <v>174810301</v>
      </c>
      <c r="D4985" s="2" t="s">
        <v>3853</v>
      </c>
      <c r="E4985" s="4">
        <v>3500</v>
      </c>
    </row>
    <row r="4986" spans="1:5" ht="26.25" x14ac:dyDescent="0.25">
      <c r="A4986" s="2" t="s">
        <v>10</v>
      </c>
      <c r="B4986" s="2" t="str">
        <f>"765110301"</f>
        <v>765110301</v>
      </c>
      <c r="C4986" s="2" t="str">
        <f>"765110301"</f>
        <v>765110301</v>
      </c>
      <c r="D4986" s="2" t="s">
        <v>3853</v>
      </c>
      <c r="E4986" s="4">
        <v>4500</v>
      </c>
    </row>
    <row r="4987" spans="1:5" ht="26.25" x14ac:dyDescent="0.25">
      <c r="A4987" s="2" t="s">
        <v>10</v>
      </c>
      <c r="B4987" s="2" t="str">
        <f>"17481019"</f>
        <v>17481019</v>
      </c>
      <c r="C4987" s="2" t="str">
        <f>"17481019"</f>
        <v>17481019</v>
      </c>
      <c r="D4987" s="2" t="s">
        <v>3854</v>
      </c>
      <c r="E4987" s="4">
        <v>3500</v>
      </c>
    </row>
    <row r="4988" spans="1:5" ht="26.25" x14ac:dyDescent="0.25">
      <c r="A4988" s="2" t="s">
        <v>10</v>
      </c>
      <c r="B4988" s="2" t="str">
        <f>"17481002"</f>
        <v>17481002</v>
      </c>
      <c r="C4988" s="2" t="str">
        <f>"17481002"</f>
        <v>17481002</v>
      </c>
      <c r="D4988" s="2" t="s">
        <v>3855</v>
      </c>
      <c r="E4988" s="4">
        <v>3500</v>
      </c>
    </row>
    <row r="4989" spans="1:5" ht="26.25" x14ac:dyDescent="0.25">
      <c r="A4989" s="2" t="s">
        <v>10</v>
      </c>
      <c r="B4989" s="2" t="str">
        <f>"764801002"</f>
        <v>764801002</v>
      </c>
      <c r="C4989" s="2" t="str">
        <f>"764801002"</f>
        <v>764801002</v>
      </c>
      <c r="D4989" s="2" t="s">
        <v>3855</v>
      </c>
      <c r="E4989" s="4">
        <v>3500</v>
      </c>
    </row>
    <row r="4990" spans="1:5" ht="26.25" x14ac:dyDescent="0.25">
      <c r="A4990" s="2" t="s">
        <v>10</v>
      </c>
      <c r="B4990" s="2" t="str">
        <f>"76481002"</f>
        <v>76481002</v>
      </c>
      <c r="C4990" s="2" t="str">
        <f>"76481002"</f>
        <v>76481002</v>
      </c>
      <c r="D4990" s="2" t="s">
        <v>3855</v>
      </c>
      <c r="E4990" s="4">
        <v>3500</v>
      </c>
    </row>
    <row r="4991" spans="1:5" ht="26.25" x14ac:dyDescent="0.25">
      <c r="A4991" s="2" t="s">
        <v>10</v>
      </c>
      <c r="B4991" s="2" t="str">
        <f>"776481002"</f>
        <v>776481002</v>
      </c>
      <c r="C4991" s="2" t="str">
        <f>"776481002"</f>
        <v>776481002</v>
      </c>
      <c r="D4991" s="2" t="s">
        <v>3855</v>
      </c>
      <c r="E4991" s="4">
        <v>3500</v>
      </c>
    </row>
    <row r="4992" spans="1:5" ht="26.25" x14ac:dyDescent="0.25">
      <c r="A4992" s="2" t="s">
        <v>10</v>
      </c>
      <c r="B4992" s="2" t="str">
        <f>"174810304"</f>
        <v>174810304</v>
      </c>
      <c r="C4992" s="2" t="str">
        <f>"174810304"</f>
        <v>174810304</v>
      </c>
      <c r="D4992" s="2" t="s">
        <v>3856</v>
      </c>
      <c r="E4992" s="4">
        <v>3500</v>
      </c>
    </row>
    <row r="4993" spans="1:5" ht="26.25" x14ac:dyDescent="0.25">
      <c r="A4993" s="2" t="s">
        <v>10</v>
      </c>
      <c r="B4993" s="2" t="str">
        <f>"764810306"</f>
        <v>764810306</v>
      </c>
      <c r="C4993" s="2" t="str">
        <f>"764810306"</f>
        <v>764810306</v>
      </c>
      <c r="D4993" s="2" t="s">
        <v>3857</v>
      </c>
      <c r="E4993" s="4">
        <v>3500</v>
      </c>
    </row>
    <row r="4994" spans="1:5" ht="26.25" x14ac:dyDescent="0.25">
      <c r="A4994" s="2" t="s">
        <v>10</v>
      </c>
      <c r="B4994" s="2" t="str">
        <f>"763910306"</f>
        <v>763910306</v>
      </c>
      <c r="C4994" s="2" t="str">
        <f>"763910306"</f>
        <v>763910306</v>
      </c>
      <c r="D4994" s="2" t="s">
        <v>3857</v>
      </c>
      <c r="E4994" s="4">
        <v>4500</v>
      </c>
    </row>
    <row r="4995" spans="1:5" ht="26.25" x14ac:dyDescent="0.25">
      <c r="A4995" s="2" t="s">
        <v>10</v>
      </c>
      <c r="B4995" s="2" t="str">
        <f>"765110306"</f>
        <v>765110306</v>
      </c>
      <c r="C4995" s="2" t="str">
        <f>"765110306"</f>
        <v>765110306</v>
      </c>
      <c r="D4995" s="2" t="s">
        <v>3857</v>
      </c>
      <c r="E4995" s="4">
        <v>4500</v>
      </c>
    </row>
    <row r="4996" spans="1:5" ht="26.25" x14ac:dyDescent="0.25">
      <c r="A4996" s="2" t="s">
        <v>10</v>
      </c>
      <c r="B4996" s="2" t="str">
        <f>"174810306"</f>
        <v>174810306</v>
      </c>
      <c r="C4996" s="2" t="str">
        <f>"174810306"</f>
        <v>174810306</v>
      </c>
      <c r="D4996" s="2" t="s">
        <v>3857</v>
      </c>
      <c r="E4996" s="4">
        <v>3500</v>
      </c>
    </row>
    <row r="4997" spans="1:5" ht="26.25" x14ac:dyDescent="0.25">
      <c r="A4997" s="2" t="s">
        <v>10</v>
      </c>
      <c r="B4997" s="2" t="str">
        <f>"765110309"</f>
        <v>765110309</v>
      </c>
      <c r="C4997" s="2" t="str">
        <f>"765110309"</f>
        <v>765110309</v>
      </c>
      <c r="D4997" s="2" t="s">
        <v>3858</v>
      </c>
      <c r="E4997" s="4">
        <v>4500</v>
      </c>
    </row>
    <row r="4998" spans="1:5" ht="26.25" x14ac:dyDescent="0.25">
      <c r="A4998" s="2" t="s">
        <v>10</v>
      </c>
      <c r="B4998" s="2" t="str">
        <f>"1000001094397"</f>
        <v>1000001094397</v>
      </c>
      <c r="C4998" s="2" t="str">
        <f>"764810309"</f>
        <v>764810309</v>
      </c>
      <c r="D4998" s="2" t="s">
        <v>3858</v>
      </c>
      <c r="E4998" s="4">
        <v>4500</v>
      </c>
    </row>
    <row r="4999" spans="1:5" ht="26.25" x14ac:dyDescent="0.25">
      <c r="A4999" s="2" t="s">
        <v>10</v>
      </c>
      <c r="B4999" s="2" t="str">
        <f>"1000001094281"</f>
        <v>1000001094281</v>
      </c>
      <c r="C4999" s="2" t="str">
        <f>"766510309"</f>
        <v>766510309</v>
      </c>
      <c r="D4999" s="2" t="s">
        <v>3858</v>
      </c>
      <c r="E4999" s="4">
        <v>7500</v>
      </c>
    </row>
    <row r="5000" spans="1:5" ht="26.25" x14ac:dyDescent="0.25">
      <c r="A5000" s="2" t="s">
        <v>10</v>
      </c>
      <c r="B5000" s="2" t="str">
        <f>"763910309"</f>
        <v>763910309</v>
      </c>
      <c r="C5000" s="2" t="str">
        <f>"763910309"</f>
        <v>763910309</v>
      </c>
      <c r="D5000" s="2" t="s">
        <v>3858</v>
      </c>
      <c r="E5000" s="4">
        <v>5500</v>
      </c>
    </row>
    <row r="5001" spans="1:5" ht="26.25" x14ac:dyDescent="0.25">
      <c r="A5001" s="2" t="s">
        <v>10</v>
      </c>
      <c r="B5001" s="2" t="str">
        <f>"767710309"</f>
        <v>767710309</v>
      </c>
      <c r="C5001" s="2" t="str">
        <f>"767710309"</f>
        <v>767710309</v>
      </c>
      <c r="D5001" s="2" t="s">
        <v>3858</v>
      </c>
      <c r="E5001" s="4">
        <v>3500</v>
      </c>
    </row>
    <row r="5002" spans="1:5" ht="26.25" x14ac:dyDescent="0.25">
      <c r="A5002" s="2" t="s">
        <v>10</v>
      </c>
      <c r="B5002" s="2" t="str">
        <f>"645110309"</f>
        <v>645110309</v>
      </c>
      <c r="C5002" s="2" t="str">
        <f>"645110309"</f>
        <v>645110309</v>
      </c>
      <c r="D5002" s="2" t="s">
        <v>3858</v>
      </c>
      <c r="E5002" s="4">
        <v>4500</v>
      </c>
    </row>
    <row r="5003" spans="1:5" ht="26.25" x14ac:dyDescent="0.25">
      <c r="A5003" s="2" t="s">
        <v>10</v>
      </c>
      <c r="B5003" s="2" t="str">
        <f>"765110311"</f>
        <v>765110311</v>
      </c>
      <c r="C5003" s="2" t="str">
        <f>"765110311"</f>
        <v>765110311</v>
      </c>
      <c r="D5003" s="2" t="s">
        <v>3859</v>
      </c>
      <c r="E5003" s="4">
        <v>4500</v>
      </c>
    </row>
    <row r="5004" spans="1:5" ht="26.25" x14ac:dyDescent="0.25">
      <c r="A5004" s="2" t="s">
        <v>10</v>
      </c>
      <c r="B5004" s="2" t="str">
        <f>"764810311"</f>
        <v>764810311</v>
      </c>
      <c r="C5004" s="2" t="str">
        <f>"764810311"</f>
        <v>764810311</v>
      </c>
      <c r="D5004" s="2" t="s">
        <v>3859</v>
      </c>
      <c r="E5004" s="4">
        <v>4500</v>
      </c>
    </row>
    <row r="5005" spans="1:5" ht="26.25" x14ac:dyDescent="0.25">
      <c r="A5005" s="2" t="s">
        <v>10</v>
      </c>
      <c r="B5005" s="2" t="str">
        <f>"765110310"</f>
        <v>765110310</v>
      </c>
      <c r="C5005" s="2" t="str">
        <f>"765110310"</f>
        <v>765110310</v>
      </c>
      <c r="D5005" s="2" t="s">
        <v>3860</v>
      </c>
      <c r="E5005" s="4">
        <v>4500</v>
      </c>
    </row>
    <row r="5006" spans="1:5" ht="26.25" x14ac:dyDescent="0.25">
      <c r="A5006" s="2" t="s">
        <v>10</v>
      </c>
      <c r="B5006" s="2" t="str">
        <f>"763910310"</f>
        <v>763910310</v>
      </c>
      <c r="C5006" s="2" t="str">
        <f>"763910310"</f>
        <v>763910310</v>
      </c>
      <c r="D5006" s="2" t="s">
        <v>3860</v>
      </c>
      <c r="E5006" s="4">
        <v>3500</v>
      </c>
    </row>
    <row r="5007" spans="1:5" ht="26.25" x14ac:dyDescent="0.25">
      <c r="A5007" s="2" t="s">
        <v>10</v>
      </c>
      <c r="B5007" s="2" t="str">
        <f>"764810310"</f>
        <v>764810310</v>
      </c>
      <c r="C5007" s="2" t="str">
        <f>"764810310"</f>
        <v>764810310</v>
      </c>
      <c r="D5007" s="2" t="s">
        <v>3860</v>
      </c>
      <c r="E5007" s="4">
        <v>4500</v>
      </c>
    </row>
    <row r="5008" spans="1:5" ht="26.25" x14ac:dyDescent="0.25">
      <c r="A5008" s="2" t="s">
        <v>10</v>
      </c>
      <c r="B5008" s="2" t="str">
        <f>"766210323"</f>
        <v>766210323</v>
      </c>
      <c r="C5008" s="2" t="str">
        <f>"766210323"</f>
        <v>766210323</v>
      </c>
      <c r="D5008" s="2" t="s">
        <v>3861</v>
      </c>
      <c r="E5008" s="4">
        <v>3600</v>
      </c>
    </row>
    <row r="5009" spans="1:5" ht="26.25" x14ac:dyDescent="0.25">
      <c r="A5009" s="2" t="s">
        <v>10</v>
      </c>
      <c r="B5009" s="2" t="str">
        <f>"275815286"</f>
        <v>275815286</v>
      </c>
      <c r="C5009" s="2" t="str">
        <f>"275815286"</f>
        <v>275815286</v>
      </c>
      <c r="D5009" s="2" t="s">
        <v>3861</v>
      </c>
      <c r="E5009" s="4">
        <v>3600</v>
      </c>
    </row>
    <row r="5010" spans="1:5" ht="26.25" x14ac:dyDescent="0.25">
      <c r="A5010" s="2" t="s">
        <v>10</v>
      </c>
      <c r="B5010" s="2" t="str">
        <f>"17481059"</f>
        <v>17481059</v>
      </c>
      <c r="C5010" s="2" t="str">
        <f>"17481059"</f>
        <v>17481059</v>
      </c>
      <c r="D5010" s="2" t="s">
        <v>3862</v>
      </c>
      <c r="E5010" s="4">
        <v>3500</v>
      </c>
    </row>
    <row r="5011" spans="1:5" ht="26.25" x14ac:dyDescent="0.25">
      <c r="A5011" s="2" t="s">
        <v>10</v>
      </c>
      <c r="B5011" s="2" t="str">
        <f>"76481059"</f>
        <v>76481059</v>
      </c>
      <c r="C5011" s="2" t="str">
        <f>"76481059"</f>
        <v>76481059</v>
      </c>
      <c r="D5011" s="2" t="s">
        <v>3862</v>
      </c>
      <c r="E5011" s="4">
        <v>3500</v>
      </c>
    </row>
    <row r="5012" spans="1:5" ht="26.25" x14ac:dyDescent="0.25">
      <c r="A5012" s="2" t="s">
        <v>10</v>
      </c>
      <c r="B5012" s="2" t="str">
        <f>"76481061"</f>
        <v>76481061</v>
      </c>
      <c r="C5012" s="2" t="str">
        <f>"76481061"</f>
        <v>76481061</v>
      </c>
      <c r="D5012" s="2" t="s">
        <v>3862</v>
      </c>
      <c r="E5012" s="4">
        <v>3000</v>
      </c>
    </row>
    <row r="5013" spans="1:5" ht="26.25" x14ac:dyDescent="0.25">
      <c r="A5013" s="2" t="s">
        <v>10</v>
      </c>
      <c r="B5013" s="2" t="str">
        <f>"764810161"</f>
        <v>764810161</v>
      </c>
      <c r="C5013" s="2" t="str">
        <f>"764810161"</f>
        <v>764810161</v>
      </c>
      <c r="D5013" s="2" t="s">
        <v>3862</v>
      </c>
      <c r="E5013" s="4">
        <v>3000</v>
      </c>
    </row>
    <row r="5014" spans="1:5" ht="26.25" x14ac:dyDescent="0.25">
      <c r="A5014" s="2" t="s">
        <v>10</v>
      </c>
      <c r="B5014" s="2" t="str">
        <f>"17201062"</f>
        <v>17201062</v>
      </c>
      <c r="C5014" s="2" t="str">
        <f>"17201062"</f>
        <v>17201062</v>
      </c>
      <c r="D5014" s="2" t="s">
        <v>3863</v>
      </c>
      <c r="E5014" s="4">
        <v>3500</v>
      </c>
    </row>
    <row r="5015" spans="1:5" ht="26.25" x14ac:dyDescent="0.25">
      <c r="A5015" s="2" t="s">
        <v>10</v>
      </c>
      <c r="B5015" s="2" t="str">
        <f>"76461062"</f>
        <v>76461062</v>
      </c>
      <c r="C5015" s="2" t="str">
        <f>"76461062"</f>
        <v>76461062</v>
      </c>
      <c r="D5015" s="2" t="s">
        <v>3863</v>
      </c>
      <c r="E5015" s="4">
        <v>4000</v>
      </c>
    </row>
    <row r="5016" spans="1:5" ht="26.25" x14ac:dyDescent="0.25">
      <c r="A5016" s="2" t="s">
        <v>10</v>
      </c>
      <c r="B5016" s="2" t="str">
        <f>"171201062"</f>
        <v>171201062</v>
      </c>
      <c r="C5016" s="2" t="str">
        <f>"171201062"</f>
        <v>171201062</v>
      </c>
      <c r="D5016" s="2" t="s">
        <v>3863</v>
      </c>
      <c r="E5016" s="4">
        <v>3500</v>
      </c>
    </row>
    <row r="5017" spans="1:5" ht="26.25" x14ac:dyDescent="0.25">
      <c r="A5017" s="2" t="s">
        <v>10</v>
      </c>
      <c r="B5017" s="2" t="str">
        <f>"17481062"</f>
        <v>17481062</v>
      </c>
      <c r="C5017" s="2" t="str">
        <f>"17481062"</f>
        <v>17481062</v>
      </c>
      <c r="D5017" s="2" t="s">
        <v>3863</v>
      </c>
      <c r="E5017" s="4">
        <v>3500</v>
      </c>
    </row>
    <row r="5018" spans="1:5" ht="26.25" x14ac:dyDescent="0.25">
      <c r="A5018" s="2" t="s">
        <v>10</v>
      </c>
      <c r="B5018" s="2" t="str">
        <f>"27581062"</f>
        <v>27581062</v>
      </c>
      <c r="C5018" s="2" t="str">
        <f>"27581062"</f>
        <v>27581062</v>
      </c>
      <c r="D5018" s="2" t="s">
        <v>3863</v>
      </c>
      <c r="E5018" s="4">
        <v>3600</v>
      </c>
    </row>
    <row r="5019" spans="1:5" ht="26.25" x14ac:dyDescent="0.25">
      <c r="A5019" s="2" t="s">
        <v>10</v>
      </c>
      <c r="B5019" s="2" t="str">
        <f>"76471062"</f>
        <v>76471062</v>
      </c>
      <c r="C5019" s="2" t="str">
        <f>"76471062"</f>
        <v>76471062</v>
      </c>
      <c r="D5019" s="2" t="s">
        <v>3863</v>
      </c>
      <c r="E5019" s="4">
        <v>3000</v>
      </c>
    </row>
    <row r="5020" spans="1:5" ht="26.25" x14ac:dyDescent="0.25">
      <c r="A5020" s="2" t="s">
        <v>10</v>
      </c>
      <c r="B5020" s="2" t="str">
        <f>"76471063"</f>
        <v>76471063</v>
      </c>
      <c r="C5020" s="2" t="str">
        <f>"76471063"</f>
        <v>76471063</v>
      </c>
      <c r="D5020" s="2" t="s">
        <v>3863</v>
      </c>
      <c r="E5020" s="4">
        <v>3500</v>
      </c>
    </row>
    <row r="5021" spans="1:5" ht="26.25" x14ac:dyDescent="0.25">
      <c r="A5021" s="2" t="s">
        <v>10</v>
      </c>
      <c r="B5021" s="2" t="str">
        <f>"76481062"</f>
        <v>76481062</v>
      </c>
      <c r="C5021" s="2" t="str">
        <f>"76481062"</f>
        <v>76481062</v>
      </c>
      <c r="D5021" s="2" t="s">
        <v>3863</v>
      </c>
      <c r="E5021" s="4">
        <v>3500</v>
      </c>
    </row>
    <row r="5022" spans="1:5" ht="26.25" x14ac:dyDescent="0.25">
      <c r="A5022" s="2" t="s">
        <v>10</v>
      </c>
      <c r="B5022" s="2" t="str">
        <f>"76581062"</f>
        <v>76581062</v>
      </c>
      <c r="C5022" s="2" t="str">
        <f>"76581062"</f>
        <v>76581062</v>
      </c>
      <c r="D5022" s="2" t="s">
        <v>3863</v>
      </c>
      <c r="E5022" s="4">
        <v>4000</v>
      </c>
    </row>
    <row r="5023" spans="1:5" ht="26.25" x14ac:dyDescent="0.25">
      <c r="A5023" s="2" t="s">
        <v>10</v>
      </c>
      <c r="B5023" s="2" t="str">
        <f>"76751062"</f>
        <v>76751062</v>
      </c>
      <c r="C5023" s="2" t="str">
        <f>"76751062"</f>
        <v>76751062</v>
      </c>
      <c r="D5023" s="2" t="s">
        <v>3863</v>
      </c>
      <c r="E5023" s="4">
        <v>5500</v>
      </c>
    </row>
    <row r="5024" spans="1:5" ht="26.25" x14ac:dyDescent="0.25">
      <c r="A5024" s="2" t="s">
        <v>10</v>
      </c>
      <c r="B5024" s="2" t="str">
        <f>"17471064"</f>
        <v>17471064</v>
      </c>
      <c r="C5024" s="2" t="str">
        <f>"17471064"</f>
        <v>17471064</v>
      </c>
      <c r="D5024" s="2" t="s">
        <v>3864</v>
      </c>
      <c r="E5024" s="4">
        <v>3500</v>
      </c>
    </row>
    <row r="5025" spans="1:5" ht="26.25" x14ac:dyDescent="0.25">
      <c r="A5025" s="2" t="s">
        <v>10</v>
      </c>
      <c r="B5025" s="2" t="str">
        <f>"76511064"</f>
        <v>76511064</v>
      </c>
      <c r="C5025" s="2" t="str">
        <f>"76511064"</f>
        <v>76511064</v>
      </c>
      <c r="D5025" s="2" t="s">
        <v>3864</v>
      </c>
      <c r="E5025" s="4">
        <v>4500</v>
      </c>
    </row>
    <row r="5026" spans="1:5" ht="26.25" x14ac:dyDescent="0.25">
      <c r="A5026" s="2" t="s">
        <v>10</v>
      </c>
      <c r="B5026" s="2" t="str">
        <f>"76641064"</f>
        <v>76641064</v>
      </c>
      <c r="C5026" s="2" t="str">
        <f>"76641064"</f>
        <v>76641064</v>
      </c>
      <c r="D5026" s="2" t="s">
        <v>3864</v>
      </c>
      <c r="E5026" s="4">
        <v>4500</v>
      </c>
    </row>
    <row r="5027" spans="1:5" ht="26.25" x14ac:dyDescent="0.25">
      <c r="A5027" s="2" t="s">
        <v>10</v>
      </c>
      <c r="B5027" s="2" t="str">
        <f>"17481064"</f>
        <v>17481064</v>
      </c>
      <c r="C5027" s="2" t="str">
        <f>"17481064"</f>
        <v>17481064</v>
      </c>
      <c r="D5027" s="2" t="s">
        <v>3864</v>
      </c>
      <c r="E5027" s="4">
        <v>3500</v>
      </c>
    </row>
    <row r="5028" spans="1:5" ht="26.25" x14ac:dyDescent="0.25">
      <c r="A5028" s="2" t="s">
        <v>10</v>
      </c>
      <c r="B5028" s="2" t="str">
        <f>"76481064"</f>
        <v>76481064</v>
      </c>
      <c r="C5028" s="2" t="str">
        <f>"76481064"</f>
        <v>76481064</v>
      </c>
      <c r="D5028" s="2" t="s">
        <v>3864</v>
      </c>
      <c r="E5028" s="4">
        <v>3500</v>
      </c>
    </row>
    <row r="5029" spans="1:5" ht="26.25" x14ac:dyDescent="0.25">
      <c r="A5029" s="2" t="s">
        <v>10</v>
      </c>
      <c r="B5029" s="2" t="str">
        <f>"174810190"</f>
        <v>174810190</v>
      </c>
      <c r="C5029" s="2" t="str">
        <f>"174810190"</f>
        <v>174810190</v>
      </c>
      <c r="D5029" s="2" t="s">
        <v>3864</v>
      </c>
      <c r="E5029" s="4">
        <v>3500</v>
      </c>
    </row>
    <row r="5030" spans="1:5" ht="26.25" x14ac:dyDescent="0.25">
      <c r="A5030" s="2" t="s">
        <v>10</v>
      </c>
      <c r="B5030" s="2" t="str">
        <f>"174810231"</f>
        <v>174810231</v>
      </c>
      <c r="C5030" s="2" t="str">
        <f>"174810231"</f>
        <v>174810231</v>
      </c>
      <c r="D5030" s="2" t="s">
        <v>3865</v>
      </c>
      <c r="E5030" s="4">
        <v>3500</v>
      </c>
    </row>
    <row r="5031" spans="1:5" ht="26.25" x14ac:dyDescent="0.25">
      <c r="A5031" s="2" t="s">
        <v>10</v>
      </c>
      <c r="B5031" s="2" t="str">
        <f>"764810231"</f>
        <v>764810231</v>
      </c>
      <c r="C5031" s="2" t="str">
        <f>"764810231"</f>
        <v>764810231</v>
      </c>
      <c r="D5031" s="2" t="s">
        <v>3865</v>
      </c>
      <c r="E5031" s="4">
        <v>3500</v>
      </c>
    </row>
    <row r="5032" spans="1:5" ht="26.25" x14ac:dyDescent="0.25">
      <c r="A5032" s="2" t="s">
        <v>10</v>
      </c>
      <c r="B5032" s="2" t="str">
        <f>"174810268"</f>
        <v>174810268</v>
      </c>
      <c r="C5032" s="2" t="str">
        <f>"174810268"</f>
        <v>174810268</v>
      </c>
      <c r="D5032" s="2" t="s">
        <v>3866</v>
      </c>
      <c r="E5032" s="4">
        <v>3500</v>
      </c>
    </row>
    <row r="5033" spans="1:5" ht="26.25" x14ac:dyDescent="0.25">
      <c r="A5033" s="2" t="s">
        <v>10</v>
      </c>
      <c r="B5033" s="2" t="str">
        <f>"5000005005470"</f>
        <v>5000005005470</v>
      </c>
      <c r="C5033" s="2" t="str">
        <f>"765110268"</f>
        <v>765110268</v>
      </c>
      <c r="D5033" s="2" t="s">
        <v>3866</v>
      </c>
      <c r="E5033" s="4">
        <v>4500</v>
      </c>
    </row>
    <row r="5034" spans="1:5" ht="26.25" x14ac:dyDescent="0.25">
      <c r="A5034" s="2" t="s">
        <v>10</v>
      </c>
      <c r="B5034" s="2" t="str">
        <f>"275810268"</f>
        <v>275810268</v>
      </c>
      <c r="C5034" s="2" t="str">
        <f>"275810268"</f>
        <v>275810268</v>
      </c>
      <c r="D5034" s="2" t="s">
        <v>3866</v>
      </c>
      <c r="E5034" s="4">
        <v>3600</v>
      </c>
    </row>
    <row r="5035" spans="1:5" ht="26.25" x14ac:dyDescent="0.25">
      <c r="A5035" s="2" t="s">
        <v>10</v>
      </c>
      <c r="B5035" s="2" t="str">
        <f>"764810268"</f>
        <v>764810268</v>
      </c>
      <c r="C5035" s="2" t="str">
        <f>"764810268"</f>
        <v>764810268</v>
      </c>
      <c r="D5035" s="2" t="s">
        <v>3866</v>
      </c>
      <c r="E5035" s="4">
        <v>3500</v>
      </c>
    </row>
    <row r="5036" spans="1:5" ht="26.25" x14ac:dyDescent="0.25">
      <c r="A5036" s="2" t="s">
        <v>10</v>
      </c>
      <c r="B5036" s="2" t="str">
        <f>"934810268"</f>
        <v>934810268</v>
      </c>
      <c r="C5036" s="2" t="str">
        <f>"934810268"</f>
        <v>934810268</v>
      </c>
      <c r="D5036" s="2" t="s">
        <v>3866</v>
      </c>
      <c r="E5036" s="4">
        <v>3500</v>
      </c>
    </row>
    <row r="5037" spans="1:5" ht="26.25" x14ac:dyDescent="0.25">
      <c r="A5037" s="2" t="s">
        <v>10</v>
      </c>
      <c r="B5037" s="2" t="str">
        <f>"174710234"</f>
        <v>174710234</v>
      </c>
      <c r="C5037" s="2" t="str">
        <f>"174710234"</f>
        <v>174710234</v>
      </c>
      <c r="D5037" s="2" t="s">
        <v>3867</v>
      </c>
      <c r="E5037" s="4">
        <v>3500</v>
      </c>
    </row>
    <row r="5038" spans="1:5" ht="26.25" x14ac:dyDescent="0.25">
      <c r="A5038" s="2" t="s">
        <v>10</v>
      </c>
      <c r="B5038" s="2" t="str">
        <f>"765110234"</f>
        <v>765110234</v>
      </c>
      <c r="C5038" s="2" t="str">
        <f>"765110234"</f>
        <v>765110234</v>
      </c>
      <c r="D5038" s="2" t="s">
        <v>3867</v>
      </c>
      <c r="E5038" s="4">
        <v>4500</v>
      </c>
    </row>
    <row r="5039" spans="1:5" ht="26.25" x14ac:dyDescent="0.25">
      <c r="A5039" s="2" t="s">
        <v>10</v>
      </c>
      <c r="B5039" s="2" t="str">
        <f>"174810234"</f>
        <v>174810234</v>
      </c>
      <c r="C5039" s="2" t="str">
        <f>"174810234"</f>
        <v>174810234</v>
      </c>
      <c r="D5039" s="2" t="s">
        <v>3867</v>
      </c>
      <c r="E5039" s="4">
        <v>3500</v>
      </c>
    </row>
    <row r="5040" spans="1:5" ht="26.25" x14ac:dyDescent="0.25">
      <c r="A5040" s="2" t="s">
        <v>10</v>
      </c>
      <c r="B5040" s="2" t="str">
        <f>"174810295"</f>
        <v>174810295</v>
      </c>
      <c r="C5040" s="2" t="str">
        <f>"174810295"</f>
        <v>174810295</v>
      </c>
      <c r="D5040" s="2" t="s">
        <v>3868</v>
      </c>
      <c r="E5040" s="4">
        <v>3500</v>
      </c>
    </row>
    <row r="5041" spans="1:5" ht="26.25" x14ac:dyDescent="0.25">
      <c r="A5041" s="2" t="s">
        <v>10</v>
      </c>
      <c r="B5041" s="2" t="str">
        <f>"765110295"</f>
        <v>765110295</v>
      </c>
      <c r="C5041" s="2" t="str">
        <f>"765110295"</f>
        <v>765110295</v>
      </c>
      <c r="D5041" s="2" t="s">
        <v>3868</v>
      </c>
      <c r="E5041" s="4">
        <v>4500</v>
      </c>
    </row>
    <row r="5042" spans="1:5" ht="26.25" x14ac:dyDescent="0.25">
      <c r="A5042" s="2" t="s">
        <v>10</v>
      </c>
      <c r="B5042" s="2" t="str">
        <f>"767710296"</f>
        <v>767710296</v>
      </c>
      <c r="C5042" s="2" t="str">
        <f>"767710296"</f>
        <v>767710296</v>
      </c>
      <c r="D5042" s="2" t="s">
        <v>3869</v>
      </c>
      <c r="E5042" s="4">
        <v>4500</v>
      </c>
    </row>
    <row r="5043" spans="1:5" ht="26.25" x14ac:dyDescent="0.25">
      <c r="A5043" s="2" t="s">
        <v>10</v>
      </c>
      <c r="B5043" s="2" t="str">
        <f>"174810296"</f>
        <v>174810296</v>
      </c>
      <c r="C5043" s="2" t="str">
        <f>"174810296"</f>
        <v>174810296</v>
      </c>
      <c r="D5043" s="2" t="s">
        <v>3869</v>
      </c>
      <c r="E5043" s="4">
        <v>3500</v>
      </c>
    </row>
    <row r="5044" spans="1:5" ht="26.25" x14ac:dyDescent="0.25">
      <c r="A5044" s="2" t="s">
        <v>10</v>
      </c>
      <c r="B5044" s="2" t="str">
        <f>"765110296"</f>
        <v>765110296</v>
      </c>
      <c r="C5044" s="2" t="str">
        <f>"765110296"</f>
        <v>765110296</v>
      </c>
      <c r="D5044" s="2" t="s">
        <v>3869</v>
      </c>
      <c r="E5044" s="4">
        <v>4500</v>
      </c>
    </row>
    <row r="5045" spans="1:5" ht="26.25" x14ac:dyDescent="0.25">
      <c r="A5045" s="2" t="s">
        <v>10</v>
      </c>
      <c r="B5045" s="2" t="str">
        <f>"764810296"</f>
        <v>764810296</v>
      </c>
      <c r="C5045" s="2" t="str">
        <f>"764810296"</f>
        <v>764810296</v>
      </c>
      <c r="D5045" s="2" t="s">
        <v>3869</v>
      </c>
      <c r="E5045" s="4">
        <v>4500</v>
      </c>
    </row>
    <row r="5046" spans="1:5" ht="26.25" x14ac:dyDescent="0.25">
      <c r="A5046" s="2" t="s">
        <v>10</v>
      </c>
      <c r="B5046" s="2" t="str">
        <f>"345910296"</f>
        <v>345910296</v>
      </c>
      <c r="C5046" s="2" t="str">
        <f>"345910296"</f>
        <v>345910296</v>
      </c>
      <c r="D5046" s="2" t="s">
        <v>3869</v>
      </c>
      <c r="E5046" s="4">
        <v>6500</v>
      </c>
    </row>
    <row r="5047" spans="1:5" ht="26.25" x14ac:dyDescent="0.25">
      <c r="A5047" s="2" t="s">
        <v>10</v>
      </c>
      <c r="B5047" s="2" t="str">
        <f>"760410299"</f>
        <v>760410299</v>
      </c>
      <c r="C5047" s="2" t="str">
        <f>"760410299"</f>
        <v>760410299</v>
      </c>
      <c r="D5047" s="2" t="s">
        <v>3870</v>
      </c>
      <c r="E5047" s="4">
        <v>4500</v>
      </c>
    </row>
    <row r="5048" spans="1:5" ht="26.25" x14ac:dyDescent="0.25">
      <c r="A5048" s="2" t="s">
        <v>10</v>
      </c>
      <c r="B5048" s="2" t="str">
        <f>"765910299"</f>
        <v>765910299</v>
      </c>
      <c r="C5048" s="2" t="str">
        <f>"765910299"</f>
        <v>765910299</v>
      </c>
      <c r="D5048" s="2" t="s">
        <v>3870</v>
      </c>
      <c r="E5048" s="4">
        <v>4500</v>
      </c>
    </row>
    <row r="5049" spans="1:5" ht="26.25" x14ac:dyDescent="0.25">
      <c r="A5049" s="2" t="s">
        <v>10</v>
      </c>
      <c r="B5049" s="2" t="str">
        <f>"174810299"</f>
        <v>174810299</v>
      </c>
      <c r="C5049" s="2" t="str">
        <f>"174810299"</f>
        <v>174810299</v>
      </c>
      <c r="D5049" s="2" t="s">
        <v>3870</v>
      </c>
      <c r="E5049" s="4">
        <v>3500</v>
      </c>
    </row>
    <row r="5050" spans="1:5" ht="26.25" x14ac:dyDescent="0.25">
      <c r="A5050" s="2" t="s">
        <v>10</v>
      </c>
      <c r="B5050" s="2" t="str">
        <f>"765110299"</f>
        <v>765110299</v>
      </c>
      <c r="C5050" s="2" t="str">
        <f>"765110299"</f>
        <v>765110299</v>
      </c>
      <c r="D5050" s="2" t="s">
        <v>3870</v>
      </c>
      <c r="E5050" s="4">
        <v>4500</v>
      </c>
    </row>
    <row r="5051" spans="1:5" ht="26.25" x14ac:dyDescent="0.25">
      <c r="A5051" s="2" t="s">
        <v>10</v>
      </c>
      <c r="B5051" s="2" t="str">
        <f>"767510298"</f>
        <v>767510298</v>
      </c>
      <c r="C5051" s="2" t="str">
        <f>"767510298"</f>
        <v>767510298</v>
      </c>
      <c r="D5051" s="2" t="s">
        <v>3871</v>
      </c>
      <c r="E5051" s="4">
        <v>4500</v>
      </c>
    </row>
    <row r="5052" spans="1:5" ht="26.25" x14ac:dyDescent="0.25">
      <c r="A5052" s="2" t="s">
        <v>10</v>
      </c>
      <c r="B5052" s="2" t="str">
        <f>"174810298"</f>
        <v>174810298</v>
      </c>
      <c r="C5052" s="2" t="str">
        <f>"174810298"</f>
        <v>174810298</v>
      </c>
      <c r="D5052" s="2" t="s">
        <v>3871</v>
      </c>
      <c r="E5052" s="4">
        <v>3500</v>
      </c>
    </row>
    <row r="5053" spans="1:5" ht="26.25" x14ac:dyDescent="0.25">
      <c r="A5053" s="2" t="s">
        <v>10</v>
      </c>
      <c r="B5053" s="2" t="str">
        <f>"1000001087474"</f>
        <v>1000001087474</v>
      </c>
      <c r="C5053" s="2" t="str">
        <f>"765110298"</f>
        <v>765110298</v>
      </c>
      <c r="D5053" s="2" t="s">
        <v>3871</v>
      </c>
      <c r="E5053" s="4">
        <v>4500</v>
      </c>
    </row>
    <row r="5054" spans="1:5" ht="26.25" x14ac:dyDescent="0.25">
      <c r="A5054" s="2" t="s">
        <v>10</v>
      </c>
      <c r="B5054" s="2" t="str">
        <f>"765110308"</f>
        <v>765110308</v>
      </c>
      <c r="C5054" s="2" t="str">
        <f>"765110308"</f>
        <v>765110308</v>
      </c>
      <c r="D5054" s="2" t="s">
        <v>3872</v>
      </c>
      <c r="E5054" s="4">
        <v>4500</v>
      </c>
    </row>
    <row r="5055" spans="1:5" ht="26.25" x14ac:dyDescent="0.25">
      <c r="A5055" s="2" t="s">
        <v>10</v>
      </c>
      <c r="B5055" s="2" t="str">
        <f>"764810308"</f>
        <v>764810308</v>
      </c>
      <c r="C5055" s="2" t="str">
        <f>"764810308"</f>
        <v>764810308</v>
      </c>
      <c r="D5055" s="2" t="s">
        <v>3872</v>
      </c>
      <c r="E5055" s="4">
        <v>4500</v>
      </c>
    </row>
    <row r="5056" spans="1:5" ht="26.25" x14ac:dyDescent="0.25">
      <c r="A5056" s="2" t="s">
        <v>10</v>
      </c>
      <c r="B5056" s="2" t="str">
        <f>"415110308"</f>
        <v>415110308</v>
      </c>
      <c r="C5056" s="2" t="str">
        <f>"415110308"</f>
        <v>415110308</v>
      </c>
      <c r="D5056" s="2" t="s">
        <v>3872</v>
      </c>
      <c r="E5056" s="4">
        <v>5000</v>
      </c>
    </row>
    <row r="5057" spans="1:5" ht="26.25" x14ac:dyDescent="0.25">
      <c r="A5057" s="2" t="s">
        <v>10</v>
      </c>
      <c r="B5057" s="2" t="str">
        <f>"763910308"</f>
        <v>763910308</v>
      </c>
      <c r="C5057" s="2" t="str">
        <f>"763910308"</f>
        <v>763910308</v>
      </c>
      <c r="D5057" s="2" t="s">
        <v>3872</v>
      </c>
      <c r="E5057" s="4">
        <v>4500</v>
      </c>
    </row>
    <row r="5058" spans="1:5" ht="26.25" x14ac:dyDescent="0.25">
      <c r="A5058" s="2" t="s">
        <v>10</v>
      </c>
      <c r="B5058" s="2" t="str">
        <f>"615110312"</f>
        <v>615110312</v>
      </c>
      <c r="C5058" s="2" t="str">
        <f>"615110312"</f>
        <v>615110312</v>
      </c>
      <c r="D5058" s="2" t="s">
        <v>3873</v>
      </c>
      <c r="E5058" s="4">
        <v>3500</v>
      </c>
    </row>
    <row r="5059" spans="1:5" ht="26.25" x14ac:dyDescent="0.25">
      <c r="A5059" s="2" t="s">
        <v>10</v>
      </c>
      <c r="B5059" s="2" t="str">
        <f>"415110312"</f>
        <v>415110312</v>
      </c>
      <c r="C5059" s="2" t="str">
        <f>"415110312"</f>
        <v>415110312</v>
      </c>
      <c r="D5059" s="2" t="s">
        <v>3873</v>
      </c>
      <c r="E5059" s="4">
        <v>5000</v>
      </c>
    </row>
    <row r="5060" spans="1:5" ht="26.25" x14ac:dyDescent="0.25">
      <c r="A5060" s="2" t="s">
        <v>10</v>
      </c>
      <c r="B5060" s="2" t="str">
        <f>"764810312"</f>
        <v>764810312</v>
      </c>
      <c r="C5060" s="2" t="str">
        <f>"764810312"</f>
        <v>764810312</v>
      </c>
      <c r="D5060" s="2" t="s">
        <v>3873</v>
      </c>
      <c r="E5060" s="4">
        <v>4500</v>
      </c>
    </row>
    <row r="5061" spans="1:5" ht="26.25" x14ac:dyDescent="0.25">
      <c r="A5061" s="2" t="s">
        <v>10</v>
      </c>
      <c r="B5061" s="2" t="str">
        <f>"765110307"</f>
        <v>765110307</v>
      </c>
      <c r="C5061" s="2" t="str">
        <f>"765110307"</f>
        <v>765110307</v>
      </c>
      <c r="D5061" s="2" t="s">
        <v>3874</v>
      </c>
      <c r="E5061" s="4">
        <v>4500</v>
      </c>
    </row>
    <row r="5062" spans="1:5" ht="26.25" x14ac:dyDescent="0.25">
      <c r="A5062" s="2" t="s">
        <v>10</v>
      </c>
      <c r="B5062" s="2" t="str">
        <f>"765110314"</f>
        <v>765110314</v>
      </c>
      <c r="C5062" s="2" t="str">
        <f>"765110314"</f>
        <v>765110314</v>
      </c>
      <c r="D5062" s="2" t="s">
        <v>3875</v>
      </c>
      <c r="E5062" s="4">
        <v>4500</v>
      </c>
    </row>
    <row r="5063" spans="1:5" ht="26.25" x14ac:dyDescent="0.25">
      <c r="A5063" s="2" t="s">
        <v>10</v>
      </c>
      <c r="B5063" s="2" t="str">
        <f>"2019030400269"</f>
        <v>2019030400269</v>
      </c>
      <c r="C5063" s="2" t="str">
        <f>"187510314"</f>
        <v>187510314</v>
      </c>
      <c r="D5063" s="2" t="s">
        <v>3875</v>
      </c>
      <c r="E5063" s="4">
        <v>3500</v>
      </c>
    </row>
    <row r="5064" spans="1:5" ht="26.25" x14ac:dyDescent="0.25">
      <c r="A5064" s="2" t="s">
        <v>10</v>
      </c>
      <c r="B5064" s="2" t="str">
        <f>"2019030102378"</f>
        <v>2019030102378</v>
      </c>
      <c r="C5064" s="2" t="str">
        <f>"186410314"</f>
        <v>186410314</v>
      </c>
      <c r="D5064" s="2" t="s">
        <v>3875</v>
      </c>
      <c r="E5064" s="4">
        <v>4500</v>
      </c>
    </row>
    <row r="5065" spans="1:5" ht="26.25" x14ac:dyDescent="0.25">
      <c r="A5065" s="2" t="s">
        <v>10</v>
      </c>
      <c r="B5065" s="2" t="str">
        <f>"2019030102385"</f>
        <v>2019030102385</v>
      </c>
      <c r="C5065" s="2" t="str">
        <f>"186410315"</f>
        <v>186410315</v>
      </c>
      <c r="D5065" s="2" t="s">
        <v>3876</v>
      </c>
      <c r="E5065" s="4">
        <v>4500</v>
      </c>
    </row>
    <row r="5066" spans="1:5" ht="26.25" x14ac:dyDescent="0.25">
      <c r="A5066" s="2" t="s">
        <v>10</v>
      </c>
      <c r="B5066" s="2" t="str">
        <f>"1000001021560"</f>
        <v>1000001021560</v>
      </c>
      <c r="C5066" s="2" t="str">
        <f>"764810315"</f>
        <v>764810315</v>
      </c>
      <c r="D5066" s="2" t="s">
        <v>3876</v>
      </c>
      <c r="E5066" s="4">
        <v>4500</v>
      </c>
    </row>
    <row r="5067" spans="1:5" ht="26.25" x14ac:dyDescent="0.25">
      <c r="A5067" s="2" t="s">
        <v>10</v>
      </c>
      <c r="B5067" s="2" t="str">
        <f>"2019030102392"</f>
        <v>2019030102392</v>
      </c>
      <c r="C5067" s="2" t="str">
        <f>"186410316"</f>
        <v>186410316</v>
      </c>
      <c r="D5067" s="2" t="s">
        <v>3877</v>
      </c>
      <c r="E5067" s="4">
        <v>4500</v>
      </c>
    </row>
    <row r="5068" spans="1:5" ht="26.25" x14ac:dyDescent="0.25">
      <c r="A5068" s="2" t="s">
        <v>10</v>
      </c>
      <c r="B5068" s="2" t="str">
        <f>"2019030400283"</f>
        <v>2019030400283</v>
      </c>
      <c r="C5068" s="2" t="str">
        <f>"187510316"</f>
        <v>187510316</v>
      </c>
      <c r="D5068" s="2" t="s">
        <v>3877</v>
      </c>
      <c r="E5068" s="4">
        <v>3500</v>
      </c>
    </row>
    <row r="5069" spans="1:5" ht="26.25" x14ac:dyDescent="0.25">
      <c r="A5069" s="2" t="s">
        <v>10</v>
      </c>
      <c r="B5069" s="2" t="str">
        <f>"1000001022758"</f>
        <v>1000001022758</v>
      </c>
      <c r="C5069" s="2" t="str">
        <f>"764810316"</f>
        <v>764810316</v>
      </c>
      <c r="D5069" s="2" t="s">
        <v>3877</v>
      </c>
      <c r="E5069" s="4">
        <v>4500</v>
      </c>
    </row>
    <row r="5070" spans="1:5" ht="26.25" x14ac:dyDescent="0.25">
      <c r="A5070" s="2" t="s">
        <v>10</v>
      </c>
      <c r="B5070" s="2" t="str">
        <f>"685110316"</f>
        <v>685110316</v>
      </c>
      <c r="C5070" s="2" t="str">
        <f>"685110316"</f>
        <v>685110316</v>
      </c>
      <c r="D5070" s="2" t="s">
        <v>3877</v>
      </c>
      <c r="E5070" s="4">
        <v>4000</v>
      </c>
    </row>
    <row r="5071" spans="1:5" ht="26.25" x14ac:dyDescent="0.25">
      <c r="A5071" s="2" t="s">
        <v>10</v>
      </c>
      <c r="B5071" s="2" t="str">
        <f>"765110324"</f>
        <v>765110324</v>
      </c>
      <c r="C5071" s="2" t="str">
        <f>"765110324"</f>
        <v>765110324</v>
      </c>
      <c r="D5071" s="2" t="s">
        <v>3878</v>
      </c>
      <c r="E5071" s="4">
        <v>5000</v>
      </c>
    </row>
    <row r="5072" spans="1:5" ht="26.25" x14ac:dyDescent="0.25">
      <c r="A5072" s="2" t="s">
        <v>10</v>
      </c>
      <c r="B5072" s="2" t="str">
        <f>"1000001099897"</f>
        <v>1000001099897</v>
      </c>
      <c r="C5072" s="2" t="str">
        <f>"764810313"</f>
        <v>764810313</v>
      </c>
      <c r="D5072" s="2" t="s">
        <v>3879</v>
      </c>
      <c r="E5072" s="4">
        <v>4500</v>
      </c>
    </row>
    <row r="5073" spans="1:5" ht="26.25" x14ac:dyDescent="0.25">
      <c r="A5073" s="2" t="s">
        <v>10</v>
      </c>
      <c r="B5073" s="2" t="str">
        <f>"764810317"</f>
        <v>764810317</v>
      </c>
      <c r="C5073" s="2" t="str">
        <f>"764810317"</f>
        <v>764810317</v>
      </c>
      <c r="D5073" s="2" t="s">
        <v>3880</v>
      </c>
      <c r="E5073" s="4">
        <v>4500</v>
      </c>
    </row>
    <row r="5074" spans="1:5" ht="26.25" x14ac:dyDescent="0.25">
      <c r="A5074" s="2" t="s">
        <v>10</v>
      </c>
      <c r="B5074" s="2" t="str">
        <f>"17481079"</f>
        <v>17481079</v>
      </c>
      <c r="C5074" s="2" t="str">
        <f>"17481079"</f>
        <v>17481079</v>
      </c>
      <c r="D5074" s="2" t="s">
        <v>3881</v>
      </c>
      <c r="E5074" s="4">
        <v>3500</v>
      </c>
    </row>
    <row r="5075" spans="1:5" ht="26.25" x14ac:dyDescent="0.25">
      <c r="A5075" s="2" t="s">
        <v>10</v>
      </c>
      <c r="B5075" s="2" t="str">
        <f>"174810121"</f>
        <v>174810121</v>
      </c>
      <c r="C5075" s="2" t="str">
        <f>"174810121"</f>
        <v>174810121</v>
      </c>
      <c r="D5075" s="2" t="s">
        <v>3882</v>
      </c>
      <c r="E5075" s="4">
        <v>3500</v>
      </c>
    </row>
    <row r="5076" spans="1:5" ht="26.25" x14ac:dyDescent="0.25">
      <c r="A5076" s="2" t="s">
        <v>10</v>
      </c>
      <c r="B5076" s="2" t="str">
        <f>"17481082"</f>
        <v>17481082</v>
      </c>
      <c r="C5076" s="2" t="str">
        <f>"17481082"</f>
        <v>17481082</v>
      </c>
      <c r="D5076" s="2" t="s">
        <v>3883</v>
      </c>
      <c r="E5076" s="4">
        <v>3000</v>
      </c>
    </row>
    <row r="5077" spans="1:5" ht="26.25" x14ac:dyDescent="0.25">
      <c r="A5077" s="2" t="s">
        <v>10</v>
      </c>
      <c r="B5077" s="2" t="str">
        <f>"27581082"</f>
        <v>27581082</v>
      </c>
      <c r="C5077" s="2" t="str">
        <f>"27581082"</f>
        <v>27581082</v>
      </c>
      <c r="D5077" s="2" t="s">
        <v>3883</v>
      </c>
      <c r="E5077" s="4">
        <v>3600</v>
      </c>
    </row>
    <row r="5078" spans="1:5" ht="26.25" x14ac:dyDescent="0.25">
      <c r="A5078" s="2" t="s">
        <v>10</v>
      </c>
      <c r="B5078" s="2" t="str">
        <f>"76471059"</f>
        <v>76471059</v>
      </c>
      <c r="C5078" s="2" t="str">
        <f>"76471059"</f>
        <v>76471059</v>
      </c>
      <c r="D5078" s="2" t="s">
        <v>3883</v>
      </c>
      <c r="E5078" s="4">
        <v>4000</v>
      </c>
    </row>
    <row r="5079" spans="1:5" ht="26.25" x14ac:dyDescent="0.25">
      <c r="A5079" s="2" t="s">
        <v>10</v>
      </c>
      <c r="B5079" s="2" t="str">
        <f>"174810305"</f>
        <v>174810305</v>
      </c>
      <c r="C5079" s="2" t="str">
        <f>"174810305"</f>
        <v>174810305</v>
      </c>
      <c r="D5079" s="2" t="s">
        <v>3884</v>
      </c>
      <c r="E5079" s="4">
        <v>3500</v>
      </c>
    </row>
    <row r="5080" spans="1:5" ht="26.25" x14ac:dyDescent="0.25">
      <c r="A5080" s="2" t="s">
        <v>10</v>
      </c>
      <c r="B5080" s="2" t="str">
        <f>"764810305"</f>
        <v>764810305</v>
      </c>
      <c r="C5080" s="2" t="str">
        <f>"764810305"</f>
        <v>764810305</v>
      </c>
      <c r="D5080" s="2" t="s">
        <v>3884</v>
      </c>
      <c r="E5080" s="4">
        <v>4500</v>
      </c>
    </row>
    <row r="5081" spans="1:5" ht="26.25" x14ac:dyDescent="0.25">
      <c r="A5081" s="2" t="s">
        <v>10</v>
      </c>
      <c r="B5081" s="2" t="str">
        <f>"175110305"</f>
        <v>175110305</v>
      </c>
      <c r="C5081" s="2" t="str">
        <f>"175110305"</f>
        <v>175110305</v>
      </c>
      <c r="D5081" s="2" t="s">
        <v>3884</v>
      </c>
      <c r="E5081" s="4">
        <v>3500</v>
      </c>
    </row>
    <row r="5082" spans="1:5" ht="26.25" x14ac:dyDescent="0.25">
      <c r="A5082" s="2" t="s">
        <v>10</v>
      </c>
      <c r="B5082" s="2" t="str">
        <f>"765110305"</f>
        <v>765110305</v>
      </c>
      <c r="C5082" s="2" t="str">
        <f>"765110305"</f>
        <v>765110305</v>
      </c>
      <c r="D5082" s="2" t="s">
        <v>3884</v>
      </c>
      <c r="E5082" s="4">
        <v>4500</v>
      </c>
    </row>
    <row r="5083" spans="1:5" ht="26.25" x14ac:dyDescent="0.25">
      <c r="A5083" s="2" t="s">
        <v>10</v>
      </c>
      <c r="B5083" s="2" t="str">
        <f>"174810282"</f>
        <v>174810282</v>
      </c>
      <c r="C5083" s="2" t="str">
        <f>"174810282"</f>
        <v>174810282</v>
      </c>
      <c r="D5083" s="2" t="s">
        <v>3885</v>
      </c>
      <c r="E5083" s="4">
        <v>3500</v>
      </c>
    </row>
    <row r="5084" spans="1:5" ht="26.25" x14ac:dyDescent="0.25">
      <c r="A5084" s="2" t="s">
        <v>10</v>
      </c>
      <c r="B5084" s="2" t="str">
        <f>"275810282"</f>
        <v>275810282</v>
      </c>
      <c r="C5084" s="2" t="str">
        <f>"275810282"</f>
        <v>275810282</v>
      </c>
      <c r="D5084" s="2" t="s">
        <v>3885</v>
      </c>
      <c r="E5084" s="4">
        <v>3600</v>
      </c>
    </row>
    <row r="5085" spans="1:5" ht="26.25" x14ac:dyDescent="0.25">
      <c r="A5085" s="2" t="s">
        <v>10</v>
      </c>
      <c r="B5085" s="2" t="str">
        <f>"174710284"</f>
        <v>174710284</v>
      </c>
      <c r="C5085" s="2" t="str">
        <f>"174710284"</f>
        <v>174710284</v>
      </c>
      <c r="D5085" s="2" t="s">
        <v>3886</v>
      </c>
      <c r="E5085" s="4">
        <v>3500</v>
      </c>
    </row>
    <row r="5086" spans="1:5" ht="26.25" x14ac:dyDescent="0.25">
      <c r="A5086" s="2" t="s">
        <v>10</v>
      </c>
      <c r="B5086" s="2" t="str">
        <f>"174810284"</f>
        <v>174810284</v>
      </c>
      <c r="C5086" s="2" t="str">
        <f>"174810284"</f>
        <v>174810284</v>
      </c>
      <c r="D5086" s="2" t="s">
        <v>3886</v>
      </c>
      <c r="E5086" s="4">
        <v>3600</v>
      </c>
    </row>
    <row r="5087" spans="1:5" ht="26.25" x14ac:dyDescent="0.25">
      <c r="A5087" s="2" t="s">
        <v>10</v>
      </c>
      <c r="B5087" s="2" t="str">
        <f>"684810284"</f>
        <v>684810284</v>
      </c>
      <c r="C5087" s="2" t="str">
        <f>"684810284"</f>
        <v>684810284</v>
      </c>
      <c r="D5087" s="2" t="s">
        <v>3886</v>
      </c>
      <c r="E5087" s="4">
        <v>3500</v>
      </c>
    </row>
    <row r="5088" spans="1:5" ht="26.25" x14ac:dyDescent="0.25">
      <c r="A5088" s="2" t="s">
        <v>10</v>
      </c>
      <c r="B5088" s="2" t="str">
        <f>"175810284"</f>
        <v>175810284</v>
      </c>
      <c r="C5088" s="2" t="str">
        <f>"175810284"</f>
        <v>175810284</v>
      </c>
      <c r="D5088" s="2" t="s">
        <v>3886</v>
      </c>
      <c r="E5088" s="4">
        <v>3500</v>
      </c>
    </row>
    <row r="5089" spans="1:5" ht="26.25" x14ac:dyDescent="0.25">
      <c r="A5089" s="2" t="s">
        <v>10</v>
      </c>
      <c r="B5089" s="2" t="str">
        <f>"68481025"</f>
        <v>68481025</v>
      </c>
      <c r="C5089" s="2" t="str">
        <f>"68481025"</f>
        <v>68481025</v>
      </c>
      <c r="D5089" s="2" t="s">
        <v>3887</v>
      </c>
      <c r="E5089" s="4">
        <v>3500</v>
      </c>
    </row>
    <row r="5090" spans="1:5" ht="26.25" x14ac:dyDescent="0.25">
      <c r="A5090" s="2" t="s">
        <v>10</v>
      </c>
      <c r="B5090" s="2" t="str">
        <f>"76751025"</f>
        <v>76751025</v>
      </c>
      <c r="C5090" s="2" t="str">
        <f>"76751025"</f>
        <v>76751025</v>
      </c>
      <c r="D5090" s="2" t="s">
        <v>3887</v>
      </c>
      <c r="E5090" s="4">
        <v>4500</v>
      </c>
    </row>
    <row r="5091" spans="1:5" ht="26.25" x14ac:dyDescent="0.25">
      <c r="A5091" s="2" t="s">
        <v>10</v>
      </c>
      <c r="B5091" s="2" t="str">
        <f>"76511025"</f>
        <v>76511025</v>
      </c>
      <c r="C5091" s="2" t="str">
        <f>"76511025"</f>
        <v>76511025</v>
      </c>
      <c r="D5091" s="2" t="s">
        <v>3887</v>
      </c>
      <c r="E5091" s="4">
        <v>4500</v>
      </c>
    </row>
    <row r="5092" spans="1:5" ht="26.25" x14ac:dyDescent="0.25">
      <c r="A5092" s="2" t="s">
        <v>10</v>
      </c>
      <c r="B5092" s="2" t="str">
        <f>"17481025"</f>
        <v>17481025</v>
      </c>
      <c r="C5092" s="2" t="str">
        <f>"17481025"</f>
        <v>17481025</v>
      </c>
      <c r="D5092" s="2" t="s">
        <v>3887</v>
      </c>
      <c r="E5092" s="4">
        <v>3500</v>
      </c>
    </row>
    <row r="5093" spans="1:5" ht="26.25" x14ac:dyDescent="0.25">
      <c r="A5093" s="2" t="s">
        <v>10</v>
      </c>
      <c r="B5093" s="2" t="str">
        <f>"76513161"</f>
        <v>76513161</v>
      </c>
      <c r="C5093" s="2" t="str">
        <f>"76513161"</f>
        <v>76513161</v>
      </c>
      <c r="D5093" s="2" t="s">
        <v>3888</v>
      </c>
      <c r="E5093" s="4">
        <v>4500</v>
      </c>
    </row>
    <row r="5094" spans="1:5" ht="26.25" x14ac:dyDescent="0.25">
      <c r="A5094" s="2" t="s">
        <v>10</v>
      </c>
      <c r="B5094" s="2" t="str">
        <f>"17483162"</f>
        <v>17483162</v>
      </c>
      <c r="C5094" s="2" t="str">
        <f>"17483162"</f>
        <v>17483162</v>
      </c>
      <c r="D5094" s="2" t="s">
        <v>3889</v>
      </c>
      <c r="E5094" s="4">
        <v>3500</v>
      </c>
    </row>
    <row r="5095" spans="1:5" ht="26.25" x14ac:dyDescent="0.25">
      <c r="A5095" s="2" t="s">
        <v>10</v>
      </c>
      <c r="B5095" s="2" t="str">
        <f>"1000001098432"</f>
        <v>1000001098432</v>
      </c>
      <c r="C5095" s="2" t="str">
        <f>"765131621"</f>
        <v>765131621</v>
      </c>
      <c r="D5095" s="2" t="s">
        <v>3890</v>
      </c>
      <c r="E5095" s="4">
        <v>4500</v>
      </c>
    </row>
    <row r="5096" spans="1:5" ht="26.25" x14ac:dyDescent="0.25">
      <c r="A5096" s="2" t="s">
        <v>10</v>
      </c>
      <c r="B5096" s="2" t="str">
        <f>"764831621"</f>
        <v>764831621</v>
      </c>
      <c r="C5096" s="2" t="str">
        <f>"764831621"</f>
        <v>764831621</v>
      </c>
      <c r="D5096" s="2" t="s">
        <v>3890</v>
      </c>
      <c r="E5096" s="4">
        <v>4500</v>
      </c>
    </row>
    <row r="5097" spans="1:5" ht="26.25" x14ac:dyDescent="0.25">
      <c r="A5097" s="2" t="s">
        <v>10</v>
      </c>
      <c r="B5097" s="2" t="str">
        <f>"76753163"</f>
        <v>76753163</v>
      </c>
      <c r="C5097" s="2" t="str">
        <f>"76753163"</f>
        <v>76753163</v>
      </c>
      <c r="D5097" s="2" t="s">
        <v>3891</v>
      </c>
      <c r="E5097" s="4">
        <v>4500</v>
      </c>
    </row>
    <row r="5098" spans="1:5" ht="26.25" x14ac:dyDescent="0.25">
      <c r="A5098" s="2" t="s">
        <v>10</v>
      </c>
      <c r="B5098" s="2" t="str">
        <f>"17483163"</f>
        <v>17483163</v>
      </c>
      <c r="C5098" s="2" t="str">
        <f>"17483163"</f>
        <v>17483163</v>
      </c>
      <c r="D5098" s="2" t="s">
        <v>3891</v>
      </c>
      <c r="E5098" s="4">
        <v>4500</v>
      </c>
    </row>
    <row r="5099" spans="1:5" ht="26.25" x14ac:dyDescent="0.25">
      <c r="A5099" s="2" t="s">
        <v>10</v>
      </c>
      <c r="B5099" s="2" t="str">
        <f>"76483163"</f>
        <v>76483163</v>
      </c>
      <c r="C5099" s="2" t="str">
        <f>"76483163"</f>
        <v>76483163</v>
      </c>
      <c r="D5099" s="2" t="s">
        <v>3891</v>
      </c>
      <c r="E5099" s="4">
        <v>4500</v>
      </c>
    </row>
    <row r="5100" spans="1:5" ht="26.25" x14ac:dyDescent="0.25">
      <c r="A5100" s="2" t="s">
        <v>10</v>
      </c>
      <c r="B5100" s="2" t="str">
        <f>"76643163"</f>
        <v>76643163</v>
      </c>
      <c r="C5100" s="2" t="str">
        <f>"76643163"</f>
        <v>76643163</v>
      </c>
      <c r="D5100" s="2" t="s">
        <v>3891</v>
      </c>
      <c r="E5100" s="4">
        <v>4500</v>
      </c>
    </row>
    <row r="5101" spans="1:5" ht="26.25" x14ac:dyDescent="0.25">
      <c r="A5101" s="2" t="s">
        <v>10</v>
      </c>
      <c r="B5101" s="2" t="str">
        <f>"76513163"</f>
        <v>76513163</v>
      </c>
      <c r="C5101" s="2" t="str">
        <f>"76513163"</f>
        <v>76513163</v>
      </c>
      <c r="D5101" s="2" t="s">
        <v>3891</v>
      </c>
      <c r="E5101" s="4">
        <v>4500</v>
      </c>
    </row>
    <row r="5102" spans="1:5" ht="26.25" x14ac:dyDescent="0.25">
      <c r="A5102" s="2" t="s">
        <v>10</v>
      </c>
      <c r="B5102" s="2" t="str">
        <f>"765131631"</f>
        <v>765131631</v>
      </c>
      <c r="C5102" s="2" t="str">
        <f>"765131631"</f>
        <v>765131631</v>
      </c>
      <c r="D5102" s="2" t="s">
        <v>3892</v>
      </c>
      <c r="E5102" s="4">
        <v>4500</v>
      </c>
    </row>
    <row r="5103" spans="1:5" ht="26.25" x14ac:dyDescent="0.25">
      <c r="A5103" s="2" t="s">
        <v>10</v>
      </c>
      <c r="B5103" s="2" t="str">
        <f>"76753165"</f>
        <v>76753165</v>
      </c>
      <c r="C5103" s="2" t="str">
        <f>"76753165"</f>
        <v>76753165</v>
      </c>
      <c r="D5103" s="2" t="s">
        <v>3893</v>
      </c>
      <c r="E5103" s="4">
        <v>4500</v>
      </c>
    </row>
    <row r="5104" spans="1:5" ht="26.25" x14ac:dyDescent="0.25">
      <c r="A5104" s="2" t="s">
        <v>10</v>
      </c>
      <c r="B5104" s="2" t="str">
        <f>"17483165"</f>
        <v>17483165</v>
      </c>
      <c r="C5104" s="2" t="str">
        <f>"17483165"</f>
        <v>17483165</v>
      </c>
      <c r="D5104" s="2" t="s">
        <v>3893</v>
      </c>
      <c r="E5104" s="4">
        <v>3500</v>
      </c>
    </row>
    <row r="5105" spans="1:5" ht="26.25" x14ac:dyDescent="0.25">
      <c r="A5105" s="2" t="s">
        <v>10</v>
      </c>
      <c r="B5105" s="2" t="str">
        <f>"76483165"</f>
        <v>76483165</v>
      </c>
      <c r="C5105" s="2" t="str">
        <f>"76483165"</f>
        <v>76483165</v>
      </c>
      <c r="D5105" s="2" t="s">
        <v>3893</v>
      </c>
      <c r="E5105" s="4">
        <v>4500</v>
      </c>
    </row>
    <row r="5106" spans="1:5" ht="26.25" x14ac:dyDescent="0.25">
      <c r="A5106" s="2" t="s">
        <v>10</v>
      </c>
      <c r="B5106" s="2" t="str">
        <f>"76393165"</f>
        <v>76393165</v>
      </c>
      <c r="C5106" s="2" t="str">
        <f>"76393165"</f>
        <v>76393165</v>
      </c>
      <c r="D5106" s="2" t="s">
        <v>3893</v>
      </c>
      <c r="E5106" s="4">
        <v>4500</v>
      </c>
    </row>
    <row r="5107" spans="1:5" ht="26.25" x14ac:dyDescent="0.25">
      <c r="A5107" s="2" t="s">
        <v>10</v>
      </c>
      <c r="B5107" s="2" t="str">
        <f>"764831651"</f>
        <v>764831651</v>
      </c>
      <c r="C5107" s="2" t="str">
        <f>"764831651"</f>
        <v>764831651</v>
      </c>
      <c r="D5107" s="2" t="s">
        <v>3894</v>
      </c>
      <c r="E5107" s="4">
        <v>4500</v>
      </c>
    </row>
    <row r="5108" spans="1:5" ht="26.25" x14ac:dyDescent="0.25">
      <c r="A5108" s="2" t="s">
        <v>10</v>
      </c>
      <c r="B5108" s="2" t="str">
        <f>"764831652"</f>
        <v>764831652</v>
      </c>
      <c r="C5108" s="2" t="str">
        <f>"764831652"</f>
        <v>764831652</v>
      </c>
      <c r="D5108" s="2" t="s">
        <v>3895</v>
      </c>
      <c r="E5108" s="4">
        <v>3500</v>
      </c>
    </row>
    <row r="5109" spans="1:5" ht="26.25" x14ac:dyDescent="0.25">
      <c r="A5109" s="2" t="s">
        <v>10</v>
      </c>
      <c r="B5109" s="2" t="str">
        <f>"68483351"</f>
        <v>68483351</v>
      </c>
      <c r="C5109" s="2" t="str">
        <f>"68483351"</f>
        <v>68483351</v>
      </c>
      <c r="D5109" s="2" t="s">
        <v>3895</v>
      </c>
      <c r="E5109" s="4">
        <v>3500</v>
      </c>
    </row>
    <row r="5110" spans="1:5" ht="26.25" x14ac:dyDescent="0.25">
      <c r="A5110" s="2" t="s">
        <v>10</v>
      </c>
      <c r="B5110" s="2" t="str">
        <f>"76753166"</f>
        <v>76753166</v>
      </c>
      <c r="C5110" s="2" t="str">
        <f>"76753166"</f>
        <v>76753166</v>
      </c>
      <c r="D5110" s="2" t="s">
        <v>3896</v>
      </c>
      <c r="E5110" s="4">
        <v>4500</v>
      </c>
    </row>
    <row r="5111" spans="1:5" ht="26.25" x14ac:dyDescent="0.25">
      <c r="A5111" s="2" t="s">
        <v>10</v>
      </c>
      <c r="B5111" s="2" t="str">
        <f>"17483166"</f>
        <v>17483166</v>
      </c>
      <c r="C5111" s="2" t="str">
        <f>"17483166"</f>
        <v>17483166</v>
      </c>
      <c r="D5111" s="2" t="s">
        <v>3896</v>
      </c>
      <c r="E5111" s="4">
        <v>3500</v>
      </c>
    </row>
    <row r="5112" spans="1:5" ht="26.25" x14ac:dyDescent="0.25">
      <c r="A5112" s="2" t="s">
        <v>10</v>
      </c>
      <c r="B5112" s="2" t="str">
        <f>"76483166"</f>
        <v>76483166</v>
      </c>
      <c r="C5112" s="2" t="str">
        <f>"76483166"</f>
        <v>76483166</v>
      </c>
      <c r="D5112" s="2" t="s">
        <v>3896</v>
      </c>
      <c r="E5112" s="4">
        <v>6000</v>
      </c>
    </row>
    <row r="5113" spans="1:5" ht="26.25" x14ac:dyDescent="0.25">
      <c r="A5113" s="2" t="s">
        <v>10</v>
      </c>
      <c r="B5113" s="2" t="str">
        <f>"76513166"</f>
        <v>76513166</v>
      </c>
      <c r="C5113" s="2" t="str">
        <f>"76513166"</f>
        <v>76513166</v>
      </c>
      <c r="D5113" s="2" t="s">
        <v>3896</v>
      </c>
      <c r="E5113" s="4">
        <v>4500</v>
      </c>
    </row>
    <row r="5114" spans="1:5" ht="26.25" x14ac:dyDescent="0.25">
      <c r="A5114" s="2" t="s">
        <v>10</v>
      </c>
      <c r="B5114" s="2" t="str">
        <f>"76393166"</f>
        <v>76393166</v>
      </c>
      <c r="C5114" s="2" t="str">
        <f>"76393166"</f>
        <v>76393166</v>
      </c>
      <c r="D5114" s="2" t="s">
        <v>3896</v>
      </c>
      <c r="E5114" s="4">
        <v>4500</v>
      </c>
    </row>
    <row r="5115" spans="1:5" ht="26.25" x14ac:dyDescent="0.25">
      <c r="A5115" s="2" t="s">
        <v>10</v>
      </c>
      <c r="B5115" s="2" t="str">
        <f>"765131661"</f>
        <v>765131661</v>
      </c>
      <c r="C5115" s="2" t="str">
        <f>"765131661"</f>
        <v>765131661</v>
      </c>
      <c r="D5115" s="2" t="s">
        <v>3897</v>
      </c>
      <c r="E5115" s="4">
        <v>4500</v>
      </c>
    </row>
    <row r="5116" spans="1:5" ht="26.25" x14ac:dyDescent="0.25">
      <c r="A5116" s="2" t="s">
        <v>10</v>
      </c>
      <c r="B5116" s="2" t="str">
        <f>"76513168"</f>
        <v>76513168</v>
      </c>
      <c r="C5116" s="2" t="str">
        <f>"76513168"</f>
        <v>76513168</v>
      </c>
      <c r="D5116" s="2" t="s">
        <v>3898</v>
      </c>
      <c r="E5116" s="4">
        <v>4500</v>
      </c>
    </row>
    <row r="5117" spans="1:5" ht="26.25" x14ac:dyDescent="0.25">
      <c r="A5117" s="2" t="s">
        <v>10</v>
      </c>
      <c r="B5117" s="2" t="str">
        <f>"174820182"</f>
        <v>174820182</v>
      </c>
      <c r="C5117" s="2" t="str">
        <f>"174820182"</f>
        <v>174820182</v>
      </c>
      <c r="D5117" s="2" t="s">
        <v>3899</v>
      </c>
      <c r="E5117" s="4">
        <v>3500</v>
      </c>
    </row>
    <row r="5118" spans="1:5" ht="26.25" x14ac:dyDescent="0.25">
      <c r="A5118" s="2" t="s">
        <v>10</v>
      </c>
      <c r="B5118" s="2" t="str">
        <f>"17480123"</f>
        <v>17480123</v>
      </c>
      <c r="C5118" s="2" t="str">
        <f>"17480123"</f>
        <v>17480123</v>
      </c>
      <c r="D5118" s="2" t="s">
        <v>3900</v>
      </c>
      <c r="E5118" s="4">
        <v>3500</v>
      </c>
    </row>
    <row r="5119" spans="1:5" ht="26.25" x14ac:dyDescent="0.25">
      <c r="A5119" s="2" t="s">
        <v>10</v>
      </c>
      <c r="B5119" s="2" t="str">
        <f>"174820123"</f>
        <v>174820123</v>
      </c>
      <c r="C5119" s="2" t="str">
        <f>"174820123"</f>
        <v>174820123</v>
      </c>
      <c r="D5119" s="2" t="s">
        <v>3900</v>
      </c>
      <c r="E5119" s="4">
        <v>3500</v>
      </c>
    </row>
    <row r="5120" spans="1:5" ht="26.25" x14ac:dyDescent="0.25">
      <c r="A5120" s="2" t="s">
        <v>10</v>
      </c>
      <c r="B5120" s="2" t="str">
        <f>"174820115"</f>
        <v>174820115</v>
      </c>
      <c r="C5120" s="2" t="str">
        <f>"174820115"</f>
        <v>174820115</v>
      </c>
      <c r="D5120" s="2" t="s">
        <v>3901</v>
      </c>
      <c r="E5120" s="4">
        <v>3000</v>
      </c>
    </row>
    <row r="5121" spans="1:5" ht="26.25" x14ac:dyDescent="0.25">
      <c r="A5121" s="2" t="s">
        <v>10</v>
      </c>
      <c r="B5121" s="2" t="str">
        <f>"174820114"</f>
        <v>174820114</v>
      </c>
      <c r="C5121" s="2" t="str">
        <f>"174820114"</f>
        <v>174820114</v>
      </c>
      <c r="D5121" s="2" t="s">
        <v>3901</v>
      </c>
      <c r="E5121" s="4">
        <v>3500</v>
      </c>
    </row>
    <row r="5122" spans="1:5" ht="26.25" x14ac:dyDescent="0.25">
      <c r="A5122" s="2" t="s">
        <v>10</v>
      </c>
      <c r="B5122" s="2" t="str">
        <f>"1748020182"</f>
        <v>1748020182</v>
      </c>
      <c r="C5122" s="2" t="str">
        <f>"1748020182"</f>
        <v>1748020182</v>
      </c>
      <c r="D5122" s="2" t="s">
        <v>3902</v>
      </c>
      <c r="E5122" s="4">
        <v>3500</v>
      </c>
    </row>
    <row r="5123" spans="1:5" ht="26.25" x14ac:dyDescent="0.25">
      <c r="A5123" s="2" t="s">
        <v>10</v>
      </c>
      <c r="B5123" s="2" t="str">
        <f>"174820206"</f>
        <v>174820206</v>
      </c>
      <c r="C5123" s="2" t="str">
        <f>"174820206"</f>
        <v>174820206</v>
      </c>
      <c r="D5123" s="2" t="s">
        <v>3903</v>
      </c>
      <c r="E5123" s="4">
        <v>3500</v>
      </c>
    </row>
    <row r="5124" spans="1:5" ht="26.25" x14ac:dyDescent="0.25">
      <c r="A5124" s="2" t="s">
        <v>10</v>
      </c>
      <c r="B5124" s="2" t="str">
        <f>"174820205"</f>
        <v>174820205</v>
      </c>
      <c r="C5124" s="2" t="str">
        <f>"174820205"</f>
        <v>174820205</v>
      </c>
      <c r="D5124" s="2" t="s">
        <v>3904</v>
      </c>
      <c r="E5124" s="4">
        <v>3500</v>
      </c>
    </row>
    <row r="5125" spans="1:5" ht="26.25" x14ac:dyDescent="0.25">
      <c r="A5125" s="2" t="s">
        <v>10</v>
      </c>
      <c r="B5125" s="2" t="str">
        <f>"17201460"</f>
        <v>17201460</v>
      </c>
      <c r="C5125" s="2" t="str">
        <f>"17201460"</f>
        <v>17201460</v>
      </c>
      <c r="D5125" s="2" t="s">
        <v>3905</v>
      </c>
      <c r="E5125" s="4">
        <v>3500</v>
      </c>
    </row>
    <row r="5126" spans="1:5" ht="26.25" x14ac:dyDescent="0.25">
      <c r="A5126" s="2" t="s">
        <v>10</v>
      </c>
      <c r="B5126" s="2" t="str">
        <f>"17201430"</f>
        <v>17201430</v>
      </c>
      <c r="C5126" s="2" t="str">
        <f>"17201430"</f>
        <v>17201430</v>
      </c>
      <c r="D5126" s="2" t="s">
        <v>3906</v>
      </c>
      <c r="E5126" s="4">
        <v>3500</v>
      </c>
    </row>
    <row r="5127" spans="1:5" ht="26.25" x14ac:dyDescent="0.25">
      <c r="A5127" s="2" t="s">
        <v>10</v>
      </c>
      <c r="B5127" s="2" t="str">
        <f>"110330793"</f>
        <v>110330793</v>
      </c>
      <c r="C5127" s="2" t="str">
        <f>"110330793"</f>
        <v>110330793</v>
      </c>
      <c r="D5127" s="2" t="s">
        <v>3907</v>
      </c>
      <c r="E5127" s="4">
        <v>4500</v>
      </c>
    </row>
    <row r="5128" spans="1:5" ht="26.25" x14ac:dyDescent="0.25">
      <c r="A5128" s="2" t="s">
        <v>10</v>
      </c>
      <c r="B5128" s="2" t="str">
        <f>"17481485"</f>
        <v>17481485</v>
      </c>
      <c r="C5128" s="2" t="str">
        <f>"17481485"</f>
        <v>17481485</v>
      </c>
      <c r="D5128" s="2" t="s">
        <v>3908</v>
      </c>
      <c r="E5128" s="4">
        <v>3500</v>
      </c>
    </row>
    <row r="5129" spans="1:5" ht="26.25" x14ac:dyDescent="0.25">
      <c r="A5129" s="2" t="s">
        <v>10</v>
      </c>
      <c r="B5129" s="2" t="str">
        <f>"797914289"</f>
        <v>797914289</v>
      </c>
      <c r="C5129" s="2" t="str">
        <f>"797914289"</f>
        <v>797914289</v>
      </c>
      <c r="D5129" s="2" t="s">
        <v>3909</v>
      </c>
      <c r="E5129" s="4">
        <v>7500</v>
      </c>
    </row>
    <row r="5130" spans="1:5" ht="26.25" x14ac:dyDescent="0.25">
      <c r="A5130" s="2" t="s">
        <v>10</v>
      </c>
      <c r="B5130" s="2" t="str">
        <f>"135614306"</f>
        <v>135614306</v>
      </c>
      <c r="C5130" s="2" t="str">
        <f>"135614306"</f>
        <v>135614306</v>
      </c>
      <c r="D5130" s="2" t="s">
        <v>3910</v>
      </c>
      <c r="E5130" s="4">
        <v>5000</v>
      </c>
    </row>
    <row r="5131" spans="1:5" ht="26.25" x14ac:dyDescent="0.25">
      <c r="A5131" s="2" t="s">
        <v>10</v>
      </c>
      <c r="B5131" s="2" t="str">
        <f>"134814306"</f>
        <v>134814306</v>
      </c>
      <c r="C5131" s="2" t="str">
        <f>"134814306"</f>
        <v>134814306</v>
      </c>
      <c r="D5131" s="2" t="s">
        <v>3910</v>
      </c>
      <c r="E5131" s="4">
        <v>4000</v>
      </c>
    </row>
    <row r="5132" spans="1:5" ht="26.25" x14ac:dyDescent="0.25">
      <c r="A5132" s="2" t="s">
        <v>10</v>
      </c>
      <c r="B5132" s="2" t="str">
        <f>"765114301"</f>
        <v>765114301</v>
      </c>
      <c r="C5132" s="2" t="str">
        <f>"765114301"</f>
        <v>765114301</v>
      </c>
      <c r="D5132" s="2" t="s">
        <v>3911</v>
      </c>
      <c r="E5132" s="4">
        <v>5500</v>
      </c>
    </row>
    <row r="5133" spans="1:5" ht="26.25" x14ac:dyDescent="0.25">
      <c r="A5133" s="2" t="s">
        <v>10</v>
      </c>
      <c r="B5133" s="2" t="str">
        <f>"135114309"</f>
        <v>135114309</v>
      </c>
      <c r="C5133" s="2" t="str">
        <f>"135114309"</f>
        <v>135114309</v>
      </c>
      <c r="D5133" s="2" t="s">
        <v>3912</v>
      </c>
      <c r="E5133" s="4">
        <v>5000</v>
      </c>
    </row>
    <row r="5134" spans="1:5" ht="26.25" x14ac:dyDescent="0.25">
      <c r="A5134" s="2" t="s">
        <v>10</v>
      </c>
      <c r="B5134" s="2" t="str">
        <f>"2019030678286"</f>
        <v>2019030678286</v>
      </c>
      <c r="C5134" s="2" t="str">
        <f>"614814279"</f>
        <v>614814279</v>
      </c>
      <c r="D5134" s="2" t="s">
        <v>3913</v>
      </c>
      <c r="E5134" s="4">
        <v>4500</v>
      </c>
    </row>
    <row r="5135" spans="1:5" ht="26.25" x14ac:dyDescent="0.25">
      <c r="A5135" s="2" t="s">
        <v>10</v>
      </c>
      <c r="B5135" s="2" t="str">
        <f>"2019030400153"</f>
        <v>2019030400153</v>
      </c>
      <c r="C5135" s="2" t="str">
        <f>"187514279"</f>
        <v>187514279</v>
      </c>
      <c r="D5135" s="2" t="s">
        <v>3913</v>
      </c>
      <c r="E5135" s="4">
        <v>3500</v>
      </c>
    </row>
    <row r="5136" spans="1:5" ht="26.25" x14ac:dyDescent="0.25">
      <c r="A5136" s="2" t="s">
        <v>10</v>
      </c>
      <c r="B5136" s="2" t="str">
        <f>"1000001023441"</f>
        <v>1000001023441</v>
      </c>
      <c r="C5136" s="2" t="str">
        <f>"765114279"</f>
        <v>765114279</v>
      </c>
      <c r="D5136" s="2" t="s">
        <v>3913</v>
      </c>
      <c r="E5136" s="4">
        <v>4500</v>
      </c>
    </row>
    <row r="5137" spans="1:5" ht="26.25" x14ac:dyDescent="0.25">
      <c r="A5137" s="2" t="s">
        <v>10</v>
      </c>
      <c r="B5137" s="2" t="str">
        <f>"764814279"</f>
        <v>764814279</v>
      </c>
      <c r="C5137" s="2" t="str">
        <f>"764814279"</f>
        <v>764814279</v>
      </c>
      <c r="D5137" s="2" t="s">
        <v>3913</v>
      </c>
      <c r="E5137" s="4">
        <v>3500</v>
      </c>
    </row>
    <row r="5138" spans="1:5" ht="26.25" x14ac:dyDescent="0.25">
      <c r="A5138" s="2" t="s">
        <v>10</v>
      </c>
      <c r="B5138" s="2" t="str">
        <f>"685114279"</f>
        <v>685114279</v>
      </c>
      <c r="C5138" s="2" t="str">
        <f>"685114279"</f>
        <v>685114279</v>
      </c>
      <c r="D5138" s="2" t="s">
        <v>3913</v>
      </c>
      <c r="E5138" s="4">
        <v>4000</v>
      </c>
    </row>
    <row r="5139" spans="1:5" ht="26.25" x14ac:dyDescent="0.25">
      <c r="A5139" s="2" t="s">
        <v>10</v>
      </c>
      <c r="B5139" s="2" t="str">
        <f>"684814279"</f>
        <v>684814279</v>
      </c>
      <c r="C5139" s="2" t="str">
        <f>"684814279"</f>
        <v>684814279</v>
      </c>
      <c r="D5139" s="2" t="s">
        <v>3913</v>
      </c>
      <c r="E5139" s="4">
        <v>3500</v>
      </c>
    </row>
    <row r="5140" spans="1:5" ht="26.25" x14ac:dyDescent="0.25">
      <c r="A5140" s="2" t="s">
        <v>10</v>
      </c>
      <c r="B5140" s="2" t="str">
        <f>"134814279"</f>
        <v>134814279</v>
      </c>
      <c r="C5140" s="2" t="str">
        <f>"134814279"</f>
        <v>134814279</v>
      </c>
      <c r="D5140" s="2" t="s">
        <v>3913</v>
      </c>
      <c r="E5140" s="4">
        <v>4000</v>
      </c>
    </row>
    <row r="5141" spans="1:5" ht="26.25" x14ac:dyDescent="0.25">
      <c r="A5141" s="2" t="s">
        <v>10</v>
      </c>
      <c r="B5141" s="2" t="str">
        <f>"685114284"</f>
        <v>685114284</v>
      </c>
      <c r="C5141" s="2" t="str">
        <f>"685114284"</f>
        <v>685114284</v>
      </c>
      <c r="D5141" s="2" t="s">
        <v>3914</v>
      </c>
      <c r="E5141" s="4">
        <v>4000</v>
      </c>
    </row>
    <row r="5142" spans="1:5" ht="26.25" x14ac:dyDescent="0.25">
      <c r="A5142" s="2" t="s">
        <v>10</v>
      </c>
      <c r="B5142" s="2" t="str">
        <f>"1000001023922"</f>
        <v>1000001023922</v>
      </c>
      <c r="C5142" s="2" t="str">
        <f>"764814284"</f>
        <v>764814284</v>
      </c>
      <c r="D5142" s="2" t="s">
        <v>3914</v>
      </c>
      <c r="E5142" s="4">
        <v>4000</v>
      </c>
    </row>
    <row r="5143" spans="1:5" ht="26.25" x14ac:dyDescent="0.25">
      <c r="A5143" s="2" t="s">
        <v>10</v>
      </c>
      <c r="B5143" s="2" t="str">
        <f>"765114284"</f>
        <v>765114284</v>
      </c>
      <c r="C5143" s="2" t="str">
        <f>"765114284"</f>
        <v>765114284</v>
      </c>
      <c r="D5143" s="2" t="s">
        <v>3914</v>
      </c>
      <c r="E5143" s="4">
        <v>4500</v>
      </c>
    </row>
    <row r="5144" spans="1:5" ht="26.25" x14ac:dyDescent="0.25">
      <c r="A5144" s="2" t="s">
        <v>10</v>
      </c>
      <c r="B5144" s="2" t="str">
        <f>"7655114284"</f>
        <v>7655114284</v>
      </c>
      <c r="C5144" s="2" t="str">
        <f>"7655114284"</f>
        <v>7655114284</v>
      </c>
      <c r="D5144" s="2" t="s">
        <v>3914</v>
      </c>
      <c r="E5144" s="4">
        <v>4500</v>
      </c>
    </row>
    <row r="5145" spans="1:5" ht="26.25" x14ac:dyDescent="0.25">
      <c r="A5145" s="2" t="s">
        <v>10</v>
      </c>
      <c r="B5145" s="2" t="str">
        <f>"1000001025650"</f>
        <v>1000001025650</v>
      </c>
      <c r="C5145" s="2" t="str">
        <f>"765614287"</f>
        <v>765614287</v>
      </c>
      <c r="D5145" s="2" t="s">
        <v>3915</v>
      </c>
      <c r="E5145" s="4">
        <v>5000</v>
      </c>
    </row>
    <row r="5146" spans="1:5" ht="26.25" x14ac:dyDescent="0.25">
      <c r="A5146" s="2" t="s">
        <v>10</v>
      </c>
      <c r="B5146" s="2" t="str">
        <f>"766414287"</f>
        <v>766414287</v>
      </c>
      <c r="C5146" s="2" t="str">
        <f>"766414287"</f>
        <v>766414287</v>
      </c>
      <c r="D5146" s="2" t="s">
        <v>3915</v>
      </c>
      <c r="E5146" s="4">
        <v>6990</v>
      </c>
    </row>
    <row r="5147" spans="1:5" ht="26.25" x14ac:dyDescent="0.25">
      <c r="A5147" s="2" t="s">
        <v>10</v>
      </c>
      <c r="B5147" s="2" t="str">
        <f>"765114287"</f>
        <v>765114287</v>
      </c>
      <c r="C5147" s="2" t="str">
        <f>"765114287"</f>
        <v>765114287</v>
      </c>
      <c r="D5147" s="2" t="s">
        <v>3915</v>
      </c>
      <c r="E5147" s="4">
        <v>4500</v>
      </c>
    </row>
    <row r="5148" spans="1:5" ht="26.25" x14ac:dyDescent="0.25">
      <c r="A5148" s="2" t="s">
        <v>10</v>
      </c>
      <c r="B5148" s="2" t="str">
        <f>"2020111900332"</f>
        <v>2020111900332</v>
      </c>
      <c r="C5148" s="2" t="str">
        <f>"694814300"</f>
        <v>694814300</v>
      </c>
      <c r="D5148" s="2" t="s">
        <v>3916</v>
      </c>
      <c r="E5148" s="4">
        <v>5000</v>
      </c>
    </row>
    <row r="5149" spans="1:5" ht="26.25" x14ac:dyDescent="0.25">
      <c r="A5149" s="2" t="s">
        <v>10</v>
      </c>
      <c r="B5149" s="2" t="str">
        <f>"765114300"</f>
        <v>765114300</v>
      </c>
      <c r="C5149" s="2" t="str">
        <f>"765114300"</f>
        <v>765114300</v>
      </c>
      <c r="D5149" s="2" t="s">
        <v>3916</v>
      </c>
      <c r="E5149" s="4">
        <v>5500</v>
      </c>
    </row>
    <row r="5150" spans="1:5" ht="26.25" x14ac:dyDescent="0.25">
      <c r="A5150" s="2" t="s">
        <v>10</v>
      </c>
      <c r="B5150" s="2" t="str">
        <f>"1000001023946"</f>
        <v>1000001023946</v>
      </c>
      <c r="C5150" s="2" t="str">
        <f>"765114281"</f>
        <v>765114281</v>
      </c>
      <c r="D5150" s="2" t="s">
        <v>3917</v>
      </c>
      <c r="E5150" s="4">
        <v>4500</v>
      </c>
    </row>
    <row r="5151" spans="1:5" ht="26.25" x14ac:dyDescent="0.25">
      <c r="A5151" s="2" t="s">
        <v>10</v>
      </c>
      <c r="B5151" s="2" t="str">
        <f>"684814281"</f>
        <v>684814281</v>
      </c>
      <c r="C5151" s="2" t="str">
        <f>"684814281"</f>
        <v>684814281</v>
      </c>
      <c r="D5151" s="2" t="s">
        <v>3917</v>
      </c>
      <c r="E5151" s="4">
        <v>3500</v>
      </c>
    </row>
    <row r="5152" spans="1:5" ht="26.25" x14ac:dyDescent="0.25">
      <c r="A5152" s="2" t="s">
        <v>10</v>
      </c>
      <c r="B5152" s="2" t="str">
        <f>"685114281"</f>
        <v>685114281</v>
      </c>
      <c r="C5152" s="2" t="str">
        <f>"685114281"</f>
        <v>685114281</v>
      </c>
      <c r="D5152" s="2" t="s">
        <v>3917</v>
      </c>
      <c r="E5152" s="4">
        <v>4000</v>
      </c>
    </row>
    <row r="5153" spans="1:5" ht="26.25" x14ac:dyDescent="0.25">
      <c r="A5153" s="2" t="s">
        <v>10</v>
      </c>
      <c r="B5153" s="2" t="str">
        <f>"1000001024479"</f>
        <v>1000001024479</v>
      </c>
      <c r="C5153" s="2" t="str">
        <f>"765614285"</f>
        <v>765614285</v>
      </c>
      <c r="D5153" s="2" t="s">
        <v>3918</v>
      </c>
      <c r="E5153" s="4">
        <v>6990</v>
      </c>
    </row>
    <row r="5154" spans="1:5" ht="26.25" x14ac:dyDescent="0.25">
      <c r="A5154" s="2" t="s">
        <v>10</v>
      </c>
      <c r="B5154" s="2" t="str">
        <f>"134814285"</f>
        <v>134814285</v>
      </c>
      <c r="C5154" s="2" t="str">
        <f>"134814285"</f>
        <v>134814285</v>
      </c>
      <c r="D5154" s="2" t="s">
        <v>3918</v>
      </c>
      <c r="E5154" s="4">
        <v>4000</v>
      </c>
    </row>
    <row r="5155" spans="1:5" ht="26.25" x14ac:dyDescent="0.25">
      <c r="A5155" s="2" t="s">
        <v>10</v>
      </c>
      <c r="B5155" s="2" t="str">
        <f>"135114286"</f>
        <v>135114286</v>
      </c>
      <c r="C5155" s="2" t="str">
        <f>"135114286"</f>
        <v>135114286</v>
      </c>
      <c r="D5155" s="2" t="s">
        <v>3918</v>
      </c>
      <c r="E5155" s="4">
        <v>4500</v>
      </c>
    </row>
    <row r="5156" spans="1:5" ht="26.25" x14ac:dyDescent="0.25">
      <c r="A5156" s="2" t="s">
        <v>10</v>
      </c>
      <c r="B5156" s="2" t="str">
        <f>"765114285"</f>
        <v>765114285</v>
      </c>
      <c r="C5156" s="2" t="str">
        <f>"765114285"</f>
        <v>765114285</v>
      </c>
      <c r="D5156" s="2" t="s">
        <v>3918</v>
      </c>
      <c r="E5156" s="4">
        <v>5000</v>
      </c>
    </row>
    <row r="5157" spans="1:5" ht="26.25" x14ac:dyDescent="0.25">
      <c r="A5157" s="2" t="s">
        <v>10</v>
      </c>
      <c r="B5157" s="2" t="str">
        <f>"675114285"</f>
        <v>675114285</v>
      </c>
      <c r="C5157" s="2" t="str">
        <f>"615114285"</f>
        <v>615114285</v>
      </c>
      <c r="D5157" s="2" t="s">
        <v>3918</v>
      </c>
      <c r="E5157" s="4">
        <v>4500</v>
      </c>
    </row>
    <row r="5158" spans="1:5" ht="26.25" x14ac:dyDescent="0.25">
      <c r="A5158" s="2" t="s">
        <v>10</v>
      </c>
      <c r="B5158" s="2" t="str">
        <f>"2019120400025"</f>
        <v>2019120400025</v>
      </c>
      <c r="C5158" s="2" t="str">
        <f>"174805285"</f>
        <v>174805285</v>
      </c>
      <c r="D5158" s="2" t="s">
        <v>3918</v>
      </c>
      <c r="E5158" s="4">
        <v>3500</v>
      </c>
    </row>
    <row r="5159" spans="1:5" ht="26.25" x14ac:dyDescent="0.25">
      <c r="A5159" s="2" t="s">
        <v>10</v>
      </c>
      <c r="B5159" s="2" t="str">
        <f>"2019081000302"</f>
        <v>2019081000302</v>
      </c>
      <c r="C5159" s="2" t="str">
        <f>"175105285"</f>
        <v>175105285</v>
      </c>
      <c r="D5159" s="2" t="s">
        <v>3918</v>
      </c>
      <c r="E5159" s="4">
        <v>4500</v>
      </c>
    </row>
    <row r="5160" spans="1:5" ht="26.25" x14ac:dyDescent="0.25">
      <c r="A5160" s="2" t="s">
        <v>10</v>
      </c>
      <c r="B5160" s="2" t="str">
        <f>"764814293"</f>
        <v>764814293</v>
      </c>
      <c r="C5160" s="2" t="str">
        <f>"764814293"</f>
        <v>764814293</v>
      </c>
      <c r="D5160" s="2" t="s">
        <v>3919</v>
      </c>
      <c r="E5160" s="4">
        <v>3500</v>
      </c>
    </row>
    <row r="5161" spans="1:5" ht="26.25" x14ac:dyDescent="0.25">
      <c r="A5161" s="2" t="s">
        <v>10</v>
      </c>
      <c r="B5161" s="2" t="str">
        <f>"135614293"</f>
        <v>135614293</v>
      </c>
      <c r="C5161" s="2" t="str">
        <f>"135614293"</f>
        <v>135614293</v>
      </c>
      <c r="D5161" s="2" t="s">
        <v>3919</v>
      </c>
      <c r="E5161" s="4">
        <v>5000</v>
      </c>
    </row>
    <row r="5162" spans="1:5" ht="26.25" x14ac:dyDescent="0.25">
      <c r="A5162" s="2" t="s">
        <v>10</v>
      </c>
      <c r="B5162" s="2" t="str">
        <f>"134814293"</f>
        <v>134814293</v>
      </c>
      <c r="C5162" s="2" t="str">
        <f>"134814293"</f>
        <v>134814293</v>
      </c>
      <c r="D5162" s="2" t="s">
        <v>3919</v>
      </c>
      <c r="E5162" s="4">
        <v>4000</v>
      </c>
    </row>
    <row r="5163" spans="1:5" ht="26.25" x14ac:dyDescent="0.25">
      <c r="A5163" s="2" t="s">
        <v>10</v>
      </c>
      <c r="B5163" s="2" t="str">
        <f>"765114293"</f>
        <v>765114293</v>
      </c>
      <c r="C5163" s="2" t="str">
        <f>"765114293"</f>
        <v>765114293</v>
      </c>
      <c r="D5163" s="2" t="s">
        <v>3919</v>
      </c>
      <c r="E5163" s="4">
        <v>5000</v>
      </c>
    </row>
    <row r="5164" spans="1:5" ht="26.25" x14ac:dyDescent="0.25">
      <c r="A5164" s="2" t="s">
        <v>10</v>
      </c>
      <c r="B5164" s="2" t="str">
        <f>"765614293"</f>
        <v>765614293</v>
      </c>
      <c r="C5164" s="2" t="str">
        <f>"614814293"</f>
        <v>614814293</v>
      </c>
      <c r="D5164" s="2" t="s">
        <v>3919</v>
      </c>
      <c r="E5164" s="4">
        <v>4500</v>
      </c>
    </row>
    <row r="5165" spans="1:5" ht="26.25" x14ac:dyDescent="0.25">
      <c r="A5165" s="2" t="s">
        <v>10</v>
      </c>
      <c r="B5165" s="2" t="str">
        <f>"110763924"</f>
        <v>110763924</v>
      </c>
      <c r="C5165" s="2" t="str">
        <f>"110763924"</f>
        <v>110763924</v>
      </c>
      <c r="D5165" s="2" t="s">
        <v>3920</v>
      </c>
      <c r="E5165" s="4">
        <v>8000</v>
      </c>
    </row>
    <row r="5166" spans="1:5" ht="26.25" x14ac:dyDescent="0.25">
      <c r="A5166" s="2" t="s">
        <v>10</v>
      </c>
      <c r="B5166" s="2" t="str">
        <f>"764714178"</f>
        <v>764714178</v>
      </c>
      <c r="C5166" s="2" t="str">
        <f>"764714178"</f>
        <v>764714178</v>
      </c>
      <c r="D5166" s="2" t="s">
        <v>3920</v>
      </c>
      <c r="E5166" s="4">
        <v>3500</v>
      </c>
    </row>
    <row r="5167" spans="1:5" ht="26.25" x14ac:dyDescent="0.25">
      <c r="A5167" s="2" t="s">
        <v>10</v>
      </c>
      <c r="B5167" s="2" t="str">
        <f>"764714198"</f>
        <v>764714198</v>
      </c>
      <c r="C5167" s="2" t="str">
        <f>"764714198"</f>
        <v>764714198</v>
      </c>
      <c r="D5167" s="2" t="s">
        <v>3920</v>
      </c>
      <c r="E5167" s="4">
        <v>4000</v>
      </c>
    </row>
    <row r="5168" spans="1:5" ht="26.25" x14ac:dyDescent="0.25">
      <c r="A5168" s="2" t="s">
        <v>10</v>
      </c>
      <c r="B5168" s="2" t="str">
        <f>"764814197"</f>
        <v>764814197</v>
      </c>
      <c r="C5168" s="2" t="str">
        <f>"764814197"</f>
        <v>764814197</v>
      </c>
      <c r="D5168" s="2" t="s">
        <v>3921</v>
      </c>
      <c r="E5168" s="4">
        <v>3500</v>
      </c>
    </row>
    <row r="5169" spans="1:5" ht="26.25" x14ac:dyDescent="0.25">
      <c r="A5169" s="2" t="s">
        <v>10</v>
      </c>
      <c r="B5169" s="2" t="str">
        <f>"2019030400160"</f>
        <v>2019030400160</v>
      </c>
      <c r="C5169" s="2" t="str">
        <f>"187514274"</f>
        <v>187514274</v>
      </c>
      <c r="D5169" s="2" t="s">
        <v>3922</v>
      </c>
      <c r="E5169" s="4">
        <v>3500</v>
      </c>
    </row>
    <row r="5170" spans="1:5" ht="26.25" x14ac:dyDescent="0.25">
      <c r="A5170" s="2" t="s">
        <v>10</v>
      </c>
      <c r="B5170" s="2" t="str">
        <f>"2019030102231"</f>
        <v>2019030102231</v>
      </c>
      <c r="C5170" s="2" t="str">
        <f>"186414274"</f>
        <v>186414274</v>
      </c>
      <c r="D5170" s="2" t="s">
        <v>3922</v>
      </c>
      <c r="E5170" s="4">
        <v>4500</v>
      </c>
    </row>
    <row r="5171" spans="1:5" ht="26.25" x14ac:dyDescent="0.25">
      <c r="A5171" s="2" t="s">
        <v>10</v>
      </c>
      <c r="B5171" s="2" t="str">
        <f>"1000001021997"</f>
        <v>1000001021997</v>
      </c>
      <c r="C5171" s="2" t="str">
        <f>"765114274"</f>
        <v>765114274</v>
      </c>
      <c r="D5171" s="2" t="s">
        <v>3922</v>
      </c>
      <c r="E5171" s="4">
        <v>3500</v>
      </c>
    </row>
    <row r="5172" spans="1:5" ht="26.25" x14ac:dyDescent="0.25">
      <c r="A5172" s="2" t="s">
        <v>10</v>
      </c>
      <c r="B5172" s="2" t="str">
        <f>"764814274"</f>
        <v>764814274</v>
      </c>
      <c r="C5172" s="2" t="str">
        <f>"764814274"</f>
        <v>764814274</v>
      </c>
      <c r="D5172" s="2" t="s">
        <v>3922</v>
      </c>
      <c r="E5172" s="4">
        <v>3500</v>
      </c>
    </row>
    <row r="5173" spans="1:5" ht="26.25" x14ac:dyDescent="0.25">
      <c r="A5173" s="2" t="s">
        <v>10</v>
      </c>
      <c r="B5173" s="2" t="str">
        <f>"684814274"</f>
        <v>684814274</v>
      </c>
      <c r="C5173" s="2" t="str">
        <f>"684814274"</f>
        <v>684814274</v>
      </c>
      <c r="D5173" s="2" t="s">
        <v>3922</v>
      </c>
      <c r="E5173" s="4">
        <v>3500</v>
      </c>
    </row>
    <row r="5174" spans="1:5" ht="26.25" x14ac:dyDescent="0.25">
      <c r="A5174" s="2" t="s">
        <v>10</v>
      </c>
      <c r="B5174" s="2" t="str">
        <f>"1578087896098"</f>
        <v>1578087896098</v>
      </c>
      <c r="C5174" s="2" t="str">
        <f>"765114981"</f>
        <v>765114981</v>
      </c>
      <c r="D5174" s="2" t="s">
        <v>3922</v>
      </c>
      <c r="E5174" s="4">
        <v>5000</v>
      </c>
    </row>
    <row r="5175" spans="1:5" ht="26.25" x14ac:dyDescent="0.25">
      <c r="A5175" s="2" t="s">
        <v>10</v>
      </c>
      <c r="B5175" s="2" t="str">
        <f>"765114286"</f>
        <v>765114286</v>
      </c>
      <c r="C5175" s="2" t="str">
        <f>"765114286"</f>
        <v>765114286</v>
      </c>
      <c r="D5175" s="2" t="s">
        <v>3923</v>
      </c>
      <c r="E5175" s="4">
        <v>4000</v>
      </c>
    </row>
    <row r="5176" spans="1:5" ht="26.25" x14ac:dyDescent="0.25">
      <c r="A5176" s="2" t="s">
        <v>10</v>
      </c>
      <c r="B5176" s="2" t="str">
        <f>"797914294"</f>
        <v>797914294</v>
      </c>
      <c r="C5176" s="2" t="str">
        <f>"797914294"</f>
        <v>797914294</v>
      </c>
      <c r="D5176" s="2" t="s">
        <v>3924</v>
      </c>
      <c r="E5176" s="4">
        <v>7500</v>
      </c>
    </row>
    <row r="5177" spans="1:5" ht="26.25" x14ac:dyDescent="0.25">
      <c r="A5177" s="2" t="s">
        <v>10</v>
      </c>
      <c r="B5177" s="2" t="str">
        <f>"765114304"</f>
        <v>765114304</v>
      </c>
      <c r="C5177" s="2" t="str">
        <f>"765114304"</f>
        <v>765114304</v>
      </c>
      <c r="D5177" s="2" t="s">
        <v>3925</v>
      </c>
      <c r="E5177" s="4">
        <v>5500</v>
      </c>
    </row>
    <row r="5178" spans="1:5" ht="26.25" x14ac:dyDescent="0.25">
      <c r="A5178" s="2" t="s">
        <v>10</v>
      </c>
      <c r="B5178" s="2" t="str">
        <f>"135114304"</f>
        <v>135114304</v>
      </c>
      <c r="C5178" s="2" t="str">
        <f>"135114304"</f>
        <v>135114304</v>
      </c>
      <c r="D5178" s="2" t="s">
        <v>3925</v>
      </c>
      <c r="E5178" s="4">
        <v>5000</v>
      </c>
    </row>
    <row r="5179" spans="1:5" ht="26.25" x14ac:dyDescent="0.25">
      <c r="A5179" s="2" t="s">
        <v>10</v>
      </c>
      <c r="B5179" s="2" t="str">
        <f>"2019030400177"</f>
        <v>2019030400177</v>
      </c>
      <c r="C5179" s="2" t="str">
        <f>"187514278"</f>
        <v>187514278</v>
      </c>
      <c r="D5179" s="2" t="s">
        <v>3926</v>
      </c>
      <c r="E5179" s="4">
        <v>3500</v>
      </c>
    </row>
    <row r="5180" spans="1:5" ht="26.25" x14ac:dyDescent="0.25">
      <c r="A5180" s="2" t="s">
        <v>10</v>
      </c>
      <c r="B5180" s="2" t="str">
        <f>"2019030678767"</f>
        <v>2019030678767</v>
      </c>
      <c r="C5180" s="2" t="str">
        <f>"186414278"</f>
        <v>186414278</v>
      </c>
      <c r="D5180" s="2" t="s">
        <v>3926</v>
      </c>
      <c r="E5180" s="4">
        <v>4500</v>
      </c>
    </row>
    <row r="5181" spans="1:5" ht="26.25" x14ac:dyDescent="0.25">
      <c r="A5181" s="2" t="s">
        <v>10</v>
      </c>
      <c r="B5181" s="2" t="str">
        <f>"17481401"</f>
        <v>17481401</v>
      </c>
      <c r="C5181" s="2" t="str">
        <f>"17481401"</f>
        <v>17481401</v>
      </c>
      <c r="D5181" s="2" t="s">
        <v>3927</v>
      </c>
      <c r="E5181" s="4">
        <v>4000</v>
      </c>
    </row>
    <row r="5182" spans="1:5" ht="26.25" x14ac:dyDescent="0.25">
      <c r="A5182" s="2" t="s">
        <v>10</v>
      </c>
      <c r="B5182" s="2" t="str">
        <f>"110762065"</f>
        <v>110762065</v>
      </c>
      <c r="C5182" s="2" t="str">
        <f>"110762065"</f>
        <v>110762065</v>
      </c>
      <c r="D5182" s="2" t="s">
        <v>3927</v>
      </c>
      <c r="E5182" s="4">
        <v>4000</v>
      </c>
    </row>
    <row r="5183" spans="1:5" ht="26.25" x14ac:dyDescent="0.25">
      <c r="A5183" s="2" t="s">
        <v>10</v>
      </c>
      <c r="B5183" s="2" t="str">
        <f>"764714179"</f>
        <v>764714179</v>
      </c>
      <c r="C5183" s="2" t="str">
        <f>"764714179"</f>
        <v>764714179</v>
      </c>
      <c r="D5183" s="2" t="s">
        <v>3928</v>
      </c>
      <c r="E5183" s="4">
        <v>4000</v>
      </c>
    </row>
    <row r="5184" spans="1:5" ht="26.25" x14ac:dyDescent="0.25">
      <c r="A5184" s="2" t="s">
        <v>10</v>
      </c>
      <c r="B5184" s="2" t="str">
        <f>"764814179"</f>
        <v>764814179</v>
      </c>
      <c r="C5184" s="2" t="str">
        <f>"764814179"</f>
        <v>764814179</v>
      </c>
      <c r="D5184" s="2" t="s">
        <v>3928</v>
      </c>
      <c r="E5184" s="4">
        <v>3500</v>
      </c>
    </row>
    <row r="5185" spans="1:5" ht="26.25" x14ac:dyDescent="0.25">
      <c r="A5185" s="2" t="s">
        <v>10</v>
      </c>
      <c r="B5185" s="2" t="str">
        <f>"174814293"</f>
        <v>174814293</v>
      </c>
      <c r="C5185" s="2" t="str">
        <f>"174814293"</f>
        <v>174814293</v>
      </c>
      <c r="D5185" s="2" t="s">
        <v>3929</v>
      </c>
      <c r="E5185" s="4">
        <v>3500</v>
      </c>
    </row>
    <row r="5186" spans="1:5" ht="26.25" x14ac:dyDescent="0.25">
      <c r="A5186" s="2" t="s">
        <v>10</v>
      </c>
      <c r="B5186" s="2" t="str">
        <f>"2019030400184"</f>
        <v>2019030400184</v>
      </c>
      <c r="C5186" s="2" t="str">
        <f>"187514275"</f>
        <v>187514275</v>
      </c>
      <c r="D5186" s="2" t="s">
        <v>3930</v>
      </c>
      <c r="E5186" s="4">
        <v>3500</v>
      </c>
    </row>
    <row r="5187" spans="1:5" ht="26.25" x14ac:dyDescent="0.25">
      <c r="A5187" s="2" t="s">
        <v>10</v>
      </c>
      <c r="B5187" s="2" t="str">
        <f>"2019030102248"</f>
        <v>2019030102248</v>
      </c>
      <c r="C5187" s="2" t="str">
        <f>"186414275"</f>
        <v>186414275</v>
      </c>
      <c r="D5187" s="2" t="s">
        <v>3930</v>
      </c>
      <c r="E5187" s="4">
        <v>4500</v>
      </c>
    </row>
    <row r="5188" spans="1:5" ht="26.25" x14ac:dyDescent="0.25">
      <c r="A5188" s="2" t="s">
        <v>10</v>
      </c>
      <c r="B5188" s="2" t="str">
        <f>"1000001022000"</f>
        <v>1000001022000</v>
      </c>
      <c r="C5188" s="2" t="str">
        <f>"764814275"</f>
        <v>764814275</v>
      </c>
      <c r="D5188" s="2" t="s">
        <v>3930</v>
      </c>
      <c r="E5188" s="4">
        <v>4000</v>
      </c>
    </row>
    <row r="5189" spans="1:5" ht="26.25" x14ac:dyDescent="0.25">
      <c r="A5189" s="2" t="s">
        <v>10</v>
      </c>
      <c r="B5189" s="2" t="str">
        <f>"765114275"</f>
        <v>765114275</v>
      </c>
      <c r="C5189" s="2" t="str">
        <f>"765114275"</f>
        <v>765114275</v>
      </c>
      <c r="D5189" s="2" t="s">
        <v>3930</v>
      </c>
      <c r="E5189" s="4">
        <v>3500</v>
      </c>
    </row>
    <row r="5190" spans="1:5" ht="26.25" x14ac:dyDescent="0.25">
      <c r="A5190" s="2" t="s">
        <v>10</v>
      </c>
      <c r="B5190" s="2" t="str">
        <f>"765114288"</f>
        <v>765114288</v>
      </c>
      <c r="C5190" s="2" t="str">
        <f>"765114288"</f>
        <v>765114288</v>
      </c>
      <c r="D5190" s="2" t="s">
        <v>3931</v>
      </c>
      <c r="E5190" s="4">
        <v>5000</v>
      </c>
    </row>
    <row r="5191" spans="1:5" ht="26.25" x14ac:dyDescent="0.25">
      <c r="A5191" s="2" t="s">
        <v>10</v>
      </c>
      <c r="B5191" s="2" t="str">
        <f>"767514201"</f>
        <v>767514201</v>
      </c>
      <c r="C5191" s="2" t="str">
        <f>"767514201"</f>
        <v>767514201</v>
      </c>
      <c r="D5191" s="2" t="s">
        <v>3931</v>
      </c>
      <c r="E5191" s="4">
        <v>4500</v>
      </c>
    </row>
    <row r="5192" spans="1:5" ht="26.25" x14ac:dyDescent="0.25">
      <c r="A5192" s="2" t="s">
        <v>10</v>
      </c>
      <c r="B5192" s="2" t="str">
        <f>"764814201"</f>
        <v>764814201</v>
      </c>
      <c r="C5192" s="2" t="str">
        <f>"764814201"</f>
        <v>764814201</v>
      </c>
      <c r="D5192" s="2" t="s">
        <v>3931</v>
      </c>
      <c r="E5192" s="4">
        <v>6000</v>
      </c>
    </row>
    <row r="5193" spans="1:5" ht="26.25" x14ac:dyDescent="0.25">
      <c r="A5193" s="2" t="s">
        <v>10</v>
      </c>
      <c r="B5193" s="2" t="str">
        <f>"349914200"</f>
        <v>349914200</v>
      </c>
      <c r="C5193" s="2" t="str">
        <f>"349914200"</f>
        <v>349914200</v>
      </c>
      <c r="D5193" s="2" t="s">
        <v>3931</v>
      </c>
      <c r="E5193" s="4">
        <v>7000</v>
      </c>
    </row>
    <row r="5194" spans="1:5" ht="26.25" x14ac:dyDescent="0.25">
      <c r="A5194" s="2" t="s">
        <v>10</v>
      </c>
      <c r="B5194" s="2" t="str">
        <f>"349914201"</f>
        <v>349914201</v>
      </c>
      <c r="C5194" s="2" t="str">
        <f>"349914201"</f>
        <v>349914201</v>
      </c>
      <c r="D5194" s="2" t="s">
        <v>3931</v>
      </c>
      <c r="E5194" s="4">
        <v>7000</v>
      </c>
    </row>
    <row r="5195" spans="1:5" ht="26.25" x14ac:dyDescent="0.25">
      <c r="A5195" s="2" t="s">
        <v>10</v>
      </c>
      <c r="B5195" s="2" t="str">
        <f>"2020060401058"</f>
        <v>2020060401058</v>
      </c>
      <c r="C5195" s="2" t="str">
        <f>"185114288"</f>
        <v>185114288</v>
      </c>
      <c r="D5195" s="2" t="s">
        <v>3931</v>
      </c>
      <c r="E5195" s="4">
        <v>5000</v>
      </c>
    </row>
    <row r="5196" spans="1:5" ht="26.25" x14ac:dyDescent="0.25">
      <c r="A5196" s="2" t="s">
        <v>10</v>
      </c>
      <c r="B5196" s="2" t="str">
        <f>"675114200"</f>
        <v>675114200</v>
      </c>
      <c r="C5196" s="2" t="str">
        <f>"675114200"</f>
        <v>675114200</v>
      </c>
      <c r="D5196" s="2" t="s">
        <v>3931</v>
      </c>
      <c r="E5196" s="4">
        <v>4500</v>
      </c>
    </row>
    <row r="5197" spans="1:5" ht="26.25" x14ac:dyDescent="0.25">
      <c r="A5197" s="2" t="s">
        <v>10</v>
      </c>
      <c r="B5197" s="2" t="str">
        <f>"765114307"</f>
        <v>765114307</v>
      </c>
      <c r="C5197" s="2" t="str">
        <f>"765114307"</f>
        <v>765114307</v>
      </c>
      <c r="D5197" s="2" t="s">
        <v>3932</v>
      </c>
      <c r="E5197" s="4">
        <v>5500</v>
      </c>
    </row>
    <row r="5198" spans="1:5" ht="26.25" x14ac:dyDescent="0.25">
      <c r="A5198" s="2" t="s">
        <v>10</v>
      </c>
      <c r="B5198" s="2" t="str">
        <f>"766114258"</f>
        <v>766114258</v>
      </c>
      <c r="C5198" s="2" t="str">
        <f>"766114258"</f>
        <v>766114258</v>
      </c>
      <c r="D5198" s="2" t="s">
        <v>3933</v>
      </c>
      <c r="E5198" s="4">
        <v>5000</v>
      </c>
    </row>
    <row r="5199" spans="1:5" ht="26.25" x14ac:dyDescent="0.25">
      <c r="A5199" s="2" t="s">
        <v>10</v>
      </c>
      <c r="B5199" s="2" t="str">
        <f>"765114258"</f>
        <v>765114258</v>
      </c>
      <c r="C5199" s="2" t="str">
        <f>"765114258"</f>
        <v>765114258</v>
      </c>
      <c r="D5199" s="2" t="s">
        <v>3933</v>
      </c>
      <c r="E5199" s="4">
        <v>4500</v>
      </c>
    </row>
    <row r="5200" spans="1:5" ht="26.25" x14ac:dyDescent="0.25">
      <c r="A5200" s="2" t="s">
        <v>10</v>
      </c>
      <c r="B5200" s="2" t="str">
        <f>"766114259"</f>
        <v>766114259</v>
      </c>
      <c r="C5200" s="2" t="str">
        <f>"766114259"</f>
        <v>766114259</v>
      </c>
      <c r="D5200" s="2" t="s">
        <v>3934</v>
      </c>
      <c r="E5200" s="4">
        <v>4500</v>
      </c>
    </row>
    <row r="5201" spans="1:5" ht="26.25" x14ac:dyDescent="0.25">
      <c r="A5201" s="2" t="s">
        <v>10</v>
      </c>
      <c r="B5201" s="2" t="str">
        <f>"615114259"</f>
        <v>615114259</v>
      </c>
      <c r="C5201" s="2" t="str">
        <f>"615114259"</f>
        <v>615114259</v>
      </c>
      <c r="D5201" s="2" t="s">
        <v>3934</v>
      </c>
      <c r="E5201" s="4">
        <v>3500</v>
      </c>
    </row>
    <row r="5202" spans="1:5" ht="26.25" x14ac:dyDescent="0.25">
      <c r="A5202" s="2" t="s">
        <v>10</v>
      </c>
      <c r="B5202" s="2" t="str">
        <f>"1000001092850"</f>
        <v>1000001092850</v>
      </c>
      <c r="C5202" s="2" t="str">
        <f>"764814259"</f>
        <v>764814259</v>
      </c>
      <c r="D5202" s="2" t="s">
        <v>3934</v>
      </c>
      <c r="E5202" s="4">
        <v>4500</v>
      </c>
    </row>
    <row r="5203" spans="1:5" ht="26.25" x14ac:dyDescent="0.25">
      <c r="A5203" s="2" t="s">
        <v>10</v>
      </c>
      <c r="B5203" s="2" t="str">
        <f>"764714177"</f>
        <v>764714177</v>
      </c>
      <c r="C5203" s="2" t="str">
        <f>"764714177"</f>
        <v>764714177</v>
      </c>
      <c r="D5203" s="2" t="s">
        <v>3935</v>
      </c>
      <c r="E5203" s="4">
        <v>3500</v>
      </c>
    </row>
    <row r="5204" spans="1:5" ht="26.25" x14ac:dyDescent="0.25">
      <c r="A5204" s="2" t="s">
        <v>10</v>
      </c>
      <c r="B5204" s="2" t="str">
        <f>"1000001099682"</f>
        <v>1000001099682</v>
      </c>
      <c r="C5204" s="2" t="str">
        <f>"765114265"</f>
        <v>765114265</v>
      </c>
      <c r="D5204" s="2" t="s">
        <v>3936</v>
      </c>
      <c r="E5204" s="4">
        <v>4500</v>
      </c>
    </row>
    <row r="5205" spans="1:5" ht="26.25" x14ac:dyDescent="0.25">
      <c r="A5205" s="2" t="s">
        <v>10</v>
      </c>
      <c r="B5205" s="2" t="str">
        <f>"768914265"</f>
        <v>768914265</v>
      </c>
      <c r="C5205" s="2" t="str">
        <f>"768914265"</f>
        <v>768914265</v>
      </c>
      <c r="D5205" s="2" t="s">
        <v>3936</v>
      </c>
      <c r="E5205" s="4">
        <v>4500</v>
      </c>
    </row>
    <row r="5206" spans="1:5" ht="26.25" x14ac:dyDescent="0.25">
      <c r="A5206" s="2" t="s">
        <v>10</v>
      </c>
      <c r="B5206" s="2" t="str">
        <f>"2019030400115"</f>
        <v>2019030400115</v>
      </c>
      <c r="C5206" s="2" t="str">
        <f>"187514265"</f>
        <v>187514265</v>
      </c>
      <c r="D5206" s="2" t="s">
        <v>3936</v>
      </c>
      <c r="E5206" s="4">
        <v>3500</v>
      </c>
    </row>
    <row r="5207" spans="1:5" ht="26.25" x14ac:dyDescent="0.25">
      <c r="A5207" s="2" t="s">
        <v>10</v>
      </c>
      <c r="B5207" s="2" t="str">
        <f>"2019030400191"</f>
        <v>2019030400191</v>
      </c>
      <c r="C5207" s="2" t="str">
        <f>"187514277"</f>
        <v>187514277</v>
      </c>
      <c r="D5207" s="2" t="s">
        <v>3937</v>
      </c>
      <c r="E5207" s="4">
        <v>3500</v>
      </c>
    </row>
    <row r="5208" spans="1:5" ht="26.25" x14ac:dyDescent="0.25">
      <c r="A5208" s="2" t="s">
        <v>10</v>
      </c>
      <c r="B5208" s="2" t="str">
        <f>"2019030678828"</f>
        <v>2019030678828</v>
      </c>
      <c r="C5208" s="2" t="str">
        <f>"186414277"</f>
        <v>186414277</v>
      </c>
      <c r="D5208" s="2" t="s">
        <v>3937</v>
      </c>
      <c r="E5208" s="4">
        <v>4500</v>
      </c>
    </row>
    <row r="5209" spans="1:5" ht="26.25" x14ac:dyDescent="0.25">
      <c r="A5209" s="2" t="s">
        <v>10</v>
      </c>
      <c r="B5209" s="2" t="str">
        <f>"685114277"</f>
        <v>685114277</v>
      </c>
      <c r="C5209" s="2" t="str">
        <f>"685114277"</f>
        <v>685114277</v>
      </c>
      <c r="D5209" s="2" t="s">
        <v>3937</v>
      </c>
      <c r="E5209" s="4">
        <v>4000</v>
      </c>
    </row>
    <row r="5210" spans="1:5" ht="26.25" x14ac:dyDescent="0.25">
      <c r="A5210" s="2" t="s">
        <v>10</v>
      </c>
      <c r="B5210" s="2" t="str">
        <f>"765114277"</f>
        <v>765114277</v>
      </c>
      <c r="C5210" s="2" t="str">
        <f>"765114277"</f>
        <v>765114277</v>
      </c>
      <c r="D5210" s="2" t="s">
        <v>3937</v>
      </c>
      <c r="E5210" s="4">
        <v>4500</v>
      </c>
    </row>
    <row r="5211" spans="1:5" ht="26.25" x14ac:dyDescent="0.25">
      <c r="A5211" s="2" t="s">
        <v>10</v>
      </c>
      <c r="B5211" s="2" t="str">
        <f>"1000001025735"</f>
        <v>1000001025735</v>
      </c>
      <c r="C5211" s="2" t="str">
        <f>"765614290"</f>
        <v>765614290</v>
      </c>
      <c r="D5211" s="2" t="s">
        <v>3938</v>
      </c>
      <c r="E5211" s="4">
        <v>6990</v>
      </c>
    </row>
    <row r="5212" spans="1:5" ht="26.25" x14ac:dyDescent="0.25">
      <c r="A5212" s="2" t="s">
        <v>10</v>
      </c>
      <c r="B5212" s="2" t="str">
        <f>"764814290"</f>
        <v>764814290</v>
      </c>
      <c r="C5212" s="2" t="str">
        <f>"764814290"</f>
        <v>764814290</v>
      </c>
      <c r="D5212" s="2" t="s">
        <v>3938</v>
      </c>
      <c r="E5212" s="4">
        <v>4000</v>
      </c>
    </row>
    <row r="5213" spans="1:5" ht="26.25" x14ac:dyDescent="0.25">
      <c r="A5213" s="2" t="s">
        <v>10</v>
      </c>
      <c r="B5213" s="2" t="str">
        <f>"765114290"</f>
        <v>765114290</v>
      </c>
      <c r="C5213" s="2" t="str">
        <f>"765114290"</f>
        <v>765114290</v>
      </c>
      <c r="D5213" s="2" t="s">
        <v>3938</v>
      </c>
      <c r="E5213" s="4">
        <v>5000</v>
      </c>
    </row>
    <row r="5214" spans="1:5" ht="26.25" x14ac:dyDescent="0.25">
      <c r="A5214" s="2" t="s">
        <v>10</v>
      </c>
      <c r="B5214" s="2" t="str">
        <f>"340514116"</f>
        <v>340514116</v>
      </c>
      <c r="C5214" s="2" t="str">
        <f>"340514116"</f>
        <v>340514116</v>
      </c>
      <c r="D5214" s="2" t="s">
        <v>3938</v>
      </c>
      <c r="E5214" s="4">
        <v>10500</v>
      </c>
    </row>
    <row r="5215" spans="1:5" ht="26.25" x14ac:dyDescent="0.25">
      <c r="A5215" s="2" t="s">
        <v>10</v>
      </c>
      <c r="B5215" s="2" t="str">
        <f>"765114308"</f>
        <v>765114308</v>
      </c>
      <c r="C5215" s="2" t="str">
        <f>"765114308"</f>
        <v>765114308</v>
      </c>
      <c r="D5215" s="2" t="s">
        <v>3939</v>
      </c>
      <c r="E5215" s="4">
        <v>5500</v>
      </c>
    </row>
    <row r="5216" spans="1:5" ht="26.25" x14ac:dyDescent="0.25">
      <c r="A5216" s="2" t="s">
        <v>10</v>
      </c>
      <c r="B5216" s="2" t="str">
        <f>"174814168"</f>
        <v>174814168</v>
      </c>
      <c r="C5216" s="2" t="str">
        <f>"174814168"</f>
        <v>174814168</v>
      </c>
      <c r="D5216" s="2" t="s">
        <v>3940</v>
      </c>
      <c r="E5216" s="4">
        <v>3500</v>
      </c>
    </row>
    <row r="5217" spans="1:5" ht="26.25" x14ac:dyDescent="0.25">
      <c r="A5217" s="2" t="s">
        <v>10</v>
      </c>
      <c r="B5217" s="2" t="str">
        <f>"764814168"</f>
        <v>764814168</v>
      </c>
      <c r="C5217" s="2" t="str">
        <f>"764814168"</f>
        <v>764814168</v>
      </c>
      <c r="D5217" s="2" t="s">
        <v>3940</v>
      </c>
      <c r="E5217" s="4">
        <v>4500</v>
      </c>
    </row>
    <row r="5218" spans="1:5" ht="26.25" x14ac:dyDescent="0.25">
      <c r="A5218" s="2" t="s">
        <v>10</v>
      </c>
      <c r="B5218" s="2" t="str">
        <f>"345114168"</f>
        <v>345114168</v>
      </c>
      <c r="C5218" s="2" t="str">
        <f>"345114168"</f>
        <v>345114168</v>
      </c>
      <c r="D5218" s="2" t="s">
        <v>3940</v>
      </c>
      <c r="E5218" s="4">
        <v>5000</v>
      </c>
    </row>
    <row r="5219" spans="1:5" ht="26.25" x14ac:dyDescent="0.25">
      <c r="A5219" s="2" t="s">
        <v>10</v>
      </c>
      <c r="B5219" s="2" t="str">
        <f>"765114168"</f>
        <v>765114168</v>
      </c>
      <c r="C5219" s="2" t="str">
        <f>"765114168"</f>
        <v>765114168</v>
      </c>
      <c r="D5219" s="2" t="s">
        <v>3940</v>
      </c>
      <c r="E5219" s="4">
        <v>4500</v>
      </c>
    </row>
    <row r="5220" spans="1:5" ht="26.25" x14ac:dyDescent="0.25">
      <c r="A5220" s="2" t="s">
        <v>10</v>
      </c>
      <c r="B5220" s="2" t="str">
        <f>"765114139"</f>
        <v>765114139</v>
      </c>
      <c r="C5220" s="2" t="str">
        <f>"765114139"</f>
        <v>765114139</v>
      </c>
      <c r="D5220" s="2" t="s">
        <v>3941</v>
      </c>
      <c r="E5220" s="4">
        <v>4500</v>
      </c>
    </row>
    <row r="5221" spans="1:5" ht="26.25" x14ac:dyDescent="0.25">
      <c r="A5221" s="2" t="s">
        <v>10</v>
      </c>
      <c r="B5221" s="2" t="str">
        <f>"345114139"</f>
        <v>345114139</v>
      </c>
      <c r="C5221" s="2" t="str">
        <f>"345114139"</f>
        <v>345114139</v>
      </c>
      <c r="D5221" s="2" t="s">
        <v>3941</v>
      </c>
      <c r="E5221" s="4">
        <v>5000</v>
      </c>
    </row>
    <row r="5222" spans="1:5" ht="26.25" x14ac:dyDescent="0.25">
      <c r="A5222" s="2" t="s">
        <v>10</v>
      </c>
      <c r="B5222" s="2" t="str">
        <f>"1000001099705"</f>
        <v>1000001099705</v>
      </c>
      <c r="C5222" s="2" t="str">
        <f>"765114210"</f>
        <v>765114210</v>
      </c>
      <c r="D5222" s="2" t="s">
        <v>3942</v>
      </c>
      <c r="E5222" s="4">
        <v>4500</v>
      </c>
    </row>
    <row r="5223" spans="1:5" ht="26.25" x14ac:dyDescent="0.25">
      <c r="A5223" s="2" t="s">
        <v>10</v>
      </c>
      <c r="B5223" s="2" t="str">
        <f>"17481413"</f>
        <v>17481413</v>
      </c>
      <c r="C5223" s="2" t="str">
        <f>"17481413"</f>
        <v>17481413</v>
      </c>
      <c r="D5223" s="2" t="s">
        <v>3943</v>
      </c>
      <c r="E5223" s="4">
        <v>3500</v>
      </c>
    </row>
    <row r="5224" spans="1:5" ht="26.25" x14ac:dyDescent="0.25">
      <c r="A5224" s="2" t="s">
        <v>10</v>
      </c>
      <c r="B5224" s="2" t="str">
        <f>"76481413"</f>
        <v>76481413</v>
      </c>
      <c r="C5224" s="2" t="str">
        <f>"76481413"</f>
        <v>76481413</v>
      </c>
      <c r="D5224" s="2" t="s">
        <v>3943</v>
      </c>
      <c r="E5224" s="4">
        <v>3500</v>
      </c>
    </row>
    <row r="5225" spans="1:5" ht="26.25" x14ac:dyDescent="0.25">
      <c r="A5225" s="2" t="s">
        <v>10</v>
      </c>
      <c r="B5225" s="2" t="str">
        <f>"34481413"</f>
        <v>34481413</v>
      </c>
      <c r="C5225" s="2" t="str">
        <f>"34481413"</f>
        <v>34481413</v>
      </c>
      <c r="D5225" s="2" t="s">
        <v>3943</v>
      </c>
      <c r="E5225" s="4">
        <v>3500</v>
      </c>
    </row>
    <row r="5226" spans="1:5" ht="26.25" x14ac:dyDescent="0.25">
      <c r="A5226" s="2" t="s">
        <v>10</v>
      </c>
      <c r="B5226" s="2" t="str">
        <f>"76471413"</f>
        <v>76471413</v>
      </c>
      <c r="C5226" s="2" t="str">
        <f>"76471413"</f>
        <v>76471413</v>
      </c>
      <c r="D5226" s="2" t="s">
        <v>3943</v>
      </c>
      <c r="E5226" s="4">
        <v>3000</v>
      </c>
    </row>
    <row r="5227" spans="1:5" ht="26.25" x14ac:dyDescent="0.25">
      <c r="A5227" s="2" t="s">
        <v>10</v>
      </c>
      <c r="B5227" s="2" t="str">
        <f>"76581413"</f>
        <v>76581413</v>
      </c>
      <c r="C5227" s="2" t="str">
        <f>"76581413"</f>
        <v>76581413</v>
      </c>
      <c r="D5227" s="2" t="s">
        <v>3943</v>
      </c>
      <c r="E5227" s="4">
        <v>4000</v>
      </c>
    </row>
    <row r="5228" spans="1:5" ht="26.25" x14ac:dyDescent="0.25">
      <c r="A5228" s="2" t="s">
        <v>10</v>
      </c>
      <c r="B5228" s="2" t="str">
        <f>"17481431"</f>
        <v>17481431</v>
      </c>
      <c r="C5228" s="2" t="str">
        <f>"17481431"</f>
        <v>17481431</v>
      </c>
      <c r="D5228" s="2" t="s">
        <v>3944</v>
      </c>
      <c r="E5228" s="4">
        <v>4000</v>
      </c>
    </row>
    <row r="5229" spans="1:5" ht="26.25" x14ac:dyDescent="0.25">
      <c r="A5229" s="2" t="s">
        <v>10</v>
      </c>
      <c r="B5229" s="2" t="str">
        <f>"17481425"</f>
        <v>17481425</v>
      </c>
      <c r="C5229" s="2" t="str">
        <f>"17481425"</f>
        <v>17481425</v>
      </c>
      <c r="D5229" s="2" t="s">
        <v>3945</v>
      </c>
      <c r="E5229" s="4">
        <v>3500</v>
      </c>
    </row>
    <row r="5230" spans="1:5" ht="26.25" x14ac:dyDescent="0.25">
      <c r="A5230" s="2" t="s">
        <v>10</v>
      </c>
      <c r="B5230" s="2" t="str">
        <f>"17481455"</f>
        <v>17481455</v>
      </c>
      <c r="C5230" s="2" t="str">
        <f>"17481455"</f>
        <v>17481455</v>
      </c>
      <c r="D5230" s="2" t="s">
        <v>3945</v>
      </c>
      <c r="E5230" s="4">
        <v>3500</v>
      </c>
    </row>
    <row r="5231" spans="1:5" ht="26.25" x14ac:dyDescent="0.25">
      <c r="A5231" s="2" t="s">
        <v>10</v>
      </c>
      <c r="B5231" s="2" t="str">
        <f>"34481425"</f>
        <v>34481425</v>
      </c>
      <c r="C5231" s="2" t="str">
        <f>"34481425"</f>
        <v>34481425</v>
      </c>
      <c r="D5231" s="2" t="s">
        <v>3945</v>
      </c>
      <c r="E5231" s="4">
        <v>3500</v>
      </c>
    </row>
    <row r="5232" spans="1:5" ht="26.25" x14ac:dyDescent="0.25">
      <c r="A5232" s="2" t="s">
        <v>10</v>
      </c>
      <c r="B5232" s="2" t="str">
        <f>"76471455"</f>
        <v>76471455</v>
      </c>
      <c r="C5232" s="2" t="str">
        <f>"76471455"</f>
        <v>76471455</v>
      </c>
      <c r="D5232" s="2" t="s">
        <v>3945</v>
      </c>
      <c r="E5232" s="4">
        <v>3000</v>
      </c>
    </row>
    <row r="5233" spans="1:5" ht="26.25" x14ac:dyDescent="0.25">
      <c r="A5233" s="2" t="s">
        <v>10</v>
      </c>
      <c r="B5233" s="2" t="str">
        <f>"76751425"</f>
        <v>76751425</v>
      </c>
      <c r="C5233" s="2" t="str">
        <f>"76751425"</f>
        <v>76751425</v>
      </c>
      <c r="D5233" s="2" t="s">
        <v>3945</v>
      </c>
      <c r="E5233" s="4">
        <v>4000</v>
      </c>
    </row>
    <row r="5234" spans="1:5" ht="26.25" x14ac:dyDescent="0.25">
      <c r="A5234" s="2" t="s">
        <v>10</v>
      </c>
      <c r="B5234" s="2" t="str">
        <f>"76481425"</f>
        <v>76481425</v>
      </c>
      <c r="C5234" s="2" t="str">
        <f>"76481425"</f>
        <v>76481425</v>
      </c>
      <c r="D5234" s="2" t="s">
        <v>3946</v>
      </c>
      <c r="E5234" s="4">
        <v>3500</v>
      </c>
    </row>
    <row r="5235" spans="1:5" ht="26.25" x14ac:dyDescent="0.25">
      <c r="A5235" s="2" t="s">
        <v>10</v>
      </c>
      <c r="B5235" s="2" t="str">
        <f>"76481428"</f>
        <v>76481428</v>
      </c>
      <c r="C5235" s="2" t="str">
        <f>"76481428"</f>
        <v>76481428</v>
      </c>
      <c r="D5235" s="2" t="s">
        <v>3947</v>
      </c>
      <c r="E5235" s="4">
        <v>3500</v>
      </c>
    </row>
    <row r="5236" spans="1:5" ht="26.25" x14ac:dyDescent="0.25">
      <c r="A5236" s="2" t="s">
        <v>10</v>
      </c>
      <c r="B5236" s="2" t="str">
        <f>"76481460"</f>
        <v>76481460</v>
      </c>
      <c r="C5236" s="2" t="str">
        <f>"76481460"</f>
        <v>76481460</v>
      </c>
      <c r="D5236" s="2" t="s">
        <v>3947</v>
      </c>
      <c r="E5236" s="4">
        <v>3500</v>
      </c>
    </row>
    <row r="5237" spans="1:5" ht="26.25" x14ac:dyDescent="0.25">
      <c r="A5237" s="2" t="s">
        <v>10</v>
      </c>
      <c r="B5237" s="2" t="str">
        <f>"76481427"</f>
        <v>76481427</v>
      </c>
      <c r="C5237" s="2" t="str">
        <f>"76481427"</f>
        <v>76481427</v>
      </c>
      <c r="D5237" s="2" t="s">
        <v>3948</v>
      </c>
      <c r="E5237" s="4">
        <v>3500</v>
      </c>
    </row>
    <row r="5238" spans="1:5" ht="26.25" x14ac:dyDescent="0.25">
      <c r="A5238" s="2" t="s">
        <v>10</v>
      </c>
      <c r="B5238" s="2" t="str">
        <f>"76581427"</f>
        <v>76581427</v>
      </c>
      <c r="C5238" s="2" t="str">
        <f>"76581427"</f>
        <v>76581427</v>
      </c>
      <c r="D5238" s="2" t="s">
        <v>3948</v>
      </c>
      <c r="E5238" s="4">
        <v>5000</v>
      </c>
    </row>
    <row r="5239" spans="1:5" ht="26.25" x14ac:dyDescent="0.25">
      <c r="A5239" s="2" t="s">
        <v>10</v>
      </c>
      <c r="B5239" s="2" t="str">
        <f>"110174814"</f>
        <v>110174814</v>
      </c>
      <c r="C5239" s="2" t="str">
        <f>"110174814"</f>
        <v>110174814</v>
      </c>
      <c r="D5239" s="2" t="s">
        <v>3948</v>
      </c>
      <c r="E5239" s="4">
        <v>4000</v>
      </c>
    </row>
    <row r="5240" spans="1:5" ht="26.25" x14ac:dyDescent="0.25">
      <c r="A5240" s="2" t="s">
        <v>10</v>
      </c>
      <c r="B5240" s="2" t="str">
        <f>"764801427"</f>
        <v>764801427</v>
      </c>
      <c r="C5240" s="2" t="str">
        <f>"764801427"</f>
        <v>764801427</v>
      </c>
      <c r="D5240" s="2" t="s">
        <v>3948</v>
      </c>
      <c r="E5240" s="4">
        <v>3500</v>
      </c>
    </row>
    <row r="5241" spans="1:5" ht="26.25" x14ac:dyDescent="0.25">
      <c r="A5241" s="2" t="s">
        <v>10</v>
      </c>
      <c r="B5241" s="2" t="str">
        <f>"76481407"</f>
        <v>76481407</v>
      </c>
      <c r="C5241" s="2" t="str">
        <f>"76481407"</f>
        <v>76481407</v>
      </c>
      <c r="D5241" s="2" t="s">
        <v>3949</v>
      </c>
      <c r="E5241" s="4">
        <v>3500</v>
      </c>
    </row>
    <row r="5242" spans="1:5" ht="26.25" x14ac:dyDescent="0.25">
      <c r="A5242" s="2" t="s">
        <v>10</v>
      </c>
      <c r="B5242" s="2" t="str">
        <f>"110565658"</f>
        <v>110565658</v>
      </c>
      <c r="C5242" s="2" t="str">
        <f>"110565658"</f>
        <v>110565658</v>
      </c>
      <c r="D5242" s="2" t="s">
        <v>3950</v>
      </c>
      <c r="E5242" s="4">
        <v>3000</v>
      </c>
    </row>
    <row r="5243" spans="1:5" ht="26.25" x14ac:dyDescent="0.25">
      <c r="A5243" s="2" t="s">
        <v>10</v>
      </c>
      <c r="B5243" s="2" t="str">
        <f>"76481430"</f>
        <v>76481430</v>
      </c>
      <c r="C5243" s="2" t="str">
        <f>"76481430"</f>
        <v>76481430</v>
      </c>
      <c r="D5243" s="2" t="s">
        <v>3951</v>
      </c>
      <c r="E5243" s="4">
        <v>3500</v>
      </c>
    </row>
    <row r="5244" spans="1:5" ht="26.25" x14ac:dyDescent="0.25">
      <c r="A5244" s="2" t="s">
        <v>10</v>
      </c>
      <c r="B5244" s="2" t="str">
        <f>"17480555"</f>
        <v>17480555</v>
      </c>
      <c r="C5244" s="2" t="str">
        <f>"17480555"</f>
        <v>17480555</v>
      </c>
      <c r="D5244" s="2" t="s">
        <v>3952</v>
      </c>
      <c r="E5244" s="4">
        <v>3500</v>
      </c>
    </row>
    <row r="5245" spans="1:5" ht="26.25" x14ac:dyDescent="0.25">
      <c r="A5245" s="2" t="s">
        <v>10</v>
      </c>
      <c r="B5245" s="2" t="str">
        <f>"17480560"</f>
        <v>17480560</v>
      </c>
      <c r="C5245" s="2" t="str">
        <f>"17480560"</f>
        <v>17480560</v>
      </c>
      <c r="D5245" s="2" t="s">
        <v>3953</v>
      </c>
      <c r="E5245" s="4">
        <v>3500</v>
      </c>
    </row>
    <row r="5246" spans="1:5" ht="26.25" x14ac:dyDescent="0.25">
      <c r="A5246" s="2" t="s">
        <v>10</v>
      </c>
      <c r="B5246" s="2" t="str">
        <f>"17481460"</f>
        <v>17481460</v>
      </c>
      <c r="C5246" s="2" t="str">
        <f>"17481460"</f>
        <v>17481460</v>
      </c>
      <c r="D5246" s="2" t="s">
        <v>3953</v>
      </c>
      <c r="E5246" s="4">
        <v>3500</v>
      </c>
    </row>
    <row r="5247" spans="1:5" ht="26.25" x14ac:dyDescent="0.25">
      <c r="A5247" s="2" t="s">
        <v>10</v>
      </c>
      <c r="B5247" s="2" t="str">
        <f>"34481428"</f>
        <v>34481428</v>
      </c>
      <c r="C5247" s="2" t="str">
        <f>"34481428"</f>
        <v>34481428</v>
      </c>
      <c r="D5247" s="2" t="s">
        <v>3953</v>
      </c>
      <c r="E5247" s="4">
        <v>3500</v>
      </c>
    </row>
    <row r="5248" spans="1:5" ht="26.25" x14ac:dyDescent="0.25">
      <c r="A5248" s="2" t="s">
        <v>10</v>
      </c>
      <c r="B5248" s="2" t="str">
        <f>"17480530"</f>
        <v>17480530</v>
      </c>
      <c r="C5248" s="2" t="str">
        <f>"17480530"</f>
        <v>17480530</v>
      </c>
      <c r="D5248" s="2" t="s">
        <v>3954</v>
      </c>
      <c r="E5248" s="4">
        <v>3500</v>
      </c>
    </row>
    <row r="5249" spans="1:5" ht="26.25" x14ac:dyDescent="0.25">
      <c r="A5249" s="2" t="s">
        <v>10</v>
      </c>
      <c r="B5249" s="2" t="str">
        <f>"17481039"</f>
        <v>17481039</v>
      </c>
      <c r="C5249" s="2" t="str">
        <f>"17481039"</f>
        <v>17481039</v>
      </c>
      <c r="D5249" s="2" t="s">
        <v>3954</v>
      </c>
      <c r="E5249" s="4">
        <v>3500</v>
      </c>
    </row>
    <row r="5250" spans="1:5" ht="26.25" x14ac:dyDescent="0.25">
      <c r="A5250" s="2" t="s">
        <v>10</v>
      </c>
      <c r="B5250" s="2" t="str">
        <f>"17571430"</f>
        <v>17571430</v>
      </c>
      <c r="C5250" s="2" t="str">
        <f>"17571430"</f>
        <v>17571430</v>
      </c>
      <c r="D5250" s="2" t="s">
        <v>3954</v>
      </c>
      <c r="E5250" s="4">
        <v>4000</v>
      </c>
    </row>
    <row r="5251" spans="1:5" ht="26.25" x14ac:dyDescent="0.25">
      <c r="A5251" s="2" t="s">
        <v>10</v>
      </c>
      <c r="B5251" s="2" t="str">
        <f>"17481439"</f>
        <v>17481439</v>
      </c>
      <c r="C5251" s="2" t="str">
        <f>"17481439"</f>
        <v>17481439</v>
      </c>
      <c r="D5251" s="2" t="s">
        <v>3955</v>
      </c>
      <c r="E5251" s="4">
        <v>3500</v>
      </c>
    </row>
    <row r="5252" spans="1:5" ht="26.25" x14ac:dyDescent="0.25">
      <c r="A5252" s="2" t="s">
        <v>10</v>
      </c>
      <c r="B5252" s="2" t="str">
        <f>"17481458"</f>
        <v>17481458</v>
      </c>
      <c r="C5252" s="2" t="str">
        <f>"17481458"</f>
        <v>17481458</v>
      </c>
      <c r="D5252" s="2" t="s">
        <v>3956</v>
      </c>
      <c r="E5252" s="4">
        <v>4000</v>
      </c>
    </row>
    <row r="5253" spans="1:5" ht="26.25" x14ac:dyDescent="0.25">
      <c r="A5253" s="2" t="s">
        <v>10</v>
      </c>
      <c r="B5253" s="2" t="str">
        <f>"17471480"</f>
        <v>17471480</v>
      </c>
      <c r="C5253" s="2" t="str">
        <f>"17471480"</f>
        <v>17471480</v>
      </c>
      <c r="D5253" s="2" t="s">
        <v>3957</v>
      </c>
      <c r="E5253" s="4">
        <v>3500</v>
      </c>
    </row>
    <row r="5254" spans="1:5" ht="26.25" x14ac:dyDescent="0.25">
      <c r="A5254" s="2" t="s">
        <v>10</v>
      </c>
      <c r="B5254" s="2" t="str">
        <f>"76481980"</f>
        <v>76481980</v>
      </c>
      <c r="C5254" s="2" t="str">
        <f>"76481980"</f>
        <v>76481980</v>
      </c>
      <c r="D5254" s="2" t="s">
        <v>3957</v>
      </c>
      <c r="E5254" s="4">
        <v>3500</v>
      </c>
    </row>
    <row r="5255" spans="1:5" ht="26.25" x14ac:dyDescent="0.25">
      <c r="A5255" s="2" t="s">
        <v>10</v>
      </c>
      <c r="B5255" s="2" t="str">
        <f>"34581480"</f>
        <v>34581480</v>
      </c>
      <c r="C5255" s="2" t="str">
        <f>"34581480"</f>
        <v>34581480</v>
      </c>
      <c r="D5255" s="2" t="s">
        <v>3958</v>
      </c>
      <c r="E5255" s="4">
        <v>5500</v>
      </c>
    </row>
    <row r="5256" spans="1:5" ht="26.25" x14ac:dyDescent="0.25">
      <c r="A5256" s="2" t="s">
        <v>10</v>
      </c>
      <c r="B5256" s="2" t="str">
        <f>"17481483"</f>
        <v>17481483</v>
      </c>
      <c r="C5256" s="2" t="str">
        <f>"17481483"</f>
        <v>17481483</v>
      </c>
      <c r="D5256" s="2" t="s">
        <v>3959</v>
      </c>
      <c r="E5256" s="4">
        <v>3500</v>
      </c>
    </row>
    <row r="5257" spans="1:5" ht="26.25" x14ac:dyDescent="0.25">
      <c r="A5257" s="2" t="s">
        <v>10</v>
      </c>
      <c r="B5257" s="2" t="str">
        <f>"17481480"</f>
        <v>17481480</v>
      </c>
      <c r="C5257" s="2" t="str">
        <f>"17481480"</f>
        <v>17481480</v>
      </c>
      <c r="D5257" s="2" t="s">
        <v>3960</v>
      </c>
      <c r="E5257" s="4">
        <v>3500</v>
      </c>
    </row>
    <row r="5258" spans="1:5" ht="26.25" x14ac:dyDescent="0.25">
      <c r="A5258" s="2" t="s">
        <v>10</v>
      </c>
      <c r="B5258" s="2" t="str">
        <f>"34771480"</f>
        <v>34771480</v>
      </c>
      <c r="C5258" s="2" t="str">
        <f>"34771480"</f>
        <v>34771480</v>
      </c>
      <c r="D5258" s="2" t="s">
        <v>3960</v>
      </c>
      <c r="E5258" s="4">
        <v>4500</v>
      </c>
    </row>
    <row r="5259" spans="1:5" ht="26.25" x14ac:dyDescent="0.25">
      <c r="A5259" s="2" t="s">
        <v>10</v>
      </c>
      <c r="B5259" s="2" t="str">
        <f>"76471480"</f>
        <v>76471480</v>
      </c>
      <c r="C5259" s="2" t="str">
        <f>"76471480"</f>
        <v>76471480</v>
      </c>
      <c r="D5259" s="2" t="s">
        <v>3960</v>
      </c>
      <c r="E5259" s="4">
        <v>3000</v>
      </c>
    </row>
    <row r="5260" spans="1:5" ht="26.25" x14ac:dyDescent="0.25">
      <c r="A5260" s="2" t="s">
        <v>10</v>
      </c>
      <c r="B5260" s="2" t="str">
        <f>"76481480"</f>
        <v>76481480</v>
      </c>
      <c r="C5260" s="2" t="str">
        <f>"76481480"</f>
        <v>76481480</v>
      </c>
      <c r="D5260" s="2" t="s">
        <v>3960</v>
      </c>
      <c r="E5260" s="4">
        <v>3500</v>
      </c>
    </row>
    <row r="5261" spans="1:5" ht="26.25" x14ac:dyDescent="0.25">
      <c r="A5261" s="2" t="s">
        <v>10</v>
      </c>
      <c r="B5261" s="2" t="str">
        <f>"76581480"</f>
        <v>76581480</v>
      </c>
      <c r="C5261" s="2" t="str">
        <f>"76581480"</f>
        <v>76581480</v>
      </c>
      <c r="D5261" s="2" t="s">
        <v>3960</v>
      </c>
      <c r="E5261" s="4">
        <v>4000</v>
      </c>
    </row>
    <row r="5262" spans="1:5" ht="26.25" x14ac:dyDescent="0.25">
      <c r="A5262" s="2" t="s">
        <v>10</v>
      </c>
      <c r="B5262" s="2" t="str">
        <f>"76691480"</f>
        <v>76691480</v>
      </c>
      <c r="C5262" s="2" t="str">
        <f>"76691480"</f>
        <v>76691480</v>
      </c>
      <c r="D5262" s="2" t="s">
        <v>3960</v>
      </c>
      <c r="E5262" s="4">
        <v>3500</v>
      </c>
    </row>
    <row r="5263" spans="1:5" ht="26.25" x14ac:dyDescent="0.25">
      <c r="A5263" s="2" t="s">
        <v>10</v>
      </c>
      <c r="B5263" s="2" t="str">
        <f>"76751480"</f>
        <v>76751480</v>
      </c>
      <c r="C5263" s="2" t="str">
        <f>"76751480"</f>
        <v>76751480</v>
      </c>
      <c r="D5263" s="2" t="s">
        <v>3960</v>
      </c>
      <c r="E5263" s="4">
        <v>5500</v>
      </c>
    </row>
    <row r="5264" spans="1:5" ht="26.25" x14ac:dyDescent="0.25">
      <c r="A5264" s="2" t="s">
        <v>10</v>
      </c>
      <c r="B5264" s="2" t="str">
        <f>"76771480"</f>
        <v>76771480</v>
      </c>
      <c r="C5264" s="2" t="str">
        <f>"76771480"</f>
        <v>76771480</v>
      </c>
      <c r="D5264" s="2" t="s">
        <v>3960</v>
      </c>
      <c r="E5264" s="4">
        <v>4500</v>
      </c>
    </row>
    <row r="5265" spans="1:5" ht="26.25" x14ac:dyDescent="0.25">
      <c r="A5265" s="2" t="s">
        <v>10</v>
      </c>
      <c r="B5265" s="2" t="str">
        <f>"17471430"</f>
        <v>17471430</v>
      </c>
      <c r="C5265" s="2" t="str">
        <f>"17471430"</f>
        <v>17471430</v>
      </c>
      <c r="D5265" s="2" t="s">
        <v>3961</v>
      </c>
      <c r="E5265" s="4">
        <v>3500</v>
      </c>
    </row>
    <row r="5266" spans="1:5" ht="26.25" x14ac:dyDescent="0.25">
      <c r="A5266" s="2" t="s">
        <v>10</v>
      </c>
      <c r="B5266" s="2" t="str">
        <f>"34581430"</f>
        <v>34581430</v>
      </c>
      <c r="C5266" s="2" t="str">
        <f>"34581430"</f>
        <v>34581430</v>
      </c>
      <c r="D5266" s="2" t="s">
        <v>3961</v>
      </c>
      <c r="E5266" s="4">
        <v>5500</v>
      </c>
    </row>
    <row r="5267" spans="1:5" ht="26.25" x14ac:dyDescent="0.25">
      <c r="A5267" s="2" t="s">
        <v>10</v>
      </c>
      <c r="B5267" s="2" t="str">
        <f>"33481430"</f>
        <v>33481430</v>
      </c>
      <c r="C5267" s="2" t="str">
        <f>"33481430"</f>
        <v>33481430</v>
      </c>
      <c r="D5267" s="2" t="s">
        <v>3961</v>
      </c>
      <c r="E5267" s="4">
        <v>3500</v>
      </c>
    </row>
    <row r="5268" spans="1:5" ht="26.25" x14ac:dyDescent="0.25">
      <c r="A5268" s="2" t="s">
        <v>10</v>
      </c>
      <c r="B5268" s="2" t="str">
        <f>"34481430"</f>
        <v>34481430</v>
      </c>
      <c r="C5268" s="2" t="str">
        <f>"34481430"</f>
        <v>34481430</v>
      </c>
      <c r="D5268" s="2" t="s">
        <v>3961</v>
      </c>
      <c r="E5268" s="4">
        <v>3500</v>
      </c>
    </row>
    <row r="5269" spans="1:5" ht="26.25" x14ac:dyDescent="0.25">
      <c r="A5269" s="2" t="s">
        <v>10</v>
      </c>
      <c r="B5269" s="2" t="str">
        <f>"76761430"</f>
        <v>76761430</v>
      </c>
      <c r="C5269" s="2" t="str">
        <f>"76761430"</f>
        <v>76761430</v>
      </c>
      <c r="D5269" s="2" t="s">
        <v>3961</v>
      </c>
      <c r="E5269" s="4">
        <v>5500</v>
      </c>
    </row>
    <row r="5270" spans="1:5" ht="26.25" x14ac:dyDescent="0.25">
      <c r="A5270" s="2" t="s">
        <v>10</v>
      </c>
      <c r="B5270" s="2" t="str">
        <f>"17581430"</f>
        <v>17581430</v>
      </c>
      <c r="C5270" s="2" t="str">
        <f>"17581430"</f>
        <v>17581430</v>
      </c>
      <c r="D5270" s="2" t="s">
        <v>3962</v>
      </c>
      <c r="E5270" s="4">
        <v>3500</v>
      </c>
    </row>
    <row r="5271" spans="1:5" ht="26.25" x14ac:dyDescent="0.25">
      <c r="A5271" s="2" t="s">
        <v>10</v>
      </c>
      <c r="B5271" s="2" t="str">
        <f>"76471430"</f>
        <v>76471430</v>
      </c>
      <c r="C5271" s="2" t="str">
        <f>"76471430"</f>
        <v>76471430</v>
      </c>
      <c r="D5271" s="2" t="s">
        <v>3962</v>
      </c>
      <c r="E5271" s="4">
        <v>3000</v>
      </c>
    </row>
    <row r="5272" spans="1:5" ht="26.25" x14ac:dyDescent="0.25">
      <c r="A5272" s="2" t="s">
        <v>10</v>
      </c>
      <c r="B5272" s="2" t="str">
        <f>"17481430"</f>
        <v>17481430</v>
      </c>
      <c r="C5272" s="2" t="str">
        <f>"17481430"</f>
        <v>17481430</v>
      </c>
      <c r="D5272" s="2" t="s">
        <v>3963</v>
      </c>
      <c r="E5272" s="4">
        <v>3500</v>
      </c>
    </row>
    <row r="5273" spans="1:5" ht="26.25" x14ac:dyDescent="0.25">
      <c r="A5273" s="2" t="s">
        <v>10</v>
      </c>
      <c r="B5273" s="2" t="str">
        <f>"34771430"</f>
        <v>34771430</v>
      </c>
      <c r="C5273" s="2" t="str">
        <f>"34771430"</f>
        <v>34771430</v>
      </c>
      <c r="D5273" s="2" t="s">
        <v>3963</v>
      </c>
      <c r="E5273" s="4">
        <v>4500</v>
      </c>
    </row>
    <row r="5274" spans="1:5" ht="26.25" x14ac:dyDescent="0.25">
      <c r="A5274" s="2" t="s">
        <v>10</v>
      </c>
      <c r="B5274" s="2" t="str">
        <f>"17481443"</f>
        <v>17481443</v>
      </c>
      <c r="C5274" s="2" t="str">
        <f>"17481443"</f>
        <v>17481443</v>
      </c>
      <c r="D5274" s="2" t="s">
        <v>3964</v>
      </c>
      <c r="E5274" s="4">
        <v>3500</v>
      </c>
    </row>
    <row r="5275" spans="1:5" ht="26.25" x14ac:dyDescent="0.25">
      <c r="A5275" s="2" t="s">
        <v>10</v>
      </c>
      <c r="B5275" s="2" t="str">
        <f>"76481443"</f>
        <v>76481443</v>
      </c>
      <c r="C5275" s="2" t="str">
        <f>"76481443"</f>
        <v>76481443</v>
      </c>
      <c r="D5275" s="2" t="s">
        <v>3964</v>
      </c>
      <c r="E5275" s="4">
        <v>3500</v>
      </c>
    </row>
    <row r="5276" spans="1:5" ht="26.25" x14ac:dyDescent="0.25">
      <c r="A5276" s="2" t="s">
        <v>10</v>
      </c>
      <c r="B5276" s="2" t="str">
        <f>"174714125"</f>
        <v>174714125</v>
      </c>
      <c r="C5276" s="2" t="str">
        <f>"174714125"</f>
        <v>174714125</v>
      </c>
      <c r="D5276" s="2" t="s">
        <v>3965</v>
      </c>
      <c r="E5276" s="4">
        <v>3500</v>
      </c>
    </row>
    <row r="5277" spans="1:5" ht="26.25" x14ac:dyDescent="0.25">
      <c r="A5277" s="2" t="s">
        <v>10</v>
      </c>
      <c r="B5277" s="2" t="str">
        <f>"867714125"</f>
        <v>867714125</v>
      </c>
      <c r="C5277" s="2" t="str">
        <f>"867714125"</f>
        <v>867714125</v>
      </c>
      <c r="D5277" s="2" t="s">
        <v>3965</v>
      </c>
      <c r="E5277" s="4">
        <v>3500</v>
      </c>
    </row>
    <row r="5278" spans="1:5" ht="26.25" x14ac:dyDescent="0.25">
      <c r="A5278" s="2" t="s">
        <v>10</v>
      </c>
      <c r="B5278" s="2" t="str">
        <f>"695114125"</f>
        <v>695114125</v>
      </c>
      <c r="C5278" s="2" t="str">
        <f>"695114125"</f>
        <v>695114125</v>
      </c>
      <c r="D5278" s="2" t="s">
        <v>3965</v>
      </c>
      <c r="E5278" s="4">
        <v>3500</v>
      </c>
    </row>
    <row r="5279" spans="1:5" ht="26.25" x14ac:dyDescent="0.25">
      <c r="A5279" s="2" t="s">
        <v>10</v>
      </c>
      <c r="B5279" s="2" t="str">
        <f>"174814125"</f>
        <v>174814125</v>
      </c>
      <c r="C5279" s="2" t="str">
        <f>"174814125"</f>
        <v>174814125</v>
      </c>
      <c r="D5279" s="2" t="s">
        <v>3965</v>
      </c>
      <c r="E5279" s="4">
        <v>3500</v>
      </c>
    </row>
    <row r="5280" spans="1:5" ht="26.25" x14ac:dyDescent="0.25">
      <c r="A5280" s="2" t="s">
        <v>10</v>
      </c>
      <c r="B5280" s="2" t="str">
        <f>"175814125"</f>
        <v>175814125</v>
      </c>
      <c r="C5280" s="2" t="str">
        <f>"175814125"</f>
        <v>175814125</v>
      </c>
      <c r="D5280" s="2" t="s">
        <v>3965</v>
      </c>
      <c r="E5280" s="4">
        <v>3500</v>
      </c>
    </row>
    <row r="5281" spans="1:5" ht="26.25" x14ac:dyDescent="0.25">
      <c r="A5281" s="2" t="s">
        <v>10</v>
      </c>
      <c r="B5281" s="2" t="str">
        <f>"762614125"</f>
        <v>762614125</v>
      </c>
      <c r="C5281" s="2" t="str">
        <f>"762614125"</f>
        <v>762614125</v>
      </c>
      <c r="D5281" s="2" t="s">
        <v>3965</v>
      </c>
      <c r="E5281" s="4">
        <v>3000</v>
      </c>
    </row>
    <row r="5282" spans="1:5" ht="26.25" x14ac:dyDescent="0.25">
      <c r="A5282" s="2" t="s">
        <v>10</v>
      </c>
      <c r="B5282" s="2" t="str">
        <f>"764714125"</f>
        <v>764714125</v>
      </c>
      <c r="C5282" s="2" t="str">
        <f>"764714125"</f>
        <v>764714125</v>
      </c>
      <c r="D5282" s="2" t="s">
        <v>3965</v>
      </c>
      <c r="E5282" s="4">
        <v>3500</v>
      </c>
    </row>
    <row r="5283" spans="1:5" ht="26.25" x14ac:dyDescent="0.25">
      <c r="A5283" s="2" t="s">
        <v>10</v>
      </c>
      <c r="B5283" s="2" t="str">
        <f>"764814125"</f>
        <v>764814125</v>
      </c>
      <c r="C5283" s="2" t="str">
        <f>"764814125"</f>
        <v>764814125</v>
      </c>
      <c r="D5283" s="2" t="s">
        <v>3965</v>
      </c>
      <c r="E5283" s="4">
        <v>4500</v>
      </c>
    </row>
    <row r="5284" spans="1:5" ht="26.25" x14ac:dyDescent="0.25">
      <c r="A5284" s="2" t="s">
        <v>10</v>
      </c>
      <c r="B5284" s="2" t="str">
        <f>"764809125"</f>
        <v>764809125</v>
      </c>
      <c r="C5284" s="2" t="str">
        <f>"764809125"</f>
        <v>764809125</v>
      </c>
      <c r="D5284" s="2" t="s">
        <v>3965</v>
      </c>
      <c r="E5284" s="4">
        <v>3500</v>
      </c>
    </row>
    <row r="5285" spans="1:5" ht="26.25" x14ac:dyDescent="0.25">
      <c r="A5285" s="2" t="s">
        <v>10</v>
      </c>
      <c r="B5285" s="2" t="str">
        <f>"764914125"</f>
        <v>764914125</v>
      </c>
      <c r="C5285" s="2" t="str">
        <f>"764914125"</f>
        <v>764914125</v>
      </c>
      <c r="D5285" s="2" t="s">
        <v>3965</v>
      </c>
      <c r="E5285" s="4">
        <v>3000</v>
      </c>
    </row>
    <row r="5286" spans="1:5" ht="26.25" x14ac:dyDescent="0.25">
      <c r="A5286" s="2" t="s">
        <v>10</v>
      </c>
      <c r="B5286" s="2" t="str">
        <f>"767614125"</f>
        <v>767614125</v>
      </c>
      <c r="C5286" s="2" t="str">
        <f>"767614125"</f>
        <v>767614125</v>
      </c>
      <c r="D5286" s="2" t="s">
        <v>3965</v>
      </c>
      <c r="E5286" s="4">
        <v>5500</v>
      </c>
    </row>
    <row r="5287" spans="1:5" ht="26.25" x14ac:dyDescent="0.25">
      <c r="A5287" s="2" t="s">
        <v>10</v>
      </c>
      <c r="B5287" s="2" t="str">
        <f>"767714125"</f>
        <v>767714125</v>
      </c>
      <c r="C5287" s="2" t="str">
        <f>"767714125"</f>
        <v>767714125</v>
      </c>
      <c r="D5287" s="2" t="s">
        <v>3965</v>
      </c>
      <c r="E5287" s="4">
        <v>4500</v>
      </c>
    </row>
    <row r="5288" spans="1:5" ht="26.25" x14ac:dyDescent="0.25">
      <c r="A5288" s="2" t="s">
        <v>10</v>
      </c>
      <c r="B5288" s="2" t="str">
        <f>"765114125"</f>
        <v>765114125</v>
      </c>
      <c r="C5288" s="2" t="str">
        <f>"765114125"</f>
        <v>765114125</v>
      </c>
      <c r="D5288" s="2" t="s">
        <v>3965</v>
      </c>
      <c r="E5288" s="4">
        <v>4500</v>
      </c>
    </row>
    <row r="5289" spans="1:5" ht="26.25" x14ac:dyDescent="0.25">
      <c r="A5289" s="2" t="s">
        <v>10</v>
      </c>
      <c r="B5289" s="2" t="str">
        <f>"174814192"</f>
        <v>174814192</v>
      </c>
      <c r="C5289" s="2" t="str">
        <f>"174814192"</f>
        <v>174814192</v>
      </c>
      <c r="D5289" s="2" t="s">
        <v>3965</v>
      </c>
      <c r="E5289" s="4">
        <v>3500</v>
      </c>
    </row>
    <row r="5290" spans="1:5" ht="26.25" x14ac:dyDescent="0.25">
      <c r="A5290" s="2" t="s">
        <v>10</v>
      </c>
      <c r="B5290" s="2" t="str">
        <f>"174814217"</f>
        <v>174814217</v>
      </c>
      <c r="C5290" s="2" t="str">
        <f>"174814217"</f>
        <v>174814217</v>
      </c>
      <c r="D5290" s="2" t="s">
        <v>3966</v>
      </c>
      <c r="E5290" s="4">
        <v>3500</v>
      </c>
    </row>
    <row r="5291" spans="1:5" ht="26.25" x14ac:dyDescent="0.25">
      <c r="A5291" s="2" t="s">
        <v>10</v>
      </c>
      <c r="B5291" s="2" t="str">
        <f>"765114193"</f>
        <v>765114193</v>
      </c>
      <c r="C5291" s="2" t="str">
        <f>"765114193"</f>
        <v>765114193</v>
      </c>
      <c r="D5291" s="2" t="s">
        <v>3967</v>
      </c>
      <c r="E5291" s="4">
        <v>4500</v>
      </c>
    </row>
    <row r="5292" spans="1:5" ht="26.25" x14ac:dyDescent="0.25">
      <c r="A5292" s="2" t="s">
        <v>10</v>
      </c>
      <c r="B5292" s="2" t="str">
        <f>"764814136"</f>
        <v>764814136</v>
      </c>
      <c r="C5292" s="2" t="str">
        <f>"764814136"</f>
        <v>764814136</v>
      </c>
      <c r="D5292" s="2" t="s">
        <v>3968</v>
      </c>
      <c r="E5292" s="4">
        <v>3500</v>
      </c>
    </row>
    <row r="5293" spans="1:5" ht="26.25" x14ac:dyDescent="0.25">
      <c r="A5293" s="2" t="s">
        <v>10</v>
      </c>
      <c r="B5293" s="2" t="str">
        <f>"765814136"</f>
        <v>765814136</v>
      </c>
      <c r="C5293" s="2" t="str">
        <f>"765814136"</f>
        <v>765814136</v>
      </c>
      <c r="D5293" s="2" t="s">
        <v>3968</v>
      </c>
      <c r="E5293" s="4">
        <v>5500</v>
      </c>
    </row>
    <row r="5294" spans="1:5" ht="26.25" x14ac:dyDescent="0.25">
      <c r="A5294" s="2" t="s">
        <v>10</v>
      </c>
      <c r="B5294" s="2" t="str">
        <f>"767514136"</f>
        <v>767514136</v>
      </c>
      <c r="C5294" s="2" t="str">
        <f>"767514136"</f>
        <v>767514136</v>
      </c>
      <c r="D5294" s="2" t="s">
        <v>3968</v>
      </c>
      <c r="E5294" s="4">
        <v>5500</v>
      </c>
    </row>
    <row r="5295" spans="1:5" ht="26.25" x14ac:dyDescent="0.25">
      <c r="A5295" s="2" t="s">
        <v>10</v>
      </c>
      <c r="B5295" s="2" t="str">
        <f>"1000001098395"</f>
        <v>1000001098395</v>
      </c>
      <c r="C5295" s="2" t="str">
        <f>"764814262"</f>
        <v>764814262</v>
      </c>
      <c r="D5295" s="2" t="s">
        <v>3969</v>
      </c>
      <c r="E5295" s="4">
        <v>4500</v>
      </c>
    </row>
    <row r="5296" spans="1:5" ht="26.25" x14ac:dyDescent="0.25">
      <c r="A5296" s="2" t="s">
        <v>10</v>
      </c>
      <c r="B5296" s="2" t="str">
        <f>"186414262"</f>
        <v>186414262</v>
      </c>
      <c r="C5296" s="2" t="str">
        <f>"186414262"</f>
        <v>186414262</v>
      </c>
      <c r="D5296" s="2" t="s">
        <v>3969</v>
      </c>
      <c r="E5296" s="4">
        <v>4500</v>
      </c>
    </row>
    <row r="5297" spans="1:5" ht="26.25" x14ac:dyDescent="0.25">
      <c r="A5297" s="2" t="s">
        <v>10</v>
      </c>
      <c r="B5297" s="2" t="str">
        <f>"2018121500086"</f>
        <v>2018121500086</v>
      </c>
      <c r="C5297" s="2" t="str">
        <f>"185114262"</f>
        <v>185114262</v>
      </c>
      <c r="D5297" s="2" t="s">
        <v>3969</v>
      </c>
      <c r="E5297" s="4">
        <v>3500</v>
      </c>
    </row>
    <row r="5298" spans="1:5" ht="26.25" x14ac:dyDescent="0.25">
      <c r="A5298" s="2" t="s">
        <v>10</v>
      </c>
      <c r="B5298" s="2" t="str">
        <f>"174814283"</f>
        <v>174814283</v>
      </c>
      <c r="C5298" s="2" t="str">
        <f>"174814283"</f>
        <v>174814283</v>
      </c>
      <c r="D5298" s="2" t="s">
        <v>3970</v>
      </c>
      <c r="E5298" s="4">
        <v>3500</v>
      </c>
    </row>
    <row r="5299" spans="1:5" ht="26.25" x14ac:dyDescent="0.25">
      <c r="A5299" s="2" t="s">
        <v>10</v>
      </c>
      <c r="B5299" s="2" t="str">
        <f>"766214283"</f>
        <v>766214283</v>
      </c>
      <c r="C5299" s="2" t="str">
        <f>"766214283"</f>
        <v>766214283</v>
      </c>
      <c r="D5299" s="2" t="s">
        <v>3970</v>
      </c>
      <c r="E5299" s="4">
        <v>6000</v>
      </c>
    </row>
    <row r="5300" spans="1:5" ht="26.25" x14ac:dyDescent="0.25">
      <c r="A5300" s="2" t="s">
        <v>10</v>
      </c>
      <c r="B5300" s="2" t="str">
        <f>"345114283"</f>
        <v>345114283</v>
      </c>
      <c r="C5300" s="2" t="str">
        <f>"345114283"</f>
        <v>345114283</v>
      </c>
      <c r="D5300" s="2" t="s">
        <v>3970</v>
      </c>
      <c r="E5300" s="4">
        <v>4500</v>
      </c>
    </row>
    <row r="5301" spans="1:5" ht="26.25" x14ac:dyDescent="0.25">
      <c r="A5301" s="2" t="s">
        <v>10</v>
      </c>
      <c r="B5301" s="2" t="str">
        <f>"766414283"</f>
        <v>766414283</v>
      </c>
      <c r="C5301" s="2" t="str">
        <f>"766414283"</f>
        <v>766414283</v>
      </c>
      <c r="D5301" s="2" t="s">
        <v>3970</v>
      </c>
      <c r="E5301" s="4">
        <v>5000</v>
      </c>
    </row>
    <row r="5302" spans="1:5" ht="26.25" x14ac:dyDescent="0.25">
      <c r="A5302" s="2" t="s">
        <v>10</v>
      </c>
      <c r="B5302" s="2" t="str">
        <f>"1000001094038"</f>
        <v>1000001094038</v>
      </c>
      <c r="C5302" s="2" t="str">
        <f>"766514283"</f>
        <v>766514283</v>
      </c>
      <c r="D5302" s="2" t="s">
        <v>3970</v>
      </c>
      <c r="E5302" s="4">
        <v>7500</v>
      </c>
    </row>
    <row r="5303" spans="1:5" ht="26.25" x14ac:dyDescent="0.25">
      <c r="A5303" s="2" t="s">
        <v>10</v>
      </c>
      <c r="B5303" s="2" t="str">
        <f>"765914283"</f>
        <v>765914283</v>
      </c>
      <c r="C5303" s="2" t="str">
        <f>"765914283"</f>
        <v>765914283</v>
      </c>
      <c r="D5303" s="2" t="s">
        <v>3970</v>
      </c>
      <c r="E5303" s="4">
        <v>5000</v>
      </c>
    </row>
    <row r="5304" spans="1:5" ht="26.25" x14ac:dyDescent="0.25">
      <c r="A5304" s="2" t="s">
        <v>10</v>
      </c>
      <c r="B5304" s="2" t="str">
        <f>"866414283"</f>
        <v>866414283</v>
      </c>
      <c r="C5304" s="2" t="str">
        <f>"866414283"</f>
        <v>866414283</v>
      </c>
      <c r="D5304" s="2" t="s">
        <v>3970</v>
      </c>
      <c r="E5304" s="4">
        <v>6500</v>
      </c>
    </row>
    <row r="5305" spans="1:5" ht="26.25" x14ac:dyDescent="0.25">
      <c r="A5305" s="2" t="s">
        <v>10</v>
      </c>
      <c r="B5305" s="2" t="str">
        <f>"1000001009094"</f>
        <v>1000001009094</v>
      </c>
      <c r="C5305" s="2" t="str">
        <f>"767714283"</f>
        <v>767714283</v>
      </c>
      <c r="D5305" s="2" t="s">
        <v>3970</v>
      </c>
      <c r="E5305" s="4">
        <v>4500</v>
      </c>
    </row>
    <row r="5306" spans="1:5" ht="26.25" x14ac:dyDescent="0.25">
      <c r="A5306" s="2" t="s">
        <v>10</v>
      </c>
      <c r="B5306" s="2" t="str">
        <f>"765814283"</f>
        <v>765814283</v>
      </c>
      <c r="C5306" s="2" t="str">
        <f>"765814283"</f>
        <v>765814283</v>
      </c>
      <c r="D5306" s="2" t="s">
        <v>3970</v>
      </c>
      <c r="E5306" s="4">
        <v>3500</v>
      </c>
    </row>
    <row r="5307" spans="1:5" ht="26.25" x14ac:dyDescent="0.25">
      <c r="A5307" s="2" t="s">
        <v>10</v>
      </c>
      <c r="B5307" s="2" t="str">
        <f>"175114283"</f>
        <v>175114283</v>
      </c>
      <c r="C5307" s="2" t="str">
        <f>"175114283"</f>
        <v>175114283</v>
      </c>
      <c r="D5307" s="2" t="s">
        <v>3970</v>
      </c>
      <c r="E5307" s="4">
        <v>4500</v>
      </c>
    </row>
    <row r="5308" spans="1:5" ht="26.25" x14ac:dyDescent="0.25">
      <c r="A5308" s="2" t="s">
        <v>10</v>
      </c>
      <c r="B5308" s="2" t="str">
        <f>"764814283"</f>
        <v>764814283</v>
      </c>
      <c r="C5308" s="2" t="str">
        <f>"764814283"</f>
        <v>764814283</v>
      </c>
      <c r="D5308" s="2" t="s">
        <v>3970</v>
      </c>
      <c r="E5308" s="4">
        <v>4000</v>
      </c>
    </row>
    <row r="5309" spans="1:5" ht="26.25" x14ac:dyDescent="0.25">
      <c r="A5309" s="2" t="s">
        <v>10</v>
      </c>
      <c r="B5309" s="2" t="str">
        <f>"765114283"</f>
        <v>765114283</v>
      </c>
      <c r="C5309" s="2" t="str">
        <f>"765114283"</f>
        <v>765114283</v>
      </c>
      <c r="D5309" s="2" t="s">
        <v>3970</v>
      </c>
      <c r="E5309" s="4">
        <v>4500</v>
      </c>
    </row>
    <row r="5310" spans="1:5" ht="26.25" x14ac:dyDescent="0.25">
      <c r="A5310" s="2" t="s">
        <v>10</v>
      </c>
      <c r="B5310" s="2" t="str">
        <f>"763914283"</f>
        <v>763914283</v>
      </c>
      <c r="C5310" s="2" t="str">
        <f>"763914283"</f>
        <v>763914283</v>
      </c>
      <c r="D5310" s="2" t="s">
        <v>3970</v>
      </c>
      <c r="E5310" s="4">
        <v>4500</v>
      </c>
    </row>
    <row r="5311" spans="1:5" ht="26.25" x14ac:dyDescent="0.25">
      <c r="A5311" s="2" t="s">
        <v>10</v>
      </c>
      <c r="B5311" s="2" t="str">
        <f>"765114131"</f>
        <v>765114131</v>
      </c>
      <c r="C5311" s="2" t="str">
        <f>"765114131"</f>
        <v>765114131</v>
      </c>
      <c r="D5311" s="2" t="s">
        <v>3971</v>
      </c>
      <c r="E5311" s="4">
        <v>4500</v>
      </c>
    </row>
    <row r="5312" spans="1:5" ht="26.25" x14ac:dyDescent="0.25">
      <c r="A5312" s="2" t="s">
        <v>10</v>
      </c>
      <c r="B5312" s="2" t="str">
        <f>"766114131"</f>
        <v>766114131</v>
      </c>
      <c r="C5312" s="2" t="str">
        <f>"766114131"</f>
        <v>766114131</v>
      </c>
      <c r="D5312" s="2" t="s">
        <v>3971</v>
      </c>
      <c r="E5312" s="4">
        <v>5000</v>
      </c>
    </row>
    <row r="5313" spans="1:5" ht="26.25" x14ac:dyDescent="0.25">
      <c r="A5313" s="2" t="s">
        <v>10</v>
      </c>
      <c r="B5313" s="2" t="str">
        <f>"764814131"</f>
        <v>764814131</v>
      </c>
      <c r="C5313" s="2" t="str">
        <f>"764814131"</f>
        <v>764814131</v>
      </c>
      <c r="D5313" s="2" t="s">
        <v>3971</v>
      </c>
      <c r="E5313" s="4">
        <v>5000</v>
      </c>
    </row>
    <row r="5314" spans="1:5" ht="26.25" x14ac:dyDescent="0.25">
      <c r="A5314" s="2" t="s">
        <v>10</v>
      </c>
      <c r="B5314" s="2" t="str">
        <f>"615114131"</f>
        <v>615114131</v>
      </c>
      <c r="C5314" s="2" t="str">
        <f>"615114131"</f>
        <v>615114131</v>
      </c>
      <c r="D5314" s="2" t="s">
        <v>3971</v>
      </c>
      <c r="E5314" s="4">
        <v>3500</v>
      </c>
    </row>
    <row r="5315" spans="1:5" ht="26.25" x14ac:dyDescent="0.25">
      <c r="A5315" s="2" t="s">
        <v>10</v>
      </c>
      <c r="B5315" s="2" t="str">
        <f>"645114131"</f>
        <v>645114131</v>
      </c>
      <c r="C5315" s="2" t="str">
        <f>"645114131"</f>
        <v>645114131</v>
      </c>
      <c r="D5315" s="2" t="s">
        <v>3971</v>
      </c>
      <c r="E5315" s="4">
        <v>4500</v>
      </c>
    </row>
    <row r="5316" spans="1:5" ht="26.25" x14ac:dyDescent="0.25">
      <c r="A5316" s="2" t="s">
        <v>10</v>
      </c>
      <c r="B5316" s="2" t="str">
        <f>"866414131"</f>
        <v>866414131</v>
      </c>
      <c r="C5316" s="2" t="str">
        <f>"866414131"</f>
        <v>866414131</v>
      </c>
      <c r="D5316" s="2" t="s">
        <v>3971</v>
      </c>
      <c r="E5316" s="4">
        <v>6500</v>
      </c>
    </row>
    <row r="5317" spans="1:5" ht="26.25" x14ac:dyDescent="0.25">
      <c r="A5317" s="2" t="s">
        <v>10</v>
      </c>
      <c r="B5317" s="2" t="str">
        <f>"174814136"</f>
        <v>174814136</v>
      </c>
      <c r="C5317" s="2" t="str">
        <f>"174814291"</f>
        <v>174814291</v>
      </c>
      <c r="D5317" s="2" t="s">
        <v>3972</v>
      </c>
      <c r="E5317" s="4">
        <v>3500</v>
      </c>
    </row>
    <row r="5318" spans="1:5" ht="26.25" x14ac:dyDescent="0.25">
      <c r="A5318" s="2" t="s">
        <v>10</v>
      </c>
      <c r="B5318" s="2" t="str">
        <f>"174714108"</f>
        <v>174714108</v>
      </c>
      <c r="C5318" s="2" t="str">
        <f>"174714108"</f>
        <v>174714108</v>
      </c>
      <c r="D5318" s="2" t="s">
        <v>3973</v>
      </c>
      <c r="E5318" s="4">
        <v>3500</v>
      </c>
    </row>
    <row r="5319" spans="1:5" ht="26.25" x14ac:dyDescent="0.25">
      <c r="A5319" s="2" t="s">
        <v>10</v>
      </c>
      <c r="B5319" s="2" t="str">
        <f>"764614108"</f>
        <v>764614108</v>
      </c>
      <c r="C5319" s="2" t="str">
        <f>"764614108"</f>
        <v>764614108</v>
      </c>
      <c r="D5319" s="2" t="s">
        <v>3973</v>
      </c>
      <c r="E5319" s="4">
        <v>4500</v>
      </c>
    </row>
    <row r="5320" spans="1:5" ht="26.25" x14ac:dyDescent="0.25">
      <c r="A5320" s="2" t="s">
        <v>10</v>
      </c>
      <c r="B5320" s="2" t="str">
        <f>"764914108"</f>
        <v>764914108</v>
      </c>
      <c r="C5320" s="2" t="str">
        <f>"764914108"</f>
        <v>764914108</v>
      </c>
      <c r="D5320" s="2" t="s">
        <v>3973</v>
      </c>
      <c r="E5320" s="4">
        <v>3000</v>
      </c>
    </row>
    <row r="5321" spans="1:5" ht="26.25" x14ac:dyDescent="0.25">
      <c r="A5321" s="2" t="s">
        <v>10</v>
      </c>
      <c r="B5321" s="2" t="str">
        <f>"764814108"</f>
        <v>764814108</v>
      </c>
      <c r="C5321" s="2" t="str">
        <f>"764814108"</f>
        <v>764814108</v>
      </c>
      <c r="D5321" s="2" t="s">
        <v>3974</v>
      </c>
      <c r="E5321" s="4">
        <v>3500</v>
      </c>
    </row>
    <row r="5322" spans="1:5" ht="26.25" x14ac:dyDescent="0.25">
      <c r="A5322" s="2" t="s">
        <v>10</v>
      </c>
      <c r="B5322" s="2" t="str">
        <f>"174714194"</f>
        <v>174714194</v>
      </c>
      <c r="C5322" s="2" t="str">
        <f>"174714194"</f>
        <v>174714194</v>
      </c>
      <c r="D5322" s="2" t="s">
        <v>3975</v>
      </c>
      <c r="E5322" s="4">
        <v>3500</v>
      </c>
    </row>
    <row r="5323" spans="1:5" ht="26.25" x14ac:dyDescent="0.25">
      <c r="A5323" s="2" t="s">
        <v>10</v>
      </c>
      <c r="B5323" s="2" t="str">
        <f>"935114108"</f>
        <v>935114108</v>
      </c>
      <c r="C5323" s="2" t="str">
        <f>"935114108"</f>
        <v>935114108</v>
      </c>
      <c r="D5323" s="2" t="s">
        <v>3975</v>
      </c>
      <c r="E5323" s="4">
        <v>3500</v>
      </c>
    </row>
    <row r="5324" spans="1:5" ht="26.25" x14ac:dyDescent="0.25">
      <c r="A5324" s="2" t="s">
        <v>10</v>
      </c>
      <c r="B5324" s="2" t="str">
        <f>"174807194"</f>
        <v>174807194</v>
      </c>
      <c r="C5324" s="2" t="str">
        <f>"174807194"</f>
        <v>174807194</v>
      </c>
      <c r="D5324" s="2" t="s">
        <v>3975</v>
      </c>
      <c r="E5324" s="4">
        <v>3500</v>
      </c>
    </row>
    <row r="5325" spans="1:5" ht="26.25" x14ac:dyDescent="0.25">
      <c r="A5325" s="2" t="s">
        <v>10</v>
      </c>
      <c r="B5325" s="2" t="str">
        <f>"174814194"</f>
        <v>174814194</v>
      </c>
      <c r="C5325" s="2" t="str">
        <f>"174814194"</f>
        <v>174814194</v>
      </c>
      <c r="D5325" s="2" t="s">
        <v>3975</v>
      </c>
      <c r="E5325" s="4">
        <v>3500</v>
      </c>
    </row>
    <row r="5326" spans="1:5" ht="26.25" x14ac:dyDescent="0.25">
      <c r="A5326" s="2" t="s">
        <v>10</v>
      </c>
      <c r="B5326" s="2" t="str">
        <f>"174814108"</f>
        <v>174814108</v>
      </c>
      <c r="C5326" s="2" t="str">
        <f>"174814108"</f>
        <v>174814108</v>
      </c>
      <c r="D5326" s="2" t="s">
        <v>3975</v>
      </c>
      <c r="E5326" s="4">
        <v>3500</v>
      </c>
    </row>
    <row r="5327" spans="1:5" ht="26.25" x14ac:dyDescent="0.25">
      <c r="A5327" s="2" t="s">
        <v>10</v>
      </c>
      <c r="B5327" s="2" t="str">
        <f>"767514194"</f>
        <v>767514194</v>
      </c>
      <c r="C5327" s="2" t="str">
        <f>"767514194"</f>
        <v>767514194</v>
      </c>
      <c r="D5327" s="2" t="s">
        <v>3975</v>
      </c>
      <c r="E5327" s="4">
        <v>5500</v>
      </c>
    </row>
    <row r="5328" spans="1:5" ht="26.25" x14ac:dyDescent="0.25">
      <c r="A5328" s="2" t="s">
        <v>10</v>
      </c>
      <c r="B5328" s="2" t="str">
        <f>"766214255"</f>
        <v>766214255</v>
      </c>
      <c r="C5328" s="2" t="str">
        <f>"766214255"</f>
        <v>766214255</v>
      </c>
      <c r="D5328" s="2" t="s">
        <v>3976</v>
      </c>
      <c r="E5328" s="4">
        <v>5500</v>
      </c>
    </row>
    <row r="5329" spans="1:5" ht="26.25" x14ac:dyDescent="0.25">
      <c r="A5329" s="2" t="s">
        <v>10</v>
      </c>
      <c r="B5329" s="2" t="str">
        <f>"17481445"</f>
        <v>17481445</v>
      </c>
      <c r="C5329" s="2" t="str">
        <f>"17481445"</f>
        <v>17481445</v>
      </c>
      <c r="D5329" s="2" t="s">
        <v>3977</v>
      </c>
      <c r="E5329" s="4">
        <v>3000</v>
      </c>
    </row>
    <row r="5330" spans="1:5" ht="26.25" x14ac:dyDescent="0.25">
      <c r="A5330" s="2" t="s">
        <v>10</v>
      </c>
      <c r="B5330" s="2" t="str">
        <f>"76511445"</f>
        <v>76511445</v>
      </c>
      <c r="C5330" s="2" t="str">
        <f>"76511445"</f>
        <v>76511445</v>
      </c>
      <c r="D5330" s="2" t="s">
        <v>3977</v>
      </c>
      <c r="E5330" s="4">
        <v>4500</v>
      </c>
    </row>
    <row r="5331" spans="1:5" ht="26.25" x14ac:dyDescent="0.25">
      <c r="A5331" s="2" t="s">
        <v>10</v>
      </c>
      <c r="B5331" s="2" t="str">
        <f>"34581445"</f>
        <v>34581445</v>
      </c>
      <c r="C5331" s="2" t="str">
        <f>"34581445"</f>
        <v>34581445</v>
      </c>
      <c r="D5331" s="2" t="s">
        <v>3977</v>
      </c>
      <c r="E5331" s="4">
        <v>5500</v>
      </c>
    </row>
    <row r="5332" spans="1:5" ht="26.25" x14ac:dyDescent="0.25">
      <c r="A5332" s="2" t="s">
        <v>10</v>
      </c>
      <c r="B5332" s="2" t="str">
        <f>"76261445"</f>
        <v>76261445</v>
      </c>
      <c r="C5332" s="2" t="str">
        <f>"76261445"</f>
        <v>76261445</v>
      </c>
      <c r="D5332" s="2" t="s">
        <v>3977</v>
      </c>
      <c r="E5332" s="4">
        <v>3000</v>
      </c>
    </row>
    <row r="5333" spans="1:5" ht="26.25" x14ac:dyDescent="0.25">
      <c r="A5333" s="2" t="s">
        <v>10</v>
      </c>
      <c r="B5333" s="2" t="str">
        <f>"76261447"</f>
        <v>76261447</v>
      </c>
      <c r="C5333" s="2" t="str">
        <f>"76261447"</f>
        <v>76261447</v>
      </c>
      <c r="D5333" s="2" t="s">
        <v>3977</v>
      </c>
      <c r="E5333" s="4">
        <v>3000</v>
      </c>
    </row>
    <row r="5334" spans="1:5" ht="26.25" x14ac:dyDescent="0.25">
      <c r="A5334" s="2" t="s">
        <v>10</v>
      </c>
      <c r="B5334" s="2" t="str">
        <f>"34771445"</f>
        <v>34771445</v>
      </c>
      <c r="C5334" s="2" t="str">
        <f>"34771445"</f>
        <v>34771445</v>
      </c>
      <c r="D5334" s="2" t="s">
        <v>3977</v>
      </c>
      <c r="E5334" s="4">
        <v>4500</v>
      </c>
    </row>
    <row r="5335" spans="1:5" ht="26.25" x14ac:dyDescent="0.25">
      <c r="A5335" s="2" t="s">
        <v>10</v>
      </c>
      <c r="B5335" s="2" t="str">
        <f>"76471445"</f>
        <v>76471445</v>
      </c>
      <c r="C5335" s="2" t="str">
        <f>"76471445"</f>
        <v>76471445</v>
      </c>
      <c r="D5335" s="2" t="s">
        <v>3977</v>
      </c>
      <c r="E5335" s="4">
        <v>3500</v>
      </c>
    </row>
    <row r="5336" spans="1:5" ht="26.25" x14ac:dyDescent="0.25">
      <c r="A5336" s="2" t="s">
        <v>10</v>
      </c>
      <c r="B5336" s="2" t="str">
        <f>"76481445"</f>
        <v>76481445</v>
      </c>
      <c r="C5336" s="2" t="str">
        <f>"76481445"</f>
        <v>76481445</v>
      </c>
      <c r="D5336" s="2" t="s">
        <v>3977</v>
      </c>
      <c r="E5336" s="4">
        <v>3500</v>
      </c>
    </row>
    <row r="5337" spans="1:5" ht="26.25" x14ac:dyDescent="0.25">
      <c r="A5337" s="2" t="s">
        <v>10</v>
      </c>
      <c r="B5337" s="2" t="str">
        <f>"76581445"</f>
        <v>76581445</v>
      </c>
      <c r="C5337" s="2" t="str">
        <f>"76581445"</f>
        <v>76581445</v>
      </c>
      <c r="D5337" s="2" t="s">
        <v>3977</v>
      </c>
      <c r="E5337" s="4">
        <v>3600</v>
      </c>
    </row>
    <row r="5338" spans="1:5" ht="26.25" x14ac:dyDescent="0.25">
      <c r="A5338" s="2" t="s">
        <v>10</v>
      </c>
      <c r="B5338" s="2" t="str">
        <f>"76691445"</f>
        <v>76691445</v>
      </c>
      <c r="C5338" s="2" t="str">
        <f>"76691445"</f>
        <v>76691445</v>
      </c>
      <c r="D5338" s="2" t="s">
        <v>3977</v>
      </c>
      <c r="E5338" s="4">
        <v>3500</v>
      </c>
    </row>
    <row r="5339" spans="1:5" ht="26.25" x14ac:dyDescent="0.25">
      <c r="A5339" s="2" t="s">
        <v>10</v>
      </c>
      <c r="B5339" s="2" t="str">
        <f>"76751445"</f>
        <v>76751445</v>
      </c>
      <c r="C5339" s="2" t="str">
        <f>"76751445"</f>
        <v>76751445</v>
      </c>
      <c r="D5339" s="2" t="s">
        <v>3977</v>
      </c>
      <c r="E5339" s="4">
        <v>5500</v>
      </c>
    </row>
    <row r="5340" spans="1:5" ht="26.25" x14ac:dyDescent="0.25">
      <c r="A5340" s="2" t="s">
        <v>10</v>
      </c>
      <c r="B5340" s="2" t="str">
        <f>"174714270"</f>
        <v>174714270</v>
      </c>
      <c r="C5340" s="2" t="str">
        <f>"174714270"</f>
        <v>174714270</v>
      </c>
      <c r="D5340" s="2" t="s">
        <v>3656</v>
      </c>
      <c r="E5340" s="4">
        <v>3500</v>
      </c>
    </row>
    <row r="5341" spans="1:5" ht="26.25" x14ac:dyDescent="0.25">
      <c r="A5341" s="2" t="s">
        <v>10</v>
      </c>
      <c r="B5341" s="2" t="str">
        <f>"765914270"</f>
        <v>765914270</v>
      </c>
      <c r="C5341" s="2" t="str">
        <f>"765914270"</f>
        <v>765914270</v>
      </c>
      <c r="D5341" s="2" t="s">
        <v>3656</v>
      </c>
      <c r="E5341" s="4">
        <v>4500</v>
      </c>
    </row>
    <row r="5342" spans="1:5" ht="26.25" x14ac:dyDescent="0.25">
      <c r="A5342" s="2" t="s">
        <v>10</v>
      </c>
      <c r="B5342" s="2" t="str">
        <f>"764714283"</f>
        <v>764714283</v>
      </c>
      <c r="C5342" s="2" t="str">
        <f>"764714283"</f>
        <v>764714283</v>
      </c>
      <c r="D5342" s="2" t="s">
        <v>3656</v>
      </c>
      <c r="E5342" s="4">
        <v>4000</v>
      </c>
    </row>
    <row r="5343" spans="1:5" ht="26.25" x14ac:dyDescent="0.25">
      <c r="A5343" s="2" t="s">
        <v>10</v>
      </c>
      <c r="B5343" s="2" t="str">
        <f>"174814270"</f>
        <v>174814270</v>
      </c>
      <c r="C5343" s="2" t="str">
        <f>"174814270"</f>
        <v>174814270</v>
      </c>
      <c r="D5343" s="2" t="s">
        <v>3656</v>
      </c>
      <c r="E5343" s="4">
        <v>3600</v>
      </c>
    </row>
    <row r="5344" spans="1:5" ht="26.25" x14ac:dyDescent="0.25">
      <c r="A5344" s="2" t="s">
        <v>10</v>
      </c>
      <c r="B5344" s="2" t="str">
        <f>"175814270"</f>
        <v>175814270</v>
      </c>
      <c r="C5344" s="2" t="str">
        <f>"175814270"</f>
        <v>175814270</v>
      </c>
      <c r="D5344" s="2" t="s">
        <v>3656</v>
      </c>
      <c r="E5344" s="4">
        <v>3500</v>
      </c>
    </row>
    <row r="5345" spans="1:5" ht="26.25" x14ac:dyDescent="0.25">
      <c r="A5345" s="2" t="s">
        <v>10</v>
      </c>
      <c r="B5345" s="2" t="str">
        <f>"767614270"</f>
        <v>767614270</v>
      </c>
      <c r="C5345" s="2" t="str">
        <f>"767614270"</f>
        <v>767614270</v>
      </c>
      <c r="D5345" s="2" t="s">
        <v>3656</v>
      </c>
      <c r="E5345" s="4">
        <v>5500</v>
      </c>
    </row>
    <row r="5346" spans="1:5" ht="26.25" x14ac:dyDescent="0.25">
      <c r="A5346" s="2" t="s">
        <v>10</v>
      </c>
      <c r="B5346" s="2" t="str">
        <f>"764814270"</f>
        <v>764814270</v>
      </c>
      <c r="C5346" s="2" t="str">
        <f>"764814270"</f>
        <v>764814270</v>
      </c>
      <c r="D5346" s="2" t="s">
        <v>3656</v>
      </c>
      <c r="E5346" s="4">
        <v>3500</v>
      </c>
    </row>
    <row r="5347" spans="1:5" ht="26.25" x14ac:dyDescent="0.25">
      <c r="A5347" s="2" t="s">
        <v>10</v>
      </c>
      <c r="B5347" s="2" t="str">
        <f>"344814270"</f>
        <v>344814270</v>
      </c>
      <c r="C5347" s="2" t="str">
        <f>"344814270"</f>
        <v>344814270</v>
      </c>
      <c r="D5347" s="2" t="s">
        <v>3656</v>
      </c>
      <c r="E5347" s="4">
        <v>3500</v>
      </c>
    </row>
    <row r="5348" spans="1:5" ht="26.25" x14ac:dyDescent="0.25">
      <c r="A5348" s="2" t="s">
        <v>10</v>
      </c>
      <c r="B5348" s="2" t="str">
        <f>"765114270"</f>
        <v>765114270</v>
      </c>
      <c r="C5348" s="2" t="str">
        <f>"765114270"</f>
        <v>765114270</v>
      </c>
      <c r="D5348" s="2" t="s">
        <v>3656</v>
      </c>
      <c r="E5348" s="4">
        <v>4500</v>
      </c>
    </row>
    <row r="5349" spans="1:5" ht="26.25" x14ac:dyDescent="0.25">
      <c r="A5349" s="2" t="s">
        <v>10</v>
      </c>
      <c r="B5349" s="2" t="str">
        <f>"767514128"</f>
        <v>767514128</v>
      </c>
      <c r="C5349" s="2" t="str">
        <f>"767514128"</f>
        <v>767514128</v>
      </c>
      <c r="D5349" s="2" t="s">
        <v>3978</v>
      </c>
      <c r="E5349" s="4">
        <v>4500</v>
      </c>
    </row>
    <row r="5350" spans="1:5" ht="26.25" x14ac:dyDescent="0.25">
      <c r="A5350" s="2" t="s">
        <v>10</v>
      </c>
      <c r="B5350" s="2" t="str">
        <f>"764814128"</f>
        <v>764814128</v>
      </c>
      <c r="C5350" s="2" t="str">
        <f>"764814128"</f>
        <v>764814128</v>
      </c>
      <c r="D5350" s="2" t="s">
        <v>3978</v>
      </c>
      <c r="E5350" s="4">
        <v>3500</v>
      </c>
    </row>
    <row r="5351" spans="1:5" ht="26.25" x14ac:dyDescent="0.25">
      <c r="A5351" s="2" t="s">
        <v>10</v>
      </c>
      <c r="B5351" s="2" t="str">
        <f>"765114128"</f>
        <v>765114128</v>
      </c>
      <c r="C5351" s="2" t="str">
        <f>"765114128"</f>
        <v>765114128</v>
      </c>
      <c r="D5351" s="2" t="s">
        <v>3978</v>
      </c>
      <c r="E5351" s="4">
        <v>4500</v>
      </c>
    </row>
    <row r="5352" spans="1:5" ht="26.25" x14ac:dyDescent="0.25">
      <c r="A5352" s="2" t="s">
        <v>10</v>
      </c>
      <c r="B5352" s="2" t="str">
        <f>"765914128"</f>
        <v>765914128</v>
      </c>
      <c r="C5352" s="2" t="str">
        <f>"765914128"</f>
        <v>765914128</v>
      </c>
      <c r="D5352" s="2" t="s">
        <v>3978</v>
      </c>
      <c r="E5352" s="4">
        <v>4500</v>
      </c>
    </row>
    <row r="5353" spans="1:5" ht="26.25" x14ac:dyDescent="0.25">
      <c r="A5353" s="2" t="s">
        <v>10</v>
      </c>
      <c r="B5353" s="2" t="str">
        <f>"695114128"</f>
        <v>695114128</v>
      </c>
      <c r="C5353" s="2" t="str">
        <f>"695114128"</f>
        <v>695114128</v>
      </c>
      <c r="D5353" s="2" t="s">
        <v>3978</v>
      </c>
      <c r="E5353" s="4">
        <v>4500</v>
      </c>
    </row>
    <row r="5354" spans="1:5" ht="26.25" x14ac:dyDescent="0.25">
      <c r="A5354" s="2" t="s">
        <v>10</v>
      </c>
      <c r="B5354" s="2" t="str">
        <f>"765114280"</f>
        <v>765114280</v>
      </c>
      <c r="C5354" s="2" t="str">
        <f>"765114280"</f>
        <v>765114280</v>
      </c>
      <c r="D5354" s="2" t="s">
        <v>3978</v>
      </c>
      <c r="E5354" s="4">
        <v>4500</v>
      </c>
    </row>
    <row r="5355" spans="1:5" ht="26.25" x14ac:dyDescent="0.25">
      <c r="A5355" s="2" t="s">
        <v>10</v>
      </c>
      <c r="B5355" s="2" t="str">
        <f>"767714128"</f>
        <v>767714128</v>
      </c>
      <c r="C5355" s="2" t="str">
        <f>"767714128"</f>
        <v>767714128</v>
      </c>
      <c r="D5355" s="2" t="s">
        <v>3978</v>
      </c>
      <c r="E5355" s="4">
        <v>6000</v>
      </c>
    </row>
    <row r="5356" spans="1:5" ht="26.25" x14ac:dyDescent="0.25">
      <c r="A5356" s="2" t="s">
        <v>10</v>
      </c>
      <c r="B5356" s="2" t="str">
        <f>"174714126"</f>
        <v>174714126</v>
      </c>
      <c r="C5356" s="2" t="str">
        <f>"174714126"</f>
        <v>174714126</v>
      </c>
      <c r="D5356" s="2" t="s">
        <v>3979</v>
      </c>
      <c r="E5356" s="4">
        <v>3500</v>
      </c>
    </row>
    <row r="5357" spans="1:5" ht="26.25" x14ac:dyDescent="0.25">
      <c r="A5357" s="2" t="s">
        <v>10</v>
      </c>
      <c r="B5357" s="2" t="str">
        <f>"766414126"</f>
        <v>766414126</v>
      </c>
      <c r="C5357" s="2" t="str">
        <f>"766414126"</f>
        <v>766414126</v>
      </c>
      <c r="D5357" s="2" t="s">
        <v>3979</v>
      </c>
      <c r="E5357" s="4">
        <v>4500</v>
      </c>
    </row>
    <row r="5358" spans="1:5" ht="26.25" x14ac:dyDescent="0.25">
      <c r="A5358" s="2" t="s">
        <v>10</v>
      </c>
      <c r="B5358" s="2" t="str">
        <f>"175814126"</f>
        <v>175814126</v>
      </c>
      <c r="C5358" s="2" t="str">
        <f>"175814126"</f>
        <v>175814126</v>
      </c>
      <c r="D5358" s="2" t="s">
        <v>3979</v>
      </c>
      <c r="E5358" s="4">
        <v>3500</v>
      </c>
    </row>
    <row r="5359" spans="1:5" ht="26.25" x14ac:dyDescent="0.25">
      <c r="A5359" s="2" t="s">
        <v>10</v>
      </c>
      <c r="B5359" s="2" t="str">
        <f>"764814126"</f>
        <v>764814126</v>
      </c>
      <c r="C5359" s="2" t="str">
        <f>"764814126"</f>
        <v>764814126</v>
      </c>
      <c r="D5359" s="2" t="s">
        <v>3979</v>
      </c>
      <c r="E5359" s="4">
        <v>5000</v>
      </c>
    </row>
    <row r="5360" spans="1:5" ht="26.25" x14ac:dyDescent="0.25">
      <c r="A5360" s="2" t="s">
        <v>10</v>
      </c>
      <c r="B5360" s="2" t="str">
        <f>"767714126"</f>
        <v>767714126</v>
      </c>
      <c r="C5360" s="2" t="str">
        <f>"767714126"</f>
        <v>767714126</v>
      </c>
      <c r="D5360" s="2" t="s">
        <v>3979</v>
      </c>
      <c r="E5360" s="4">
        <v>4500</v>
      </c>
    </row>
    <row r="5361" spans="1:5" ht="26.25" x14ac:dyDescent="0.25">
      <c r="A5361" s="2" t="s">
        <v>10</v>
      </c>
      <c r="B5361" s="2" t="str">
        <f>"765114126"</f>
        <v>765114126</v>
      </c>
      <c r="C5361" s="2" t="str">
        <f>"765114126"</f>
        <v>765114126</v>
      </c>
      <c r="D5361" s="2" t="s">
        <v>3979</v>
      </c>
      <c r="E5361" s="4">
        <v>4500</v>
      </c>
    </row>
    <row r="5362" spans="1:5" ht="26.25" x14ac:dyDescent="0.25">
      <c r="A5362" s="2" t="s">
        <v>10</v>
      </c>
      <c r="B5362" s="2" t="str">
        <f>"763914126"</f>
        <v>763914126</v>
      </c>
      <c r="C5362" s="2" t="str">
        <f>"763914126"</f>
        <v>763914126</v>
      </c>
      <c r="D5362" s="2" t="s">
        <v>3979</v>
      </c>
      <c r="E5362" s="4">
        <v>4500</v>
      </c>
    </row>
    <row r="5363" spans="1:5" ht="26.25" x14ac:dyDescent="0.25">
      <c r="A5363" s="2" t="s">
        <v>10</v>
      </c>
      <c r="B5363" s="2" t="str">
        <f>"764814317"</f>
        <v>764814317</v>
      </c>
      <c r="C5363" s="2" t="str">
        <f>"764814317"</f>
        <v>764814317</v>
      </c>
      <c r="D5363" s="2" t="s">
        <v>3980</v>
      </c>
      <c r="E5363" s="4">
        <v>3500</v>
      </c>
    </row>
    <row r="5364" spans="1:5" ht="26.25" x14ac:dyDescent="0.25">
      <c r="A5364" s="2" t="s">
        <v>10</v>
      </c>
      <c r="B5364" s="2" t="str">
        <f>"1000001098418"</f>
        <v>1000001098418</v>
      </c>
      <c r="C5364" s="2" t="str">
        <f>"765114264"</f>
        <v>765114264</v>
      </c>
      <c r="D5364" s="2" t="s">
        <v>3981</v>
      </c>
      <c r="E5364" s="4">
        <v>4500</v>
      </c>
    </row>
    <row r="5365" spans="1:5" ht="26.25" x14ac:dyDescent="0.25">
      <c r="A5365" s="2" t="s">
        <v>10</v>
      </c>
      <c r="B5365" s="2" t="str">
        <f>"768914264"</f>
        <v>768914264</v>
      </c>
      <c r="C5365" s="2" t="str">
        <f>"768914264"</f>
        <v>768914264</v>
      </c>
      <c r="D5365" s="2" t="s">
        <v>3981</v>
      </c>
      <c r="E5365" s="4">
        <v>4500</v>
      </c>
    </row>
    <row r="5366" spans="1:5" ht="26.25" x14ac:dyDescent="0.25">
      <c r="A5366" s="2" t="s">
        <v>10</v>
      </c>
      <c r="B5366" s="2" t="str">
        <f>"2018110500332"</f>
        <v>2018110500332</v>
      </c>
      <c r="C5366" s="2" t="str">
        <f>"187514264"</f>
        <v>187514264</v>
      </c>
      <c r="D5366" s="2" t="s">
        <v>3981</v>
      </c>
      <c r="E5366" s="4">
        <v>3500</v>
      </c>
    </row>
    <row r="5367" spans="1:5" ht="26.25" x14ac:dyDescent="0.25">
      <c r="A5367" s="2" t="s">
        <v>10</v>
      </c>
      <c r="B5367" s="2" t="str">
        <f>"347714264"</f>
        <v>347714264</v>
      </c>
      <c r="C5367" s="2" t="str">
        <f>"347714264"</f>
        <v>347714264</v>
      </c>
      <c r="D5367" s="2" t="s">
        <v>3981</v>
      </c>
      <c r="E5367" s="4">
        <v>6000</v>
      </c>
    </row>
    <row r="5368" spans="1:5" ht="26.25" x14ac:dyDescent="0.25">
      <c r="A5368" s="2" t="s">
        <v>10</v>
      </c>
      <c r="B5368" s="2" t="str">
        <f>"17201447"</f>
        <v>17201447</v>
      </c>
      <c r="C5368" s="2" t="str">
        <f>"17201447"</f>
        <v>17201447</v>
      </c>
      <c r="D5368" s="2" t="s">
        <v>3982</v>
      </c>
      <c r="E5368" s="4">
        <v>3500</v>
      </c>
    </row>
    <row r="5369" spans="1:5" ht="26.25" x14ac:dyDescent="0.25">
      <c r="A5369" s="2" t="s">
        <v>10</v>
      </c>
      <c r="B5369" s="2" t="str">
        <f>"76591447"</f>
        <v>76591447</v>
      </c>
      <c r="C5369" s="2" t="str">
        <f>"76591447"</f>
        <v>76591447</v>
      </c>
      <c r="D5369" s="2" t="s">
        <v>3982</v>
      </c>
      <c r="E5369" s="4">
        <v>4500</v>
      </c>
    </row>
    <row r="5370" spans="1:5" ht="26.25" x14ac:dyDescent="0.25">
      <c r="A5370" s="2" t="s">
        <v>10</v>
      </c>
      <c r="B5370" s="2" t="str">
        <f>"76621447"</f>
        <v>76621447</v>
      </c>
      <c r="C5370" s="2" t="str">
        <f>"76621447"</f>
        <v>76621447</v>
      </c>
      <c r="D5370" s="2" t="s">
        <v>3982</v>
      </c>
      <c r="E5370" s="4">
        <v>6500</v>
      </c>
    </row>
    <row r="5371" spans="1:5" ht="26.25" x14ac:dyDescent="0.25">
      <c r="A5371" s="2" t="s">
        <v>10</v>
      </c>
      <c r="B5371" s="2" t="str">
        <f>"61511447"</f>
        <v>61511447</v>
      </c>
      <c r="C5371" s="2" t="str">
        <f>"61511447"</f>
        <v>61511447</v>
      </c>
      <c r="D5371" s="2" t="s">
        <v>3982</v>
      </c>
      <c r="E5371" s="4">
        <v>3500</v>
      </c>
    </row>
    <row r="5372" spans="1:5" ht="26.25" x14ac:dyDescent="0.25">
      <c r="A5372" s="2" t="s">
        <v>10</v>
      </c>
      <c r="B5372" s="2" t="str">
        <f>"4001166010403"</f>
        <v>4001166010403</v>
      </c>
      <c r="C5372" s="2" t="str">
        <f>"41481447"</f>
        <v>41481447</v>
      </c>
      <c r="D5372" s="2" t="s">
        <v>3982</v>
      </c>
      <c r="E5372" s="4">
        <v>4000</v>
      </c>
    </row>
    <row r="5373" spans="1:5" ht="26.25" x14ac:dyDescent="0.25">
      <c r="A5373" s="2" t="s">
        <v>10</v>
      </c>
      <c r="B5373" s="2" t="str">
        <f>"86641447"</f>
        <v>86641447</v>
      </c>
      <c r="C5373" s="2" t="str">
        <f>"86641447"</f>
        <v>86641447</v>
      </c>
      <c r="D5373" s="2" t="s">
        <v>3982</v>
      </c>
      <c r="E5373" s="4">
        <v>6500</v>
      </c>
    </row>
    <row r="5374" spans="1:5" ht="26.25" x14ac:dyDescent="0.25">
      <c r="A5374" s="2" t="s">
        <v>10</v>
      </c>
      <c r="B5374" s="2" t="str">
        <f>"40991447"</f>
        <v>40991447</v>
      </c>
      <c r="C5374" s="2" t="str">
        <f>"40991447"</f>
        <v>40991447</v>
      </c>
      <c r="D5374" s="2" t="s">
        <v>3982</v>
      </c>
      <c r="E5374" s="4">
        <v>3500</v>
      </c>
    </row>
    <row r="5375" spans="1:5" ht="26.25" x14ac:dyDescent="0.25">
      <c r="A5375" s="2" t="s">
        <v>10</v>
      </c>
      <c r="B5375" s="2" t="str">
        <f>"17481447"</f>
        <v>17481447</v>
      </c>
      <c r="C5375" s="2" t="str">
        <f>"17481447"</f>
        <v>17481447</v>
      </c>
      <c r="D5375" s="2" t="s">
        <v>3982</v>
      </c>
      <c r="E5375" s="4">
        <v>3500</v>
      </c>
    </row>
    <row r="5376" spans="1:5" ht="26.25" x14ac:dyDescent="0.25">
      <c r="A5376" s="2" t="s">
        <v>10</v>
      </c>
      <c r="B5376" s="2" t="str">
        <f>"17581447"</f>
        <v>17581447</v>
      </c>
      <c r="C5376" s="2" t="str">
        <f>"17581447"</f>
        <v>17581447</v>
      </c>
      <c r="D5376" s="2" t="s">
        <v>3982</v>
      </c>
      <c r="E5376" s="4">
        <v>3500</v>
      </c>
    </row>
    <row r="5377" spans="1:5" ht="26.25" x14ac:dyDescent="0.25">
      <c r="A5377" s="2" t="s">
        <v>10</v>
      </c>
      <c r="B5377" s="2" t="str">
        <f>"34481447"</f>
        <v>34481447</v>
      </c>
      <c r="C5377" s="2" t="str">
        <f>"34481447"</f>
        <v>34481447</v>
      </c>
      <c r="D5377" s="2" t="s">
        <v>3982</v>
      </c>
      <c r="E5377" s="4">
        <v>3500</v>
      </c>
    </row>
    <row r="5378" spans="1:5" ht="26.25" x14ac:dyDescent="0.25">
      <c r="A5378" s="2" t="s">
        <v>10</v>
      </c>
      <c r="B5378" s="2" t="str">
        <f>"34581447"</f>
        <v>34581447</v>
      </c>
      <c r="C5378" s="2" t="str">
        <f>"34581447"</f>
        <v>34581447</v>
      </c>
      <c r="D5378" s="2" t="s">
        <v>3982</v>
      </c>
      <c r="E5378" s="4">
        <v>5500</v>
      </c>
    </row>
    <row r="5379" spans="1:5" ht="26.25" x14ac:dyDescent="0.25">
      <c r="A5379" s="2" t="s">
        <v>10</v>
      </c>
      <c r="B5379" s="2" t="str">
        <f>"34641447"</f>
        <v>34641447</v>
      </c>
      <c r="C5379" s="2" t="str">
        <f>"34641447"</f>
        <v>34641447</v>
      </c>
      <c r="D5379" s="2" t="s">
        <v>3982</v>
      </c>
      <c r="E5379" s="4">
        <v>5000</v>
      </c>
    </row>
    <row r="5380" spans="1:5" ht="26.25" x14ac:dyDescent="0.25">
      <c r="A5380" s="2" t="s">
        <v>10</v>
      </c>
      <c r="B5380" s="2" t="str">
        <f>"34774447"</f>
        <v>34774447</v>
      </c>
      <c r="C5380" s="2" t="str">
        <f>"34774447"</f>
        <v>34774447</v>
      </c>
      <c r="D5380" s="2" t="s">
        <v>3982</v>
      </c>
      <c r="E5380" s="4">
        <v>4500</v>
      </c>
    </row>
    <row r="5381" spans="1:5" ht="26.25" x14ac:dyDescent="0.25">
      <c r="A5381" s="2" t="s">
        <v>10</v>
      </c>
      <c r="B5381" s="2" t="str">
        <f>"76471447"</f>
        <v>76471447</v>
      </c>
      <c r="C5381" s="2" t="str">
        <f>"76471447"</f>
        <v>76471447</v>
      </c>
      <c r="D5381" s="2" t="s">
        <v>3982</v>
      </c>
      <c r="E5381" s="4">
        <v>3000</v>
      </c>
    </row>
    <row r="5382" spans="1:5" ht="26.25" x14ac:dyDescent="0.25">
      <c r="A5382" s="2" t="s">
        <v>10</v>
      </c>
      <c r="B5382" s="2" t="str">
        <f>"76481447"</f>
        <v>76481447</v>
      </c>
      <c r="C5382" s="2" t="str">
        <f>"76481447"</f>
        <v>76481447</v>
      </c>
      <c r="D5382" s="2" t="s">
        <v>3982</v>
      </c>
      <c r="E5382" s="4">
        <v>3500</v>
      </c>
    </row>
    <row r="5383" spans="1:5" ht="26.25" x14ac:dyDescent="0.25">
      <c r="A5383" s="2" t="s">
        <v>10</v>
      </c>
      <c r="B5383" s="2" t="str">
        <f>"76691447"</f>
        <v>76691447</v>
      </c>
      <c r="C5383" s="2" t="str">
        <f>"76691447"</f>
        <v>76691447</v>
      </c>
      <c r="D5383" s="2" t="s">
        <v>3982</v>
      </c>
      <c r="E5383" s="4">
        <v>3500</v>
      </c>
    </row>
    <row r="5384" spans="1:5" ht="26.25" x14ac:dyDescent="0.25">
      <c r="A5384" s="2" t="s">
        <v>10</v>
      </c>
      <c r="B5384" s="2" t="str">
        <f>"76701447"</f>
        <v>76701447</v>
      </c>
      <c r="C5384" s="2" t="str">
        <f>"76701447"</f>
        <v>76701447</v>
      </c>
      <c r="D5384" s="2" t="s">
        <v>3982</v>
      </c>
      <c r="E5384" s="4">
        <v>5000</v>
      </c>
    </row>
    <row r="5385" spans="1:5" ht="26.25" x14ac:dyDescent="0.25">
      <c r="A5385" s="2" t="s">
        <v>10</v>
      </c>
      <c r="B5385" s="2" t="str">
        <f>"76751447"</f>
        <v>76751447</v>
      </c>
      <c r="C5385" s="2" t="str">
        <f>"76751447"</f>
        <v>76751447</v>
      </c>
      <c r="D5385" s="2" t="s">
        <v>3982</v>
      </c>
      <c r="E5385" s="4">
        <v>5500</v>
      </c>
    </row>
    <row r="5386" spans="1:5" ht="26.25" x14ac:dyDescent="0.25">
      <c r="A5386" s="2" t="s">
        <v>10</v>
      </c>
      <c r="B5386" s="2" t="str">
        <f>"76771447"</f>
        <v>76771447</v>
      </c>
      <c r="C5386" s="2" t="str">
        <f>"76771447"</f>
        <v>76771447</v>
      </c>
      <c r="D5386" s="2" t="s">
        <v>3982</v>
      </c>
      <c r="E5386" s="4">
        <v>4500</v>
      </c>
    </row>
    <row r="5387" spans="1:5" ht="26.25" x14ac:dyDescent="0.25">
      <c r="A5387" s="2" t="s">
        <v>10</v>
      </c>
      <c r="B5387" s="2" t="str">
        <f>"76511447"</f>
        <v>76511447</v>
      </c>
      <c r="C5387" s="2" t="str">
        <f>"76511447"</f>
        <v>76511447</v>
      </c>
      <c r="D5387" s="2" t="s">
        <v>3982</v>
      </c>
      <c r="E5387" s="4">
        <v>4500</v>
      </c>
    </row>
    <row r="5388" spans="1:5" ht="26.25" x14ac:dyDescent="0.25">
      <c r="A5388" s="2" t="s">
        <v>10</v>
      </c>
      <c r="B5388" s="2" t="str">
        <f>"765114257"</f>
        <v>765114257</v>
      </c>
      <c r="C5388" s="2" t="str">
        <f>"765114257"</f>
        <v>765114257</v>
      </c>
      <c r="D5388" s="2" t="s">
        <v>3983</v>
      </c>
      <c r="E5388" s="4">
        <v>4500</v>
      </c>
    </row>
    <row r="5389" spans="1:5" ht="26.25" x14ac:dyDescent="0.25">
      <c r="A5389" s="2" t="s">
        <v>10</v>
      </c>
      <c r="B5389" s="2" t="str">
        <f>"766114257"</f>
        <v>766114257</v>
      </c>
      <c r="C5389" s="2" t="str">
        <f>"766114257"</f>
        <v>766114257</v>
      </c>
      <c r="D5389" s="2" t="s">
        <v>3983</v>
      </c>
      <c r="E5389" s="4">
        <v>5000</v>
      </c>
    </row>
    <row r="5390" spans="1:5" ht="26.25" x14ac:dyDescent="0.25">
      <c r="A5390" s="2" t="s">
        <v>10</v>
      </c>
      <c r="B5390" s="2" t="str">
        <f>"764814257"</f>
        <v>764814257</v>
      </c>
      <c r="C5390" s="2" t="str">
        <f>"764814257"</f>
        <v>764814257</v>
      </c>
      <c r="D5390" s="2" t="s">
        <v>3983</v>
      </c>
      <c r="E5390" s="4">
        <v>4500</v>
      </c>
    </row>
    <row r="5391" spans="1:5" ht="26.25" x14ac:dyDescent="0.25">
      <c r="A5391" s="2" t="s">
        <v>10</v>
      </c>
      <c r="B5391" s="2" t="str">
        <f>"767714257"</f>
        <v>767714257</v>
      </c>
      <c r="C5391" s="2" t="str">
        <f>"767714257"</f>
        <v>767714257</v>
      </c>
      <c r="D5391" s="2" t="s">
        <v>3983</v>
      </c>
      <c r="E5391" s="4">
        <v>6000</v>
      </c>
    </row>
    <row r="5392" spans="1:5" ht="26.25" x14ac:dyDescent="0.25">
      <c r="A5392" s="2" t="s">
        <v>10</v>
      </c>
      <c r="B5392" s="2" t="str">
        <f>"767714137"</f>
        <v>767714137</v>
      </c>
      <c r="C5392" s="2" t="str">
        <f>"767714137"</f>
        <v>767714137</v>
      </c>
      <c r="D5392" s="2" t="s">
        <v>3984</v>
      </c>
      <c r="E5392" s="4">
        <v>5000</v>
      </c>
    </row>
    <row r="5393" spans="1:5" ht="26.25" x14ac:dyDescent="0.25">
      <c r="A5393" s="2" t="s">
        <v>10</v>
      </c>
      <c r="B5393" s="2" t="str">
        <f>"174814137"</f>
        <v>174814137</v>
      </c>
      <c r="C5393" s="2" t="str">
        <f>"174814137"</f>
        <v>174814137</v>
      </c>
      <c r="D5393" s="2" t="s">
        <v>3984</v>
      </c>
      <c r="E5393" s="4">
        <v>3500</v>
      </c>
    </row>
    <row r="5394" spans="1:5" ht="26.25" x14ac:dyDescent="0.25">
      <c r="A5394" s="2" t="s">
        <v>10</v>
      </c>
      <c r="B5394" s="2" t="str">
        <f>"764814137"</f>
        <v>764814137</v>
      </c>
      <c r="C5394" s="2" t="str">
        <f>"764814137"</f>
        <v>764814137</v>
      </c>
      <c r="D5394" s="2" t="s">
        <v>3984</v>
      </c>
      <c r="E5394" s="4">
        <v>4500</v>
      </c>
    </row>
    <row r="5395" spans="1:5" ht="26.25" x14ac:dyDescent="0.25">
      <c r="A5395" s="2" t="s">
        <v>10</v>
      </c>
      <c r="B5395" s="2" t="str">
        <f>"1000001094014"</f>
        <v>1000001094014</v>
      </c>
      <c r="C5395" s="2" t="str">
        <f>"76651447"</f>
        <v>76651447</v>
      </c>
      <c r="D5395" s="2" t="s">
        <v>3984</v>
      </c>
      <c r="E5395" s="4">
        <v>7500</v>
      </c>
    </row>
    <row r="5396" spans="1:5" ht="26.25" x14ac:dyDescent="0.25">
      <c r="A5396" s="2" t="s">
        <v>10</v>
      </c>
      <c r="B5396" s="2" t="str">
        <f>"764714137"</f>
        <v>764714137</v>
      </c>
      <c r="C5396" s="2" t="str">
        <f>"764714137"</f>
        <v>764714137</v>
      </c>
      <c r="D5396" s="2" t="s">
        <v>3984</v>
      </c>
      <c r="E5396" s="4">
        <v>4000</v>
      </c>
    </row>
    <row r="5397" spans="1:5" ht="26.25" x14ac:dyDescent="0.25">
      <c r="A5397" s="2" t="s">
        <v>10</v>
      </c>
      <c r="B5397" s="2" t="str">
        <f>"765114137"</f>
        <v>765114137</v>
      </c>
      <c r="C5397" s="2" t="str">
        <f>"765114137"</f>
        <v>765114137</v>
      </c>
      <c r="D5397" s="2" t="s">
        <v>3984</v>
      </c>
      <c r="E5397" s="4">
        <v>4500</v>
      </c>
    </row>
    <row r="5398" spans="1:5" ht="26.25" x14ac:dyDescent="0.25">
      <c r="A5398" s="2" t="s">
        <v>10</v>
      </c>
      <c r="B5398" s="2" t="str">
        <f>"174814266"</f>
        <v>174814266</v>
      </c>
      <c r="C5398" s="2" t="str">
        <f>"174814266"</f>
        <v>174814266</v>
      </c>
      <c r="D5398" s="2" t="s">
        <v>3985</v>
      </c>
      <c r="E5398" s="4">
        <v>3500</v>
      </c>
    </row>
    <row r="5399" spans="1:5" ht="26.25" x14ac:dyDescent="0.25">
      <c r="A5399" s="2" t="s">
        <v>10</v>
      </c>
      <c r="B5399" s="2" t="str">
        <f>"914814266"</f>
        <v>914814266</v>
      </c>
      <c r="C5399" s="2" t="str">
        <f>"914814266"</f>
        <v>914814266</v>
      </c>
      <c r="D5399" s="2" t="s">
        <v>3985</v>
      </c>
      <c r="E5399" s="4">
        <v>3500</v>
      </c>
    </row>
    <row r="5400" spans="1:5" ht="26.25" x14ac:dyDescent="0.25">
      <c r="A5400" s="2" t="s">
        <v>10</v>
      </c>
      <c r="B5400" s="2" t="str">
        <f>"1000001094274"</f>
        <v>1000001094274</v>
      </c>
      <c r="C5400" s="2" t="str">
        <f>"766514266"</f>
        <v>766514266</v>
      </c>
      <c r="D5400" s="2" t="s">
        <v>3985</v>
      </c>
      <c r="E5400" s="4">
        <v>7500</v>
      </c>
    </row>
    <row r="5401" spans="1:5" ht="26.25" x14ac:dyDescent="0.25">
      <c r="A5401" s="2" t="s">
        <v>10</v>
      </c>
      <c r="B5401" s="2" t="str">
        <f>"175814266"</f>
        <v>175814266</v>
      </c>
      <c r="C5401" s="2" t="str">
        <f>"175814266"</f>
        <v>175814266</v>
      </c>
      <c r="D5401" s="2" t="s">
        <v>3985</v>
      </c>
      <c r="E5401" s="4">
        <v>3500</v>
      </c>
    </row>
    <row r="5402" spans="1:5" ht="26.25" x14ac:dyDescent="0.25">
      <c r="A5402" s="2" t="s">
        <v>10</v>
      </c>
      <c r="B5402" s="2" t="str">
        <f>"764714266"</f>
        <v>764714266</v>
      </c>
      <c r="C5402" s="2" t="str">
        <f>"764714266"</f>
        <v>764714266</v>
      </c>
      <c r="D5402" s="2" t="s">
        <v>3985</v>
      </c>
      <c r="E5402" s="4">
        <v>3500</v>
      </c>
    </row>
    <row r="5403" spans="1:5" ht="26.25" x14ac:dyDescent="0.25">
      <c r="A5403" s="2" t="s">
        <v>10</v>
      </c>
      <c r="B5403" s="2" t="str">
        <f>"767514266"</f>
        <v>767514266</v>
      </c>
      <c r="C5403" s="2" t="str">
        <f>"767514266"</f>
        <v>767514266</v>
      </c>
      <c r="D5403" s="2" t="s">
        <v>3985</v>
      </c>
      <c r="E5403" s="4">
        <v>4500</v>
      </c>
    </row>
    <row r="5404" spans="1:5" ht="26.25" x14ac:dyDescent="0.25">
      <c r="A5404" s="2" t="s">
        <v>10</v>
      </c>
      <c r="B5404" s="2" t="str">
        <f>"767714266"</f>
        <v>767714266</v>
      </c>
      <c r="C5404" s="2" t="str">
        <f>"767714266"</f>
        <v>767714266</v>
      </c>
      <c r="D5404" s="2" t="s">
        <v>3985</v>
      </c>
      <c r="E5404" s="4">
        <v>4500</v>
      </c>
    </row>
    <row r="5405" spans="1:5" ht="26.25" x14ac:dyDescent="0.25">
      <c r="A5405" s="2" t="s">
        <v>10</v>
      </c>
      <c r="B5405" s="2" t="str">
        <f>"767614266"</f>
        <v>767614266</v>
      </c>
      <c r="C5405" s="2" t="str">
        <f>"767614266"</f>
        <v>767614266</v>
      </c>
      <c r="D5405" s="2" t="s">
        <v>3985</v>
      </c>
      <c r="E5405" s="4">
        <v>5500</v>
      </c>
    </row>
    <row r="5406" spans="1:5" ht="26.25" x14ac:dyDescent="0.25">
      <c r="A5406" s="2" t="s">
        <v>10</v>
      </c>
      <c r="B5406" s="2" t="str">
        <f>"767914266"</f>
        <v>767914266</v>
      </c>
      <c r="C5406" s="2" t="str">
        <f>"767914266"</f>
        <v>767914266</v>
      </c>
      <c r="D5406" s="2" t="s">
        <v>3985</v>
      </c>
      <c r="E5406" s="4">
        <v>8500</v>
      </c>
    </row>
    <row r="5407" spans="1:5" ht="26.25" x14ac:dyDescent="0.25">
      <c r="A5407" s="2" t="s">
        <v>10</v>
      </c>
      <c r="B5407" s="2" t="str">
        <f>"764814266"</f>
        <v>764814266</v>
      </c>
      <c r="C5407" s="2" t="str">
        <f>"764814266"</f>
        <v>764814266</v>
      </c>
      <c r="D5407" s="2" t="s">
        <v>3985</v>
      </c>
      <c r="E5407" s="4">
        <v>6500</v>
      </c>
    </row>
    <row r="5408" spans="1:5" ht="26.25" x14ac:dyDescent="0.25">
      <c r="A5408" s="2" t="s">
        <v>10</v>
      </c>
      <c r="B5408" s="2" t="str">
        <f>"345914266"</f>
        <v>345914266</v>
      </c>
      <c r="C5408" s="2" t="str">
        <f>"345914266"</f>
        <v>345914266</v>
      </c>
      <c r="D5408" s="2" t="s">
        <v>3985</v>
      </c>
      <c r="E5408" s="4">
        <v>6500</v>
      </c>
    </row>
    <row r="5409" spans="1:5" ht="26.25" x14ac:dyDescent="0.25">
      <c r="A5409" s="2" t="s">
        <v>10</v>
      </c>
      <c r="B5409" s="2" t="str">
        <f>"765114266"</f>
        <v>765114266</v>
      </c>
      <c r="C5409" s="2" t="str">
        <f>"765114266"</f>
        <v>765114266</v>
      </c>
      <c r="D5409" s="2" t="s">
        <v>3985</v>
      </c>
      <c r="E5409" s="4">
        <v>6500</v>
      </c>
    </row>
    <row r="5410" spans="1:5" ht="26.25" x14ac:dyDescent="0.25">
      <c r="A5410" s="2" t="s">
        <v>10</v>
      </c>
      <c r="B5410" s="2" t="str">
        <f>"763914266"</f>
        <v>763914266</v>
      </c>
      <c r="C5410" s="2" t="str">
        <f>"763914266"</f>
        <v>763914266</v>
      </c>
      <c r="D5410" s="2" t="s">
        <v>3985</v>
      </c>
      <c r="E5410" s="4">
        <v>5500</v>
      </c>
    </row>
    <row r="5411" spans="1:5" ht="26.25" x14ac:dyDescent="0.25">
      <c r="A5411" s="2" t="s">
        <v>10</v>
      </c>
      <c r="B5411" s="2" t="str">
        <f>"344814266"</f>
        <v>344814266</v>
      </c>
      <c r="C5411" s="2" t="str">
        <f>"344814266"</f>
        <v>344814266</v>
      </c>
      <c r="D5411" s="2" t="s">
        <v>3985</v>
      </c>
      <c r="E5411" s="4">
        <v>4500</v>
      </c>
    </row>
    <row r="5412" spans="1:5" ht="26.25" x14ac:dyDescent="0.25">
      <c r="A5412" s="2" t="s">
        <v>10</v>
      </c>
      <c r="B5412" s="2" t="str">
        <f>"1000001092706"</f>
        <v>1000001092706</v>
      </c>
      <c r="C5412" s="2" t="str">
        <f>"768014266"</f>
        <v>768014266</v>
      </c>
      <c r="D5412" s="2" t="s">
        <v>3985</v>
      </c>
      <c r="E5412" s="4">
        <v>4500</v>
      </c>
    </row>
    <row r="5413" spans="1:5" ht="26.25" x14ac:dyDescent="0.25">
      <c r="A5413" s="2" t="s">
        <v>10</v>
      </c>
      <c r="B5413" s="2" t="str">
        <f>"767514129"</f>
        <v>767514129</v>
      </c>
      <c r="C5413" s="2" t="str">
        <f>"767514129"</f>
        <v>767514129</v>
      </c>
      <c r="D5413" s="2" t="s">
        <v>3986</v>
      </c>
      <c r="E5413" s="4">
        <v>4500</v>
      </c>
    </row>
    <row r="5414" spans="1:5" ht="26.25" x14ac:dyDescent="0.25">
      <c r="A5414" s="2" t="s">
        <v>10</v>
      </c>
      <c r="B5414" s="2" t="str">
        <f>"764814129"</f>
        <v>764814129</v>
      </c>
      <c r="C5414" s="2" t="str">
        <f>"764814129"</f>
        <v>764814129</v>
      </c>
      <c r="D5414" s="2" t="s">
        <v>3986</v>
      </c>
      <c r="E5414" s="4">
        <v>6500</v>
      </c>
    </row>
    <row r="5415" spans="1:5" ht="26.25" x14ac:dyDescent="0.25">
      <c r="A5415" s="2" t="s">
        <v>10</v>
      </c>
      <c r="B5415" s="2" t="str">
        <f>"765914129"</f>
        <v>765914129</v>
      </c>
      <c r="C5415" s="2" t="str">
        <f>"765914129"</f>
        <v>765914129</v>
      </c>
      <c r="D5415" s="2" t="s">
        <v>3986</v>
      </c>
      <c r="E5415" s="4">
        <v>4500</v>
      </c>
    </row>
    <row r="5416" spans="1:5" ht="26.25" x14ac:dyDescent="0.25">
      <c r="A5416" s="2" t="s">
        <v>10</v>
      </c>
      <c r="B5416" s="2" t="str">
        <f>"766414129"</f>
        <v>766414129</v>
      </c>
      <c r="C5416" s="2" t="str">
        <f>"766414129"</f>
        <v>766414129</v>
      </c>
      <c r="D5416" s="2" t="s">
        <v>3986</v>
      </c>
      <c r="E5416" s="4">
        <v>4500</v>
      </c>
    </row>
    <row r="5417" spans="1:5" ht="26.25" x14ac:dyDescent="0.25">
      <c r="A5417" s="2" t="s">
        <v>10</v>
      </c>
      <c r="B5417" s="2" t="str">
        <f>"764714129"</f>
        <v>764714129</v>
      </c>
      <c r="C5417" s="2" t="str">
        <f>"764714129"</f>
        <v>764714129</v>
      </c>
      <c r="D5417" s="2" t="s">
        <v>3986</v>
      </c>
      <c r="E5417" s="4">
        <v>4000</v>
      </c>
    </row>
    <row r="5418" spans="1:5" ht="26.25" x14ac:dyDescent="0.25">
      <c r="A5418" s="2" t="s">
        <v>10</v>
      </c>
      <c r="B5418" s="2" t="str">
        <f>"695114129"</f>
        <v>695114129</v>
      </c>
      <c r="C5418" s="2" t="str">
        <f>"695114129"</f>
        <v>695114129</v>
      </c>
      <c r="D5418" s="2" t="s">
        <v>3986</v>
      </c>
      <c r="E5418" s="4">
        <v>4500</v>
      </c>
    </row>
    <row r="5419" spans="1:5" ht="26.25" x14ac:dyDescent="0.25">
      <c r="A5419" s="2" t="s">
        <v>10</v>
      </c>
      <c r="B5419" s="2" t="str">
        <f>"4001166010694"</f>
        <v>4001166010694</v>
      </c>
      <c r="C5419" s="2" t="str">
        <f>"414814129"</f>
        <v>414814129</v>
      </c>
      <c r="D5419" s="2" t="s">
        <v>3986</v>
      </c>
      <c r="E5419" s="4">
        <v>4000</v>
      </c>
    </row>
    <row r="5420" spans="1:5" ht="26.25" x14ac:dyDescent="0.25">
      <c r="A5420" s="2" t="s">
        <v>10</v>
      </c>
      <c r="B5420" s="2" t="str">
        <f>"174814129"</f>
        <v>174814129</v>
      </c>
      <c r="C5420" s="2" t="str">
        <f>"174814129"</f>
        <v>174814129</v>
      </c>
      <c r="D5420" s="2" t="s">
        <v>3986</v>
      </c>
      <c r="E5420" s="4">
        <v>3500</v>
      </c>
    </row>
    <row r="5421" spans="1:5" ht="26.25" x14ac:dyDescent="0.25">
      <c r="A5421" s="2" t="s">
        <v>10</v>
      </c>
      <c r="B5421" s="2" t="str">
        <f>"765114129"</f>
        <v>765114129</v>
      </c>
      <c r="C5421" s="2" t="str">
        <f>"765114129"</f>
        <v>765114129</v>
      </c>
      <c r="D5421" s="2" t="s">
        <v>3986</v>
      </c>
      <c r="E5421" s="4">
        <v>4500</v>
      </c>
    </row>
    <row r="5422" spans="1:5" ht="26.25" x14ac:dyDescent="0.25">
      <c r="A5422" s="2" t="s">
        <v>10</v>
      </c>
      <c r="B5422" s="2" t="str">
        <f>"174814127"</f>
        <v>174814127</v>
      </c>
      <c r="C5422" s="2" t="str">
        <f>"174814127"</f>
        <v>174814127</v>
      </c>
      <c r="D5422" s="2" t="s">
        <v>3987</v>
      </c>
      <c r="E5422" s="4">
        <v>3500</v>
      </c>
    </row>
    <row r="5423" spans="1:5" ht="26.25" x14ac:dyDescent="0.25">
      <c r="A5423" s="2" t="s">
        <v>10</v>
      </c>
      <c r="B5423" s="2" t="str">
        <f>"935114127"</f>
        <v>935114127</v>
      </c>
      <c r="C5423" s="2" t="str">
        <f>"935114127"</f>
        <v>935114127</v>
      </c>
      <c r="D5423" s="2" t="s">
        <v>3987</v>
      </c>
      <c r="E5423" s="4">
        <v>3500</v>
      </c>
    </row>
    <row r="5424" spans="1:5" ht="26.25" x14ac:dyDescent="0.25">
      <c r="A5424" s="2" t="s">
        <v>10</v>
      </c>
      <c r="B5424" s="2" t="str">
        <f>"866414127"</f>
        <v>866414127</v>
      </c>
      <c r="C5424" s="2" t="str">
        <f>"866414127"</f>
        <v>866414127</v>
      </c>
      <c r="D5424" s="2" t="s">
        <v>3987</v>
      </c>
      <c r="E5424" s="4">
        <v>6500</v>
      </c>
    </row>
    <row r="5425" spans="1:5" ht="26.25" x14ac:dyDescent="0.25">
      <c r="A5425" s="2" t="s">
        <v>10</v>
      </c>
      <c r="B5425" s="2" t="str">
        <f>"175814127"</f>
        <v>175814127</v>
      </c>
      <c r="C5425" s="2" t="str">
        <f>"175814127"</f>
        <v>175814127</v>
      </c>
      <c r="D5425" s="2" t="s">
        <v>3987</v>
      </c>
      <c r="E5425" s="4">
        <v>3500</v>
      </c>
    </row>
    <row r="5426" spans="1:5" ht="26.25" x14ac:dyDescent="0.25">
      <c r="A5426" s="2" t="s">
        <v>10</v>
      </c>
      <c r="B5426" s="2" t="str">
        <f>"178614127"</f>
        <v>178614127</v>
      </c>
      <c r="C5426" s="2" t="str">
        <f>"178614127"</f>
        <v>178614127</v>
      </c>
      <c r="D5426" s="2" t="s">
        <v>3987</v>
      </c>
      <c r="E5426" s="4">
        <v>5000</v>
      </c>
    </row>
    <row r="5427" spans="1:5" ht="26.25" x14ac:dyDescent="0.25">
      <c r="A5427" s="2" t="s">
        <v>10</v>
      </c>
      <c r="B5427" s="2" t="str">
        <f>"764814127"</f>
        <v>764814127</v>
      </c>
      <c r="C5427" s="2" t="str">
        <f>"764814127"</f>
        <v>764814127</v>
      </c>
      <c r="D5427" s="2" t="s">
        <v>3987</v>
      </c>
      <c r="E5427" s="4">
        <v>3500</v>
      </c>
    </row>
    <row r="5428" spans="1:5" ht="26.25" x14ac:dyDescent="0.25">
      <c r="A5428" s="2" t="s">
        <v>10</v>
      </c>
      <c r="B5428" s="2" t="str">
        <f>"767514127"</f>
        <v>767514127</v>
      </c>
      <c r="C5428" s="2" t="str">
        <f>"767514127"</f>
        <v>767514127</v>
      </c>
      <c r="D5428" s="2" t="s">
        <v>3987</v>
      </c>
      <c r="E5428" s="4">
        <v>4500</v>
      </c>
    </row>
    <row r="5429" spans="1:5" ht="26.25" x14ac:dyDescent="0.25">
      <c r="A5429" s="2" t="s">
        <v>10</v>
      </c>
      <c r="B5429" s="2" t="str">
        <f>"765814127"</f>
        <v>765814127</v>
      </c>
      <c r="C5429" s="2" t="str">
        <f>"765814127"</f>
        <v>765814127</v>
      </c>
      <c r="D5429" s="2" t="s">
        <v>3987</v>
      </c>
      <c r="E5429" s="4">
        <v>3500</v>
      </c>
    </row>
    <row r="5430" spans="1:5" ht="26.25" x14ac:dyDescent="0.25">
      <c r="A5430" s="2" t="s">
        <v>10</v>
      </c>
      <c r="B5430" s="2" t="str">
        <f>"767714127"</f>
        <v>767714127</v>
      </c>
      <c r="C5430" s="2" t="str">
        <f>"767714127"</f>
        <v>767714127</v>
      </c>
      <c r="D5430" s="2" t="s">
        <v>3987</v>
      </c>
      <c r="E5430" s="4">
        <v>4500</v>
      </c>
    </row>
    <row r="5431" spans="1:5" ht="26.25" x14ac:dyDescent="0.25">
      <c r="A5431" s="2" t="s">
        <v>10</v>
      </c>
      <c r="B5431" s="2" t="str">
        <f>"345914127"</f>
        <v>345914127</v>
      </c>
      <c r="C5431" s="2" t="str">
        <f>"345914127"</f>
        <v>345914127</v>
      </c>
      <c r="D5431" s="2" t="s">
        <v>3987</v>
      </c>
      <c r="E5431" s="4">
        <v>6500</v>
      </c>
    </row>
    <row r="5432" spans="1:5" ht="26.25" x14ac:dyDescent="0.25">
      <c r="A5432" s="2" t="s">
        <v>10</v>
      </c>
      <c r="B5432" s="2" t="str">
        <f>"177914127"</f>
        <v>177914127</v>
      </c>
      <c r="C5432" s="2" t="str">
        <f>"177914127"</f>
        <v>177914127</v>
      </c>
      <c r="D5432" s="2" t="s">
        <v>3987</v>
      </c>
      <c r="E5432" s="4">
        <v>8800</v>
      </c>
    </row>
    <row r="5433" spans="1:5" ht="26.25" x14ac:dyDescent="0.25">
      <c r="A5433" s="2" t="s">
        <v>10</v>
      </c>
      <c r="B5433" s="2" t="str">
        <f>"177514127"</f>
        <v>177514127</v>
      </c>
      <c r="C5433" s="2" t="str">
        <f>"177514127"</f>
        <v>177514127</v>
      </c>
      <c r="D5433" s="2" t="s">
        <v>3987</v>
      </c>
      <c r="E5433" s="4">
        <v>4500</v>
      </c>
    </row>
    <row r="5434" spans="1:5" ht="26.25" x14ac:dyDescent="0.25">
      <c r="A5434" s="2" t="s">
        <v>10</v>
      </c>
      <c r="B5434" s="2" t="str">
        <f>"765114127"</f>
        <v>765114127</v>
      </c>
      <c r="C5434" s="2" t="str">
        <f>"765114127"</f>
        <v>765114127</v>
      </c>
      <c r="D5434" s="2" t="s">
        <v>3987</v>
      </c>
      <c r="E5434" s="4">
        <v>4500</v>
      </c>
    </row>
    <row r="5435" spans="1:5" ht="26.25" x14ac:dyDescent="0.25">
      <c r="A5435" s="2" t="s">
        <v>10</v>
      </c>
      <c r="B5435" s="2" t="str">
        <f>"1000001098463"</f>
        <v>1000001098463</v>
      </c>
      <c r="C5435" s="2" t="str">
        <f>"765114261"</f>
        <v>765114261</v>
      </c>
      <c r="D5435" s="2" t="s">
        <v>3988</v>
      </c>
      <c r="E5435" s="4">
        <v>4500</v>
      </c>
    </row>
    <row r="5436" spans="1:5" ht="26.25" x14ac:dyDescent="0.25">
      <c r="A5436" s="2" t="s">
        <v>10</v>
      </c>
      <c r="B5436" s="2" t="str">
        <f>"764814261"</f>
        <v>764814261</v>
      </c>
      <c r="C5436" s="2" t="str">
        <f>"764814261"</f>
        <v>764814261</v>
      </c>
      <c r="D5436" s="2" t="s">
        <v>3988</v>
      </c>
      <c r="E5436" s="4">
        <v>4500</v>
      </c>
    </row>
    <row r="5437" spans="1:5" ht="26.25" x14ac:dyDescent="0.25">
      <c r="A5437" s="2" t="s">
        <v>10</v>
      </c>
      <c r="B5437" s="2" t="str">
        <f>"675114261"</f>
        <v>675114261</v>
      </c>
      <c r="C5437" s="2" t="str">
        <f>"675114261"</f>
        <v>675114261</v>
      </c>
      <c r="D5437" s="2" t="s">
        <v>3988</v>
      </c>
      <c r="E5437" s="4">
        <v>4500</v>
      </c>
    </row>
    <row r="5438" spans="1:5" ht="26.25" x14ac:dyDescent="0.25">
      <c r="A5438" s="2" t="s">
        <v>10</v>
      </c>
      <c r="B5438" s="2" t="str">
        <f>"768914261"</f>
        <v>768914261</v>
      </c>
      <c r="C5438" s="2" t="str">
        <f>"768914261"</f>
        <v>768914261</v>
      </c>
      <c r="D5438" s="2" t="s">
        <v>3988</v>
      </c>
      <c r="E5438" s="4">
        <v>4500</v>
      </c>
    </row>
    <row r="5439" spans="1:5" ht="26.25" x14ac:dyDescent="0.25">
      <c r="A5439" s="2" t="s">
        <v>10</v>
      </c>
      <c r="B5439" s="2" t="str">
        <f>"2019020300210"</f>
        <v>2019020300210</v>
      </c>
      <c r="C5439" s="2" t="str">
        <f>"186414261"</f>
        <v>186414261</v>
      </c>
      <c r="D5439" s="2" t="s">
        <v>3988</v>
      </c>
      <c r="E5439" s="4">
        <v>4500</v>
      </c>
    </row>
    <row r="5440" spans="1:5" ht="26.25" x14ac:dyDescent="0.25">
      <c r="A5440" s="2" t="s">
        <v>10</v>
      </c>
      <c r="B5440" s="2" t="str">
        <f>"2019030400061"</f>
        <v>2019030400061</v>
      </c>
      <c r="C5440" s="2" t="str">
        <f>"187514261"</f>
        <v>187514261</v>
      </c>
      <c r="D5440" s="2" t="s">
        <v>3988</v>
      </c>
      <c r="E5440" s="4">
        <v>3500</v>
      </c>
    </row>
    <row r="5441" spans="1:5" ht="26.25" x14ac:dyDescent="0.25">
      <c r="A5441" s="2" t="s">
        <v>10</v>
      </c>
      <c r="B5441" s="2" t="str">
        <f>"766214297"</f>
        <v>766214297</v>
      </c>
      <c r="C5441" s="2" t="str">
        <f>"766214297"</f>
        <v>766214297</v>
      </c>
      <c r="D5441" s="2" t="s">
        <v>3989</v>
      </c>
      <c r="E5441" s="4">
        <v>5500</v>
      </c>
    </row>
    <row r="5442" spans="1:5" ht="26.25" x14ac:dyDescent="0.25">
      <c r="A5442" s="2" t="s">
        <v>10</v>
      </c>
      <c r="B5442" s="2" t="str">
        <f>"764814297"</f>
        <v>764814297</v>
      </c>
      <c r="C5442" s="2" t="str">
        <f>"764814297"</f>
        <v>764814297</v>
      </c>
      <c r="D5442" s="2" t="s">
        <v>3989</v>
      </c>
      <c r="E5442" s="4">
        <v>5500</v>
      </c>
    </row>
    <row r="5443" spans="1:5" ht="26.25" x14ac:dyDescent="0.25">
      <c r="A5443" s="2" t="s">
        <v>10</v>
      </c>
      <c r="B5443" s="2" t="str">
        <f>"135114305"</f>
        <v>135114305</v>
      </c>
      <c r="C5443" s="2" t="str">
        <f>"135114305"</f>
        <v>135114305</v>
      </c>
      <c r="D5443" s="2" t="s">
        <v>3990</v>
      </c>
      <c r="E5443" s="4">
        <v>4500</v>
      </c>
    </row>
    <row r="5444" spans="1:5" ht="26.25" x14ac:dyDescent="0.25">
      <c r="A5444" s="2" t="s">
        <v>10</v>
      </c>
      <c r="B5444" s="2" t="str">
        <f>"17487609"</f>
        <v>17487609</v>
      </c>
      <c r="C5444" s="2" t="str">
        <f>"17487609"</f>
        <v>17487609</v>
      </c>
      <c r="D5444" s="2" t="s">
        <v>3991</v>
      </c>
      <c r="E5444" s="4">
        <v>3000</v>
      </c>
    </row>
    <row r="5445" spans="1:5" ht="26.25" x14ac:dyDescent="0.25">
      <c r="A5445" s="2" t="s">
        <v>10</v>
      </c>
      <c r="B5445" s="2" t="str">
        <f>"17481051"</f>
        <v>17481051</v>
      </c>
      <c r="C5445" s="2" t="str">
        <f>"17481051"</f>
        <v>17481051</v>
      </c>
      <c r="D5445" s="2" t="s">
        <v>3992</v>
      </c>
      <c r="E5445" s="4">
        <v>4000</v>
      </c>
    </row>
    <row r="5446" spans="1:5" ht="26.25" x14ac:dyDescent="0.25">
      <c r="A5446" s="2" t="s">
        <v>10</v>
      </c>
      <c r="B5446" s="2" t="str">
        <f>"345914138"</f>
        <v>345914138</v>
      </c>
      <c r="C5446" s="2" t="str">
        <f>"345914138"</f>
        <v>345914138</v>
      </c>
      <c r="D5446" s="2" t="s">
        <v>3993</v>
      </c>
      <c r="E5446" s="4">
        <v>6500</v>
      </c>
    </row>
    <row r="5447" spans="1:5" ht="26.25" x14ac:dyDescent="0.25">
      <c r="A5447" s="2" t="s">
        <v>10</v>
      </c>
      <c r="B5447" s="2" t="str">
        <f>"764814138"</f>
        <v>764814138</v>
      </c>
      <c r="C5447" s="2" t="str">
        <f>"764814138"</f>
        <v>764814138</v>
      </c>
      <c r="D5447" s="2" t="s">
        <v>3993</v>
      </c>
      <c r="E5447" s="4">
        <v>4500</v>
      </c>
    </row>
    <row r="5448" spans="1:5" ht="26.25" x14ac:dyDescent="0.25">
      <c r="A5448" s="2" t="s">
        <v>10</v>
      </c>
      <c r="B5448" s="2" t="str">
        <f>"765114138"</f>
        <v>765114138</v>
      </c>
      <c r="C5448" s="2" t="str">
        <f>"765114138"</f>
        <v>765114138</v>
      </c>
      <c r="D5448" s="2" t="s">
        <v>3993</v>
      </c>
      <c r="E5448" s="4">
        <v>4500</v>
      </c>
    </row>
    <row r="5449" spans="1:5" ht="26.25" x14ac:dyDescent="0.25">
      <c r="A5449" s="2" t="s">
        <v>10</v>
      </c>
      <c r="B5449" s="2" t="str">
        <f>"765114260"</f>
        <v>765114260</v>
      </c>
      <c r="C5449" s="2" t="str">
        <f>"765114260"</f>
        <v>765114260</v>
      </c>
      <c r="D5449" s="2" t="s">
        <v>3994</v>
      </c>
      <c r="E5449" s="4">
        <v>4500</v>
      </c>
    </row>
    <row r="5450" spans="1:5" ht="26.25" x14ac:dyDescent="0.25">
      <c r="A5450" s="2" t="s">
        <v>10</v>
      </c>
      <c r="B5450" s="2" t="str">
        <f>"1000001021270"</f>
        <v>1000001021270</v>
      </c>
      <c r="C5450" s="2" t="str">
        <f>"764814268"</f>
        <v>764814268</v>
      </c>
      <c r="D5450" s="2" t="s">
        <v>3995</v>
      </c>
      <c r="E5450" s="4">
        <v>4500</v>
      </c>
    </row>
    <row r="5451" spans="1:5" ht="26.25" x14ac:dyDescent="0.25">
      <c r="A5451" s="2" t="s">
        <v>10</v>
      </c>
      <c r="B5451" s="2" t="str">
        <f>"2019030102187"</f>
        <v>2019030102187</v>
      </c>
      <c r="C5451" s="2" t="str">
        <f>"186414269"</f>
        <v>186414269</v>
      </c>
      <c r="D5451" s="2" t="s">
        <v>3995</v>
      </c>
      <c r="E5451" s="4">
        <v>4500</v>
      </c>
    </row>
    <row r="5452" spans="1:5" ht="26.25" x14ac:dyDescent="0.25">
      <c r="A5452" s="2" t="s">
        <v>10</v>
      </c>
      <c r="B5452" s="2" t="str">
        <f>"764814272"</f>
        <v>764814272</v>
      </c>
      <c r="C5452" s="2" t="str">
        <f>"764814272"</f>
        <v>764814272</v>
      </c>
      <c r="D5452" s="2" t="s">
        <v>3996</v>
      </c>
      <c r="E5452" s="4">
        <v>4500</v>
      </c>
    </row>
    <row r="5453" spans="1:5" ht="26.25" x14ac:dyDescent="0.25">
      <c r="A5453" s="2" t="s">
        <v>10</v>
      </c>
      <c r="B5453" s="2" t="str">
        <f>"2019030400108"</f>
        <v>2019030400108</v>
      </c>
      <c r="C5453" s="2" t="str">
        <f>"187514272"</f>
        <v>187514272</v>
      </c>
      <c r="D5453" s="2" t="s">
        <v>3996</v>
      </c>
      <c r="E5453" s="4">
        <v>3500</v>
      </c>
    </row>
    <row r="5454" spans="1:5" ht="26.25" x14ac:dyDescent="0.25">
      <c r="A5454" s="2" t="s">
        <v>10</v>
      </c>
      <c r="B5454" s="2" t="str">
        <f>"2019030102194"</f>
        <v>2019030102194</v>
      </c>
      <c r="C5454" s="2" t="str">
        <f>"186414272"</f>
        <v>186414272</v>
      </c>
      <c r="D5454" s="2" t="s">
        <v>3996</v>
      </c>
      <c r="E5454" s="4">
        <v>4500</v>
      </c>
    </row>
    <row r="5455" spans="1:5" ht="26.25" x14ac:dyDescent="0.25">
      <c r="A5455" s="2" t="s">
        <v>10</v>
      </c>
      <c r="B5455" s="2" t="str">
        <f>"685114272"</f>
        <v>685114272</v>
      </c>
      <c r="C5455" s="2" t="str">
        <f>"685114272"</f>
        <v>685114272</v>
      </c>
      <c r="D5455" s="2" t="s">
        <v>3996</v>
      </c>
      <c r="E5455" s="4">
        <v>4000</v>
      </c>
    </row>
    <row r="5456" spans="1:5" ht="26.25" x14ac:dyDescent="0.25">
      <c r="A5456" s="2" t="s">
        <v>10</v>
      </c>
      <c r="B5456" s="2" t="str">
        <f>"764814273"</f>
        <v>764814273</v>
      </c>
      <c r="C5456" s="2" t="str">
        <f>"764814273"</f>
        <v>764814273</v>
      </c>
      <c r="D5456" s="2" t="s">
        <v>3997</v>
      </c>
      <c r="E5456" s="4">
        <v>4500</v>
      </c>
    </row>
    <row r="5457" spans="1:5" ht="26.25" x14ac:dyDescent="0.25">
      <c r="A5457" s="2" t="s">
        <v>10</v>
      </c>
      <c r="B5457" s="2" t="str">
        <f>"797914273"</f>
        <v>797914273</v>
      </c>
      <c r="C5457" s="2" t="str">
        <f>"797914273"</f>
        <v>797914273</v>
      </c>
      <c r="D5457" s="2" t="s">
        <v>3997</v>
      </c>
      <c r="E5457" s="4">
        <v>7500</v>
      </c>
    </row>
    <row r="5458" spans="1:5" ht="26.25" x14ac:dyDescent="0.25">
      <c r="A5458" s="2" t="s">
        <v>10</v>
      </c>
      <c r="B5458" s="2" t="str">
        <f>"766214291"</f>
        <v>766214291</v>
      </c>
      <c r="C5458" s="2" t="str">
        <f>"766214291"</f>
        <v>766214291</v>
      </c>
      <c r="D5458" s="2" t="s">
        <v>3998</v>
      </c>
      <c r="E5458" s="4">
        <v>4500</v>
      </c>
    </row>
    <row r="5459" spans="1:5" ht="26.25" x14ac:dyDescent="0.25">
      <c r="A5459" s="2" t="s">
        <v>10</v>
      </c>
      <c r="B5459" s="2" t="str">
        <f>"765114292"</f>
        <v>765114292</v>
      </c>
      <c r="C5459" s="2" t="str">
        <f>"765114292"</f>
        <v>765114292</v>
      </c>
      <c r="D5459" s="2" t="s">
        <v>3999</v>
      </c>
      <c r="E5459" s="4">
        <v>5000</v>
      </c>
    </row>
    <row r="5460" spans="1:5" ht="26.25" x14ac:dyDescent="0.25">
      <c r="A5460" s="2" t="s">
        <v>10</v>
      </c>
      <c r="B5460" s="2" t="str">
        <f>"765114296"</f>
        <v>765114296</v>
      </c>
      <c r="C5460" s="2" t="str">
        <f>"765114296"</f>
        <v>765114296</v>
      </c>
      <c r="D5460" s="2" t="s">
        <v>4000</v>
      </c>
      <c r="E5460" s="4">
        <v>5000</v>
      </c>
    </row>
    <row r="5461" spans="1:5" ht="26.25" x14ac:dyDescent="0.25">
      <c r="A5461" s="2" t="s">
        <v>10</v>
      </c>
      <c r="B5461" s="2" t="str">
        <f>"765114299"</f>
        <v>765114299</v>
      </c>
      <c r="C5461" s="2" t="str">
        <f>"765114299"</f>
        <v>765114299</v>
      </c>
      <c r="D5461" s="2" t="s">
        <v>4001</v>
      </c>
      <c r="E5461" s="4">
        <v>5000</v>
      </c>
    </row>
    <row r="5462" spans="1:5" ht="26.25" x14ac:dyDescent="0.25">
      <c r="A5462" s="2" t="s">
        <v>10</v>
      </c>
      <c r="B5462" s="2" t="str">
        <f>"134814299"</f>
        <v>134814299</v>
      </c>
      <c r="C5462" s="2" t="str">
        <f>"134814299"</f>
        <v>134814299</v>
      </c>
      <c r="D5462" s="2" t="s">
        <v>4001</v>
      </c>
      <c r="E5462" s="4">
        <v>4000</v>
      </c>
    </row>
    <row r="5463" spans="1:5" ht="26.25" x14ac:dyDescent="0.25">
      <c r="A5463" s="2" t="s">
        <v>10</v>
      </c>
      <c r="B5463" s="2" t="str">
        <f>"765114302"</f>
        <v>765114302</v>
      </c>
      <c r="C5463" s="2" t="str">
        <f>"765114302"</f>
        <v>765114302</v>
      </c>
      <c r="D5463" s="2" t="s">
        <v>4002</v>
      </c>
      <c r="E5463" s="4">
        <v>5000</v>
      </c>
    </row>
    <row r="5464" spans="1:5" ht="26.25" x14ac:dyDescent="0.25">
      <c r="A5464" s="2" t="s">
        <v>10</v>
      </c>
      <c r="B5464" s="2" t="str">
        <f>"17481487"</f>
        <v>17481487</v>
      </c>
      <c r="C5464" s="2" t="str">
        <f>"17481487"</f>
        <v>17481487</v>
      </c>
      <c r="D5464" s="2" t="s">
        <v>4003</v>
      </c>
      <c r="E5464" s="4">
        <v>3500</v>
      </c>
    </row>
    <row r="5465" spans="1:5" ht="26.25" x14ac:dyDescent="0.25">
      <c r="A5465" s="2" t="s">
        <v>10</v>
      </c>
      <c r="B5465" s="2" t="str">
        <f>"174814172"</f>
        <v>174814172</v>
      </c>
      <c r="C5465" s="2" t="str">
        <f>"174814172"</f>
        <v>174814172</v>
      </c>
      <c r="D5465" s="2" t="s">
        <v>4004</v>
      </c>
      <c r="E5465" s="4">
        <v>3500</v>
      </c>
    </row>
    <row r="5466" spans="1:5" ht="26.25" x14ac:dyDescent="0.25">
      <c r="A5466" s="2" t="s">
        <v>10</v>
      </c>
      <c r="B5466" s="2" t="str">
        <f>"17481484"</f>
        <v>17481484</v>
      </c>
      <c r="C5466" s="2" t="str">
        <f>"17481484"</f>
        <v>17481484</v>
      </c>
      <c r="D5466" s="2" t="s">
        <v>4005</v>
      </c>
      <c r="E5466" s="4">
        <v>3500</v>
      </c>
    </row>
    <row r="5467" spans="1:5" ht="26.25" x14ac:dyDescent="0.25">
      <c r="A5467" s="2" t="s">
        <v>10</v>
      </c>
      <c r="B5467" s="2" t="str">
        <f>"17201486"</f>
        <v>17201486</v>
      </c>
      <c r="C5467" s="2" t="str">
        <f>"17201486"</f>
        <v>17201486</v>
      </c>
      <c r="D5467" s="2" t="s">
        <v>4006</v>
      </c>
      <c r="E5467" s="4">
        <v>3500</v>
      </c>
    </row>
    <row r="5468" spans="1:5" ht="26.25" x14ac:dyDescent="0.25">
      <c r="A5468" s="2" t="s">
        <v>10</v>
      </c>
      <c r="B5468" s="2" t="str">
        <f>"17481456"</f>
        <v>17481456</v>
      </c>
      <c r="C5468" s="2" t="str">
        <f>"17481456"</f>
        <v>17481456</v>
      </c>
      <c r="D5468" s="2" t="s">
        <v>4006</v>
      </c>
      <c r="E5468" s="4">
        <v>4000</v>
      </c>
    </row>
    <row r="5469" spans="1:5" ht="26.25" x14ac:dyDescent="0.25">
      <c r="A5469" s="2" t="s">
        <v>10</v>
      </c>
      <c r="B5469" s="2" t="str">
        <f>"17481486"</f>
        <v>17481486</v>
      </c>
      <c r="C5469" s="2" t="str">
        <f>"17481486"</f>
        <v>17481486</v>
      </c>
      <c r="D5469" s="2" t="s">
        <v>4006</v>
      </c>
      <c r="E5469" s="4">
        <v>3500</v>
      </c>
    </row>
    <row r="5470" spans="1:5" ht="26.25" x14ac:dyDescent="0.25">
      <c r="A5470" s="2" t="s">
        <v>10</v>
      </c>
      <c r="B5470" s="2" t="str">
        <f>"76261486"</f>
        <v>76261486</v>
      </c>
      <c r="C5470" s="2" t="str">
        <f>"76261486"</f>
        <v>76261486</v>
      </c>
      <c r="D5470" s="2" t="s">
        <v>4006</v>
      </c>
      <c r="E5470" s="4">
        <v>3000</v>
      </c>
    </row>
    <row r="5471" spans="1:5" ht="26.25" x14ac:dyDescent="0.25">
      <c r="A5471" s="2" t="s">
        <v>10</v>
      </c>
      <c r="B5471" s="2" t="str">
        <f>"76261586"</f>
        <v>76261586</v>
      </c>
      <c r="C5471" s="2" t="str">
        <f>"76261586"</f>
        <v>76261586</v>
      </c>
      <c r="D5471" s="2" t="s">
        <v>4006</v>
      </c>
      <c r="E5471" s="4">
        <v>3000</v>
      </c>
    </row>
    <row r="5472" spans="1:5" ht="26.25" x14ac:dyDescent="0.25">
      <c r="A5472" s="2" t="s">
        <v>10</v>
      </c>
      <c r="B5472" s="2" t="str">
        <f>"76471486"</f>
        <v>76471486</v>
      </c>
      <c r="C5472" s="2" t="str">
        <f>"76471486"</f>
        <v>76471486</v>
      </c>
      <c r="D5472" s="2" t="s">
        <v>4006</v>
      </c>
      <c r="E5472" s="4">
        <v>4500</v>
      </c>
    </row>
    <row r="5473" spans="1:5" ht="26.25" x14ac:dyDescent="0.25">
      <c r="A5473" s="2" t="s">
        <v>10</v>
      </c>
      <c r="B5473" s="2" t="str">
        <f>"17481454"</f>
        <v>17481454</v>
      </c>
      <c r="C5473" s="2" t="str">
        <f>"17481454"</f>
        <v>17481454</v>
      </c>
      <c r="D5473" s="2" t="s">
        <v>4007</v>
      </c>
      <c r="E5473" s="4">
        <v>3000</v>
      </c>
    </row>
    <row r="5474" spans="1:5" ht="26.25" x14ac:dyDescent="0.25">
      <c r="A5474" s="2" t="s">
        <v>10</v>
      </c>
      <c r="B5474" s="2" t="str">
        <f>"76481454"</f>
        <v>76481454</v>
      </c>
      <c r="C5474" s="2" t="str">
        <f>"76481454"</f>
        <v>76481454</v>
      </c>
      <c r="D5474" s="2" t="s">
        <v>4007</v>
      </c>
      <c r="E5474" s="4">
        <v>3000</v>
      </c>
    </row>
    <row r="5475" spans="1:5" ht="26.25" x14ac:dyDescent="0.25">
      <c r="A5475" s="2" t="s">
        <v>10</v>
      </c>
      <c r="B5475" s="2" t="str">
        <f>"76581454"</f>
        <v>76581454</v>
      </c>
      <c r="C5475" s="2" t="str">
        <f>"76581454"</f>
        <v>76581454</v>
      </c>
      <c r="D5475" s="2" t="s">
        <v>4007</v>
      </c>
      <c r="E5475" s="4">
        <v>5000</v>
      </c>
    </row>
    <row r="5476" spans="1:5" ht="26.25" x14ac:dyDescent="0.25">
      <c r="A5476" s="2" t="s">
        <v>10</v>
      </c>
      <c r="B5476" s="2" t="str">
        <f>"76701454"</f>
        <v>76701454</v>
      </c>
      <c r="C5476" s="2" t="str">
        <f>"76701454"</f>
        <v>76701454</v>
      </c>
      <c r="D5476" s="2" t="s">
        <v>4007</v>
      </c>
      <c r="E5476" s="4">
        <v>5000</v>
      </c>
    </row>
    <row r="5477" spans="1:5" ht="26.25" x14ac:dyDescent="0.25">
      <c r="A5477" s="2" t="s">
        <v>10</v>
      </c>
      <c r="B5477" s="2" t="str">
        <f>"76511454"</f>
        <v>76511454</v>
      </c>
      <c r="C5477" s="2" t="str">
        <f>"76511454"</f>
        <v>76511454</v>
      </c>
      <c r="D5477" s="2" t="s">
        <v>4007</v>
      </c>
      <c r="E5477" s="4">
        <v>4500</v>
      </c>
    </row>
    <row r="5478" spans="1:5" ht="26.25" x14ac:dyDescent="0.25">
      <c r="A5478" s="2" t="s">
        <v>10</v>
      </c>
      <c r="B5478" s="2" t="str">
        <f>"174814175"</f>
        <v>174814175</v>
      </c>
      <c r="C5478" s="2" t="str">
        <f>"174814175"</f>
        <v>174814175</v>
      </c>
      <c r="D5478" s="2" t="s">
        <v>4008</v>
      </c>
      <c r="E5478" s="4">
        <v>3500</v>
      </c>
    </row>
    <row r="5479" spans="1:5" ht="26.25" x14ac:dyDescent="0.25">
      <c r="A5479" s="2" t="s">
        <v>10</v>
      </c>
      <c r="B5479" s="2" t="str">
        <f>"174814174"</f>
        <v>174814174</v>
      </c>
      <c r="C5479" s="2" t="str">
        <f>"174814174"</f>
        <v>174814174</v>
      </c>
      <c r="D5479" s="2" t="s">
        <v>4009</v>
      </c>
      <c r="E5479" s="4">
        <v>3500</v>
      </c>
    </row>
    <row r="5480" spans="1:5" ht="26.25" x14ac:dyDescent="0.25">
      <c r="A5480" s="2" t="s">
        <v>10</v>
      </c>
      <c r="B5480" s="2" t="str">
        <f>"174814178"</f>
        <v>174814178</v>
      </c>
      <c r="C5480" s="2" t="str">
        <f>"174814178"</f>
        <v>174814178</v>
      </c>
      <c r="D5480" s="2" t="s">
        <v>4010</v>
      </c>
      <c r="E5480" s="4">
        <v>3500</v>
      </c>
    </row>
    <row r="5481" spans="1:5" ht="26.25" x14ac:dyDescent="0.25">
      <c r="A5481" s="2" t="s">
        <v>10</v>
      </c>
      <c r="B5481" s="2" t="str">
        <f>"764714184"</f>
        <v>764714184</v>
      </c>
      <c r="C5481" s="2" t="str">
        <f>"764714184"</f>
        <v>764714184</v>
      </c>
      <c r="D5481" s="2" t="s">
        <v>4010</v>
      </c>
      <c r="E5481" s="4">
        <v>4000</v>
      </c>
    </row>
    <row r="5482" spans="1:5" ht="26.25" x14ac:dyDescent="0.25">
      <c r="A5482" s="2" t="s">
        <v>10</v>
      </c>
      <c r="B5482" s="2" t="str">
        <f>"764814178"</f>
        <v>764814178</v>
      </c>
      <c r="C5482" s="2" t="str">
        <f>"764814178"</f>
        <v>764814178</v>
      </c>
      <c r="D5482" s="2" t="s">
        <v>4010</v>
      </c>
      <c r="E5482" s="4">
        <v>3500</v>
      </c>
    </row>
    <row r="5483" spans="1:5" ht="26.25" x14ac:dyDescent="0.25">
      <c r="A5483" s="2" t="s">
        <v>10</v>
      </c>
      <c r="B5483" s="2" t="str">
        <f>"765814178"</f>
        <v>765814178</v>
      </c>
      <c r="C5483" s="2" t="str">
        <f>"765814178"</f>
        <v>765814178</v>
      </c>
      <c r="D5483" s="2" t="s">
        <v>4010</v>
      </c>
      <c r="E5483" s="4">
        <v>3600</v>
      </c>
    </row>
    <row r="5484" spans="1:5" ht="26.25" x14ac:dyDescent="0.25">
      <c r="A5484" s="2" t="s">
        <v>10</v>
      </c>
      <c r="B5484" s="2" t="str">
        <f>"767514178"</f>
        <v>767514178</v>
      </c>
      <c r="C5484" s="2" t="str">
        <f>"767514178"</f>
        <v>767514178</v>
      </c>
      <c r="D5484" s="2" t="s">
        <v>4010</v>
      </c>
      <c r="E5484" s="4">
        <v>5500</v>
      </c>
    </row>
    <row r="5485" spans="1:5" ht="26.25" x14ac:dyDescent="0.25">
      <c r="A5485" s="2" t="s">
        <v>10</v>
      </c>
      <c r="B5485" s="2" t="str">
        <f>"767614178"</f>
        <v>767614178</v>
      </c>
      <c r="C5485" s="2" t="str">
        <f>"767614178"</f>
        <v>767614178</v>
      </c>
      <c r="D5485" s="2" t="s">
        <v>4010</v>
      </c>
      <c r="E5485" s="4">
        <v>8000</v>
      </c>
    </row>
    <row r="5486" spans="1:5" ht="26.25" x14ac:dyDescent="0.25">
      <c r="A5486" s="2" t="s">
        <v>10</v>
      </c>
      <c r="B5486" s="2" t="str">
        <f>"765114178"</f>
        <v>765114178</v>
      </c>
      <c r="C5486" s="2" t="str">
        <f>"765114178"</f>
        <v>765114178</v>
      </c>
      <c r="D5486" s="2" t="s">
        <v>4010</v>
      </c>
      <c r="E5486" s="4">
        <v>6000</v>
      </c>
    </row>
    <row r="5487" spans="1:5" ht="26.25" x14ac:dyDescent="0.25">
      <c r="A5487" s="2" t="s">
        <v>10</v>
      </c>
      <c r="B5487" s="2" t="str">
        <f>"174814191"</f>
        <v>174814191</v>
      </c>
      <c r="C5487" s="2" t="str">
        <f>"174814191"</f>
        <v>174814191</v>
      </c>
      <c r="D5487" s="2" t="s">
        <v>4011</v>
      </c>
      <c r="E5487" s="4">
        <v>3500</v>
      </c>
    </row>
    <row r="5488" spans="1:5" ht="26.25" x14ac:dyDescent="0.25">
      <c r="A5488" s="2" t="s">
        <v>10</v>
      </c>
      <c r="B5488" s="2" t="str">
        <f>"765114191"</f>
        <v>765114191</v>
      </c>
      <c r="C5488" s="2" t="str">
        <f>"765114191"</f>
        <v>765114191</v>
      </c>
      <c r="D5488" s="2" t="s">
        <v>4011</v>
      </c>
      <c r="E5488" s="4">
        <v>4500</v>
      </c>
    </row>
    <row r="5489" spans="1:5" ht="26.25" x14ac:dyDescent="0.25">
      <c r="A5489" s="2" t="s">
        <v>10</v>
      </c>
      <c r="B5489" s="2" t="str">
        <f>"175814191"</f>
        <v>175814191</v>
      </c>
      <c r="C5489" s="2" t="str">
        <f>"175814191"</f>
        <v>175814191</v>
      </c>
      <c r="D5489" s="2" t="s">
        <v>4011</v>
      </c>
      <c r="E5489" s="4">
        <v>3500</v>
      </c>
    </row>
    <row r="5490" spans="1:5" ht="26.25" x14ac:dyDescent="0.25">
      <c r="A5490" s="2" t="s">
        <v>10</v>
      </c>
      <c r="B5490" s="2" t="str">
        <f>"347714191"</f>
        <v>347714191</v>
      </c>
      <c r="C5490" s="2" t="str">
        <f>"347714191"</f>
        <v>347714191</v>
      </c>
      <c r="D5490" s="2" t="s">
        <v>4011</v>
      </c>
      <c r="E5490" s="4">
        <v>4500</v>
      </c>
    </row>
    <row r="5491" spans="1:5" ht="26.25" x14ac:dyDescent="0.25">
      <c r="A5491" s="2" t="s">
        <v>10</v>
      </c>
      <c r="B5491" s="2" t="str">
        <f>"764814191"</f>
        <v>764814191</v>
      </c>
      <c r="C5491" s="2" t="str">
        <f>"764814191"</f>
        <v>764814191</v>
      </c>
      <c r="D5491" s="2" t="s">
        <v>4011</v>
      </c>
      <c r="E5491" s="4">
        <v>6000</v>
      </c>
    </row>
    <row r="5492" spans="1:5" ht="26.25" x14ac:dyDescent="0.25">
      <c r="A5492" s="2" t="s">
        <v>10</v>
      </c>
      <c r="B5492" s="2" t="str">
        <f>"174814200"</f>
        <v>174814200</v>
      </c>
      <c r="C5492" s="2" t="str">
        <f>"174814200"</f>
        <v>174814200</v>
      </c>
      <c r="D5492" s="2" t="s">
        <v>4012</v>
      </c>
      <c r="E5492" s="4">
        <v>3500</v>
      </c>
    </row>
    <row r="5493" spans="1:5" ht="26.25" x14ac:dyDescent="0.25">
      <c r="A5493" s="2" t="s">
        <v>10</v>
      </c>
      <c r="B5493" s="2" t="str">
        <f>"345114200"</f>
        <v>345114200</v>
      </c>
      <c r="C5493" s="2" t="str">
        <f>"345114200"</f>
        <v>345114200</v>
      </c>
      <c r="D5493" s="2" t="s">
        <v>4012</v>
      </c>
      <c r="E5493" s="4">
        <v>4000</v>
      </c>
    </row>
    <row r="5494" spans="1:5" ht="26.25" x14ac:dyDescent="0.25">
      <c r="A5494" s="2" t="s">
        <v>10</v>
      </c>
      <c r="B5494" s="2" t="str">
        <f>"764814200"</f>
        <v>764814200</v>
      </c>
      <c r="C5494" s="2" t="str">
        <f>"764814200"</f>
        <v>764814200</v>
      </c>
      <c r="D5494" s="2" t="s">
        <v>4012</v>
      </c>
      <c r="E5494" s="4">
        <v>4500</v>
      </c>
    </row>
    <row r="5495" spans="1:5" ht="26.25" x14ac:dyDescent="0.25">
      <c r="A5495" s="2" t="s">
        <v>10</v>
      </c>
      <c r="B5495" s="2" t="str">
        <f>"175114200"</f>
        <v>175114200</v>
      </c>
      <c r="C5495" s="2" t="str">
        <f>"175114200"</f>
        <v>175114200</v>
      </c>
      <c r="D5495" s="2" t="s">
        <v>4012</v>
      </c>
      <c r="E5495" s="4">
        <v>4500</v>
      </c>
    </row>
    <row r="5496" spans="1:5" ht="26.25" x14ac:dyDescent="0.25">
      <c r="A5496" s="2" t="s">
        <v>10</v>
      </c>
      <c r="B5496" s="2" t="str">
        <f>"866414200"</f>
        <v>866414200</v>
      </c>
      <c r="C5496" s="2" t="str">
        <f>"866414200"</f>
        <v>866414200</v>
      </c>
      <c r="D5496" s="2" t="s">
        <v>4012</v>
      </c>
      <c r="E5496" s="4">
        <v>6500</v>
      </c>
    </row>
    <row r="5497" spans="1:5" ht="26.25" x14ac:dyDescent="0.25">
      <c r="A5497" s="2" t="s">
        <v>10</v>
      </c>
      <c r="B5497" s="2" t="str">
        <f>"867814200"</f>
        <v>867814200</v>
      </c>
      <c r="C5497" s="2" t="str">
        <f>"867814200"</f>
        <v>867814200</v>
      </c>
      <c r="D5497" s="2" t="s">
        <v>4012</v>
      </c>
      <c r="E5497" s="4">
        <v>8900</v>
      </c>
    </row>
    <row r="5498" spans="1:5" ht="26.25" x14ac:dyDescent="0.25">
      <c r="A5498" s="2" t="s">
        <v>10</v>
      </c>
      <c r="B5498" s="2" t="str">
        <f>"765114200"</f>
        <v>765114200</v>
      </c>
      <c r="C5498" s="2" t="str">
        <f>"765114200"</f>
        <v>765114200</v>
      </c>
      <c r="D5498" s="2" t="s">
        <v>4012</v>
      </c>
      <c r="E5498" s="4">
        <v>4500</v>
      </c>
    </row>
    <row r="5499" spans="1:5" ht="26.25" x14ac:dyDescent="0.25">
      <c r="A5499" s="2" t="s">
        <v>10</v>
      </c>
      <c r="B5499" s="2" t="str">
        <f>"415114200"</f>
        <v>415114200</v>
      </c>
      <c r="C5499" s="2" t="str">
        <f>"415114200"</f>
        <v>415114200</v>
      </c>
      <c r="D5499" s="2" t="s">
        <v>4012</v>
      </c>
      <c r="E5499" s="4">
        <v>4000</v>
      </c>
    </row>
    <row r="5500" spans="1:5" ht="26.25" x14ac:dyDescent="0.25">
      <c r="A5500" s="2" t="s">
        <v>10</v>
      </c>
      <c r="B5500" s="2" t="str">
        <f>"761614201"</f>
        <v>761614201</v>
      </c>
      <c r="C5500" s="2" t="str">
        <f>"761614201"</f>
        <v>761614201</v>
      </c>
      <c r="D5500" s="2" t="s">
        <v>4013</v>
      </c>
      <c r="E5500" s="4">
        <v>8000</v>
      </c>
    </row>
    <row r="5501" spans="1:5" ht="26.25" x14ac:dyDescent="0.25">
      <c r="A5501" s="2" t="s">
        <v>10</v>
      </c>
      <c r="B5501" s="2" t="str">
        <f>"174814201"</f>
        <v>174814201</v>
      </c>
      <c r="C5501" s="2" t="str">
        <f>"174814201"</f>
        <v>174814201</v>
      </c>
      <c r="D5501" s="2" t="s">
        <v>4013</v>
      </c>
      <c r="E5501" s="4">
        <v>3500</v>
      </c>
    </row>
    <row r="5502" spans="1:5" ht="26.25" x14ac:dyDescent="0.25">
      <c r="A5502" s="2" t="s">
        <v>10</v>
      </c>
      <c r="B5502" s="2" t="str">
        <f>"765114201"</f>
        <v>765114201</v>
      </c>
      <c r="C5502" s="2" t="str">
        <f>"765114201"</f>
        <v>765114201</v>
      </c>
      <c r="D5502" s="2" t="s">
        <v>4013</v>
      </c>
      <c r="E5502" s="4">
        <v>4500</v>
      </c>
    </row>
    <row r="5503" spans="1:5" ht="26.25" x14ac:dyDescent="0.25">
      <c r="A5503" s="2" t="s">
        <v>10</v>
      </c>
      <c r="B5503" s="2" t="str">
        <f>"175114201"</f>
        <v>175114201</v>
      </c>
      <c r="C5503" s="2" t="str">
        <f>"175114201"</f>
        <v>175114201</v>
      </c>
      <c r="D5503" s="2" t="s">
        <v>4013</v>
      </c>
      <c r="E5503" s="4">
        <v>4500</v>
      </c>
    </row>
    <row r="5504" spans="1:5" ht="26.25" x14ac:dyDescent="0.25">
      <c r="A5504" s="2" t="s">
        <v>10</v>
      </c>
      <c r="B5504" s="2" t="str">
        <f>"765114203"</f>
        <v>765114203</v>
      </c>
      <c r="C5504" s="2" t="str">
        <f>"765114203"</f>
        <v>765114203</v>
      </c>
      <c r="D5504" s="2" t="s">
        <v>4014</v>
      </c>
      <c r="E5504" s="4">
        <v>4500</v>
      </c>
    </row>
    <row r="5505" spans="1:5" ht="26.25" x14ac:dyDescent="0.25">
      <c r="A5505" s="2" t="s">
        <v>10</v>
      </c>
      <c r="B5505" s="2" t="str">
        <f>"1000001090726"</f>
        <v>1000001090726</v>
      </c>
      <c r="C5505" s="2" t="str">
        <f>"766414203"</f>
        <v>766414203</v>
      </c>
      <c r="D5505" s="2" t="s">
        <v>4014</v>
      </c>
      <c r="E5505" s="4">
        <v>4500</v>
      </c>
    </row>
    <row r="5506" spans="1:5" ht="26.25" x14ac:dyDescent="0.25">
      <c r="A5506" s="2" t="s">
        <v>10</v>
      </c>
      <c r="B5506" s="2" t="str">
        <f>"864814203"</f>
        <v>864814203</v>
      </c>
      <c r="C5506" s="2" t="str">
        <f>"864814203"</f>
        <v>864814203</v>
      </c>
      <c r="D5506" s="2" t="s">
        <v>4014</v>
      </c>
      <c r="E5506" s="4">
        <v>7500</v>
      </c>
    </row>
    <row r="5507" spans="1:5" ht="26.25" x14ac:dyDescent="0.25">
      <c r="A5507" s="2" t="s">
        <v>10</v>
      </c>
      <c r="B5507" s="2" t="str">
        <f>"866414203"</f>
        <v>866414203</v>
      </c>
      <c r="C5507" s="2" t="str">
        <f>"866414203"</f>
        <v>866414203</v>
      </c>
      <c r="D5507" s="2" t="s">
        <v>4014</v>
      </c>
      <c r="E5507" s="4">
        <v>6500</v>
      </c>
    </row>
    <row r="5508" spans="1:5" ht="26.25" x14ac:dyDescent="0.25">
      <c r="A5508" s="2" t="s">
        <v>10</v>
      </c>
      <c r="B5508" s="2" t="str">
        <f>"867814203"</f>
        <v>867814203</v>
      </c>
      <c r="C5508" s="2" t="str">
        <f>"867814203"</f>
        <v>867814203</v>
      </c>
      <c r="D5508" s="2" t="s">
        <v>4014</v>
      </c>
      <c r="E5508" s="4">
        <v>4500</v>
      </c>
    </row>
    <row r="5509" spans="1:5" ht="26.25" x14ac:dyDescent="0.25">
      <c r="A5509" s="2" t="s">
        <v>10</v>
      </c>
      <c r="B5509" s="2" t="str">
        <f>"349914203"</f>
        <v>349914203</v>
      </c>
      <c r="C5509" s="2" t="str">
        <f>"349914203"</f>
        <v>349914203</v>
      </c>
      <c r="D5509" s="2" t="s">
        <v>4014</v>
      </c>
      <c r="E5509" s="4">
        <v>7000</v>
      </c>
    </row>
    <row r="5510" spans="1:5" ht="26.25" x14ac:dyDescent="0.25">
      <c r="A5510" s="2" t="s">
        <v>10</v>
      </c>
      <c r="B5510" s="2" t="str">
        <f>"765114204"</f>
        <v>765114204</v>
      </c>
      <c r="C5510" s="2" t="str">
        <f>"765114204"</f>
        <v>765114204</v>
      </c>
      <c r="D5510" s="2" t="s">
        <v>4015</v>
      </c>
      <c r="E5510" s="4">
        <v>4500</v>
      </c>
    </row>
    <row r="5511" spans="1:5" ht="26.25" x14ac:dyDescent="0.25">
      <c r="A5511" s="2" t="s">
        <v>10</v>
      </c>
      <c r="B5511" s="2" t="str">
        <f>"766414204"</f>
        <v>766414204</v>
      </c>
      <c r="C5511" s="2" t="str">
        <f>"766414204"</f>
        <v>766414204</v>
      </c>
      <c r="D5511" s="2" t="s">
        <v>4015</v>
      </c>
      <c r="E5511" s="4">
        <v>4500</v>
      </c>
    </row>
    <row r="5512" spans="1:5" ht="26.25" x14ac:dyDescent="0.25">
      <c r="A5512" s="2" t="s">
        <v>10</v>
      </c>
      <c r="B5512" s="2" t="str">
        <f>"864814204"</f>
        <v>864814204</v>
      </c>
      <c r="C5512" s="2" t="str">
        <f>"864814204"</f>
        <v>864814204</v>
      </c>
      <c r="D5512" s="2" t="s">
        <v>4015</v>
      </c>
      <c r="E5512" s="4">
        <v>7500</v>
      </c>
    </row>
    <row r="5513" spans="1:5" ht="26.25" x14ac:dyDescent="0.25">
      <c r="A5513" s="2" t="s">
        <v>10</v>
      </c>
      <c r="B5513" s="2" t="str">
        <f>"764814204"</f>
        <v>764814204</v>
      </c>
      <c r="C5513" s="2" t="str">
        <f>"764814204"</f>
        <v>764814204</v>
      </c>
      <c r="D5513" s="2" t="s">
        <v>4015</v>
      </c>
      <c r="E5513" s="4">
        <v>6000</v>
      </c>
    </row>
    <row r="5514" spans="1:5" ht="26.25" x14ac:dyDescent="0.25">
      <c r="A5514" s="2" t="s">
        <v>10</v>
      </c>
      <c r="B5514" s="2" t="str">
        <f>"866414204"</f>
        <v>866414204</v>
      </c>
      <c r="C5514" s="2" t="str">
        <f>"866414204"</f>
        <v>866414204</v>
      </c>
      <c r="D5514" s="2" t="s">
        <v>4015</v>
      </c>
      <c r="E5514" s="4">
        <v>6500</v>
      </c>
    </row>
    <row r="5515" spans="1:5" ht="26.25" x14ac:dyDescent="0.25">
      <c r="A5515" s="2" t="s">
        <v>10</v>
      </c>
      <c r="B5515" s="2" t="str">
        <f>"867814204"</f>
        <v>867814204</v>
      </c>
      <c r="C5515" s="2" t="str">
        <f>"867814204"</f>
        <v>867814204</v>
      </c>
      <c r="D5515" s="2" t="s">
        <v>4015</v>
      </c>
      <c r="E5515" s="4">
        <v>8900</v>
      </c>
    </row>
    <row r="5516" spans="1:5" ht="26.25" x14ac:dyDescent="0.25">
      <c r="A5516" s="2" t="s">
        <v>10</v>
      </c>
      <c r="B5516" s="2" t="str">
        <f>"349914204"</f>
        <v>349914204</v>
      </c>
      <c r="C5516" s="2" t="str">
        <f>"349914204"</f>
        <v>349914204</v>
      </c>
      <c r="D5516" s="2" t="s">
        <v>4015</v>
      </c>
      <c r="E5516" s="4">
        <v>7000</v>
      </c>
    </row>
    <row r="5517" spans="1:5" ht="26.25" x14ac:dyDescent="0.25">
      <c r="A5517" s="2" t="s">
        <v>10</v>
      </c>
      <c r="B5517" s="2" t="str">
        <f>"345114204"</f>
        <v>345114204</v>
      </c>
      <c r="C5517" s="2" t="str">
        <f>"345114204"</f>
        <v>345114204</v>
      </c>
      <c r="D5517" s="2" t="s">
        <v>4015</v>
      </c>
      <c r="E5517" s="4">
        <v>13500</v>
      </c>
    </row>
    <row r="5518" spans="1:5" ht="26.25" x14ac:dyDescent="0.25">
      <c r="A5518" s="2" t="s">
        <v>10</v>
      </c>
      <c r="B5518" s="2" t="str">
        <f>"110341031"</f>
        <v>110341031</v>
      </c>
      <c r="C5518" s="2" t="str">
        <f>"110341031"</f>
        <v>110341031</v>
      </c>
      <c r="D5518" s="2" t="s">
        <v>4016</v>
      </c>
      <c r="E5518" s="4">
        <v>3500</v>
      </c>
    </row>
    <row r="5519" spans="1:5" ht="26.25" x14ac:dyDescent="0.25">
      <c r="A5519" s="2" t="s">
        <v>10</v>
      </c>
      <c r="B5519" s="2" t="str">
        <f>"110341032"</f>
        <v>110341032</v>
      </c>
      <c r="C5519" s="2" t="str">
        <f>"110341032"</f>
        <v>110341032</v>
      </c>
      <c r="D5519" s="2" t="s">
        <v>4017</v>
      </c>
      <c r="E5519" s="4">
        <v>3500</v>
      </c>
    </row>
    <row r="5520" spans="1:5" ht="26.25" x14ac:dyDescent="0.25">
      <c r="A5520" s="2" t="s">
        <v>10</v>
      </c>
      <c r="B5520" s="2" t="str">
        <f>"684814136"</f>
        <v>684814136</v>
      </c>
      <c r="C5520" s="2" t="str">
        <f>"684814136"</f>
        <v>684814136</v>
      </c>
      <c r="D5520" s="2" t="s">
        <v>4018</v>
      </c>
      <c r="E5520" s="4">
        <v>3500</v>
      </c>
    </row>
    <row r="5521" spans="1:5" ht="26.25" x14ac:dyDescent="0.25">
      <c r="A5521" s="2" t="s">
        <v>10</v>
      </c>
      <c r="B5521" s="2" t="str">
        <f>"68481447"</f>
        <v>68481447</v>
      </c>
      <c r="C5521" s="2" t="str">
        <f>"68481447"</f>
        <v>68481447</v>
      </c>
      <c r="D5521" s="2" t="s">
        <v>4019</v>
      </c>
      <c r="E5521" s="4">
        <v>3500</v>
      </c>
    </row>
    <row r="5522" spans="1:5" ht="26.25" x14ac:dyDescent="0.25">
      <c r="A5522" s="2" t="s">
        <v>10</v>
      </c>
      <c r="B5522" s="2" t="str">
        <f>"76481503"</f>
        <v>76481503</v>
      </c>
      <c r="C5522" s="2" t="str">
        <f>"76481503"</f>
        <v>76481503</v>
      </c>
      <c r="D5522" s="2" t="s">
        <v>4020</v>
      </c>
      <c r="E5522" s="4">
        <v>3500</v>
      </c>
    </row>
    <row r="5523" spans="1:5" ht="26.25" x14ac:dyDescent="0.25">
      <c r="A5523" s="2" t="s">
        <v>10</v>
      </c>
      <c r="B5523" s="2" t="str">
        <f>"17481505"</f>
        <v>17481505</v>
      </c>
      <c r="C5523" s="2" t="str">
        <f>"17481505"</f>
        <v>17481505</v>
      </c>
      <c r="D5523" s="2" t="s">
        <v>4021</v>
      </c>
      <c r="E5523" s="4">
        <v>3500</v>
      </c>
    </row>
    <row r="5524" spans="1:5" ht="26.25" x14ac:dyDescent="0.25">
      <c r="A5524" s="2" t="s">
        <v>10</v>
      </c>
      <c r="B5524" s="2" t="str">
        <f>"93481503"</f>
        <v>93481503</v>
      </c>
      <c r="C5524" s="2" t="str">
        <f>"93481503"</f>
        <v>93481503</v>
      </c>
      <c r="D5524" s="2" t="s">
        <v>4022</v>
      </c>
      <c r="E5524" s="4">
        <v>3500</v>
      </c>
    </row>
    <row r="5525" spans="1:5" ht="26.25" x14ac:dyDescent="0.25">
      <c r="A5525" s="2" t="s">
        <v>10</v>
      </c>
      <c r="B5525" s="2" t="str">
        <f>"17481503"</f>
        <v>17481503</v>
      </c>
      <c r="C5525" s="2" t="str">
        <f>"17481503"</f>
        <v>17481503</v>
      </c>
      <c r="D5525" s="2" t="s">
        <v>4020</v>
      </c>
      <c r="E5525" s="4">
        <v>3500</v>
      </c>
    </row>
    <row r="5526" spans="1:5" ht="26.25" x14ac:dyDescent="0.25">
      <c r="A5526" s="2" t="s">
        <v>10</v>
      </c>
      <c r="B5526" s="2" t="str">
        <f>"76581503"</f>
        <v>76581503</v>
      </c>
      <c r="C5526" s="2" t="str">
        <f>"76581503"</f>
        <v>76581503</v>
      </c>
      <c r="D5526" s="2" t="s">
        <v>4020</v>
      </c>
      <c r="E5526" s="4">
        <v>4500</v>
      </c>
    </row>
    <row r="5527" spans="1:5" ht="26.25" x14ac:dyDescent="0.25">
      <c r="A5527" s="2" t="s">
        <v>14</v>
      </c>
      <c r="B5527" s="2" t="str">
        <f>"17581503"</f>
        <v>17581503</v>
      </c>
      <c r="C5527" s="2" t="str">
        <f>"17581503"</f>
        <v>17581503</v>
      </c>
      <c r="D5527" s="2" t="s">
        <v>4020</v>
      </c>
      <c r="E5527" s="4">
        <v>3500</v>
      </c>
    </row>
    <row r="5528" spans="1:5" ht="26.25" x14ac:dyDescent="0.25">
      <c r="A5528" s="2" t="s">
        <v>10</v>
      </c>
      <c r="B5528" s="2" t="str">
        <f>"17481537"</f>
        <v>17481537</v>
      </c>
      <c r="C5528" s="2" t="str">
        <f>"17481537"</f>
        <v>17481537</v>
      </c>
      <c r="D5528" s="2" t="s">
        <v>4023</v>
      </c>
      <c r="E5528" s="4">
        <v>3500</v>
      </c>
    </row>
    <row r="5529" spans="1:5" ht="26.25" x14ac:dyDescent="0.25">
      <c r="A5529" s="2" t="s">
        <v>10</v>
      </c>
      <c r="B5529" s="2" t="str">
        <f>"34481537"</f>
        <v>34481537</v>
      </c>
      <c r="C5529" s="2" t="str">
        <f>"34481537"</f>
        <v>34481537</v>
      </c>
      <c r="D5529" s="2" t="s">
        <v>4023</v>
      </c>
      <c r="E5529" s="4">
        <v>3500</v>
      </c>
    </row>
    <row r="5530" spans="1:5" ht="26.25" x14ac:dyDescent="0.25">
      <c r="A5530" s="2" t="s">
        <v>10</v>
      </c>
      <c r="B5530" s="2" t="str">
        <f>"17481533"</f>
        <v>17481533</v>
      </c>
      <c r="C5530" s="2" t="str">
        <f>"17481533"</f>
        <v>17481533</v>
      </c>
      <c r="D5530" s="2" t="s">
        <v>4024</v>
      </c>
      <c r="E5530" s="4">
        <v>3500</v>
      </c>
    </row>
    <row r="5531" spans="1:5" ht="26.25" x14ac:dyDescent="0.25">
      <c r="A5531" s="2" t="s">
        <v>10</v>
      </c>
      <c r="B5531" s="2" t="str">
        <f>"76481533"</f>
        <v>76481533</v>
      </c>
      <c r="C5531" s="2" t="str">
        <f>"76481533"</f>
        <v>76481533</v>
      </c>
      <c r="D5531" s="2" t="s">
        <v>4024</v>
      </c>
      <c r="E5531" s="4">
        <v>3500</v>
      </c>
    </row>
    <row r="5532" spans="1:5" ht="26.25" x14ac:dyDescent="0.25">
      <c r="A5532" s="2" t="s">
        <v>10</v>
      </c>
      <c r="B5532" s="2" t="str">
        <f>"17481504"</f>
        <v>17481504</v>
      </c>
      <c r="C5532" s="2" t="str">
        <f>"17481504"</f>
        <v>17481504</v>
      </c>
      <c r="D5532" s="2" t="s">
        <v>4025</v>
      </c>
      <c r="E5532" s="4">
        <v>3500</v>
      </c>
    </row>
    <row r="5533" spans="1:5" ht="26.25" x14ac:dyDescent="0.25">
      <c r="A5533" s="2" t="s">
        <v>10</v>
      </c>
      <c r="B5533" s="2" t="str">
        <f>"76481504"</f>
        <v>76481504</v>
      </c>
      <c r="C5533" s="2" t="str">
        <f>"76481504"</f>
        <v>76481504</v>
      </c>
      <c r="D5533" s="2" t="s">
        <v>4025</v>
      </c>
      <c r="E5533" s="4">
        <v>3500</v>
      </c>
    </row>
    <row r="5534" spans="1:5" ht="26.25" x14ac:dyDescent="0.25">
      <c r="A5534" s="2" t="s">
        <v>10</v>
      </c>
      <c r="B5534" s="2" t="str">
        <f>"17551504"</f>
        <v>17551504</v>
      </c>
      <c r="C5534" s="2" t="str">
        <f>"17551504"</f>
        <v>17551504</v>
      </c>
      <c r="D5534" s="2" t="s">
        <v>4025</v>
      </c>
      <c r="E5534" s="4">
        <v>4000</v>
      </c>
    </row>
    <row r="5535" spans="1:5" ht="26.25" x14ac:dyDescent="0.25">
      <c r="A5535" s="2" t="s">
        <v>10</v>
      </c>
      <c r="B5535" s="2" t="str">
        <f>"76581504"</f>
        <v>76581504</v>
      </c>
      <c r="C5535" s="2" t="str">
        <f>"76581504"</f>
        <v>76581504</v>
      </c>
      <c r="D5535" s="2" t="s">
        <v>4025</v>
      </c>
      <c r="E5535" s="4">
        <v>4000</v>
      </c>
    </row>
    <row r="5536" spans="1:5" ht="26.25" x14ac:dyDescent="0.25">
      <c r="A5536" s="2" t="s">
        <v>10</v>
      </c>
      <c r="B5536" s="2" t="str">
        <f>"174815131"</f>
        <v>174815131</v>
      </c>
      <c r="C5536" s="2" t="str">
        <f>"174815131"</f>
        <v>174815131</v>
      </c>
      <c r="D5536" s="2" t="s">
        <v>4026</v>
      </c>
      <c r="E5536" s="4">
        <v>3500</v>
      </c>
    </row>
    <row r="5537" spans="1:5" ht="26.25" x14ac:dyDescent="0.25">
      <c r="A5537" s="2" t="s">
        <v>10</v>
      </c>
      <c r="B5537" s="2" t="str">
        <f>"68481527"</f>
        <v>68481527</v>
      </c>
      <c r="C5537" s="2" t="str">
        <f>"68481527"</f>
        <v>68481527</v>
      </c>
      <c r="D5537" s="2" t="s">
        <v>4027</v>
      </c>
      <c r="E5537" s="4">
        <v>3500</v>
      </c>
    </row>
    <row r="5538" spans="1:5" ht="26.25" x14ac:dyDescent="0.25">
      <c r="A5538" s="2" t="s">
        <v>10</v>
      </c>
      <c r="B5538" s="2" t="str">
        <f>"684815227"</f>
        <v>684815227</v>
      </c>
      <c r="C5538" s="2" t="str">
        <f>"684815227"</f>
        <v>684815227</v>
      </c>
      <c r="D5538" s="2" t="s">
        <v>4027</v>
      </c>
      <c r="E5538" s="4">
        <v>3500</v>
      </c>
    </row>
    <row r="5539" spans="1:5" ht="26.25" x14ac:dyDescent="0.25">
      <c r="A5539" s="2" t="s">
        <v>10</v>
      </c>
      <c r="B5539" s="2" t="str">
        <f>"76481507"</f>
        <v>76481507</v>
      </c>
      <c r="C5539" s="2" t="str">
        <f>"76481507"</f>
        <v>76481507</v>
      </c>
      <c r="D5539" s="2" t="s">
        <v>4028</v>
      </c>
      <c r="E5539" s="4">
        <v>3500</v>
      </c>
    </row>
    <row r="5540" spans="1:5" ht="26.25" x14ac:dyDescent="0.25">
      <c r="A5540" s="2" t="s">
        <v>10</v>
      </c>
      <c r="B5540" s="2" t="str">
        <f>"174815301"</f>
        <v>174815301</v>
      </c>
      <c r="C5540" s="2" t="str">
        <f>"174815301"</f>
        <v>174815301</v>
      </c>
      <c r="D5540" s="2" t="s">
        <v>4029</v>
      </c>
      <c r="E5540" s="4">
        <v>3500</v>
      </c>
    </row>
    <row r="5541" spans="1:5" ht="26.25" x14ac:dyDescent="0.25">
      <c r="A5541" s="2" t="s">
        <v>10</v>
      </c>
      <c r="B5541" s="2" t="str">
        <f>"765115301"</f>
        <v>765115301</v>
      </c>
      <c r="C5541" s="2" t="str">
        <f>"765115301"</f>
        <v>765115301</v>
      </c>
      <c r="D5541" s="2" t="s">
        <v>4029</v>
      </c>
      <c r="E5541" s="4">
        <v>4500</v>
      </c>
    </row>
    <row r="5542" spans="1:5" ht="26.25" x14ac:dyDescent="0.25">
      <c r="A5542" s="2" t="s">
        <v>10</v>
      </c>
      <c r="B5542" s="2" t="str">
        <f>"766115269"</f>
        <v>766115269</v>
      </c>
      <c r="C5542" s="2" t="str">
        <f>"766115269"</f>
        <v>766115269</v>
      </c>
      <c r="D5542" s="2" t="s">
        <v>4030</v>
      </c>
      <c r="E5542" s="4">
        <v>4500</v>
      </c>
    </row>
    <row r="5543" spans="1:5" ht="26.25" x14ac:dyDescent="0.25">
      <c r="A5543" s="2" t="s">
        <v>10</v>
      </c>
      <c r="B5543" s="2" t="str">
        <f>"174815132"</f>
        <v>174815132</v>
      </c>
      <c r="C5543" s="2" t="str">
        <f>"174815132"</f>
        <v>174815132</v>
      </c>
      <c r="D5543" s="2" t="s">
        <v>4031</v>
      </c>
      <c r="E5543" s="4">
        <v>3500</v>
      </c>
    </row>
    <row r="5544" spans="1:5" ht="26.25" x14ac:dyDescent="0.25">
      <c r="A5544" s="2" t="s">
        <v>10</v>
      </c>
      <c r="B5544" s="2" t="str">
        <f>"76261509"</f>
        <v>76261509</v>
      </c>
      <c r="C5544" s="2" t="str">
        <f>"76261509"</f>
        <v>76261509</v>
      </c>
      <c r="D5544" s="2" t="s">
        <v>4032</v>
      </c>
      <c r="E5544" s="4">
        <v>3000</v>
      </c>
    </row>
    <row r="5545" spans="1:5" ht="26.25" x14ac:dyDescent="0.25">
      <c r="A5545" s="2" t="s">
        <v>10</v>
      </c>
      <c r="B5545" s="2" t="str">
        <f>"76691509"</f>
        <v>76691509</v>
      </c>
      <c r="C5545" s="2" t="str">
        <f>"76691509"</f>
        <v>76691509</v>
      </c>
      <c r="D5545" s="2" t="s">
        <v>4032</v>
      </c>
      <c r="E5545" s="4">
        <v>3500</v>
      </c>
    </row>
    <row r="5546" spans="1:5" ht="26.25" x14ac:dyDescent="0.25">
      <c r="A5546" s="2" t="s">
        <v>10</v>
      </c>
      <c r="B5546" s="2" t="str">
        <f>"76481509"</f>
        <v>76481509</v>
      </c>
      <c r="C5546" s="2" t="str">
        <f>"76481509"</f>
        <v>76481509</v>
      </c>
      <c r="D5546" s="2" t="s">
        <v>4033</v>
      </c>
      <c r="E5546" s="4">
        <v>3000</v>
      </c>
    </row>
    <row r="5547" spans="1:5" ht="26.25" x14ac:dyDescent="0.25">
      <c r="A5547" s="2" t="s">
        <v>10</v>
      </c>
      <c r="B5547" s="2" t="str">
        <f>"174815111"</f>
        <v>174815111</v>
      </c>
      <c r="C5547" s="2" t="str">
        <f>"174815111"</f>
        <v>174815111</v>
      </c>
      <c r="D5547" s="2" t="s">
        <v>4033</v>
      </c>
      <c r="E5547" s="4">
        <v>3000</v>
      </c>
    </row>
    <row r="5548" spans="1:5" ht="26.25" x14ac:dyDescent="0.25">
      <c r="A5548" s="2" t="s">
        <v>10</v>
      </c>
      <c r="B5548" s="2" t="str">
        <f>"764815111"</f>
        <v>764815111</v>
      </c>
      <c r="C5548" s="2" t="str">
        <f>"764815111"</f>
        <v>764815111</v>
      </c>
      <c r="D5548" s="2" t="s">
        <v>4033</v>
      </c>
      <c r="E5548" s="4">
        <v>3500</v>
      </c>
    </row>
    <row r="5549" spans="1:5" ht="26.25" x14ac:dyDescent="0.25">
      <c r="A5549" s="2" t="s">
        <v>10</v>
      </c>
      <c r="B5549" s="2" t="str">
        <f>"17481573"</f>
        <v>17481573</v>
      </c>
      <c r="C5549" s="2" t="str">
        <f>"17481573"</f>
        <v>17481573</v>
      </c>
      <c r="D5549" s="2" t="s">
        <v>4034</v>
      </c>
      <c r="E5549" s="4">
        <v>3500</v>
      </c>
    </row>
    <row r="5550" spans="1:5" ht="26.25" x14ac:dyDescent="0.25">
      <c r="A5550" s="2" t="s">
        <v>10</v>
      </c>
      <c r="B5550" s="2" t="str">
        <f>"174715266"</f>
        <v>174715266</v>
      </c>
      <c r="C5550" s="2" t="str">
        <f>"174715266"</f>
        <v>174715266</v>
      </c>
      <c r="D5550" s="2" t="s">
        <v>4035</v>
      </c>
      <c r="E5550" s="4">
        <v>3500</v>
      </c>
    </row>
    <row r="5551" spans="1:5" ht="26.25" x14ac:dyDescent="0.25">
      <c r="A5551" s="2" t="s">
        <v>10</v>
      </c>
      <c r="B5551" s="2" t="str">
        <f>"174815266"</f>
        <v>174815266</v>
      </c>
      <c r="C5551" s="2" t="str">
        <f>"174815266"</f>
        <v>174815266</v>
      </c>
      <c r="D5551" s="2" t="s">
        <v>4035</v>
      </c>
      <c r="E5551" s="4">
        <v>3500</v>
      </c>
    </row>
    <row r="5552" spans="1:5" ht="26.25" x14ac:dyDescent="0.25">
      <c r="A5552" s="2" t="s">
        <v>10</v>
      </c>
      <c r="B5552" s="2" t="str">
        <f>"334815266"</f>
        <v>334815266</v>
      </c>
      <c r="C5552" s="2" t="str">
        <f>"334815266"</f>
        <v>334815266</v>
      </c>
      <c r="D5552" s="2" t="s">
        <v>4035</v>
      </c>
      <c r="E5552" s="4">
        <v>3500</v>
      </c>
    </row>
    <row r="5553" spans="1:5" ht="26.25" x14ac:dyDescent="0.25">
      <c r="A5553" s="2" t="s">
        <v>10</v>
      </c>
      <c r="B5553" s="2" t="str">
        <f>"174715286"</f>
        <v>174715286</v>
      </c>
      <c r="C5553" s="2" t="str">
        <f>"174715286"</f>
        <v>174715286</v>
      </c>
      <c r="D5553" s="2" t="s">
        <v>4036</v>
      </c>
      <c r="E5553" s="4">
        <v>3500</v>
      </c>
    </row>
    <row r="5554" spans="1:5" ht="26.25" x14ac:dyDescent="0.25">
      <c r="A5554" s="2" t="s">
        <v>10</v>
      </c>
      <c r="B5554" s="2" t="str">
        <f>"174815286"</f>
        <v>174815286</v>
      </c>
      <c r="C5554" s="2" t="str">
        <f>"174815286"</f>
        <v>174815286</v>
      </c>
      <c r="D5554" s="2" t="s">
        <v>4036</v>
      </c>
      <c r="E5554" s="4">
        <v>3500</v>
      </c>
    </row>
    <row r="5555" spans="1:5" ht="26.25" x14ac:dyDescent="0.25">
      <c r="A5555" s="2" t="s">
        <v>10</v>
      </c>
      <c r="B5555" s="2" t="str">
        <f>"175815286"</f>
        <v>175815286</v>
      </c>
      <c r="C5555" s="2" t="str">
        <f>"175815286"</f>
        <v>175815286</v>
      </c>
      <c r="D5555" s="2" t="s">
        <v>4036</v>
      </c>
      <c r="E5555" s="4">
        <v>3500</v>
      </c>
    </row>
    <row r="5556" spans="1:5" ht="26.25" x14ac:dyDescent="0.25">
      <c r="A5556" s="2" t="s">
        <v>10</v>
      </c>
      <c r="B5556" s="2" t="str">
        <f>"764815286"</f>
        <v>764815286</v>
      </c>
      <c r="C5556" s="2" t="str">
        <f>"764815286"</f>
        <v>764815286</v>
      </c>
      <c r="D5556" s="2" t="s">
        <v>4036</v>
      </c>
      <c r="E5556" s="4">
        <v>3500</v>
      </c>
    </row>
    <row r="5557" spans="1:5" ht="26.25" x14ac:dyDescent="0.25">
      <c r="A5557" s="2" t="s">
        <v>10</v>
      </c>
      <c r="B5557" s="2" t="str">
        <f>"765115286"</f>
        <v>765115286</v>
      </c>
      <c r="C5557" s="2" t="str">
        <f>"765115286"</f>
        <v>765115286</v>
      </c>
      <c r="D5557" s="2" t="s">
        <v>4036</v>
      </c>
      <c r="E5557" s="4">
        <v>4500</v>
      </c>
    </row>
    <row r="5558" spans="1:5" ht="26.25" x14ac:dyDescent="0.25">
      <c r="A5558" s="2" t="s">
        <v>10</v>
      </c>
      <c r="B5558" s="2" t="str">
        <f>"684815267"</f>
        <v>684815267</v>
      </c>
      <c r="C5558" s="2" t="str">
        <f>"684815267"</f>
        <v>684815267</v>
      </c>
      <c r="D5558" s="2" t="s">
        <v>4037</v>
      </c>
      <c r="E5558" s="4">
        <v>3500</v>
      </c>
    </row>
    <row r="5559" spans="1:5" ht="26.25" x14ac:dyDescent="0.25">
      <c r="A5559" s="2" t="s">
        <v>10</v>
      </c>
      <c r="B5559" s="2" t="str">
        <f>"764815267"</f>
        <v>764815267</v>
      </c>
      <c r="C5559" s="2" t="str">
        <f>"764815267"</f>
        <v>764815267</v>
      </c>
      <c r="D5559" s="2" t="s">
        <v>4037</v>
      </c>
      <c r="E5559" s="4">
        <v>4500</v>
      </c>
    </row>
    <row r="5560" spans="1:5" ht="26.25" x14ac:dyDescent="0.25">
      <c r="A5560" s="2" t="s">
        <v>10</v>
      </c>
      <c r="B5560" s="2" t="str">
        <f>"174815267"</f>
        <v>174815267</v>
      </c>
      <c r="C5560" s="2" t="str">
        <f>"174815267"</f>
        <v>174815267</v>
      </c>
      <c r="D5560" s="2" t="s">
        <v>4037</v>
      </c>
      <c r="E5560" s="4">
        <v>3500</v>
      </c>
    </row>
    <row r="5561" spans="1:5" ht="26.25" x14ac:dyDescent="0.25">
      <c r="A5561" s="2" t="s">
        <v>10</v>
      </c>
      <c r="B5561" s="2" t="str">
        <f>"174815287"</f>
        <v>174815287</v>
      </c>
      <c r="C5561" s="2" t="str">
        <f>"174815287"</f>
        <v>174815287</v>
      </c>
      <c r="D5561" s="2" t="s">
        <v>4038</v>
      </c>
      <c r="E5561" s="4">
        <v>3500</v>
      </c>
    </row>
    <row r="5562" spans="1:5" ht="26.25" x14ac:dyDescent="0.25">
      <c r="A5562" s="2" t="s">
        <v>10</v>
      </c>
      <c r="B5562" s="2" t="str">
        <f>"764815287"</f>
        <v>764815287</v>
      </c>
      <c r="C5562" s="2" t="str">
        <f>"764815287"</f>
        <v>764815287</v>
      </c>
      <c r="D5562" s="2" t="s">
        <v>4038</v>
      </c>
      <c r="E5562" s="4">
        <v>4500</v>
      </c>
    </row>
    <row r="5563" spans="1:5" ht="26.25" x14ac:dyDescent="0.25">
      <c r="A5563" s="2" t="s">
        <v>10</v>
      </c>
      <c r="B5563" s="2" t="str">
        <f>"765915287"</f>
        <v>765915287</v>
      </c>
      <c r="C5563" s="2" t="str">
        <f>"765915287"</f>
        <v>765915287</v>
      </c>
      <c r="D5563" s="2" t="s">
        <v>4038</v>
      </c>
      <c r="E5563" s="4">
        <v>4500</v>
      </c>
    </row>
    <row r="5564" spans="1:5" ht="26.25" x14ac:dyDescent="0.25">
      <c r="A5564" s="2" t="s">
        <v>10</v>
      </c>
      <c r="B5564" s="2" t="str">
        <f>"694815287"</f>
        <v>694815287</v>
      </c>
      <c r="C5564" s="2" t="str">
        <f>"694815287"</f>
        <v>694815287</v>
      </c>
      <c r="D5564" s="2" t="s">
        <v>4038</v>
      </c>
      <c r="E5564" s="4">
        <v>3500</v>
      </c>
    </row>
    <row r="5565" spans="1:5" ht="26.25" x14ac:dyDescent="0.25">
      <c r="A5565" s="2" t="s">
        <v>10</v>
      </c>
      <c r="B5565" s="2" t="str">
        <f>"765115287"</f>
        <v>765115287</v>
      </c>
      <c r="C5565" s="2" t="str">
        <f>"765115287"</f>
        <v>765115287</v>
      </c>
      <c r="D5565" s="2" t="s">
        <v>4038</v>
      </c>
      <c r="E5565" s="4">
        <v>4500</v>
      </c>
    </row>
    <row r="5566" spans="1:5" ht="26.25" x14ac:dyDescent="0.25">
      <c r="A5566" s="2" t="s">
        <v>10</v>
      </c>
      <c r="B5566" s="2" t="str">
        <f>"695115287"</f>
        <v>695115287</v>
      </c>
      <c r="C5566" s="2" t="str">
        <f>"695115287"</f>
        <v>695115287</v>
      </c>
      <c r="D5566" s="2" t="s">
        <v>4038</v>
      </c>
      <c r="E5566" s="4">
        <v>4500</v>
      </c>
    </row>
    <row r="5567" spans="1:5" ht="26.25" x14ac:dyDescent="0.25">
      <c r="A5567" s="2" t="s">
        <v>10</v>
      </c>
      <c r="B5567" s="2" t="str">
        <f>"766115268"</f>
        <v>766115268</v>
      </c>
      <c r="C5567" s="2" t="str">
        <f>"766115268"</f>
        <v>766115268</v>
      </c>
      <c r="D5567" s="2" t="s">
        <v>4039</v>
      </c>
      <c r="E5567" s="4">
        <v>4500</v>
      </c>
    </row>
    <row r="5568" spans="1:5" ht="26.25" x14ac:dyDescent="0.25">
      <c r="A5568" s="2" t="s">
        <v>10</v>
      </c>
      <c r="B5568" s="2" t="str">
        <f>"685115268"</f>
        <v>685115268</v>
      </c>
      <c r="C5568" s="2" t="str">
        <f>"685115268"</f>
        <v>685115268</v>
      </c>
      <c r="D5568" s="2" t="s">
        <v>4039</v>
      </c>
      <c r="E5568" s="4">
        <v>3500</v>
      </c>
    </row>
    <row r="5569" spans="1:5" ht="26.25" x14ac:dyDescent="0.25">
      <c r="A5569" s="2" t="s">
        <v>10</v>
      </c>
      <c r="B5569" s="2" t="str">
        <f>"765115268"</f>
        <v>765115268</v>
      </c>
      <c r="C5569" s="2" t="str">
        <f>"765115268"</f>
        <v>765115268</v>
      </c>
      <c r="D5569" s="2" t="s">
        <v>4039</v>
      </c>
      <c r="E5569" s="4">
        <v>4500</v>
      </c>
    </row>
    <row r="5570" spans="1:5" ht="26.25" x14ac:dyDescent="0.25">
      <c r="A5570" s="2" t="s">
        <v>10</v>
      </c>
      <c r="B5570" s="2" t="str">
        <f>"110172103"</f>
        <v>110172103</v>
      </c>
      <c r="C5570" s="2" t="str">
        <f>"110172103"</f>
        <v>110172103</v>
      </c>
      <c r="D5570" s="2" t="s">
        <v>4040</v>
      </c>
      <c r="E5570" s="4">
        <v>4000</v>
      </c>
    </row>
    <row r="5571" spans="1:5" ht="26.25" x14ac:dyDescent="0.25">
      <c r="A5571" s="2" t="s">
        <v>10</v>
      </c>
      <c r="B5571" s="2" t="str">
        <f>"110172102"</f>
        <v>110172102</v>
      </c>
      <c r="C5571" s="2" t="str">
        <f>"110172102"</f>
        <v>110172102</v>
      </c>
      <c r="D5571" s="2" t="s">
        <v>4041</v>
      </c>
      <c r="E5571" s="4">
        <v>4000</v>
      </c>
    </row>
    <row r="5572" spans="1:5" ht="26.25" x14ac:dyDescent="0.25">
      <c r="A5572" s="2" t="s">
        <v>10</v>
      </c>
      <c r="B5572" s="2" t="str">
        <f>"767510284"</f>
        <v>767510284</v>
      </c>
      <c r="C5572" s="2" t="str">
        <f>"767510284"</f>
        <v>767510284</v>
      </c>
      <c r="D5572" s="2" t="s">
        <v>4042</v>
      </c>
      <c r="E5572" s="4">
        <v>5500</v>
      </c>
    </row>
    <row r="5573" spans="1:5" ht="26.25" x14ac:dyDescent="0.25">
      <c r="A5573" s="2" t="s">
        <v>10</v>
      </c>
      <c r="B5573" s="2" t="str">
        <f>"17481524"</f>
        <v>17481524</v>
      </c>
      <c r="C5573" s="2" t="str">
        <f>"17481524"</f>
        <v>17481524</v>
      </c>
      <c r="D5573" s="2" t="s">
        <v>4043</v>
      </c>
      <c r="E5573" s="4">
        <v>3000</v>
      </c>
    </row>
    <row r="5574" spans="1:5" ht="26.25" x14ac:dyDescent="0.25">
      <c r="A5574" s="2" t="s">
        <v>10</v>
      </c>
      <c r="B5574" s="2" t="str">
        <f>"76481524"</f>
        <v>76481524</v>
      </c>
      <c r="C5574" s="2" t="str">
        <f>"76481524"</f>
        <v>76481524</v>
      </c>
      <c r="D5574" s="2" t="s">
        <v>4043</v>
      </c>
      <c r="E5574" s="4">
        <v>3500</v>
      </c>
    </row>
    <row r="5575" spans="1:5" ht="26.25" x14ac:dyDescent="0.25">
      <c r="A5575" s="2" t="s">
        <v>10</v>
      </c>
      <c r="B5575" s="2" t="str">
        <f>"765815133"</f>
        <v>765815133</v>
      </c>
      <c r="C5575" s="2" t="str">
        <f>"765815133"</f>
        <v>765815133</v>
      </c>
      <c r="D5575" s="2" t="s">
        <v>4044</v>
      </c>
      <c r="E5575" s="4">
        <v>4500</v>
      </c>
    </row>
    <row r="5576" spans="1:5" ht="26.25" x14ac:dyDescent="0.25">
      <c r="A5576" s="2" t="s">
        <v>10</v>
      </c>
      <c r="B5576" s="2" t="str">
        <f>"174815133"</f>
        <v>174815133</v>
      </c>
      <c r="C5576" s="2" t="str">
        <f>"174815133"</f>
        <v>174815133</v>
      </c>
      <c r="D5576" s="2" t="s">
        <v>4044</v>
      </c>
      <c r="E5576" s="4">
        <v>3500</v>
      </c>
    </row>
    <row r="5577" spans="1:5" ht="26.25" x14ac:dyDescent="0.25">
      <c r="A5577" s="2" t="s">
        <v>10</v>
      </c>
      <c r="B5577" s="2" t="str">
        <f>"344815133"</f>
        <v>344815133</v>
      </c>
      <c r="C5577" s="2" t="str">
        <f>"344815133"</f>
        <v>344815133</v>
      </c>
      <c r="D5577" s="2" t="s">
        <v>4044</v>
      </c>
      <c r="E5577" s="4">
        <v>3500</v>
      </c>
    </row>
    <row r="5578" spans="1:5" ht="26.25" x14ac:dyDescent="0.25">
      <c r="A5578" s="2" t="s">
        <v>10</v>
      </c>
      <c r="B5578" s="2" t="str">
        <f>"764815176"</f>
        <v>764815176</v>
      </c>
      <c r="C5578" s="2" t="str">
        <f>"764815176"</f>
        <v>764815176</v>
      </c>
      <c r="D5578" s="2" t="s">
        <v>4045</v>
      </c>
      <c r="E5578" s="4">
        <v>3000</v>
      </c>
    </row>
    <row r="5579" spans="1:5" ht="26.25" x14ac:dyDescent="0.25">
      <c r="A5579" s="2" t="s">
        <v>10</v>
      </c>
      <c r="B5579" s="2" t="str">
        <f>"17510213"</f>
        <v>17510213</v>
      </c>
      <c r="C5579" s="2" t="str">
        <f>"17510213"</f>
        <v>17510213</v>
      </c>
      <c r="D5579" s="2" t="s">
        <v>4046</v>
      </c>
      <c r="E5579" s="4">
        <v>4500</v>
      </c>
    </row>
    <row r="5580" spans="1:5" ht="26.25" x14ac:dyDescent="0.25">
      <c r="A5580" s="2" t="s">
        <v>10</v>
      </c>
      <c r="B5580" s="2" t="str">
        <f>"61480213"</f>
        <v>61480213</v>
      </c>
      <c r="C5580" s="2" t="str">
        <f>"61480213"</f>
        <v>61480213</v>
      </c>
      <c r="D5580" s="2" t="s">
        <v>4047</v>
      </c>
      <c r="E5580" s="4">
        <v>3500</v>
      </c>
    </row>
    <row r="5581" spans="1:5" ht="26.25" x14ac:dyDescent="0.25">
      <c r="A5581" s="2" t="s">
        <v>10</v>
      </c>
      <c r="B5581" s="2" t="str">
        <f>"68510210"</f>
        <v>68510210</v>
      </c>
      <c r="C5581" s="2" t="str">
        <f>"68510210"</f>
        <v>68510210</v>
      </c>
      <c r="D5581" s="2" t="s">
        <v>4048</v>
      </c>
      <c r="E5581" s="4">
        <v>3500</v>
      </c>
    </row>
    <row r="5582" spans="1:5" ht="26.25" x14ac:dyDescent="0.25">
      <c r="A5582" s="2" t="s">
        <v>10</v>
      </c>
      <c r="B5582" s="2" t="str">
        <f>"13560213"</f>
        <v>13560213</v>
      </c>
      <c r="C5582" s="2" t="str">
        <f>"13560213"</f>
        <v>13560213</v>
      </c>
      <c r="D5582" s="2" t="s">
        <v>4049</v>
      </c>
      <c r="E5582" s="4">
        <v>5000</v>
      </c>
    </row>
    <row r="5583" spans="1:5" ht="26.25" x14ac:dyDescent="0.25">
      <c r="A5583" s="2" t="s">
        <v>10</v>
      </c>
      <c r="B5583" s="2" t="str">
        <f>"13510213"</f>
        <v>13510213</v>
      </c>
      <c r="C5583" s="2" t="str">
        <f>"13510213"</f>
        <v>13510213</v>
      </c>
      <c r="D5583" s="2" t="s">
        <v>4049</v>
      </c>
      <c r="E5583" s="4">
        <v>4500</v>
      </c>
    </row>
    <row r="5584" spans="1:5" ht="26.25" x14ac:dyDescent="0.25">
      <c r="A5584" s="2" t="s">
        <v>10</v>
      </c>
      <c r="B5584" s="2" t="str">
        <f>"13510222"</f>
        <v>13510222</v>
      </c>
      <c r="C5584" s="2" t="str">
        <f>"13510222"</f>
        <v>13510222</v>
      </c>
      <c r="D5584" s="2" t="s">
        <v>4050</v>
      </c>
      <c r="E5584" s="4">
        <v>4500</v>
      </c>
    </row>
    <row r="5585" spans="1:5" ht="26.25" x14ac:dyDescent="0.25">
      <c r="A5585" s="2" t="s">
        <v>10</v>
      </c>
      <c r="B5585" s="2" t="str">
        <f>"13510214"</f>
        <v>13510214</v>
      </c>
      <c r="C5585" s="2" t="str">
        <f>"13510214"</f>
        <v>13510214</v>
      </c>
      <c r="D5585" s="2" t="s">
        <v>4051</v>
      </c>
      <c r="E5585" s="4">
        <v>4500</v>
      </c>
    </row>
    <row r="5586" spans="1:5" ht="26.25" x14ac:dyDescent="0.25">
      <c r="A5586" s="2" t="s">
        <v>10</v>
      </c>
      <c r="B5586" s="2" t="str">
        <f>"76510214"</f>
        <v>76510214</v>
      </c>
      <c r="C5586" s="2" t="str">
        <f>"76510214"</f>
        <v>76510214</v>
      </c>
      <c r="D5586" s="2" t="s">
        <v>4051</v>
      </c>
      <c r="E5586" s="4">
        <v>5500</v>
      </c>
    </row>
    <row r="5587" spans="1:5" ht="26.25" x14ac:dyDescent="0.25">
      <c r="A5587" s="2" t="s">
        <v>10</v>
      </c>
      <c r="B5587" s="2" t="str">
        <f>"68510211"</f>
        <v>68510211</v>
      </c>
      <c r="C5587" s="2" t="str">
        <f>"68510211"</f>
        <v>68510211</v>
      </c>
      <c r="D5587" s="2" t="s">
        <v>4052</v>
      </c>
      <c r="E5587" s="4">
        <v>4500</v>
      </c>
    </row>
    <row r="5588" spans="1:5" ht="26.25" x14ac:dyDescent="0.25">
      <c r="A5588" s="2" t="s">
        <v>10</v>
      </c>
      <c r="B5588" s="2" t="str">
        <f>"68510212"</f>
        <v>68510212</v>
      </c>
      <c r="C5588" s="2" t="str">
        <f>"68510212"</f>
        <v>68510212</v>
      </c>
      <c r="D5588" s="2" t="s">
        <v>4053</v>
      </c>
      <c r="E5588" s="4">
        <v>4500</v>
      </c>
    </row>
    <row r="5589" spans="1:5" ht="26.25" x14ac:dyDescent="0.25">
      <c r="A5589" s="2" t="s">
        <v>10</v>
      </c>
      <c r="B5589" s="2" t="str">
        <f>"13560219"</f>
        <v>13560219</v>
      </c>
      <c r="C5589" s="2" t="str">
        <f>"13560219"</f>
        <v>13560219</v>
      </c>
      <c r="D5589" s="2" t="s">
        <v>4054</v>
      </c>
      <c r="E5589" s="4">
        <v>5000</v>
      </c>
    </row>
    <row r="5590" spans="1:5" ht="26.25" x14ac:dyDescent="0.25">
      <c r="A5590" s="2" t="s">
        <v>10</v>
      </c>
      <c r="B5590" s="2" t="str">
        <f>"13510221"</f>
        <v>13510221</v>
      </c>
      <c r="C5590" s="2" t="str">
        <f>"13510221"</f>
        <v>13510221</v>
      </c>
      <c r="D5590" s="2" t="s">
        <v>4055</v>
      </c>
      <c r="E5590" s="4">
        <v>4500</v>
      </c>
    </row>
    <row r="5591" spans="1:5" ht="26.25" x14ac:dyDescent="0.25">
      <c r="A5591" s="2" t="s">
        <v>10</v>
      </c>
      <c r="B5591" s="2" t="str">
        <f>"13560221"</f>
        <v>13560221</v>
      </c>
      <c r="C5591" s="2" t="str">
        <f>"13560221"</f>
        <v>13560221</v>
      </c>
      <c r="D5591" s="2" t="s">
        <v>4055</v>
      </c>
      <c r="E5591" s="4">
        <v>5000</v>
      </c>
    </row>
    <row r="5592" spans="1:5" ht="26.25" x14ac:dyDescent="0.25">
      <c r="A5592" s="2" t="s">
        <v>10</v>
      </c>
      <c r="B5592" s="2" t="str">
        <f>"34510202"</f>
        <v>34510202</v>
      </c>
      <c r="C5592" s="2" t="str">
        <f>"34510202"</f>
        <v>34510202</v>
      </c>
      <c r="D5592" s="2" t="s">
        <v>4056</v>
      </c>
      <c r="E5592" s="4">
        <v>4000</v>
      </c>
    </row>
    <row r="5593" spans="1:5" ht="26.25" x14ac:dyDescent="0.25">
      <c r="A5593" s="2" t="s">
        <v>10</v>
      </c>
      <c r="B5593" s="2" t="str">
        <f>"174818186"</f>
        <v>174818186</v>
      </c>
      <c r="C5593" s="2" t="str">
        <f>"174818186"</f>
        <v>174818186</v>
      </c>
      <c r="D5593" s="2" t="s">
        <v>4057</v>
      </c>
      <c r="E5593" s="4">
        <v>3500</v>
      </c>
    </row>
    <row r="5594" spans="1:5" ht="26.25" x14ac:dyDescent="0.25">
      <c r="A5594" s="2" t="s">
        <v>10</v>
      </c>
      <c r="B5594" s="2" t="str">
        <f>"174818292"</f>
        <v>174818292</v>
      </c>
      <c r="C5594" s="2" t="str">
        <f>"174818292"</f>
        <v>174818292</v>
      </c>
      <c r="D5594" s="2" t="s">
        <v>4058</v>
      </c>
      <c r="E5594" s="4">
        <v>3500</v>
      </c>
    </row>
    <row r="5595" spans="1:5" ht="26.25" x14ac:dyDescent="0.25">
      <c r="A5595" s="2" t="s">
        <v>10</v>
      </c>
      <c r="B5595" s="2" t="str">
        <f>"174818273"</f>
        <v>174818273</v>
      </c>
      <c r="C5595" s="2" t="str">
        <f>"174818273"</f>
        <v>174818273</v>
      </c>
      <c r="D5595" s="2" t="s">
        <v>4059</v>
      </c>
      <c r="E5595" s="4">
        <v>3600</v>
      </c>
    </row>
    <row r="5596" spans="1:5" ht="26.25" x14ac:dyDescent="0.25">
      <c r="A5596" s="2" t="s">
        <v>10</v>
      </c>
      <c r="B5596" s="2" t="str">
        <f>"764818186"</f>
        <v>764818186</v>
      </c>
      <c r="C5596" s="2" t="str">
        <f>"764818186"</f>
        <v>764818186</v>
      </c>
      <c r="D5596" s="2" t="s">
        <v>4060</v>
      </c>
      <c r="E5596" s="4">
        <v>3500</v>
      </c>
    </row>
    <row r="5597" spans="1:5" ht="26.25" x14ac:dyDescent="0.25">
      <c r="A5597" s="2" t="s">
        <v>10</v>
      </c>
      <c r="B5597" s="2" t="str">
        <f>"174818201"</f>
        <v>174818201</v>
      </c>
      <c r="C5597" s="2" t="str">
        <f>"174818201"</f>
        <v>174818201</v>
      </c>
      <c r="D5597" s="2" t="s">
        <v>4061</v>
      </c>
      <c r="E5597" s="4">
        <v>3500</v>
      </c>
    </row>
    <row r="5598" spans="1:5" ht="26.25" x14ac:dyDescent="0.25">
      <c r="A5598" s="2" t="s">
        <v>10</v>
      </c>
      <c r="B5598" s="2" t="str">
        <f>"174818226"</f>
        <v>174818226</v>
      </c>
      <c r="C5598" s="2" t="str">
        <f>"174818226"</f>
        <v>174818226</v>
      </c>
      <c r="D5598" s="2" t="s">
        <v>4062</v>
      </c>
      <c r="E5598" s="4">
        <v>3000</v>
      </c>
    </row>
    <row r="5599" spans="1:5" ht="26.25" x14ac:dyDescent="0.25">
      <c r="A5599" s="2" t="s">
        <v>10</v>
      </c>
      <c r="B5599" s="2" t="str">
        <f>"174818288"</f>
        <v>174818288</v>
      </c>
      <c r="C5599" s="2" t="str">
        <f>"174818288"</f>
        <v>174818288</v>
      </c>
      <c r="D5599" s="2" t="s">
        <v>4063</v>
      </c>
      <c r="E5599" s="4">
        <v>3000</v>
      </c>
    </row>
    <row r="5600" spans="1:5" ht="26.25" x14ac:dyDescent="0.25">
      <c r="A5600" s="2" t="s">
        <v>10</v>
      </c>
      <c r="B5600" s="2" t="str">
        <f>"174823289"</f>
        <v>174823289</v>
      </c>
      <c r="C5600" s="2" t="str">
        <f>"174823289"</f>
        <v>174823289</v>
      </c>
      <c r="D5600" s="2" t="s">
        <v>4064</v>
      </c>
      <c r="E5600" s="4">
        <v>3000</v>
      </c>
    </row>
    <row r="5601" spans="1:5" ht="26.25" x14ac:dyDescent="0.25">
      <c r="A5601" s="2" t="s">
        <v>10</v>
      </c>
      <c r="B5601" s="2" t="str">
        <f>"684818289"</f>
        <v>684818289</v>
      </c>
      <c r="C5601" s="2" t="str">
        <f>"684818289"</f>
        <v>684818289</v>
      </c>
      <c r="D5601" s="2" t="s">
        <v>4064</v>
      </c>
      <c r="E5601" s="4">
        <v>3500</v>
      </c>
    </row>
    <row r="5602" spans="1:5" ht="26.25" x14ac:dyDescent="0.25">
      <c r="A5602" s="2" t="s">
        <v>4065</v>
      </c>
      <c r="B5602" s="2" t="str">
        <f>"340107254"</f>
        <v>340107254</v>
      </c>
      <c r="C5602" s="2" t="str">
        <f>"340107254"</f>
        <v>340107254</v>
      </c>
      <c r="D5602" s="2" t="s">
        <v>4066</v>
      </c>
      <c r="E5602" s="4">
        <v>4900</v>
      </c>
    </row>
    <row r="5603" spans="1:5" ht="26.25" x14ac:dyDescent="0.25">
      <c r="A5603" s="2" t="s">
        <v>4065</v>
      </c>
      <c r="B5603" s="2" t="str">
        <f>"17010715"</f>
        <v>17010715</v>
      </c>
      <c r="C5603" s="2" t="str">
        <f>"17010715"</f>
        <v>17010715</v>
      </c>
      <c r="D5603" s="2" t="s">
        <v>4067</v>
      </c>
      <c r="E5603" s="4">
        <v>5000</v>
      </c>
    </row>
    <row r="5604" spans="1:5" ht="26.25" x14ac:dyDescent="0.25">
      <c r="A5604" s="2" t="s">
        <v>4065</v>
      </c>
      <c r="B5604" s="2" t="str">
        <f>"34010717"</f>
        <v>34010717</v>
      </c>
      <c r="C5604" s="2" t="str">
        <f>"34010717"</f>
        <v>34010717</v>
      </c>
      <c r="D5604" s="2" t="s">
        <v>4068</v>
      </c>
      <c r="E5604" s="4">
        <v>4900</v>
      </c>
    </row>
    <row r="5605" spans="1:5" ht="26.25" x14ac:dyDescent="0.25">
      <c r="A5605" s="2" t="s">
        <v>4065</v>
      </c>
      <c r="B5605" s="2" t="str">
        <f>"17010716"</f>
        <v>17010716</v>
      </c>
      <c r="C5605" s="2" t="str">
        <f>"17010716"</f>
        <v>17010716</v>
      </c>
      <c r="D5605" s="2" t="s">
        <v>4069</v>
      </c>
      <c r="E5605" s="4">
        <v>5000</v>
      </c>
    </row>
    <row r="5606" spans="1:5" ht="26.25" x14ac:dyDescent="0.25">
      <c r="A5606" s="2" t="s">
        <v>4065</v>
      </c>
      <c r="B5606" s="2" t="str">
        <f>"34010716"</f>
        <v>34010716</v>
      </c>
      <c r="C5606" s="2" t="str">
        <f>"34010716"</f>
        <v>34010716</v>
      </c>
      <c r="D5606" s="2" t="s">
        <v>4069</v>
      </c>
      <c r="E5606" s="4">
        <v>4900</v>
      </c>
    </row>
    <row r="5607" spans="1:5" ht="26.25" x14ac:dyDescent="0.25">
      <c r="A5607" s="2" t="s">
        <v>4065</v>
      </c>
      <c r="B5607" s="2" t="str">
        <f>"340107253"</f>
        <v>340107253</v>
      </c>
      <c r="C5607" s="2" t="str">
        <f>"340107253"</f>
        <v>340107253</v>
      </c>
      <c r="D5607" s="2" t="s">
        <v>4070</v>
      </c>
      <c r="E5607" s="4">
        <v>4900</v>
      </c>
    </row>
    <row r="5608" spans="1:5" ht="26.25" x14ac:dyDescent="0.25">
      <c r="A5608" s="2" t="s">
        <v>4065</v>
      </c>
      <c r="B5608" s="2" t="str">
        <f>"34011447"</f>
        <v>34011447</v>
      </c>
      <c r="C5608" s="2" t="str">
        <f>"34011447"</f>
        <v>34011447</v>
      </c>
      <c r="D5608" s="2" t="s">
        <v>4071</v>
      </c>
      <c r="E5608" s="4">
        <v>4900</v>
      </c>
    </row>
    <row r="5609" spans="1:5" ht="26.25" x14ac:dyDescent="0.25">
      <c r="A5609" s="2" t="s">
        <v>4065</v>
      </c>
      <c r="B5609" s="2" t="str">
        <f>"340114178"</f>
        <v>340114178</v>
      </c>
      <c r="C5609" s="2" t="str">
        <f>"340114178"</f>
        <v>340114178</v>
      </c>
      <c r="D5609" s="2" t="s">
        <v>4072</v>
      </c>
      <c r="E5609" s="4">
        <v>4900</v>
      </c>
    </row>
    <row r="5610" spans="1:5" ht="26.25" x14ac:dyDescent="0.25">
      <c r="A5610" s="2" t="s">
        <v>4065</v>
      </c>
      <c r="B5610" s="2" t="str">
        <f>"170114191"</f>
        <v>170114191</v>
      </c>
      <c r="C5610" s="2" t="str">
        <f>"170114191"</f>
        <v>170114191</v>
      </c>
      <c r="D5610" s="2" t="s">
        <v>4073</v>
      </c>
      <c r="E5610" s="4">
        <v>5000</v>
      </c>
    </row>
    <row r="5611" spans="1:5" ht="26.25" x14ac:dyDescent="0.25">
      <c r="A5611" s="2" t="s">
        <v>4065</v>
      </c>
      <c r="B5611" s="2" t="str">
        <f>"340214125"</f>
        <v>340214125</v>
      </c>
      <c r="C5611" s="2" t="str">
        <f>"340214125"</f>
        <v>340214125</v>
      </c>
      <c r="D5611" s="2" t="s">
        <v>4074</v>
      </c>
      <c r="E5611" s="4">
        <v>5900</v>
      </c>
    </row>
    <row r="5612" spans="1:5" ht="26.25" x14ac:dyDescent="0.25">
      <c r="A5612" s="2" t="s">
        <v>14</v>
      </c>
      <c r="B5612" s="2" t="str">
        <f>"860105247"</f>
        <v>860105247</v>
      </c>
      <c r="C5612" s="2" t="str">
        <f>"860105247"</f>
        <v>860105247</v>
      </c>
      <c r="D5612" s="2" t="s">
        <v>4075</v>
      </c>
      <c r="E5612" s="4">
        <v>4500</v>
      </c>
    </row>
    <row r="5613" spans="1:5" ht="26.25" x14ac:dyDescent="0.25">
      <c r="A5613" s="2" t="s">
        <v>14</v>
      </c>
      <c r="B5613" s="2" t="str">
        <f>"860105299"</f>
        <v>860105299</v>
      </c>
      <c r="C5613" s="2" t="str">
        <f>"860105299"</f>
        <v>860105299</v>
      </c>
      <c r="D5613" s="2" t="s">
        <v>4076</v>
      </c>
      <c r="E5613" s="4">
        <v>4500</v>
      </c>
    </row>
    <row r="5614" spans="1:5" ht="26.25" x14ac:dyDescent="0.25">
      <c r="A5614" s="2" t="s">
        <v>4077</v>
      </c>
      <c r="B5614" s="2" t="str">
        <f>"764405299"</f>
        <v>764405299</v>
      </c>
      <c r="C5614" s="2" t="str">
        <f>"764405299"</f>
        <v>764405299</v>
      </c>
      <c r="D5614" s="2" t="s">
        <v>4076</v>
      </c>
      <c r="E5614" s="4">
        <v>4000</v>
      </c>
    </row>
    <row r="5615" spans="1:5" ht="26.25" x14ac:dyDescent="0.25">
      <c r="A5615" s="2" t="s">
        <v>4077</v>
      </c>
      <c r="B5615" s="2" t="str">
        <f>"764405280"</f>
        <v>764405280</v>
      </c>
      <c r="C5615" s="2" t="str">
        <f>"764405280"</f>
        <v>764405280</v>
      </c>
      <c r="D5615" s="2" t="s">
        <v>4078</v>
      </c>
      <c r="E5615" s="4">
        <v>4000</v>
      </c>
    </row>
    <row r="5616" spans="1:5" ht="26.25" x14ac:dyDescent="0.25">
      <c r="A5616" s="2" t="s">
        <v>4077</v>
      </c>
      <c r="B5616" s="2" t="str">
        <f>"764405160"</f>
        <v>764405160</v>
      </c>
      <c r="C5616" s="2" t="str">
        <f>"764405160"</f>
        <v>764405160</v>
      </c>
      <c r="D5616" s="2" t="s">
        <v>4079</v>
      </c>
      <c r="E5616" s="4">
        <v>4000</v>
      </c>
    </row>
    <row r="5617" spans="1:5" ht="26.25" x14ac:dyDescent="0.25">
      <c r="A5617" s="2" t="s">
        <v>14</v>
      </c>
      <c r="B5617" s="2" t="str">
        <f>"76010715"</f>
        <v>76010715</v>
      </c>
      <c r="C5617" s="2" t="str">
        <f>"76010715"</f>
        <v>76010715</v>
      </c>
      <c r="D5617" s="2" t="s">
        <v>4080</v>
      </c>
      <c r="E5617" s="4">
        <v>4900</v>
      </c>
    </row>
    <row r="5618" spans="1:5" ht="26.25" x14ac:dyDescent="0.25">
      <c r="A5618" s="2" t="s">
        <v>4077</v>
      </c>
      <c r="B5618" s="2" t="str">
        <f>"34020715"</f>
        <v>34020715</v>
      </c>
      <c r="C5618" s="2" t="str">
        <f>"34020715"</f>
        <v>34020715</v>
      </c>
      <c r="D5618" s="2" t="s">
        <v>4080</v>
      </c>
      <c r="E5618" s="4">
        <v>5900</v>
      </c>
    </row>
    <row r="5619" spans="1:5" ht="26.25" x14ac:dyDescent="0.25">
      <c r="A5619" s="2" t="s">
        <v>4077</v>
      </c>
      <c r="B5619" s="2" t="str">
        <f>"86010715"</f>
        <v>86010715</v>
      </c>
      <c r="C5619" s="2" t="str">
        <f>"86010715"</f>
        <v>86010715</v>
      </c>
      <c r="D5619" s="2" t="s">
        <v>4080</v>
      </c>
      <c r="E5619" s="4">
        <v>3500</v>
      </c>
    </row>
    <row r="5620" spans="1:5" ht="26.25" x14ac:dyDescent="0.25">
      <c r="A5620" s="2" t="s">
        <v>4077</v>
      </c>
      <c r="B5620" s="2" t="str">
        <f>"41010715"</f>
        <v>41010715</v>
      </c>
      <c r="C5620" s="2" t="str">
        <f>"41010715"</f>
        <v>41010715</v>
      </c>
      <c r="D5620" s="2" t="s">
        <v>4080</v>
      </c>
      <c r="E5620" s="4">
        <v>4500</v>
      </c>
    </row>
    <row r="5621" spans="1:5" ht="26.25" x14ac:dyDescent="0.25">
      <c r="A5621" s="2" t="s">
        <v>4077</v>
      </c>
      <c r="B5621" s="2" t="str">
        <f>"34020716"</f>
        <v>34020716</v>
      </c>
      <c r="C5621" s="2" t="str">
        <f>"34020716"</f>
        <v>34020716</v>
      </c>
      <c r="D5621" s="2" t="s">
        <v>4081</v>
      </c>
      <c r="E5621" s="4">
        <v>5900</v>
      </c>
    </row>
    <row r="5622" spans="1:5" ht="26.25" x14ac:dyDescent="0.25">
      <c r="A5622" s="2" t="s">
        <v>4077</v>
      </c>
      <c r="B5622" s="2" t="str">
        <f>"68830716"</f>
        <v>68830716</v>
      </c>
      <c r="C5622" s="2" t="str">
        <f>"68830716"</f>
        <v>68830716</v>
      </c>
      <c r="D5622" s="2" t="s">
        <v>4081</v>
      </c>
      <c r="E5622" s="4">
        <v>6500</v>
      </c>
    </row>
    <row r="5623" spans="1:5" ht="26.25" x14ac:dyDescent="0.25">
      <c r="A5623" s="2" t="s">
        <v>4077</v>
      </c>
      <c r="B5623" s="2" t="str">
        <f>"68830717"</f>
        <v>68830717</v>
      </c>
      <c r="C5623" s="2" t="str">
        <f>"68830717"</f>
        <v>68830717</v>
      </c>
      <c r="D5623" s="2" t="s">
        <v>4081</v>
      </c>
      <c r="E5623" s="4">
        <v>6500</v>
      </c>
    </row>
    <row r="5624" spans="1:5" ht="26.25" x14ac:dyDescent="0.25">
      <c r="A5624" s="2" t="s">
        <v>4077</v>
      </c>
      <c r="B5624" s="2" t="str">
        <f>"34030716"</f>
        <v>34030716</v>
      </c>
      <c r="C5624" s="2" t="str">
        <f>"34030716"</f>
        <v>34030716</v>
      </c>
      <c r="D5624" s="2" t="s">
        <v>4081</v>
      </c>
      <c r="E5624" s="4">
        <v>4900</v>
      </c>
    </row>
    <row r="5625" spans="1:5" ht="26.25" x14ac:dyDescent="0.25">
      <c r="A5625" s="2" t="s">
        <v>4077</v>
      </c>
      <c r="B5625" s="2" t="str">
        <f>"41010716"</f>
        <v>41010716</v>
      </c>
      <c r="C5625" s="2" t="str">
        <f>"41010716"</f>
        <v>41010716</v>
      </c>
      <c r="D5625" s="2" t="s">
        <v>4081</v>
      </c>
      <c r="E5625" s="4">
        <v>4500</v>
      </c>
    </row>
    <row r="5626" spans="1:5" ht="26.25" x14ac:dyDescent="0.25">
      <c r="A5626" s="2" t="s">
        <v>4077</v>
      </c>
      <c r="B5626" s="2" t="str">
        <f>"34030717"</f>
        <v>34030717</v>
      </c>
      <c r="C5626" s="2" t="str">
        <f>"34030717"</f>
        <v>34030717</v>
      </c>
      <c r="D5626" s="2" t="s">
        <v>4082</v>
      </c>
      <c r="E5626" s="4">
        <v>4900</v>
      </c>
    </row>
    <row r="5627" spans="1:5" ht="26.25" x14ac:dyDescent="0.25">
      <c r="A5627" s="2" t="s">
        <v>4077</v>
      </c>
      <c r="B5627" s="2" t="str">
        <f>"340207253"</f>
        <v>340207253</v>
      </c>
      <c r="C5627" s="2" t="str">
        <f>"340207253"</f>
        <v>340207253</v>
      </c>
      <c r="D5627" s="2" t="s">
        <v>4083</v>
      </c>
      <c r="E5627" s="4">
        <v>5900</v>
      </c>
    </row>
    <row r="5628" spans="1:5" ht="26.25" x14ac:dyDescent="0.25">
      <c r="A5628" s="2" t="s">
        <v>4065</v>
      </c>
      <c r="B5628" s="2" t="str">
        <f>"410107253"</f>
        <v>410107253</v>
      </c>
      <c r="C5628" s="2" t="str">
        <f>"410107253"</f>
        <v>410107253</v>
      </c>
      <c r="D5628" s="2" t="s">
        <v>4084</v>
      </c>
      <c r="E5628" s="4">
        <v>4500</v>
      </c>
    </row>
    <row r="5629" spans="1:5" ht="26.25" x14ac:dyDescent="0.25">
      <c r="A5629" s="2" t="s">
        <v>14</v>
      </c>
      <c r="B5629" s="2" t="str">
        <f>"860109293"</f>
        <v>860109293</v>
      </c>
      <c r="C5629" s="2" t="str">
        <f>"860109293"</f>
        <v>860109293</v>
      </c>
      <c r="D5629" s="2" t="s">
        <v>4085</v>
      </c>
      <c r="E5629" s="4">
        <v>4500</v>
      </c>
    </row>
    <row r="5630" spans="1:5" ht="26.25" x14ac:dyDescent="0.25">
      <c r="A5630" s="2" t="s">
        <v>4077</v>
      </c>
      <c r="B5630" s="2" t="str">
        <f>"860109215"</f>
        <v>860109215</v>
      </c>
      <c r="C5630" s="2" t="str">
        <f>"860109215"</f>
        <v>860109215</v>
      </c>
      <c r="D5630" s="2" t="s">
        <v>4086</v>
      </c>
      <c r="E5630" s="4">
        <v>4500</v>
      </c>
    </row>
    <row r="5631" spans="1:5" ht="26.25" x14ac:dyDescent="0.25">
      <c r="A5631" s="2" t="s">
        <v>4077</v>
      </c>
      <c r="B5631" s="2" t="str">
        <f>"764409292"</f>
        <v>764409292</v>
      </c>
      <c r="C5631" s="2" t="str">
        <f>"764409292"</f>
        <v>764409292</v>
      </c>
      <c r="D5631" s="2" t="s">
        <v>4087</v>
      </c>
      <c r="E5631" s="4">
        <v>4000</v>
      </c>
    </row>
    <row r="5632" spans="1:5" ht="26.25" x14ac:dyDescent="0.25">
      <c r="A5632" s="2" t="s">
        <v>4077</v>
      </c>
      <c r="B5632" s="2" t="str">
        <f>"860110304"</f>
        <v>860110304</v>
      </c>
      <c r="C5632" s="2" t="str">
        <f>"860110304"</f>
        <v>860110304</v>
      </c>
      <c r="D5632" s="2" t="s">
        <v>4088</v>
      </c>
      <c r="E5632" s="4">
        <v>4500</v>
      </c>
    </row>
    <row r="5633" spans="1:5" ht="26.25" x14ac:dyDescent="0.25">
      <c r="A5633" s="2" t="s">
        <v>14</v>
      </c>
      <c r="B5633" s="2" t="str">
        <f>"860110306"</f>
        <v>860110306</v>
      </c>
      <c r="C5633" s="2" t="str">
        <f>"860110306"</f>
        <v>860110306</v>
      </c>
      <c r="D5633" s="2" t="s">
        <v>4089</v>
      </c>
      <c r="E5633" s="4">
        <v>4500</v>
      </c>
    </row>
    <row r="5634" spans="1:5" ht="26.25" x14ac:dyDescent="0.25">
      <c r="A5634" s="2" t="s">
        <v>14</v>
      </c>
      <c r="B5634" s="2" t="str">
        <f>"760110295"</f>
        <v>760110295</v>
      </c>
      <c r="C5634" s="2" t="str">
        <f>"760110295"</f>
        <v>760110295</v>
      </c>
      <c r="D5634" s="2" t="s">
        <v>4090</v>
      </c>
      <c r="E5634" s="4">
        <v>4900</v>
      </c>
    </row>
    <row r="5635" spans="1:5" ht="26.25" x14ac:dyDescent="0.25">
      <c r="A5635" s="2" t="s">
        <v>14</v>
      </c>
      <c r="B5635" s="2" t="str">
        <f>"760110296"</f>
        <v>760110296</v>
      </c>
      <c r="C5635" s="2" t="str">
        <f>"760110296"</f>
        <v>760110296</v>
      </c>
      <c r="D5635" s="2" t="s">
        <v>4091</v>
      </c>
      <c r="E5635" s="4">
        <v>4900</v>
      </c>
    </row>
    <row r="5636" spans="1:5" ht="26.25" x14ac:dyDescent="0.25">
      <c r="A5636" s="2" t="s">
        <v>4077</v>
      </c>
      <c r="B5636" s="2" t="str">
        <f>"764410299"</f>
        <v>764410299</v>
      </c>
      <c r="C5636" s="2" t="str">
        <f>"764410299"</f>
        <v>764410299</v>
      </c>
      <c r="D5636" s="2" t="s">
        <v>4092</v>
      </c>
      <c r="E5636" s="4">
        <v>4000</v>
      </c>
    </row>
    <row r="5637" spans="1:5" ht="26.25" x14ac:dyDescent="0.25">
      <c r="A5637" s="2" t="s">
        <v>4077</v>
      </c>
      <c r="B5637" s="2" t="str">
        <f>"764414168"</f>
        <v>764414168</v>
      </c>
      <c r="C5637" s="2" t="str">
        <f>"764414168"</f>
        <v>764414168</v>
      </c>
      <c r="D5637" s="2" t="s">
        <v>4093</v>
      </c>
      <c r="E5637" s="4">
        <v>4000</v>
      </c>
    </row>
    <row r="5638" spans="1:5" ht="26.25" x14ac:dyDescent="0.25">
      <c r="A5638" s="2" t="s">
        <v>4077</v>
      </c>
      <c r="B5638" s="2" t="str">
        <f>"764414139"</f>
        <v>764414139</v>
      </c>
      <c r="C5638" s="2" t="str">
        <f>"764414139"</f>
        <v>764414139</v>
      </c>
      <c r="D5638" s="2" t="s">
        <v>4094</v>
      </c>
      <c r="E5638" s="4">
        <v>4000</v>
      </c>
    </row>
    <row r="5639" spans="1:5" ht="26.25" x14ac:dyDescent="0.25">
      <c r="A5639" s="2" t="s">
        <v>14</v>
      </c>
      <c r="B5639" s="2" t="str">
        <f>"860114283"</f>
        <v>860114283</v>
      </c>
      <c r="C5639" s="2" t="str">
        <f>"860114283"</f>
        <v>860114283</v>
      </c>
      <c r="D5639" s="2" t="s">
        <v>4095</v>
      </c>
      <c r="E5639" s="4">
        <v>4500</v>
      </c>
    </row>
    <row r="5640" spans="1:5" ht="26.25" x14ac:dyDescent="0.25">
      <c r="A5640" s="2" t="s">
        <v>4077</v>
      </c>
      <c r="B5640" s="2" t="str">
        <f>"764414283"</f>
        <v>764414283</v>
      </c>
      <c r="C5640" s="2" t="str">
        <f>"764414283"</f>
        <v>764414283</v>
      </c>
      <c r="D5640" s="2" t="s">
        <v>4095</v>
      </c>
      <c r="E5640" s="4">
        <v>4000</v>
      </c>
    </row>
    <row r="5641" spans="1:5" ht="26.25" x14ac:dyDescent="0.25">
      <c r="A5641" s="2" t="s">
        <v>4077</v>
      </c>
      <c r="B5641" s="2" t="str">
        <f>"860114270"</f>
        <v>860114270</v>
      </c>
      <c r="C5641" s="2" t="str">
        <f>"860114270"</f>
        <v>860114270</v>
      </c>
      <c r="D5641" s="2" t="s">
        <v>4096</v>
      </c>
      <c r="E5641" s="4">
        <v>4500</v>
      </c>
    </row>
    <row r="5642" spans="1:5" ht="26.25" x14ac:dyDescent="0.25">
      <c r="A5642" s="2" t="s">
        <v>4077</v>
      </c>
      <c r="B5642" s="2" t="str">
        <f>"764414270"</f>
        <v>764414270</v>
      </c>
      <c r="C5642" s="2" t="str">
        <f>"764414270"</f>
        <v>764414270</v>
      </c>
      <c r="D5642" s="2" t="s">
        <v>4096</v>
      </c>
      <c r="E5642" s="4">
        <v>4000</v>
      </c>
    </row>
    <row r="5643" spans="1:5" ht="26.25" x14ac:dyDescent="0.25">
      <c r="A5643" s="2" t="s">
        <v>4077</v>
      </c>
      <c r="B5643" s="2" t="str">
        <f>"764414128"</f>
        <v>764414128</v>
      </c>
      <c r="C5643" s="2" t="str">
        <f>"764414128"</f>
        <v>764414128</v>
      </c>
      <c r="D5643" s="2" t="s">
        <v>4097</v>
      </c>
      <c r="E5643" s="4">
        <v>4000</v>
      </c>
    </row>
    <row r="5644" spans="1:5" ht="26.25" x14ac:dyDescent="0.25">
      <c r="A5644" s="2" t="s">
        <v>4077</v>
      </c>
      <c r="B5644" s="2" t="str">
        <f>"860114126"</f>
        <v>860114126</v>
      </c>
      <c r="C5644" s="2" t="str">
        <f>"860114126"</f>
        <v>860114126</v>
      </c>
      <c r="D5644" s="2" t="s">
        <v>4098</v>
      </c>
      <c r="E5644" s="4">
        <v>4500</v>
      </c>
    </row>
    <row r="5645" spans="1:5" ht="26.25" x14ac:dyDescent="0.25">
      <c r="A5645" s="2" t="s">
        <v>14</v>
      </c>
      <c r="B5645" s="2" t="str">
        <f>"860114266"</f>
        <v>860114266</v>
      </c>
      <c r="C5645" s="2" t="str">
        <f>"860114266"</f>
        <v>860114266</v>
      </c>
      <c r="D5645" s="2" t="s">
        <v>4099</v>
      </c>
      <c r="E5645" s="4">
        <v>4500</v>
      </c>
    </row>
    <row r="5646" spans="1:5" ht="26.25" x14ac:dyDescent="0.25">
      <c r="A5646" s="2" t="s">
        <v>4077</v>
      </c>
      <c r="B5646" s="2" t="str">
        <f>"410114266"</f>
        <v>410114266</v>
      </c>
      <c r="C5646" s="2" t="str">
        <f>"410114266"</f>
        <v>410114266</v>
      </c>
      <c r="D5646" s="2" t="s">
        <v>4099</v>
      </c>
      <c r="E5646" s="4">
        <v>4500</v>
      </c>
    </row>
    <row r="5647" spans="1:5" ht="26.25" x14ac:dyDescent="0.25">
      <c r="A5647" s="2" t="s">
        <v>4077</v>
      </c>
      <c r="B5647" s="2" t="str">
        <f>"860114129"</f>
        <v>860114129</v>
      </c>
      <c r="C5647" s="2" t="str">
        <f>"860114129"</f>
        <v>860114129</v>
      </c>
      <c r="D5647" s="2" t="s">
        <v>4100</v>
      </c>
      <c r="E5647" s="4">
        <v>4500</v>
      </c>
    </row>
    <row r="5648" spans="1:5" ht="26.25" x14ac:dyDescent="0.25">
      <c r="A5648" s="2" t="s">
        <v>4077</v>
      </c>
      <c r="B5648" s="2" t="str">
        <f>"764414129"</f>
        <v>764414129</v>
      </c>
      <c r="C5648" s="2" t="str">
        <f>"764414129"</f>
        <v>764414129</v>
      </c>
      <c r="D5648" s="2" t="s">
        <v>4100</v>
      </c>
      <c r="E5648" s="4">
        <v>4000</v>
      </c>
    </row>
    <row r="5649" spans="1:5" ht="26.25" x14ac:dyDescent="0.25">
      <c r="A5649" s="2" t="s">
        <v>4077</v>
      </c>
      <c r="B5649" s="2" t="str">
        <f>"860114127"</f>
        <v>860114127</v>
      </c>
      <c r="C5649" s="2" t="str">
        <f>"860114127"</f>
        <v>860114127</v>
      </c>
      <c r="D5649" s="2" t="s">
        <v>4101</v>
      </c>
      <c r="E5649" s="4">
        <v>4500</v>
      </c>
    </row>
    <row r="5650" spans="1:5" ht="26.25" x14ac:dyDescent="0.25">
      <c r="A5650" s="2" t="s">
        <v>14</v>
      </c>
      <c r="B5650" s="2" t="str">
        <f>"760114200"</f>
        <v>760114200</v>
      </c>
      <c r="C5650" s="2" t="str">
        <f>"760114200"</f>
        <v>760114200</v>
      </c>
      <c r="D5650" s="2" t="s">
        <v>4102</v>
      </c>
      <c r="E5650" s="4">
        <v>4900</v>
      </c>
    </row>
    <row r="5651" spans="1:5" ht="26.25" x14ac:dyDescent="0.25">
      <c r="A5651" s="2" t="s">
        <v>4077</v>
      </c>
      <c r="B5651" s="2" t="str">
        <f>"410114200"</f>
        <v>410114200</v>
      </c>
      <c r="C5651" s="2" t="str">
        <f>"410114200"</f>
        <v>410114200</v>
      </c>
      <c r="D5651" s="2" t="s">
        <v>4102</v>
      </c>
      <c r="E5651" s="4">
        <v>4500</v>
      </c>
    </row>
    <row r="5652" spans="1:5" ht="26.25" x14ac:dyDescent="0.25">
      <c r="A5652" s="2" t="s">
        <v>4077</v>
      </c>
      <c r="B5652" s="2" t="str">
        <f>"860114201"</f>
        <v>860114201</v>
      </c>
      <c r="C5652" s="2" t="str">
        <f>"860114201"</f>
        <v>860114201</v>
      </c>
      <c r="D5652" s="2" t="s">
        <v>4103</v>
      </c>
      <c r="E5652" s="4">
        <v>4500</v>
      </c>
    </row>
    <row r="5653" spans="1:5" ht="26.25" x14ac:dyDescent="0.25">
      <c r="A5653" s="2" t="s">
        <v>10</v>
      </c>
      <c r="B5653" s="2" t="str">
        <f>"17570715"</f>
        <v>17570715</v>
      </c>
      <c r="C5653" s="2" t="str">
        <f>"17570715"</f>
        <v>17570715</v>
      </c>
      <c r="D5653" s="2" t="s">
        <v>4104</v>
      </c>
      <c r="E5653" s="4">
        <v>4000</v>
      </c>
    </row>
    <row r="5654" spans="1:5" ht="26.25" x14ac:dyDescent="0.25">
      <c r="A5654" s="2" t="s">
        <v>10</v>
      </c>
      <c r="B5654" s="2" t="str">
        <f>"17570716"</f>
        <v>17570716</v>
      </c>
      <c r="C5654" s="2" t="str">
        <f>"17570716"</f>
        <v>17570716</v>
      </c>
      <c r="D5654" s="2" t="s">
        <v>4105</v>
      </c>
      <c r="E5654" s="4">
        <v>4000</v>
      </c>
    </row>
    <row r="5655" spans="1:5" ht="26.25" x14ac:dyDescent="0.25">
      <c r="A5655" s="2" t="s">
        <v>10</v>
      </c>
      <c r="B5655" s="2" t="str">
        <f>"175710164"</f>
        <v>175710164</v>
      </c>
      <c r="C5655" s="2" t="str">
        <f>"175710164"</f>
        <v>175710164</v>
      </c>
      <c r="D5655" s="2" t="s">
        <v>4106</v>
      </c>
      <c r="E5655" s="4">
        <v>4000</v>
      </c>
    </row>
    <row r="5656" spans="1:5" ht="26.25" x14ac:dyDescent="0.25">
      <c r="A5656" s="2" t="s">
        <v>4065</v>
      </c>
      <c r="B5656" s="2" t="str">
        <f>"17571064"</f>
        <v>17571064</v>
      </c>
      <c r="C5656" s="2" t="str">
        <f>"17571064"</f>
        <v>17571064</v>
      </c>
      <c r="D5656" s="2" t="s">
        <v>4106</v>
      </c>
      <c r="E5656" s="4">
        <v>4000</v>
      </c>
    </row>
    <row r="5657" spans="1:5" ht="26.25" x14ac:dyDescent="0.25">
      <c r="A5657" s="2" t="s">
        <v>14</v>
      </c>
      <c r="B5657" s="2" t="str">
        <f>"345314270"</f>
        <v>345314270</v>
      </c>
      <c r="C5657" s="2" t="str">
        <f>"345314270"</f>
        <v>345314270</v>
      </c>
      <c r="D5657" s="2" t="s">
        <v>4107</v>
      </c>
      <c r="E5657" s="4">
        <v>4500</v>
      </c>
    </row>
    <row r="5658" spans="1:5" ht="26.25" x14ac:dyDescent="0.25">
      <c r="A5658" s="2" t="s">
        <v>14</v>
      </c>
      <c r="B5658" s="2" t="str">
        <f>"345714270"</f>
        <v>345714270</v>
      </c>
      <c r="C5658" s="2" t="str">
        <f>"345714270"</f>
        <v>345714270</v>
      </c>
      <c r="D5658" s="2" t="s">
        <v>4107</v>
      </c>
      <c r="E5658" s="4">
        <v>4500</v>
      </c>
    </row>
    <row r="5659" spans="1:5" ht="26.25" x14ac:dyDescent="0.25">
      <c r="A5659" s="2" t="s">
        <v>10</v>
      </c>
      <c r="B5659" s="2" t="str">
        <f>"175714178"</f>
        <v>175714178</v>
      </c>
      <c r="C5659" s="2" t="str">
        <f>"175714178"</f>
        <v>175714178</v>
      </c>
      <c r="D5659" s="2" t="s">
        <v>4108</v>
      </c>
      <c r="E5659" s="4">
        <v>4000</v>
      </c>
    </row>
    <row r="5660" spans="1:5" ht="26.25" x14ac:dyDescent="0.25">
      <c r="A5660" s="2" t="s">
        <v>14</v>
      </c>
      <c r="B5660" s="2" t="str">
        <f>"347907255"</f>
        <v>347907255</v>
      </c>
      <c r="C5660" s="2" t="str">
        <f>"347907255"</f>
        <v>347907255</v>
      </c>
      <c r="D5660" s="2" t="s">
        <v>4109</v>
      </c>
      <c r="E5660" s="4">
        <v>8000</v>
      </c>
    </row>
    <row r="5661" spans="1:5" ht="26.25" x14ac:dyDescent="0.25">
      <c r="A5661" s="2" t="s">
        <v>10</v>
      </c>
      <c r="B5661" s="2" t="str">
        <f>"764832215"</f>
        <v>764832215</v>
      </c>
      <c r="C5661" s="2" t="str">
        <f>"764832215"</f>
        <v>764832215</v>
      </c>
      <c r="D5661" s="2" t="s">
        <v>4110</v>
      </c>
      <c r="E5661" s="4">
        <v>4500</v>
      </c>
    </row>
    <row r="5662" spans="1:5" ht="26.25" x14ac:dyDescent="0.25">
      <c r="A5662" s="2" t="s">
        <v>10</v>
      </c>
      <c r="B5662" s="2" t="str">
        <f>"110308235"</f>
        <v>110308235</v>
      </c>
      <c r="C5662" s="2" t="str">
        <f>"110308235"</f>
        <v>110308235</v>
      </c>
      <c r="D5662" s="2" t="s">
        <v>4111</v>
      </c>
      <c r="E5662" s="4">
        <v>12500</v>
      </c>
    </row>
    <row r="5663" spans="1:5" ht="26.25" x14ac:dyDescent="0.25">
      <c r="A5663" s="2" t="s">
        <v>10</v>
      </c>
      <c r="B5663" s="2" t="str">
        <f>"76461425"</f>
        <v>76461425</v>
      </c>
      <c r="C5663" s="2" t="str">
        <f>"76461425"</f>
        <v>76461425</v>
      </c>
      <c r="D5663" s="2" t="s">
        <v>4112</v>
      </c>
      <c r="E5663" s="4">
        <v>4500</v>
      </c>
    </row>
    <row r="5664" spans="1:5" ht="26.25" x14ac:dyDescent="0.25">
      <c r="A5664" s="2" t="s">
        <v>10</v>
      </c>
      <c r="B5664" s="2" t="str">
        <f>"34770716"</f>
        <v>34770716</v>
      </c>
      <c r="C5664" s="2" t="str">
        <f>"34770716"</f>
        <v>34770716</v>
      </c>
      <c r="D5664" s="2" t="s">
        <v>4113</v>
      </c>
      <c r="E5664" s="4">
        <v>4500</v>
      </c>
    </row>
    <row r="5665" spans="1:5" ht="26.25" x14ac:dyDescent="0.25">
      <c r="A5665" s="2" t="s">
        <v>14</v>
      </c>
      <c r="B5665" s="2" t="str">
        <f>"34771447"</f>
        <v>34771447</v>
      </c>
      <c r="C5665" s="2" t="str">
        <f>"34771447"</f>
        <v>34771447</v>
      </c>
      <c r="D5665" s="2" t="s">
        <v>4114</v>
      </c>
      <c r="E5665" s="4">
        <v>4500</v>
      </c>
    </row>
    <row r="5666" spans="1:5" ht="26.25" x14ac:dyDescent="0.25">
      <c r="A5666" s="2" t="s">
        <v>10</v>
      </c>
      <c r="B5666" s="2" t="str">
        <f>"76481518"</f>
        <v>76481518</v>
      </c>
      <c r="C5666" s="2" t="str">
        <f>"76481518"</f>
        <v>76481518</v>
      </c>
      <c r="D5666" s="2" t="s">
        <v>4115</v>
      </c>
      <c r="E5666" s="4">
        <v>3500</v>
      </c>
    </row>
    <row r="5667" spans="1:5" ht="26.25" x14ac:dyDescent="0.25">
      <c r="A5667" s="2" t="s">
        <v>1590</v>
      </c>
      <c r="B5667" s="2" t="str">
        <f>"764801240"</f>
        <v>764801240</v>
      </c>
      <c r="C5667" s="2" t="str">
        <f>"764801240"</f>
        <v>764801240</v>
      </c>
      <c r="D5667" s="2" t="s">
        <v>4116</v>
      </c>
      <c r="E5667" s="4">
        <v>3500</v>
      </c>
    </row>
    <row r="5668" spans="1:5" ht="26.25" x14ac:dyDescent="0.25">
      <c r="A5668" s="2" t="s">
        <v>10</v>
      </c>
      <c r="B5668" s="2" t="str">
        <f>"764809213"</f>
        <v>764809213</v>
      </c>
      <c r="C5668" s="2" t="str">
        <f>"764809213"</f>
        <v>764809213</v>
      </c>
      <c r="D5668" s="2" t="s">
        <v>4117</v>
      </c>
      <c r="E5668" s="4">
        <v>3500</v>
      </c>
    </row>
    <row r="5669" spans="1:5" ht="26.25" x14ac:dyDescent="0.25">
      <c r="A5669" s="2" t="s">
        <v>10</v>
      </c>
      <c r="B5669" s="2" t="str">
        <f>"34470716"</f>
        <v>34470716</v>
      </c>
      <c r="C5669" s="2" t="str">
        <f>"34470716"</f>
        <v>34470716</v>
      </c>
      <c r="D5669" s="2" t="s">
        <v>4118</v>
      </c>
      <c r="E5669" s="4">
        <v>7500</v>
      </c>
    </row>
    <row r="5670" spans="1:5" ht="26.25" x14ac:dyDescent="0.25">
      <c r="A5670" s="2" t="s">
        <v>14</v>
      </c>
      <c r="B5670" s="2" t="str">
        <f>"760410304"</f>
        <v>760410304</v>
      </c>
      <c r="C5670" s="2" t="str">
        <f>"760410304"</f>
        <v>760410304</v>
      </c>
      <c r="D5670" s="2" t="s">
        <v>4119</v>
      </c>
      <c r="E5670" s="4">
        <v>4500</v>
      </c>
    </row>
    <row r="5671" spans="1:5" ht="26.25" x14ac:dyDescent="0.25">
      <c r="A5671" s="2" t="s">
        <v>10</v>
      </c>
      <c r="B5671" s="2" t="str">
        <f>"68481430"</f>
        <v>68481430</v>
      </c>
      <c r="C5671" s="2" t="str">
        <f>"68481430"</f>
        <v>68481430</v>
      </c>
      <c r="D5671" s="2" t="s">
        <v>4120</v>
      </c>
      <c r="E5671" s="4">
        <v>3500</v>
      </c>
    </row>
    <row r="5672" spans="1:5" ht="26.25" x14ac:dyDescent="0.25">
      <c r="A5672" s="2" t="s">
        <v>10</v>
      </c>
      <c r="B5672" s="2" t="str">
        <f>"684814125"</f>
        <v>684814125</v>
      </c>
      <c r="C5672" s="2" t="str">
        <f>"684814125"</f>
        <v>684814125</v>
      </c>
      <c r="D5672" s="2" t="s">
        <v>4121</v>
      </c>
      <c r="E5672" s="4">
        <v>3500</v>
      </c>
    </row>
    <row r="5673" spans="1:5" ht="26.25" x14ac:dyDescent="0.25">
      <c r="A5673" s="2" t="s">
        <v>14</v>
      </c>
      <c r="B5673" s="2" t="str">
        <f>"767905280"</f>
        <v>767905280</v>
      </c>
      <c r="C5673" s="2" t="str">
        <f>"767905280"</f>
        <v>767905280</v>
      </c>
      <c r="D5673" s="2" t="s">
        <v>4122</v>
      </c>
      <c r="E5673" s="4">
        <v>8800</v>
      </c>
    </row>
    <row r="5674" spans="1:5" ht="26.25" x14ac:dyDescent="0.25">
      <c r="A5674" s="2" t="s">
        <v>19</v>
      </c>
      <c r="B5674" s="2" t="str">
        <f>"767907253"</f>
        <v>767907253</v>
      </c>
      <c r="C5674" s="2" t="str">
        <f>"767907253"</f>
        <v>767907253</v>
      </c>
      <c r="D5674" s="2" t="s">
        <v>4123</v>
      </c>
      <c r="E5674" s="4">
        <v>8800</v>
      </c>
    </row>
    <row r="5675" spans="1:5" ht="26.25" x14ac:dyDescent="0.25">
      <c r="A5675" s="2" t="s">
        <v>19</v>
      </c>
      <c r="B5675" s="2" t="str">
        <f>"767909221"</f>
        <v>767909221</v>
      </c>
      <c r="C5675" s="2" t="str">
        <f>"767909221"</f>
        <v>767909221</v>
      </c>
      <c r="D5675" s="2" t="s">
        <v>4124</v>
      </c>
      <c r="E5675" s="4">
        <v>8800</v>
      </c>
    </row>
    <row r="5676" spans="1:5" ht="26.25" x14ac:dyDescent="0.25">
      <c r="A5676" s="2" t="s">
        <v>19</v>
      </c>
      <c r="B5676" s="2" t="str">
        <f>"76791430"</f>
        <v>76791430</v>
      </c>
      <c r="C5676" s="2" t="str">
        <f>"76791430"</f>
        <v>76791430</v>
      </c>
      <c r="D5676" s="2" t="s">
        <v>4125</v>
      </c>
      <c r="E5676" s="4">
        <v>6500</v>
      </c>
    </row>
    <row r="5677" spans="1:5" ht="26.25" x14ac:dyDescent="0.25">
      <c r="A5677" s="2" t="s">
        <v>19</v>
      </c>
      <c r="B5677" s="2" t="str">
        <f>"767914283"</f>
        <v>767914283</v>
      </c>
      <c r="C5677" s="2" t="str">
        <f>"767914283"</f>
        <v>767914283</v>
      </c>
      <c r="D5677" s="2" t="s">
        <v>4126</v>
      </c>
      <c r="E5677" s="4">
        <v>8800</v>
      </c>
    </row>
    <row r="5678" spans="1:5" ht="26.25" x14ac:dyDescent="0.25">
      <c r="A5678" s="2" t="s">
        <v>19</v>
      </c>
      <c r="B5678" s="2" t="str">
        <f>"76791445"</f>
        <v>76791445</v>
      </c>
      <c r="C5678" s="2" t="str">
        <f>"76791445"</f>
        <v>76791445</v>
      </c>
      <c r="D5678" s="2" t="s">
        <v>4127</v>
      </c>
      <c r="E5678" s="4">
        <v>8800</v>
      </c>
    </row>
    <row r="5679" spans="1:5" ht="26.25" x14ac:dyDescent="0.25">
      <c r="A5679" s="2" t="s">
        <v>19</v>
      </c>
      <c r="B5679" s="2" t="str">
        <f>"767914270"</f>
        <v>767914270</v>
      </c>
      <c r="C5679" s="2" t="str">
        <f>"767914270"</f>
        <v>767914270</v>
      </c>
      <c r="D5679" s="2" t="s">
        <v>4128</v>
      </c>
      <c r="E5679" s="4">
        <v>8800</v>
      </c>
    </row>
    <row r="5680" spans="1:5" ht="26.25" x14ac:dyDescent="0.25">
      <c r="A5680" s="2" t="s">
        <v>19</v>
      </c>
      <c r="B5680" s="2" t="str">
        <f>"767914126"</f>
        <v>767914126</v>
      </c>
      <c r="C5680" s="2" t="str">
        <f>"767914126"</f>
        <v>767914126</v>
      </c>
      <c r="D5680" s="2" t="s">
        <v>4129</v>
      </c>
      <c r="E5680" s="4">
        <v>6500</v>
      </c>
    </row>
    <row r="5681" spans="1:5" ht="26.25" x14ac:dyDescent="0.25">
      <c r="A5681" s="2" t="s">
        <v>19</v>
      </c>
      <c r="B5681" s="2" t="str">
        <f>"76791447"</f>
        <v>76791447</v>
      </c>
      <c r="C5681" s="2" t="str">
        <f>"76791447"</f>
        <v>76791447</v>
      </c>
      <c r="D5681" s="2" t="s">
        <v>4130</v>
      </c>
      <c r="E5681" s="4">
        <v>8800</v>
      </c>
    </row>
    <row r="5682" spans="1:5" ht="26.25" x14ac:dyDescent="0.25">
      <c r="A5682" s="2" t="s">
        <v>19</v>
      </c>
      <c r="B5682" s="2" t="str">
        <f>"767914127"</f>
        <v>767914127</v>
      </c>
      <c r="C5682" s="2" t="str">
        <f>"767914127"</f>
        <v>767914127</v>
      </c>
      <c r="D5682" s="2" t="s">
        <v>4131</v>
      </c>
      <c r="E5682" s="4">
        <v>6500</v>
      </c>
    </row>
    <row r="5683" spans="1:5" ht="26.25" x14ac:dyDescent="0.25">
      <c r="A5683" s="2" t="s">
        <v>10</v>
      </c>
      <c r="B5683" s="2" t="str">
        <f>"34481064"</f>
        <v>34481064</v>
      </c>
      <c r="C5683" s="2" t="str">
        <f>"34481064"</f>
        <v>34481064</v>
      </c>
      <c r="D5683" s="2" t="s">
        <v>4132</v>
      </c>
      <c r="E5683" s="4">
        <v>3500</v>
      </c>
    </row>
    <row r="5684" spans="1:5" ht="26.25" x14ac:dyDescent="0.25">
      <c r="A5684" s="2" t="s">
        <v>10</v>
      </c>
      <c r="B5684" s="2" t="str">
        <f>"764810164"</f>
        <v>764810164</v>
      </c>
      <c r="C5684" s="2" t="str">
        <f>"764810164"</f>
        <v>764810164</v>
      </c>
      <c r="D5684" s="2" t="s">
        <v>4133</v>
      </c>
      <c r="E5684" s="4">
        <v>3000</v>
      </c>
    </row>
    <row r="5685" spans="1:5" ht="26.25" x14ac:dyDescent="0.25">
      <c r="A5685" s="2" t="s">
        <v>10</v>
      </c>
      <c r="B5685" s="2" t="str">
        <f>"174805152"</f>
        <v>174805152</v>
      </c>
      <c r="C5685" s="2" t="str">
        <f>"174805152"</f>
        <v>174805152</v>
      </c>
      <c r="D5685" s="2" t="s">
        <v>4134</v>
      </c>
      <c r="E5685" s="4">
        <v>3500</v>
      </c>
    </row>
    <row r="5686" spans="1:5" ht="26.25" x14ac:dyDescent="0.25">
      <c r="A5686" s="2" t="s">
        <v>10</v>
      </c>
      <c r="B5686" s="2" t="str">
        <f>"74805280"</f>
        <v>74805280</v>
      </c>
      <c r="C5686" s="2" t="str">
        <f>"74805280"</f>
        <v>74805280</v>
      </c>
      <c r="D5686" s="2" t="s">
        <v>4135</v>
      </c>
      <c r="E5686" s="4">
        <v>3000</v>
      </c>
    </row>
    <row r="5687" spans="1:5" ht="26.25" x14ac:dyDescent="0.25">
      <c r="A5687" s="2" t="s">
        <v>10</v>
      </c>
      <c r="B5687" s="2" t="str">
        <f>"17481056"</f>
        <v>17481056</v>
      </c>
      <c r="C5687" s="2" t="str">
        <f>"17481056"</f>
        <v>17481056</v>
      </c>
      <c r="D5687" s="2" t="s">
        <v>4136</v>
      </c>
      <c r="E5687" s="4">
        <v>3000</v>
      </c>
    </row>
    <row r="5688" spans="1:5" ht="26.25" x14ac:dyDescent="0.25">
      <c r="A5688" s="2" t="s">
        <v>10</v>
      </c>
      <c r="B5688" s="2" t="str">
        <f>"76481401"</f>
        <v>76481401</v>
      </c>
      <c r="C5688" s="2" t="str">
        <f>"76481401"</f>
        <v>76481401</v>
      </c>
      <c r="D5688" s="2" t="s">
        <v>4137</v>
      </c>
      <c r="E5688" s="4">
        <v>3500</v>
      </c>
    </row>
    <row r="5689" spans="1:5" ht="26.25" x14ac:dyDescent="0.25">
      <c r="A5689" s="2" t="s">
        <v>10</v>
      </c>
      <c r="B5689" s="2" t="str">
        <f>"18481455"</f>
        <v>18481455</v>
      </c>
      <c r="C5689" s="2" t="str">
        <f>"18481455"</f>
        <v>18481455</v>
      </c>
      <c r="D5689" s="2" t="s">
        <v>4138</v>
      </c>
      <c r="E5689" s="4">
        <v>3500</v>
      </c>
    </row>
    <row r="5690" spans="1:5" ht="26.25" x14ac:dyDescent="0.25">
      <c r="A5690" s="2" t="s">
        <v>10</v>
      </c>
      <c r="B5690" s="2" t="str">
        <f>"76481455"</f>
        <v>76481455</v>
      </c>
      <c r="C5690" s="2" t="str">
        <f>"76481455"</f>
        <v>76481455</v>
      </c>
      <c r="D5690" s="2" t="s">
        <v>4139</v>
      </c>
      <c r="E5690" s="4">
        <v>3000</v>
      </c>
    </row>
    <row r="5691" spans="1:5" ht="26.25" x14ac:dyDescent="0.25">
      <c r="A5691" s="2" t="s">
        <v>10</v>
      </c>
      <c r="B5691" s="2" t="str">
        <f>"76481453"</f>
        <v>76481453</v>
      </c>
      <c r="C5691" s="2" t="str">
        <f>"76481453"</f>
        <v>76481453</v>
      </c>
      <c r="D5691" s="2" t="s">
        <v>4140</v>
      </c>
      <c r="E5691" s="4">
        <v>3500</v>
      </c>
    </row>
    <row r="5692" spans="1:5" ht="26.25" x14ac:dyDescent="0.25">
      <c r="A5692" s="2" t="s">
        <v>10</v>
      </c>
      <c r="B5692" s="2" t="str">
        <f>"174814126"</f>
        <v>174814126</v>
      </c>
      <c r="C5692" s="2" t="str">
        <f>"174814126"</f>
        <v>174814126</v>
      </c>
      <c r="D5692" s="2" t="s">
        <v>4141</v>
      </c>
      <c r="E5692" s="4">
        <v>3600</v>
      </c>
    </row>
    <row r="5693" spans="1:5" ht="26.25" x14ac:dyDescent="0.25">
      <c r="A5693" s="2" t="s">
        <v>10</v>
      </c>
      <c r="B5693" s="2" t="str">
        <f>"174814147"</f>
        <v>174814147</v>
      </c>
      <c r="C5693" s="2" t="str">
        <f>"174814147"</f>
        <v>174814147</v>
      </c>
      <c r="D5693" s="2" t="s">
        <v>4142</v>
      </c>
      <c r="E5693" s="4">
        <v>3500</v>
      </c>
    </row>
    <row r="5694" spans="1:5" ht="26.25" x14ac:dyDescent="0.25">
      <c r="A5694" s="2" t="s">
        <v>10</v>
      </c>
      <c r="B5694" s="2" t="str">
        <f>"76481487"</f>
        <v>76481487</v>
      </c>
      <c r="C5694" s="2" t="str">
        <f>"76481487"</f>
        <v>76481487</v>
      </c>
      <c r="D5694" s="2" t="s">
        <v>4143</v>
      </c>
      <c r="E5694" s="4">
        <v>3500</v>
      </c>
    </row>
    <row r="5695" spans="1:5" ht="26.25" x14ac:dyDescent="0.25">
      <c r="A5695" s="2" t="s">
        <v>10</v>
      </c>
      <c r="B5695" s="2" t="str">
        <f>"110767692"</f>
        <v>110767692</v>
      </c>
      <c r="C5695" s="2" t="str">
        <f>"110767692"</f>
        <v>110767692</v>
      </c>
      <c r="D5695" s="2" t="s">
        <v>4144</v>
      </c>
      <c r="E5695" s="4">
        <v>3500</v>
      </c>
    </row>
    <row r="5696" spans="1:5" ht="26.25" x14ac:dyDescent="0.25">
      <c r="A5696" s="2" t="s">
        <v>10</v>
      </c>
      <c r="B5696" s="2" t="str">
        <f>"110171001"</f>
        <v>110171001</v>
      </c>
      <c r="C5696" s="2" t="str">
        <f>"110171001"</f>
        <v>110171001</v>
      </c>
      <c r="D5696" s="2" t="s">
        <v>4145</v>
      </c>
      <c r="E5696" s="4">
        <v>2000</v>
      </c>
    </row>
    <row r="5697" spans="1:5" ht="26.25" x14ac:dyDescent="0.25">
      <c r="A5697" s="2" t="s">
        <v>10</v>
      </c>
      <c r="B5697" s="2" t="str">
        <f>"684815286"</f>
        <v>684815286</v>
      </c>
      <c r="C5697" s="2" t="str">
        <f>"684815286"</f>
        <v>684815286</v>
      </c>
      <c r="D5697" s="2" t="s">
        <v>4146</v>
      </c>
      <c r="E5697" s="4">
        <v>3500</v>
      </c>
    </row>
    <row r="5698" spans="1:5" ht="26.25" x14ac:dyDescent="0.25">
      <c r="A5698" s="2" t="s">
        <v>14</v>
      </c>
      <c r="B5698" s="2" t="str">
        <f>"915914108"</f>
        <v>915914108</v>
      </c>
      <c r="C5698" s="2" t="str">
        <f>"915914108"</f>
        <v>915914108</v>
      </c>
      <c r="D5698" s="2" t="s">
        <v>4147</v>
      </c>
      <c r="E5698" s="4">
        <v>4500</v>
      </c>
    </row>
    <row r="5699" spans="1:5" ht="26.25" x14ac:dyDescent="0.25">
      <c r="A5699" s="2" t="s">
        <v>19</v>
      </c>
      <c r="B5699" s="2" t="str">
        <f>"34481480"</f>
        <v>34481480</v>
      </c>
      <c r="C5699" s="2" t="str">
        <f>"34481480"</f>
        <v>34481480</v>
      </c>
      <c r="D5699" s="2" t="s">
        <v>4148</v>
      </c>
      <c r="E5699" s="4">
        <v>3500</v>
      </c>
    </row>
    <row r="5700" spans="1:5" ht="26.25" x14ac:dyDescent="0.25">
      <c r="A5700" s="2" t="s">
        <v>10</v>
      </c>
      <c r="B5700" s="2" t="str">
        <f>"110172360"</f>
        <v>110172360</v>
      </c>
      <c r="C5700" s="2" t="str">
        <f>"110172360"</f>
        <v>110172360</v>
      </c>
      <c r="D5700" s="2" t="s">
        <v>4149</v>
      </c>
      <c r="E5700" s="4">
        <v>4000</v>
      </c>
    </row>
    <row r="5701" spans="1:5" ht="26.25" x14ac:dyDescent="0.25">
      <c r="A5701" s="2" t="s">
        <v>1590</v>
      </c>
      <c r="B5701" s="2" t="str">
        <f>"76560112"</f>
        <v>76560112</v>
      </c>
      <c r="C5701" s="2" t="str">
        <f>"76560112"</f>
        <v>76560112</v>
      </c>
      <c r="D5701" s="2" t="s">
        <v>4150</v>
      </c>
      <c r="E5701" s="4">
        <v>3000</v>
      </c>
    </row>
    <row r="5702" spans="1:5" ht="26.25" x14ac:dyDescent="0.25">
      <c r="A5702" s="2" t="s">
        <v>10</v>
      </c>
      <c r="B5702" s="2" t="str">
        <f>"17571480"</f>
        <v>17571480</v>
      </c>
      <c r="C5702" s="2" t="str">
        <f>"17571480"</f>
        <v>17571480</v>
      </c>
      <c r="D5702" s="2" t="s">
        <v>4151</v>
      </c>
      <c r="E5702" s="4">
        <v>4000</v>
      </c>
    </row>
    <row r="5703" spans="1:5" ht="26.25" x14ac:dyDescent="0.25">
      <c r="A5703" s="2" t="s">
        <v>10</v>
      </c>
      <c r="B5703" s="2" t="str">
        <f>"17571447"</f>
        <v>17571447</v>
      </c>
      <c r="C5703" s="2" t="str">
        <f>"17571447"</f>
        <v>17571447</v>
      </c>
      <c r="D5703" s="2" t="s">
        <v>4152</v>
      </c>
      <c r="E5703" s="4">
        <v>4000</v>
      </c>
    </row>
    <row r="5704" spans="1:5" ht="26.25" x14ac:dyDescent="0.25">
      <c r="A5704" s="2" t="s">
        <v>19</v>
      </c>
      <c r="B5704" s="2" t="str">
        <f>"1578154171499"</f>
        <v>1578154171499</v>
      </c>
      <c r="C5704" s="2" t="str">
        <f>"61410816"</f>
        <v>61410816</v>
      </c>
      <c r="D5704" s="2" t="s">
        <v>4153</v>
      </c>
      <c r="E5704" s="4">
        <v>3500</v>
      </c>
    </row>
    <row r="5705" spans="1:5" ht="26.25" x14ac:dyDescent="0.25">
      <c r="A5705" s="2" t="s">
        <v>19</v>
      </c>
      <c r="B5705" s="2" t="str">
        <f>"1578154245288"</f>
        <v>1578154245288</v>
      </c>
      <c r="C5705" s="2" t="str">
        <f>"61410475"</f>
        <v>61410475</v>
      </c>
      <c r="D5705" s="2" t="s">
        <v>4154</v>
      </c>
      <c r="E5705" s="4">
        <v>3500</v>
      </c>
    </row>
    <row r="5706" spans="1:5" ht="26.25" x14ac:dyDescent="0.25">
      <c r="A5706" s="2" t="s">
        <v>1590</v>
      </c>
      <c r="B5706" s="2" t="str">
        <f>"76561504"</f>
        <v>76561504</v>
      </c>
      <c r="C5706" s="2" t="str">
        <f>"76561504"</f>
        <v>76561504</v>
      </c>
      <c r="D5706" s="2" t="s">
        <v>4155</v>
      </c>
      <c r="E5706" s="4">
        <v>4000</v>
      </c>
    </row>
    <row r="5707" spans="1:5" ht="26.25" x14ac:dyDescent="0.25">
      <c r="A5707" s="2" t="s">
        <v>19</v>
      </c>
      <c r="B5707" s="2" t="str">
        <f>"764301129"</f>
        <v>764301129</v>
      </c>
      <c r="C5707" s="2" t="str">
        <f>"764301129"</f>
        <v>764301129</v>
      </c>
      <c r="D5707" s="2" t="s">
        <v>4156</v>
      </c>
      <c r="E5707" s="4">
        <v>3000</v>
      </c>
    </row>
    <row r="5708" spans="1:5" ht="26.25" x14ac:dyDescent="0.25">
      <c r="A5708" s="2" t="s">
        <v>19</v>
      </c>
      <c r="B5708" s="2" t="str">
        <f>"764301185"</f>
        <v>764301185</v>
      </c>
      <c r="C5708" s="2" t="str">
        <f>"764301185"</f>
        <v>764301185</v>
      </c>
      <c r="D5708" s="2" t="s">
        <v>4157</v>
      </c>
      <c r="E5708" s="4">
        <v>3000</v>
      </c>
    </row>
    <row r="5709" spans="1:5" ht="26.25" x14ac:dyDescent="0.25">
      <c r="A5709" s="2" t="s">
        <v>19</v>
      </c>
      <c r="B5709" s="2" t="str">
        <f>"177101134"</f>
        <v>177101134</v>
      </c>
      <c r="C5709" s="2" t="str">
        <f>"177101134"</f>
        <v>177101134</v>
      </c>
      <c r="D5709" s="2" t="s">
        <v>4158</v>
      </c>
      <c r="E5709" s="4">
        <v>4500</v>
      </c>
    </row>
    <row r="5710" spans="1:5" ht="26.25" x14ac:dyDescent="0.25">
      <c r="A5710" s="2" t="s">
        <v>1590</v>
      </c>
      <c r="B5710" s="2" t="str">
        <f>"76430192"</f>
        <v>76430192</v>
      </c>
      <c r="C5710" s="2" t="str">
        <f>"76430192"</f>
        <v>76430192</v>
      </c>
      <c r="D5710" s="2" t="s">
        <v>4159</v>
      </c>
      <c r="E5710" s="4">
        <v>3000</v>
      </c>
    </row>
    <row r="5711" spans="1:5" ht="26.25" x14ac:dyDescent="0.25">
      <c r="A5711" s="2" t="s">
        <v>19</v>
      </c>
      <c r="B5711" s="2" t="str">
        <f>"86490005"</f>
        <v>86490005</v>
      </c>
      <c r="C5711" s="2" t="str">
        <f>"86490005"</f>
        <v>86490005</v>
      </c>
      <c r="D5711" s="2" t="s">
        <v>4160</v>
      </c>
      <c r="E5711" s="4">
        <v>5500</v>
      </c>
    </row>
    <row r="5712" spans="1:5" ht="26.25" x14ac:dyDescent="0.25">
      <c r="A5712" s="2" t="s">
        <v>1590</v>
      </c>
      <c r="B5712" s="2" t="str">
        <f>"1495817763151"</f>
        <v>1495817763151</v>
      </c>
      <c r="C5712" s="2" t="str">
        <f>"766710296"</f>
        <v>766710296</v>
      </c>
      <c r="D5712" s="2" t="s">
        <v>4161</v>
      </c>
      <c r="E5712" s="4">
        <v>4500</v>
      </c>
    </row>
    <row r="5713" spans="1:5" ht="26.25" x14ac:dyDescent="0.25">
      <c r="A5713" s="2" t="s">
        <v>19</v>
      </c>
      <c r="B5713" s="2" t="str">
        <f>"175821126"</f>
        <v>175821126</v>
      </c>
      <c r="C5713" s="2" t="str">
        <f>"175821126"</f>
        <v>175821126</v>
      </c>
      <c r="D5713" s="2" t="s">
        <v>4162</v>
      </c>
      <c r="E5713" s="4">
        <v>4000</v>
      </c>
    </row>
    <row r="5714" spans="1:5" ht="26.25" x14ac:dyDescent="0.25">
      <c r="A5714" s="2" t="s">
        <v>19</v>
      </c>
      <c r="B5714" s="2" t="str">
        <f>"110077067"</f>
        <v>110077067</v>
      </c>
      <c r="C5714" s="2" t="str">
        <f>"110077067"</f>
        <v>110077067</v>
      </c>
      <c r="D5714" s="2" t="s">
        <v>4163</v>
      </c>
      <c r="E5714" s="4">
        <v>3000</v>
      </c>
    </row>
    <row r="5715" spans="1:5" ht="26.25" x14ac:dyDescent="0.25">
      <c r="A5715" s="2" t="s">
        <v>1590</v>
      </c>
      <c r="B5715" s="2" t="str">
        <f>"76560569"</f>
        <v>76560569</v>
      </c>
      <c r="C5715" s="2" t="str">
        <f>"76560569"</f>
        <v>76560569</v>
      </c>
      <c r="D5715" s="2" t="s">
        <v>4164</v>
      </c>
      <c r="E5715" s="4">
        <v>3500</v>
      </c>
    </row>
    <row r="5716" spans="1:5" ht="26.25" x14ac:dyDescent="0.25">
      <c r="A5716" s="2" t="s">
        <v>1590</v>
      </c>
      <c r="B5716" s="2" t="str">
        <f>"76560570"</f>
        <v>76560570</v>
      </c>
      <c r="C5716" s="2" t="str">
        <f>"76560570"</f>
        <v>76560570</v>
      </c>
      <c r="D5716" s="2" t="s">
        <v>4165</v>
      </c>
      <c r="E5716" s="4">
        <v>3000</v>
      </c>
    </row>
    <row r="5717" spans="1:5" ht="26.25" x14ac:dyDescent="0.25">
      <c r="A5717" s="2" t="s">
        <v>1590</v>
      </c>
      <c r="B5717" s="2" t="str">
        <f>"764305196"</f>
        <v>764305196</v>
      </c>
      <c r="C5717" s="2" t="str">
        <f>"764305196"</f>
        <v>764305196</v>
      </c>
      <c r="D5717" s="2" t="s">
        <v>4166</v>
      </c>
      <c r="E5717" s="4">
        <v>3000</v>
      </c>
    </row>
    <row r="5718" spans="1:5" ht="26.25" x14ac:dyDescent="0.25">
      <c r="A5718" s="2" t="s">
        <v>19</v>
      </c>
      <c r="B5718" s="2" t="str">
        <f>"764305321"</f>
        <v>764305321</v>
      </c>
      <c r="C5718" s="2" t="str">
        <f>"764305321"</f>
        <v>764305321</v>
      </c>
      <c r="D5718" s="2" t="s">
        <v>4167</v>
      </c>
      <c r="E5718" s="4">
        <v>3500</v>
      </c>
    </row>
    <row r="5719" spans="1:5" ht="26.25" x14ac:dyDescent="0.25">
      <c r="A5719" s="2" t="s">
        <v>19</v>
      </c>
      <c r="B5719" s="2" t="str">
        <f>"869205321"</f>
        <v>869205321</v>
      </c>
      <c r="C5719" s="2" t="str">
        <f>"869205321"</f>
        <v>869205321</v>
      </c>
      <c r="D5719" s="2" t="s">
        <v>4167</v>
      </c>
      <c r="E5719" s="4">
        <v>3000</v>
      </c>
    </row>
    <row r="5720" spans="1:5" ht="26.25" x14ac:dyDescent="0.25">
      <c r="A5720" s="2" t="s">
        <v>19</v>
      </c>
      <c r="B5720" s="2" t="str">
        <f>"765105321"</f>
        <v>765105321</v>
      </c>
      <c r="C5720" s="2" t="str">
        <f>"765105321"</f>
        <v>765105321</v>
      </c>
      <c r="D5720" s="2" t="s">
        <v>4167</v>
      </c>
      <c r="E5720" s="4">
        <v>3000</v>
      </c>
    </row>
    <row r="5721" spans="1:5" ht="26.25" x14ac:dyDescent="0.25">
      <c r="A5721" s="2" t="s">
        <v>19</v>
      </c>
      <c r="B5721" s="2" t="str">
        <f>"764005321"</f>
        <v>764005321</v>
      </c>
      <c r="C5721" s="2" t="str">
        <f>"764005321"</f>
        <v>764005321</v>
      </c>
      <c r="D5721" s="2" t="s">
        <v>4167</v>
      </c>
      <c r="E5721" s="4">
        <v>3500</v>
      </c>
    </row>
    <row r="5722" spans="1:5" ht="26.25" x14ac:dyDescent="0.25">
      <c r="A5722" s="2" t="s">
        <v>19</v>
      </c>
      <c r="B5722" s="2" t="str">
        <f>"76750533"</f>
        <v>76750533</v>
      </c>
      <c r="C5722" s="2" t="str">
        <f>"76750533"</f>
        <v>76750533</v>
      </c>
      <c r="D5722" s="2" t="s">
        <v>4168</v>
      </c>
      <c r="E5722" s="4">
        <v>4500</v>
      </c>
    </row>
    <row r="5723" spans="1:5" ht="26.25" x14ac:dyDescent="0.25">
      <c r="A5723" s="2" t="s">
        <v>19</v>
      </c>
      <c r="B5723" s="2" t="str">
        <f>"677905307"</f>
        <v>677905307</v>
      </c>
      <c r="C5723" s="2" t="str">
        <f>"677905307"</f>
        <v>677905307</v>
      </c>
      <c r="D5723" s="2" t="s">
        <v>4169</v>
      </c>
      <c r="E5723" s="4">
        <v>3500</v>
      </c>
    </row>
    <row r="5724" spans="1:5" ht="26.25" x14ac:dyDescent="0.25">
      <c r="A5724" s="2" t="s">
        <v>19</v>
      </c>
      <c r="B5724" s="2" t="str">
        <f>"76560529"</f>
        <v>76560529</v>
      </c>
      <c r="C5724" s="2" t="str">
        <f>"76560529"</f>
        <v>76560529</v>
      </c>
      <c r="D5724" s="2" t="s">
        <v>4170</v>
      </c>
      <c r="E5724" s="4">
        <v>3500</v>
      </c>
    </row>
    <row r="5725" spans="1:5" ht="26.25" x14ac:dyDescent="0.25">
      <c r="A5725" s="2" t="s">
        <v>19</v>
      </c>
      <c r="B5725" s="2" t="str">
        <f>"764005295"</f>
        <v>764005295</v>
      </c>
      <c r="C5725" s="2" t="str">
        <f>"764005295"</f>
        <v>764005295</v>
      </c>
      <c r="D5725" s="2" t="s">
        <v>4171</v>
      </c>
      <c r="E5725" s="4">
        <v>3500</v>
      </c>
    </row>
    <row r="5726" spans="1:5" ht="26.25" x14ac:dyDescent="0.25">
      <c r="A5726" s="2" t="s">
        <v>19</v>
      </c>
      <c r="B5726" s="2" t="str">
        <f>"1578146192031"</f>
        <v>1578146192031</v>
      </c>
      <c r="C5726" s="2" t="str">
        <f>"61390055"</f>
        <v>61390055</v>
      </c>
      <c r="D5726" s="2" t="s">
        <v>4172</v>
      </c>
      <c r="E5726" s="4">
        <v>4000</v>
      </c>
    </row>
    <row r="5727" spans="1:5" ht="26.25" x14ac:dyDescent="0.25">
      <c r="A5727" s="2" t="s">
        <v>19</v>
      </c>
      <c r="B5727" s="2" t="str">
        <f>"767705296"</f>
        <v>767705296</v>
      </c>
      <c r="C5727" s="2" t="str">
        <f>"767705296"</f>
        <v>767705296</v>
      </c>
      <c r="D5727" s="2" t="s">
        <v>4173</v>
      </c>
      <c r="E5727" s="4">
        <v>4500</v>
      </c>
    </row>
    <row r="5728" spans="1:5" ht="26.25" x14ac:dyDescent="0.25">
      <c r="A5728" s="2" t="s">
        <v>19</v>
      </c>
      <c r="B5728" s="2" t="str">
        <f>"174705296"</f>
        <v>174705296</v>
      </c>
      <c r="C5728" s="2" t="str">
        <f>"174705296"</f>
        <v>174705296</v>
      </c>
      <c r="D5728" s="2" t="s">
        <v>4173</v>
      </c>
      <c r="E5728" s="4">
        <v>3500</v>
      </c>
    </row>
    <row r="5729" spans="1:5" ht="26.25" x14ac:dyDescent="0.25">
      <c r="A5729" s="2" t="s">
        <v>19</v>
      </c>
      <c r="B5729" s="2" t="str">
        <f>"764005300"</f>
        <v>764005300</v>
      </c>
      <c r="C5729" s="2" t="str">
        <f>"764005300"</f>
        <v>764005300</v>
      </c>
      <c r="D5729" s="2" t="s">
        <v>4174</v>
      </c>
      <c r="E5729" s="4">
        <v>3500</v>
      </c>
    </row>
    <row r="5730" spans="1:5" ht="26.25" x14ac:dyDescent="0.25">
      <c r="A5730" s="2" t="s">
        <v>19</v>
      </c>
      <c r="B5730" s="2" t="str">
        <f>"764005303"</f>
        <v>764005303</v>
      </c>
      <c r="C5730" s="2" t="str">
        <f>"764005303"</f>
        <v>764005303</v>
      </c>
      <c r="D5730" s="2" t="s">
        <v>4175</v>
      </c>
      <c r="E5730" s="4">
        <v>3500</v>
      </c>
    </row>
    <row r="5731" spans="1:5" ht="26.25" x14ac:dyDescent="0.25">
      <c r="A5731" s="2" t="s">
        <v>19</v>
      </c>
      <c r="B5731" s="2" t="str">
        <f>"764305303"</f>
        <v>764305303</v>
      </c>
      <c r="C5731" s="2" t="str">
        <f>"764305303"</f>
        <v>764305303</v>
      </c>
      <c r="D5731" s="2" t="s">
        <v>4175</v>
      </c>
      <c r="E5731" s="4">
        <v>3500</v>
      </c>
    </row>
    <row r="5732" spans="1:5" ht="26.25" x14ac:dyDescent="0.25">
      <c r="A5732" s="2" t="s">
        <v>19</v>
      </c>
      <c r="B5732" s="2" t="str">
        <f>"677905303"</f>
        <v>677905303</v>
      </c>
      <c r="C5732" s="2" t="str">
        <f>"677905303"</f>
        <v>677905303</v>
      </c>
      <c r="D5732" s="2" t="s">
        <v>4175</v>
      </c>
      <c r="E5732" s="4">
        <v>3500</v>
      </c>
    </row>
    <row r="5733" spans="1:5" ht="26.25" x14ac:dyDescent="0.25">
      <c r="A5733" s="2" t="s">
        <v>19</v>
      </c>
      <c r="B5733" s="2" t="str">
        <f>"324005303"</f>
        <v>324005303</v>
      </c>
      <c r="C5733" s="2" t="str">
        <f>"324005303"</f>
        <v>324005303</v>
      </c>
      <c r="D5733" s="2" t="s">
        <v>4175</v>
      </c>
      <c r="E5733" s="4">
        <v>3500</v>
      </c>
    </row>
    <row r="5734" spans="1:5" ht="26.25" x14ac:dyDescent="0.25">
      <c r="A5734" s="2" t="s">
        <v>19</v>
      </c>
      <c r="B5734" s="2" t="str">
        <f>"764805327"</f>
        <v>764805327</v>
      </c>
      <c r="C5734" s="2" t="str">
        <f>"764805327"</f>
        <v>764805327</v>
      </c>
      <c r="D5734" s="2" t="s">
        <v>4176</v>
      </c>
      <c r="E5734" s="4">
        <v>3500</v>
      </c>
    </row>
    <row r="5735" spans="1:5" ht="26.25" x14ac:dyDescent="0.25">
      <c r="A5735" s="2" t="s">
        <v>19</v>
      </c>
      <c r="B5735" s="2" t="str">
        <f>"76560548"</f>
        <v>76560548</v>
      </c>
      <c r="C5735" s="2" t="str">
        <f>"76560548"</f>
        <v>76560548</v>
      </c>
      <c r="D5735" s="2" t="s">
        <v>4177</v>
      </c>
      <c r="E5735" s="4">
        <v>5500</v>
      </c>
    </row>
    <row r="5736" spans="1:5" ht="26.25" x14ac:dyDescent="0.25">
      <c r="A5736" s="2" t="s">
        <v>19</v>
      </c>
      <c r="B5736" s="2" t="str">
        <f>"17470548"</f>
        <v>17470548</v>
      </c>
      <c r="C5736" s="2" t="str">
        <f>"17470548"</f>
        <v>17470548</v>
      </c>
      <c r="D5736" s="2" t="s">
        <v>4177</v>
      </c>
      <c r="E5736" s="4">
        <v>3500</v>
      </c>
    </row>
    <row r="5737" spans="1:5" ht="26.25" x14ac:dyDescent="0.25">
      <c r="A5737" s="2" t="s">
        <v>19</v>
      </c>
      <c r="B5737" s="2" t="str">
        <f>"767705302"</f>
        <v>767705302</v>
      </c>
      <c r="C5737" s="2" t="str">
        <f>"767705302"</f>
        <v>767705302</v>
      </c>
      <c r="D5737" s="2" t="s">
        <v>4178</v>
      </c>
      <c r="E5737" s="4">
        <v>4500</v>
      </c>
    </row>
    <row r="5738" spans="1:5" ht="26.25" x14ac:dyDescent="0.25">
      <c r="A5738" s="2" t="s">
        <v>19</v>
      </c>
      <c r="B5738" s="2" t="str">
        <f>"765605238"</f>
        <v>765605238</v>
      </c>
      <c r="C5738" s="2" t="str">
        <f>"765605238"</f>
        <v>765605238</v>
      </c>
      <c r="D5738" s="2" t="s">
        <v>4179</v>
      </c>
      <c r="E5738" s="4">
        <v>5500</v>
      </c>
    </row>
    <row r="5739" spans="1:5" ht="26.25" x14ac:dyDescent="0.25">
      <c r="A5739" s="2" t="s">
        <v>19</v>
      </c>
      <c r="B5739" s="2" t="str">
        <f>"765605247"</f>
        <v>765605247</v>
      </c>
      <c r="C5739" s="2" t="str">
        <f>"765605247"</f>
        <v>765605247</v>
      </c>
      <c r="D5739" s="2" t="s">
        <v>4180</v>
      </c>
      <c r="E5739" s="4">
        <v>5500</v>
      </c>
    </row>
    <row r="5740" spans="1:5" ht="26.25" x14ac:dyDescent="0.25">
      <c r="A5740" s="2" t="s">
        <v>19</v>
      </c>
      <c r="B5740" s="2" t="str">
        <f>"174705247"</f>
        <v>174705247</v>
      </c>
      <c r="C5740" s="2" t="str">
        <f>"174705247"</f>
        <v>174705247</v>
      </c>
      <c r="D5740" s="2" t="s">
        <v>4180</v>
      </c>
      <c r="E5740" s="4">
        <v>3500</v>
      </c>
    </row>
    <row r="5741" spans="1:5" ht="26.25" x14ac:dyDescent="0.25">
      <c r="A5741" s="2" t="s">
        <v>19</v>
      </c>
      <c r="B5741" s="2" t="str">
        <f>"174005299"</f>
        <v>174005299</v>
      </c>
      <c r="C5741" s="2" t="str">
        <f>"174005299"</f>
        <v>174005299</v>
      </c>
      <c r="D5741" s="2" t="s">
        <v>4181</v>
      </c>
      <c r="E5741" s="4">
        <v>3500</v>
      </c>
    </row>
    <row r="5742" spans="1:5" ht="26.25" x14ac:dyDescent="0.25">
      <c r="A5742" s="2" t="s">
        <v>19</v>
      </c>
      <c r="B5742" s="2" t="str">
        <f>"767705248"</f>
        <v>767705248</v>
      </c>
      <c r="C5742" s="2" t="str">
        <f>"767705248"</f>
        <v>767705248</v>
      </c>
      <c r="D5742" s="2" t="s">
        <v>4182</v>
      </c>
      <c r="E5742" s="4">
        <v>4500</v>
      </c>
    </row>
    <row r="5743" spans="1:5" ht="26.25" x14ac:dyDescent="0.25">
      <c r="A5743" s="2" t="s">
        <v>19</v>
      </c>
      <c r="B5743" s="2" t="str">
        <f>"764005304"</f>
        <v>764005304</v>
      </c>
      <c r="C5743" s="2" t="str">
        <f>"764005304"</f>
        <v>764005304</v>
      </c>
      <c r="D5743" s="2" t="s">
        <v>4183</v>
      </c>
      <c r="E5743" s="4">
        <v>3500</v>
      </c>
    </row>
    <row r="5744" spans="1:5" ht="26.25" x14ac:dyDescent="0.25">
      <c r="A5744" s="2" t="s">
        <v>19</v>
      </c>
      <c r="B5744" s="2" t="str">
        <f>"324005304"</f>
        <v>324005304</v>
      </c>
      <c r="C5744" s="2" t="str">
        <f>"324005304"</f>
        <v>324005304</v>
      </c>
      <c r="D5744" s="2" t="s">
        <v>4183</v>
      </c>
      <c r="E5744" s="4">
        <v>3500</v>
      </c>
    </row>
    <row r="5745" spans="1:5" ht="26.25" x14ac:dyDescent="0.25">
      <c r="A5745" s="2" t="s">
        <v>1590</v>
      </c>
      <c r="B5745" s="2" t="str">
        <f>"76430569"</f>
        <v>76430569</v>
      </c>
      <c r="C5745" s="2" t="str">
        <f>"76430569"</f>
        <v>76430569</v>
      </c>
      <c r="D5745" s="2" t="s">
        <v>4184</v>
      </c>
      <c r="E5745" s="4">
        <v>3000</v>
      </c>
    </row>
    <row r="5746" spans="1:5" ht="26.25" x14ac:dyDescent="0.25">
      <c r="A5746" s="2" t="s">
        <v>19</v>
      </c>
      <c r="B5746" s="2" t="str">
        <f>"766805229"</f>
        <v>766805229</v>
      </c>
      <c r="C5746" s="2" t="str">
        <f>"766805229"</f>
        <v>766805229</v>
      </c>
      <c r="D5746" s="2" t="s">
        <v>4185</v>
      </c>
      <c r="E5746" s="4">
        <v>3000</v>
      </c>
    </row>
    <row r="5747" spans="1:5" ht="26.25" x14ac:dyDescent="0.25">
      <c r="A5747" s="2" t="s">
        <v>19</v>
      </c>
      <c r="B5747" s="2" t="str">
        <f>"764305183"</f>
        <v>764305183</v>
      </c>
      <c r="C5747" s="2" t="str">
        <f>"764305183"</f>
        <v>764305183</v>
      </c>
      <c r="D5747" s="2" t="s">
        <v>4186</v>
      </c>
      <c r="E5747" s="4">
        <v>3000</v>
      </c>
    </row>
    <row r="5748" spans="1:5" ht="26.25" x14ac:dyDescent="0.25">
      <c r="A5748" s="2" t="s">
        <v>19</v>
      </c>
      <c r="B5748" s="2" t="str">
        <f>"677905306"</f>
        <v>677905306</v>
      </c>
      <c r="C5748" s="2" t="str">
        <f>"677905306"</f>
        <v>677905306</v>
      </c>
      <c r="D5748" s="2" t="s">
        <v>4187</v>
      </c>
      <c r="E5748" s="4">
        <v>3500</v>
      </c>
    </row>
    <row r="5749" spans="1:5" ht="26.25" x14ac:dyDescent="0.25">
      <c r="A5749" s="2" t="s">
        <v>19</v>
      </c>
      <c r="B5749" s="2" t="str">
        <f>"673905306"</f>
        <v>673905306</v>
      </c>
      <c r="C5749" s="2" t="str">
        <f>"673905306"</f>
        <v>673905306</v>
      </c>
      <c r="D5749" s="2" t="s">
        <v>4187</v>
      </c>
      <c r="E5749" s="4">
        <v>3500</v>
      </c>
    </row>
    <row r="5750" spans="1:5" ht="26.25" x14ac:dyDescent="0.25">
      <c r="A5750" s="2" t="s">
        <v>19</v>
      </c>
      <c r="B5750" s="2" t="str">
        <f>"764005282"</f>
        <v>764005282</v>
      </c>
      <c r="C5750" s="2" t="str">
        <f>"764005282"</f>
        <v>764005282</v>
      </c>
      <c r="D5750" s="2" t="s">
        <v>4188</v>
      </c>
      <c r="E5750" s="4">
        <v>3500</v>
      </c>
    </row>
    <row r="5751" spans="1:5" ht="26.25" x14ac:dyDescent="0.25">
      <c r="A5751" s="2" t="s">
        <v>19</v>
      </c>
      <c r="B5751" s="2" t="str">
        <f>"764105282"</f>
        <v>764105282</v>
      </c>
      <c r="C5751" s="2" t="str">
        <f>"764105282"</f>
        <v>764105282</v>
      </c>
      <c r="D5751" s="2" t="s">
        <v>4188</v>
      </c>
      <c r="E5751" s="4">
        <v>3500</v>
      </c>
    </row>
    <row r="5752" spans="1:5" ht="26.25" x14ac:dyDescent="0.25">
      <c r="A5752" s="2" t="s">
        <v>19</v>
      </c>
      <c r="B5752" s="2" t="str">
        <f>"764014261"</f>
        <v>764014261</v>
      </c>
      <c r="C5752" s="2" t="str">
        <f>"764014261"</f>
        <v>764014261</v>
      </c>
      <c r="D5752" s="2" t="s">
        <v>4188</v>
      </c>
      <c r="E5752" s="4">
        <v>3500</v>
      </c>
    </row>
    <row r="5753" spans="1:5" ht="26.25" x14ac:dyDescent="0.25">
      <c r="A5753" s="2" t="s">
        <v>19</v>
      </c>
      <c r="B5753" s="2" t="str">
        <f>"677905282"</f>
        <v>677905282</v>
      </c>
      <c r="C5753" s="2" t="str">
        <f>"677905282"</f>
        <v>677905282</v>
      </c>
      <c r="D5753" s="2" t="s">
        <v>4188</v>
      </c>
      <c r="E5753" s="4">
        <v>3500</v>
      </c>
    </row>
    <row r="5754" spans="1:5" ht="26.25" x14ac:dyDescent="0.25">
      <c r="A5754" s="2" t="s">
        <v>19</v>
      </c>
      <c r="B5754" s="2" t="str">
        <f>"764305282"</f>
        <v>764305282</v>
      </c>
      <c r="C5754" s="2" t="str">
        <f>"764305282"</f>
        <v>764305282</v>
      </c>
      <c r="D5754" s="2" t="s">
        <v>4188</v>
      </c>
      <c r="E5754" s="4">
        <v>3500</v>
      </c>
    </row>
    <row r="5755" spans="1:5" ht="26.25" x14ac:dyDescent="0.25">
      <c r="A5755" s="2" t="s">
        <v>19</v>
      </c>
      <c r="B5755" s="2" t="str">
        <f>"764305280"</f>
        <v>764305280</v>
      </c>
      <c r="C5755" s="2" t="str">
        <f>"764305280"</f>
        <v>764305280</v>
      </c>
      <c r="D5755" s="2" t="s">
        <v>4189</v>
      </c>
      <c r="E5755" s="4">
        <v>3500</v>
      </c>
    </row>
    <row r="5756" spans="1:5" ht="26.25" x14ac:dyDescent="0.25">
      <c r="A5756" s="2" t="s">
        <v>19</v>
      </c>
      <c r="B5756" s="2" t="str">
        <f>"764005162"</f>
        <v>764005162</v>
      </c>
      <c r="C5756" s="2" t="str">
        <f>"764005162"</f>
        <v>764005162</v>
      </c>
      <c r="D5756" s="2" t="s">
        <v>4190</v>
      </c>
      <c r="E5756" s="4">
        <v>3500</v>
      </c>
    </row>
    <row r="5757" spans="1:5" ht="26.25" x14ac:dyDescent="0.25">
      <c r="A5757" s="2" t="s">
        <v>19</v>
      </c>
      <c r="B5757" s="2" t="str">
        <f>"674805315"</f>
        <v>674805315</v>
      </c>
      <c r="C5757" s="2" t="str">
        <f>"674805315"</f>
        <v>674805315</v>
      </c>
      <c r="D5757" s="2" t="s">
        <v>4191</v>
      </c>
      <c r="E5757" s="4">
        <v>3500</v>
      </c>
    </row>
    <row r="5758" spans="1:5" ht="26.25" x14ac:dyDescent="0.25">
      <c r="A5758" s="2" t="s">
        <v>19</v>
      </c>
      <c r="B5758" s="2" t="str">
        <f>"674805319"</f>
        <v>674805319</v>
      </c>
      <c r="C5758" s="2" t="str">
        <f>"674805319"</f>
        <v>674805319</v>
      </c>
      <c r="D5758" s="2" t="s">
        <v>4192</v>
      </c>
      <c r="E5758" s="4">
        <v>3500</v>
      </c>
    </row>
    <row r="5759" spans="1:5" ht="26.25" x14ac:dyDescent="0.25">
      <c r="A5759" s="2" t="s">
        <v>19</v>
      </c>
      <c r="B5759" s="2" t="str">
        <f>"764005161"</f>
        <v>764005161</v>
      </c>
      <c r="C5759" s="2" t="str">
        <f>"764005161"</f>
        <v>764005161</v>
      </c>
      <c r="D5759" s="2" t="s">
        <v>4193</v>
      </c>
      <c r="E5759" s="4">
        <v>3500</v>
      </c>
    </row>
    <row r="5760" spans="1:5" ht="26.25" x14ac:dyDescent="0.25">
      <c r="A5760" s="2" t="s">
        <v>19</v>
      </c>
      <c r="B5760" s="2" t="str">
        <f>"1578147378797"</f>
        <v>1578147378797</v>
      </c>
      <c r="C5760" s="2" t="str">
        <f>"61390029"</f>
        <v>61390029</v>
      </c>
      <c r="D5760" s="2" t="s">
        <v>4194</v>
      </c>
      <c r="E5760" s="4">
        <v>4000</v>
      </c>
    </row>
    <row r="5761" spans="1:5" ht="26.25" x14ac:dyDescent="0.25">
      <c r="A5761" s="2" t="s">
        <v>19</v>
      </c>
      <c r="B5761" s="2" t="str">
        <f>"1578146394018"</f>
        <v>1578146394018</v>
      </c>
      <c r="C5761" s="2" t="str">
        <f>"61390012"</f>
        <v>61390012</v>
      </c>
      <c r="D5761" s="2" t="s">
        <v>4195</v>
      </c>
      <c r="E5761" s="4">
        <v>4000</v>
      </c>
    </row>
    <row r="5762" spans="1:5" ht="26.25" x14ac:dyDescent="0.25">
      <c r="A5762" s="2" t="s">
        <v>19</v>
      </c>
      <c r="B5762" s="2" t="str">
        <f>"11017702"</f>
        <v>11017702</v>
      </c>
      <c r="C5762" s="2" t="str">
        <f>"11017702"</f>
        <v>11017702</v>
      </c>
      <c r="D5762" s="2" t="s">
        <v>4196</v>
      </c>
      <c r="E5762" s="4">
        <v>1000</v>
      </c>
    </row>
    <row r="5763" spans="1:5" ht="26.25" x14ac:dyDescent="0.25">
      <c r="A5763" s="2" t="s">
        <v>1590</v>
      </c>
      <c r="B5763" s="2" t="str">
        <f>"17560714"</f>
        <v>17560714</v>
      </c>
      <c r="C5763" s="2" t="str">
        <f>"17560714"</f>
        <v>17560714</v>
      </c>
      <c r="D5763" s="2" t="s">
        <v>4197</v>
      </c>
      <c r="E5763" s="4">
        <v>3000</v>
      </c>
    </row>
    <row r="5764" spans="1:5" ht="26.25" x14ac:dyDescent="0.25">
      <c r="A5764" s="2" t="s">
        <v>19</v>
      </c>
      <c r="B5764" s="2" t="str">
        <f>"17980714"</f>
        <v>17980714</v>
      </c>
      <c r="C5764" s="2" t="str">
        <f>"17980714"</f>
        <v>17980714</v>
      </c>
      <c r="D5764" s="2" t="s">
        <v>4197</v>
      </c>
      <c r="E5764" s="4">
        <v>3500</v>
      </c>
    </row>
    <row r="5765" spans="1:5" ht="26.25" x14ac:dyDescent="0.25">
      <c r="A5765" s="2" t="s">
        <v>1590</v>
      </c>
      <c r="B5765" s="2" t="str">
        <f>"76560714"</f>
        <v>76560714</v>
      </c>
      <c r="C5765" s="2" t="str">
        <f>"76560714"</f>
        <v>76560714</v>
      </c>
      <c r="D5765" s="2" t="s">
        <v>4198</v>
      </c>
      <c r="E5765" s="4">
        <v>3000</v>
      </c>
    </row>
    <row r="5766" spans="1:5" ht="26.25" x14ac:dyDescent="0.25">
      <c r="A5766" s="2" t="s">
        <v>19</v>
      </c>
      <c r="B5766" s="2" t="str">
        <f>"11073411"</f>
        <v>11073411</v>
      </c>
      <c r="C5766" s="2" t="str">
        <f>"11073411"</f>
        <v>11073411</v>
      </c>
      <c r="D5766" s="2" t="s">
        <v>4199</v>
      </c>
      <c r="E5766" s="4">
        <v>3000</v>
      </c>
    </row>
    <row r="5767" spans="1:5" ht="26.25" x14ac:dyDescent="0.25">
      <c r="A5767" s="2" t="s">
        <v>19</v>
      </c>
      <c r="B5767" s="2" t="str">
        <f>"76400715"</f>
        <v>76400715</v>
      </c>
      <c r="C5767" s="2" t="str">
        <f>"76400715"</f>
        <v>76400715</v>
      </c>
      <c r="D5767" s="2" t="s">
        <v>4199</v>
      </c>
      <c r="E5767" s="4">
        <v>3500</v>
      </c>
    </row>
    <row r="5768" spans="1:5" ht="26.25" x14ac:dyDescent="0.25">
      <c r="A5768" s="2" t="s">
        <v>19</v>
      </c>
      <c r="B5768" s="2" t="str">
        <f>"76410715"</f>
        <v>76410715</v>
      </c>
      <c r="C5768" s="2" t="str">
        <f>"76410715"</f>
        <v>76410715</v>
      </c>
      <c r="D5768" s="2" t="s">
        <v>4199</v>
      </c>
      <c r="E5768" s="4">
        <v>3500</v>
      </c>
    </row>
    <row r="5769" spans="1:5" ht="26.25" x14ac:dyDescent="0.25">
      <c r="A5769" s="2" t="s">
        <v>19</v>
      </c>
      <c r="B5769" s="2" t="str">
        <f>"1578146623874"</f>
        <v>1578146623874</v>
      </c>
      <c r="C5769" s="2" t="str">
        <f>"61390025"</f>
        <v>61390025</v>
      </c>
      <c r="D5769" s="2" t="s">
        <v>4199</v>
      </c>
      <c r="E5769" s="4">
        <v>4000</v>
      </c>
    </row>
    <row r="5770" spans="1:5" ht="26.25" x14ac:dyDescent="0.25">
      <c r="A5770" s="2" t="s">
        <v>19</v>
      </c>
      <c r="B5770" s="2" t="str">
        <f>"76770715"</f>
        <v>76770715</v>
      </c>
      <c r="C5770" s="2" t="str">
        <f>"76770715"</f>
        <v>76770715</v>
      </c>
      <c r="D5770" s="2" t="s">
        <v>4199</v>
      </c>
      <c r="E5770" s="4">
        <v>4500</v>
      </c>
    </row>
    <row r="5771" spans="1:5" ht="26.25" x14ac:dyDescent="0.25">
      <c r="A5771" s="2" t="s">
        <v>19</v>
      </c>
      <c r="B5771" s="2" t="str">
        <f>"1495577538206"</f>
        <v>1495577538206</v>
      </c>
      <c r="C5771" s="2" t="str">
        <f>"17900715"</f>
        <v>17900715</v>
      </c>
      <c r="D5771" s="2" t="s">
        <v>4199</v>
      </c>
      <c r="E5771" s="4">
        <v>4500</v>
      </c>
    </row>
    <row r="5772" spans="1:5" ht="26.25" x14ac:dyDescent="0.25">
      <c r="A5772" s="2" t="s">
        <v>19</v>
      </c>
      <c r="B5772" s="2" t="str">
        <f>"76900715"</f>
        <v>76900715</v>
      </c>
      <c r="C5772" s="2" t="str">
        <f>"76900715"</f>
        <v>76900715</v>
      </c>
      <c r="D5772" s="2" t="s">
        <v>4199</v>
      </c>
      <c r="E5772" s="4">
        <v>4500</v>
      </c>
    </row>
    <row r="5773" spans="1:5" ht="26.25" x14ac:dyDescent="0.25">
      <c r="A5773" s="2" t="s">
        <v>19</v>
      </c>
      <c r="B5773" s="2" t="str">
        <f>"76790715"</f>
        <v>76790715</v>
      </c>
      <c r="C5773" s="2" t="str">
        <f>"76790715"</f>
        <v>76790715</v>
      </c>
      <c r="D5773" s="2" t="s">
        <v>4199</v>
      </c>
      <c r="E5773" s="4">
        <v>8800</v>
      </c>
    </row>
    <row r="5774" spans="1:5" ht="26.25" x14ac:dyDescent="0.25">
      <c r="A5774" s="2" t="s">
        <v>19</v>
      </c>
      <c r="B5774" s="2" t="str">
        <f>"76430715"</f>
        <v>76430715</v>
      </c>
      <c r="C5774" s="2" t="str">
        <f>"76430715"</f>
        <v>76430715</v>
      </c>
      <c r="D5774" s="2" t="s">
        <v>4199</v>
      </c>
      <c r="E5774" s="4">
        <v>4500</v>
      </c>
    </row>
    <row r="5775" spans="1:5" ht="26.25" x14ac:dyDescent="0.25">
      <c r="A5775" s="2" t="s">
        <v>14</v>
      </c>
      <c r="B5775" s="2" t="str">
        <f>"76560715"</f>
        <v>76560715</v>
      </c>
      <c r="C5775" s="2" t="str">
        <f>"76560715"</f>
        <v>76560715</v>
      </c>
      <c r="D5775" s="2" t="s">
        <v>4200</v>
      </c>
      <c r="E5775" s="4">
        <v>5500</v>
      </c>
    </row>
    <row r="5776" spans="1:5" ht="26.25" x14ac:dyDescent="0.25">
      <c r="A5776" s="2" t="s">
        <v>19</v>
      </c>
      <c r="B5776" s="2" t="str">
        <f>"76770716"</f>
        <v>76770716</v>
      </c>
      <c r="C5776" s="2" t="str">
        <f>"76770716"</f>
        <v>76770716</v>
      </c>
      <c r="D5776" s="2" t="s">
        <v>4201</v>
      </c>
      <c r="E5776" s="4">
        <v>4500</v>
      </c>
    </row>
    <row r="5777" spans="1:5" ht="26.25" x14ac:dyDescent="0.25">
      <c r="A5777" s="2" t="s">
        <v>19</v>
      </c>
      <c r="B5777" s="2" t="str">
        <f>"76430716"</f>
        <v>76430716</v>
      </c>
      <c r="C5777" s="2" t="str">
        <f>"76430716"</f>
        <v>76430716</v>
      </c>
      <c r="D5777" s="2" t="s">
        <v>4201</v>
      </c>
      <c r="E5777" s="4">
        <v>5500</v>
      </c>
    </row>
    <row r="5778" spans="1:5" ht="26.25" x14ac:dyDescent="0.25">
      <c r="A5778" s="2" t="s">
        <v>10</v>
      </c>
      <c r="B5778" s="2" t="str">
        <f>"110764020"</f>
        <v>110764020</v>
      </c>
      <c r="C5778" s="2" t="str">
        <f>"110764020"</f>
        <v>110764020</v>
      </c>
      <c r="D5778" s="2" t="s">
        <v>4202</v>
      </c>
      <c r="E5778" s="4">
        <v>3000</v>
      </c>
    </row>
    <row r="5779" spans="1:5" ht="26.25" x14ac:dyDescent="0.25">
      <c r="A5779" s="2" t="s">
        <v>10</v>
      </c>
      <c r="B5779" s="2" t="str">
        <f>"110762006"</f>
        <v>110762006</v>
      </c>
      <c r="C5779" s="2" t="str">
        <f>"110762006"</f>
        <v>110762006</v>
      </c>
      <c r="D5779" s="2" t="s">
        <v>4202</v>
      </c>
      <c r="E5779" s="4">
        <v>3000</v>
      </c>
    </row>
    <row r="5780" spans="1:5" ht="26.25" x14ac:dyDescent="0.25">
      <c r="A5780" s="2" t="s">
        <v>19</v>
      </c>
      <c r="B5780" s="2" t="str">
        <f>"34480717"</f>
        <v>34480717</v>
      </c>
      <c r="C5780" s="2" t="str">
        <f>"34480717"</f>
        <v>34480717</v>
      </c>
      <c r="D5780" s="2" t="s">
        <v>4203</v>
      </c>
      <c r="E5780" s="4">
        <v>3500</v>
      </c>
    </row>
    <row r="5781" spans="1:5" ht="26.25" x14ac:dyDescent="0.25">
      <c r="A5781" s="2" t="s">
        <v>19</v>
      </c>
      <c r="B5781" s="2" t="str">
        <f>"76560717"</f>
        <v>76560717</v>
      </c>
      <c r="C5781" s="2" t="str">
        <f>"76560717"</f>
        <v>76560717</v>
      </c>
      <c r="D5781" s="2" t="s">
        <v>4203</v>
      </c>
      <c r="E5781" s="4">
        <v>5500</v>
      </c>
    </row>
    <row r="5782" spans="1:5" ht="26.25" x14ac:dyDescent="0.25">
      <c r="A5782" s="2" t="s">
        <v>19</v>
      </c>
      <c r="B5782" s="2" t="str">
        <f>"76770717"</f>
        <v>76770717</v>
      </c>
      <c r="C5782" s="2" t="str">
        <f>"76770717"</f>
        <v>76770717</v>
      </c>
      <c r="D5782" s="2" t="s">
        <v>4203</v>
      </c>
      <c r="E5782" s="4">
        <v>4500</v>
      </c>
    </row>
    <row r="5783" spans="1:5" ht="26.25" x14ac:dyDescent="0.25">
      <c r="A5783" s="2" t="s">
        <v>19</v>
      </c>
      <c r="B5783" s="2" t="str">
        <f>"110764021"</f>
        <v>110764021</v>
      </c>
      <c r="C5783" s="2" t="str">
        <f>"110764021"</f>
        <v>110764021</v>
      </c>
      <c r="D5783" s="2" t="s">
        <v>4203</v>
      </c>
      <c r="E5783" s="4">
        <v>3000</v>
      </c>
    </row>
    <row r="5784" spans="1:5" ht="26.25" x14ac:dyDescent="0.25">
      <c r="A5784" s="2" t="s">
        <v>19</v>
      </c>
      <c r="B5784" s="2" t="str">
        <f>"34570717"</f>
        <v>34570717</v>
      </c>
      <c r="C5784" s="2" t="str">
        <f>"34570717"</f>
        <v>34570717</v>
      </c>
      <c r="D5784" s="2" t="s">
        <v>4203</v>
      </c>
      <c r="E5784" s="4">
        <v>4500</v>
      </c>
    </row>
    <row r="5785" spans="1:5" ht="26.25" x14ac:dyDescent="0.25">
      <c r="A5785" s="2" t="s">
        <v>19</v>
      </c>
      <c r="B5785" s="2" t="str">
        <f>"18400717"</f>
        <v>18400717</v>
      </c>
      <c r="C5785" s="2" t="str">
        <f>"18400717"</f>
        <v>18400717</v>
      </c>
      <c r="D5785" s="2" t="s">
        <v>4203</v>
      </c>
      <c r="E5785" s="4">
        <v>5500</v>
      </c>
    </row>
    <row r="5786" spans="1:5" ht="26.25" x14ac:dyDescent="0.25">
      <c r="A5786" s="2" t="s">
        <v>19</v>
      </c>
      <c r="B5786" s="2" t="str">
        <f>"76430717"</f>
        <v>76430717</v>
      </c>
      <c r="C5786" s="2" t="str">
        <f>"76430717"</f>
        <v>76430717</v>
      </c>
      <c r="D5786" s="2" t="s">
        <v>4203</v>
      </c>
      <c r="E5786" s="4">
        <v>5500</v>
      </c>
    </row>
    <row r="5787" spans="1:5" ht="26.25" x14ac:dyDescent="0.25">
      <c r="A5787" s="2" t="s">
        <v>19</v>
      </c>
      <c r="B5787" s="2" t="str">
        <f>"179007253"</f>
        <v>179007253</v>
      </c>
      <c r="C5787" s="2" t="str">
        <f>"179007253"</f>
        <v>179007253</v>
      </c>
      <c r="D5787" s="2" t="s">
        <v>4204</v>
      </c>
      <c r="E5787" s="4">
        <v>5500</v>
      </c>
    </row>
    <row r="5788" spans="1:5" ht="26.25" x14ac:dyDescent="0.25">
      <c r="A5788" s="2" t="s">
        <v>19</v>
      </c>
      <c r="B5788" s="2" t="str">
        <f>"765607253"</f>
        <v>765607253</v>
      </c>
      <c r="C5788" s="2" t="str">
        <f>"765607253"</f>
        <v>765607253</v>
      </c>
      <c r="D5788" s="2" t="s">
        <v>4204</v>
      </c>
      <c r="E5788" s="4">
        <v>5500</v>
      </c>
    </row>
    <row r="5789" spans="1:5" ht="26.25" x14ac:dyDescent="0.25">
      <c r="A5789" s="2" t="s">
        <v>19</v>
      </c>
      <c r="B5789" s="2" t="str">
        <f>"764107253"</f>
        <v>764107253</v>
      </c>
      <c r="C5789" s="2" t="str">
        <f>"764107253"</f>
        <v>764107253</v>
      </c>
      <c r="D5789" s="2" t="s">
        <v>4204</v>
      </c>
      <c r="E5789" s="4">
        <v>4500</v>
      </c>
    </row>
    <row r="5790" spans="1:5" ht="26.25" x14ac:dyDescent="0.25">
      <c r="A5790" s="2" t="s">
        <v>19</v>
      </c>
      <c r="B5790" s="2" t="str">
        <f>"694007253"</f>
        <v>694007253</v>
      </c>
      <c r="C5790" s="2" t="str">
        <f>"694007253"</f>
        <v>694007253</v>
      </c>
      <c r="D5790" s="2" t="s">
        <v>4204</v>
      </c>
      <c r="E5790" s="4">
        <v>3500</v>
      </c>
    </row>
    <row r="5791" spans="1:5" ht="26.25" x14ac:dyDescent="0.25">
      <c r="A5791" s="2" t="s">
        <v>19</v>
      </c>
      <c r="B5791" s="2" t="str">
        <f>"417107253"</f>
        <v>417107253</v>
      </c>
      <c r="C5791" s="2" t="str">
        <f>"417107253"</f>
        <v>417107253</v>
      </c>
      <c r="D5791" s="2" t="s">
        <v>4204</v>
      </c>
      <c r="E5791" s="4">
        <v>6500</v>
      </c>
    </row>
    <row r="5792" spans="1:5" ht="26.25" x14ac:dyDescent="0.25">
      <c r="A5792" s="2" t="s">
        <v>19</v>
      </c>
      <c r="B5792" s="2" t="str">
        <f>"764307253"</f>
        <v>764307253</v>
      </c>
      <c r="C5792" s="2" t="str">
        <f>"764307253"</f>
        <v>764307253</v>
      </c>
      <c r="D5792" s="2" t="s">
        <v>4204</v>
      </c>
      <c r="E5792" s="4">
        <v>3500</v>
      </c>
    </row>
    <row r="5793" spans="1:5" ht="26.25" x14ac:dyDescent="0.25">
      <c r="A5793" s="2" t="s">
        <v>19</v>
      </c>
      <c r="B5793" s="2" t="str">
        <f>"765607254"</f>
        <v>765607254</v>
      </c>
      <c r="C5793" s="2" t="str">
        <f>"765607254"</f>
        <v>765607254</v>
      </c>
      <c r="D5793" s="2" t="s">
        <v>4205</v>
      </c>
      <c r="E5793" s="4">
        <v>5500</v>
      </c>
    </row>
    <row r="5794" spans="1:5" ht="26.25" x14ac:dyDescent="0.25">
      <c r="A5794" s="2" t="s">
        <v>19</v>
      </c>
      <c r="B5794" s="2" t="str">
        <f>"184007254"</f>
        <v>184007254</v>
      </c>
      <c r="C5794" s="2" t="str">
        <f>"184007254"</f>
        <v>184007254</v>
      </c>
      <c r="D5794" s="2" t="s">
        <v>4205</v>
      </c>
      <c r="E5794" s="4">
        <v>5500</v>
      </c>
    </row>
    <row r="5795" spans="1:5" ht="26.25" x14ac:dyDescent="0.25">
      <c r="A5795" s="2" t="s">
        <v>19</v>
      </c>
      <c r="B5795" s="2" t="str">
        <f>"345707254"</f>
        <v>345707254</v>
      </c>
      <c r="C5795" s="2" t="str">
        <f>"345707254"</f>
        <v>345707254</v>
      </c>
      <c r="D5795" s="2" t="s">
        <v>4205</v>
      </c>
      <c r="E5795" s="4">
        <v>4500</v>
      </c>
    </row>
    <row r="5796" spans="1:5" ht="26.25" x14ac:dyDescent="0.25">
      <c r="A5796" s="2" t="s">
        <v>19</v>
      </c>
      <c r="B5796" s="2" t="str">
        <f>"767707253"</f>
        <v>767707253</v>
      </c>
      <c r="C5796" s="2" t="str">
        <f>"767707253"</f>
        <v>767707253</v>
      </c>
      <c r="D5796" s="2" t="s">
        <v>4206</v>
      </c>
      <c r="E5796" s="4">
        <v>4500</v>
      </c>
    </row>
    <row r="5797" spans="1:5" ht="26.25" x14ac:dyDescent="0.25">
      <c r="A5797" s="2" t="s">
        <v>19</v>
      </c>
      <c r="B5797" s="2" t="str">
        <f>"345707255"</f>
        <v>345707255</v>
      </c>
      <c r="C5797" s="2" t="str">
        <f>"345707255"</f>
        <v>345707255</v>
      </c>
      <c r="D5797" s="2" t="s">
        <v>4207</v>
      </c>
      <c r="E5797" s="4">
        <v>4500</v>
      </c>
    </row>
    <row r="5798" spans="1:5" ht="26.25" x14ac:dyDescent="0.25">
      <c r="A5798" s="2" t="s">
        <v>19</v>
      </c>
      <c r="B5798" s="2" t="str">
        <f>"764807257"</f>
        <v>764807257</v>
      </c>
      <c r="C5798" s="2" t="str">
        <f>"764807257"</f>
        <v>764807257</v>
      </c>
      <c r="D5798" s="2" t="s">
        <v>4208</v>
      </c>
      <c r="E5798" s="4">
        <v>3500</v>
      </c>
    </row>
    <row r="5799" spans="1:5" ht="26.25" x14ac:dyDescent="0.25">
      <c r="A5799" s="2" t="s">
        <v>19</v>
      </c>
      <c r="B5799" s="2" t="str">
        <f>"174832245"</f>
        <v>174832245</v>
      </c>
      <c r="C5799" s="2" t="str">
        <f>"174832245"</f>
        <v>174832245</v>
      </c>
      <c r="D5799" s="2" t="s">
        <v>4209</v>
      </c>
      <c r="E5799" s="4">
        <v>3000</v>
      </c>
    </row>
    <row r="5800" spans="1:5" ht="26.25" x14ac:dyDescent="0.25">
      <c r="A5800" s="2" t="s">
        <v>19</v>
      </c>
      <c r="B5800" s="2" t="str">
        <f>"76888800"</f>
        <v>76888800</v>
      </c>
      <c r="C5800" s="2" t="str">
        <f>"76888800"</f>
        <v>76888800</v>
      </c>
      <c r="D5800" s="2" t="s">
        <v>4210</v>
      </c>
      <c r="E5800" s="4">
        <v>3500</v>
      </c>
    </row>
    <row r="5801" spans="1:5" ht="26.25" x14ac:dyDescent="0.25">
      <c r="A5801" s="2" t="s">
        <v>19</v>
      </c>
      <c r="B5801" s="2" t="str">
        <f>"765632214"</f>
        <v>765632214</v>
      </c>
      <c r="C5801" s="2" t="str">
        <f>"765632214"</f>
        <v>765632214</v>
      </c>
      <c r="D5801" s="2" t="s">
        <v>4210</v>
      </c>
      <c r="E5801" s="4">
        <v>5500</v>
      </c>
    </row>
    <row r="5802" spans="1:5" ht="26.25" x14ac:dyDescent="0.25">
      <c r="A5802" s="2" t="s">
        <v>19</v>
      </c>
      <c r="B5802" s="2" t="str">
        <f>"76551465"</f>
        <v>76551465</v>
      </c>
      <c r="C5802" s="2" t="str">
        <f>"76551465"</f>
        <v>76551465</v>
      </c>
      <c r="D5802" s="2" t="s">
        <v>4211</v>
      </c>
      <c r="E5802" s="4">
        <v>5000</v>
      </c>
    </row>
    <row r="5803" spans="1:5" ht="26.25" x14ac:dyDescent="0.25">
      <c r="A5803" s="2" t="s">
        <v>19</v>
      </c>
      <c r="B5803" s="2" t="str">
        <f>"76430956"</f>
        <v>76430956</v>
      </c>
      <c r="C5803" s="2" t="str">
        <f>"76430956"</f>
        <v>76430956</v>
      </c>
      <c r="D5803" s="2" t="s">
        <v>4212</v>
      </c>
      <c r="E5803" s="4">
        <v>3000</v>
      </c>
    </row>
    <row r="5804" spans="1:5" ht="26.25" x14ac:dyDescent="0.25">
      <c r="A5804" s="2" t="s">
        <v>19</v>
      </c>
      <c r="B5804" s="2" t="str">
        <f>"764309154"</f>
        <v>764309154</v>
      </c>
      <c r="C5804" s="2" t="str">
        <f>"764309154"</f>
        <v>764309154</v>
      </c>
      <c r="D5804" s="2" t="s">
        <v>4213</v>
      </c>
      <c r="E5804" s="4">
        <v>3000</v>
      </c>
    </row>
    <row r="5805" spans="1:5" ht="26.25" x14ac:dyDescent="0.25">
      <c r="A5805" s="2" t="s">
        <v>19</v>
      </c>
      <c r="B5805" s="2" t="str">
        <f>"177109205"</f>
        <v>177109205</v>
      </c>
      <c r="C5805" s="2" t="str">
        <f>"177109205"</f>
        <v>177109205</v>
      </c>
      <c r="D5805" s="2" t="s">
        <v>4214</v>
      </c>
      <c r="E5805" s="4">
        <v>4500</v>
      </c>
    </row>
    <row r="5806" spans="1:5" ht="26.25" x14ac:dyDescent="0.25">
      <c r="A5806" s="2" t="s">
        <v>1590</v>
      </c>
      <c r="B5806" s="2" t="str">
        <f>"76560970"</f>
        <v>76560970</v>
      </c>
      <c r="C5806" s="2" t="str">
        <f>"76560970"</f>
        <v>76560970</v>
      </c>
      <c r="D5806" s="2" t="s">
        <v>4215</v>
      </c>
      <c r="E5806" s="4">
        <v>3500</v>
      </c>
    </row>
    <row r="5807" spans="1:5" ht="26.25" x14ac:dyDescent="0.25">
      <c r="A5807" s="2" t="s">
        <v>19</v>
      </c>
      <c r="B5807" s="2" t="str">
        <f>"344809221"</f>
        <v>344809221</v>
      </c>
      <c r="C5807" s="2" t="str">
        <f>"344809221"</f>
        <v>344809221</v>
      </c>
      <c r="D5807" s="2" t="s">
        <v>4216</v>
      </c>
      <c r="E5807" s="4">
        <v>3500</v>
      </c>
    </row>
    <row r="5808" spans="1:5" ht="26.25" x14ac:dyDescent="0.25">
      <c r="A5808" s="2" t="s">
        <v>19</v>
      </c>
      <c r="B5808" s="2" t="str">
        <f>"765609221"</f>
        <v>765609221</v>
      </c>
      <c r="C5808" s="2" t="str">
        <f>"765609221"</f>
        <v>765609221</v>
      </c>
      <c r="D5808" s="2" t="s">
        <v>4216</v>
      </c>
      <c r="E5808" s="4">
        <v>5500</v>
      </c>
    </row>
    <row r="5809" spans="1:5" ht="26.25" x14ac:dyDescent="0.25">
      <c r="A5809" s="2" t="s">
        <v>19</v>
      </c>
      <c r="B5809" s="2" t="str">
        <f>"764309293"</f>
        <v>764309293</v>
      </c>
      <c r="C5809" s="2" t="str">
        <f>"764309293"</f>
        <v>764309293</v>
      </c>
      <c r="D5809" s="2" t="s">
        <v>4217</v>
      </c>
      <c r="E5809" s="4">
        <v>3500</v>
      </c>
    </row>
    <row r="5810" spans="1:5" ht="26.25" x14ac:dyDescent="0.25">
      <c r="A5810" s="2" t="s">
        <v>19</v>
      </c>
      <c r="B5810" s="2" t="str">
        <f>"1578147495625"</f>
        <v>1578147495625</v>
      </c>
      <c r="C5810" s="2" t="str">
        <f>"61390061"</f>
        <v>61390061</v>
      </c>
      <c r="D5810" s="2" t="s">
        <v>4217</v>
      </c>
      <c r="E5810" s="4">
        <v>4000</v>
      </c>
    </row>
    <row r="5811" spans="1:5" ht="26.25" x14ac:dyDescent="0.25">
      <c r="A5811" s="2" t="s">
        <v>19</v>
      </c>
      <c r="B5811" s="2" t="str">
        <f>"764009327"</f>
        <v>764009327</v>
      </c>
      <c r="C5811" s="2" t="str">
        <f>"764009327"</f>
        <v>764009327</v>
      </c>
      <c r="D5811" s="2" t="s">
        <v>4218</v>
      </c>
      <c r="E5811" s="4">
        <v>3500</v>
      </c>
    </row>
    <row r="5812" spans="1:5" ht="26.25" x14ac:dyDescent="0.25">
      <c r="A5812" s="2" t="s">
        <v>19</v>
      </c>
      <c r="B5812" s="2" t="str">
        <f>"1578146776913"</f>
        <v>1578146776913</v>
      </c>
      <c r="C5812" s="2" t="str">
        <f>"61390045"</f>
        <v>61390045</v>
      </c>
      <c r="D5812" s="2" t="s">
        <v>4219</v>
      </c>
      <c r="E5812" s="4">
        <v>4000</v>
      </c>
    </row>
    <row r="5813" spans="1:5" ht="26.25" x14ac:dyDescent="0.25">
      <c r="A5813" s="2" t="s">
        <v>19</v>
      </c>
      <c r="B5813" s="2" t="str">
        <f>"344809214"</f>
        <v>344809214</v>
      </c>
      <c r="C5813" s="2" t="str">
        <f>"344809214"</f>
        <v>344809214</v>
      </c>
      <c r="D5813" s="2" t="s">
        <v>4220</v>
      </c>
      <c r="E5813" s="4">
        <v>3500</v>
      </c>
    </row>
    <row r="5814" spans="1:5" ht="26.25" x14ac:dyDescent="0.25">
      <c r="A5814" s="2" t="s">
        <v>19</v>
      </c>
      <c r="B5814" s="2" t="str">
        <f>"687109214"</f>
        <v>687109214</v>
      </c>
      <c r="C5814" s="2" t="str">
        <f>"687109214"</f>
        <v>687109214</v>
      </c>
      <c r="D5814" s="2" t="s">
        <v>4220</v>
      </c>
      <c r="E5814" s="4">
        <v>4800</v>
      </c>
    </row>
    <row r="5815" spans="1:5" ht="26.25" x14ac:dyDescent="0.25">
      <c r="A5815" s="2" t="s">
        <v>19</v>
      </c>
      <c r="B5815" s="2" t="str">
        <f>"765809214"</f>
        <v>765809214</v>
      </c>
      <c r="C5815" s="2" t="str">
        <f>"765809214"</f>
        <v>765809214</v>
      </c>
      <c r="D5815" s="2" t="s">
        <v>4220</v>
      </c>
      <c r="E5815" s="4">
        <v>3500</v>
      </c>
    </row>
    <row r="5816" spans="1:5" ht="26.25" x14ac:dyDescent="0.25">
      <c r="A5816" s="2" t="s">
        <v>19</v>
      </c>
      <c r="B5816" s="2" t="str">
        <f>"344809213"</f>
        <v>344809213</v>
      </c>
      <c r="C5816" s="2" t="str">
        <f>"344809213"</f>
        <v>344809213</v>
      </c>
      <c r="D5816" s="2" t="s">
        <v>4221</v>
      </c>
      <c r="E5816" s="4">
        <v>3500</v>
      </c>
    </row>
    <row r="5817" spans="1:5" ht="26.25" x14ac:dyDescent="0.25">
      <c r="A5817" s="2" t="s">
        <v>19</v>
      </c>
      <c r="B5817" s="2" t="str">
        <f>"76680971"</f>
        <v>76680971</v>
      </c>
      <c r="C5817" s="2" t="str">
        <f>"76680971"</f>
        <v>76680971</v>
      </c>
      <c r="D5817" s="2" t="s">
        <v>4222</v>
      </c>
      <c r="E5817" s="4">
        <v>3500</v>
      </c>
    </row>
    <row r="5818" spans="1:5" ht="26.25" x14ac:dyDescent="0.25">
      <c r="A5818" s="2" t="s">
        <v>1590</v>
      </c>
      <c r="B5818" s="2" t="str">
        <f>"76560934"</f>
        <v>76560934</v>
      </c>
      <c r="C5818" s="2" t="str">
        <f>"76560934"</f>
        <v>76560934</v>
      </c>
      <c r="D5818" s="2" t="s">
        <v>4223</v>
      </c>
      <c r="E5818" s="4">
        <v>3500</v>
      </c>
    </row>
    <row r="5819" spans="1:5" ht="26.25" x14ac:dyDescent="0.25">
      <c r="A5819" s="2" t="s">
        <v>19</v>
      </c>
      <c r="B5819" s="2" t="str">
        <f>"766809107"</f>
        <v>766809107</v>
      </c>
      <c r="C5819" s="2" t="str">
        <f>"766809107"</f>
        <v>766809107</v>
      </c>
      <c r="D5819" s="2" t="s">
        <v>4224</v>
      </c>
      <c r="E5819" s="4">
        <v>3000</v>
      </c>
    </row>
    <row r="5820" spans="1:5" ht="26.25" x14ac:dyDescent="0.25">
      <c r="A5820" s="2" t="s">
        <v>19</v>
      </c>
      <c r="B5820" s="2" t="str">
        <f>"764809235"</f>
        <v>764809235</v>
      </c>
      <c r="C5820" s="2" t="str">
        <f>"764809235"</f>
        <v>764809235</v>
      </c>
      <c r="D5820" s="2" t="s">
        <v>4225</v>
      </c>
      <c r="E5820" s="4">
        <v>1500</v>
      </c>
    </row>
    <row r="5821" spans="1:5" ht="26.25" x14ac:dyDescent="0.25">
      <c r="A5821" s="2" t="s">
        <v>19</v>
      </c>
      <c r="B5821" s="2" t="str">
        <f>"174709292"</f>
        <v>174709292</v>
      </c>
      <c r="C5821" s="2" t="str">
        <f>"174709292"</f>
        <v>174709292</v>
      </c>
      <c r="D5821" s="2" t="s">
        <v>4226</v>
      </c>
      <c r="E5821" s="4">
        <v>3500</v>
      </c>
    </row>
    <row r="5822" spans="1:5" ht="26.25" x14ac:dyDescent="0.25">
      <c r="A5822" s="2" t="s">
        <v>19</v>
      </c>
      <c r="B5822" s="2" t="str">
        <f>"677909292"</f>
        <v>677909292</v>
      </c>
      <c r="C5822" s="2" t="str">
        <f>"677909292"</f>
        <v>677909292</v>
      </c>
      <c r="D5822" s="2" t="s">
        <v>4226</v>
      </c>
      <c r="E5822" s="4">
        <v>3500</v>
      </c>
    </row>
    <row r="5823" spans="1:5" ht="26.25" x14ac:dyDescent="0.25">
      <c r="A5823" s="2" t="s">
        <v>19</v>
      </c>
      <c r="B5823" s="2" t="str">
        <f>"324009292"</f>
        <v>324009292</v>
      </c>
      <c r="C5823" s="2" t="str">
        <f>"324009292"</f>
        <v>324009292</v>
      </c>
      <c r="D5823" s="2" t="s">
        <v>4226</v>
      </c>
      <c r="E5823" s="4">
        <v>3500</v>
      </c>
    </row>
    <row r="5824" spans="1:5" ht="26.25" x14ac:dyDescent="0.25">
      <c r="A5824" s="2" t="s">
        <v>19</v>
      </c>
      <c r="B5824" s="2" t="str">
        <f>"174710297"</f>
        <v>174710297</v>
      </c>
      <c r="C5824" s="2" t="str">
        <f>"174710297"</f>
        <v>174710297</v>
      </c>
      <c r="D5824" s="2" t="s">
        <v>4227</v>
      </c>
      <c r="E5824" s="4">
        <v>3500</v>
      </c>
    </row>
    <row r="5825" spans="1:5" ht="26.25" x14ac:dyDescent="0.25">
      <c r="A5825" s="2" t="s">
        <v>19</v>
      </c>
      <c r="B5825" s="2" t="str">
        <f>"764010297"</f>
        <v>764010297</v>
      </c>
      <c r="C5825" s="2" t="str">
        <f>"764010297"</f>
        <v>764010297</v>
      </c>
      <c r="D5825" s="2" t="s">
        <v>4227</v>
      </c>
      <c r="E5825" s="4">
        <v>3500</v>
      </c>
    </row>
    <row r="5826" spans="1:5" ht="26.25" x14ac:dyDescent="0.25">
      <c r="A5826" s="2" t="s">
        <v>19</v>
      </c>
      <c r="B5826" s="2" t="str">
        <f>"767710301"</f>
        <v>767710301</v>
      </c>
      <c r="C5826" s="2" t="str">
        <f>"767710301"</f>
        <v>767710301</v>
      </c>
      <c r="D5826" s="2" t="s">
        <v>4228</v>
      </c>
      <c r="E5826" s="4">
        <v>4500</v>
      </c>
    </row>
    <row r="5827" spans="1:5" ht="26.25" x14ac:dyDescent="0.25">
      <c r="A5827" s="2" t="s">
        <v>19</v>
      </c>
      <c r="B5827" s="2" t="str">
        <f>"764010301"</f>
        <v>764010301</v>
      </c>
      <c r="C5827" s="2" t="str">
        <f>"764010301"</f>
        <v>764010301</v>
      </c>
      <c r="D5827" s="2" t="s">
        <v>4228</v>
      </c>
      <c r="E5827" s="4">
        <v>3500</v>
      </c>
    </row>
    <row r="5828" spans="1:5" ht="26.25" x14ac:dyDescent="0.25">
      <c r="A5828" s="2" t="s">
        <v>19</v>
      </c>
      <c r="B5828" s="2" t="str">
        <f>"17561019"</f>
        <v>17561019</v>
      </c>
      <c r="C5828" s="2" t="str">
        <f>"17561019"</f>
        <v>17561019</v>
      </c>
      <c r="D5828" s="2" t="s">
        <v>4229</v>
      </c>
      <c r="E5828" s="4">
        <v>3500</v>
      </c>
    </row>
    <row r="5829" spans="1:5" ht="26.25" x14ac:dyDescent="0.25">
      <c r="A5829" s="2" t="s">
        <v>19</v>
      </c>
      <c r="B5829" s="2" t="str">
        <f>"767710304"</f>
        <v>767710304</v>
      </c>
      <c r="C5829" s="2" t="str">
        <f>"767710304"</f>
        <v>767710304</v>
      </c>
      <c r="D5829" s="2" t="s">
        <v>4230</v>
      </c>
      <c r="E5829" s="4">
        <v>4500</v>
      </c>
    </row>
    <row r="5830" spans="1:5" ht="26.25" x14ac:dyDescent="0.25">
      <c r="A5830" s="2" t="s">
        <v>19</v>
      </c>
      <c r="B5830" s="2" t="str">
        <f>"764810304"</f>
        <v>764810304</v>
      </c>
      <c r="C5830" s="2" t="str">
        <f>"764810304"</f>
        <v>764810304</v>
      </c>
      <c r="D5830" s="2" t="s">
        <v>4230</v>
      </c>
      <c r="E5830" s="4">
        <v>3500</v>
      </c>
    </row>
    <row r="5831" spans="1:5" ht="26.25" x14ac:dyDescent="0.25">
      <c r="A5831" s="2" t="s">
        <v>19</v>
      </c>
      <c r="B5831" s="2" t="str">
        <f>"764010304"</f>
        <v>764010304</v>
      </c>
      <c r="C5831" s="2" t="str">
        <f>"764010304"</f>
        <v>764010304</v>
      </c>
      <c r="D5831" s="2" t="s">
        <v>4230</v>
      </c>
      <c r="E5831" s="4">
        <v>3500</v>
      </c>
    </row>
    <row r="5832" spans="1:5" ht="26.25" x14ac:dyDescent="0.25">
      <c r="A5832" s="2" t="s">
        <v>19</v>
      </c>
      <c r="B5832" s="2" t="str">
        <f>"764010309"</f>
        <v>764010309</v>
      </c>
      <c r="C5832" s="2" t="str">
        <f>"764010309"</f>
        <v>764010309</v>
      </c>
      <c r="D5832" s="2" t="s">
        <v>4231</v>
      </c>
      <c r="E5832" s="4">
        <v>3500</v>
      </c>
    </row>
    <row r="5833" spans="1:5" ht="26.25" x14ac:dyDescent="0.25">
      <c r="A5833" s="2" t="s">
        <v>19</v>
      </c>
      <c r="B5833" s="2" t="str">
        <f>"1578147202525"</f>
        <v>1578147202525</v>
      </c>
      <c r="C5833" s="2" t="str">
        <f>"61390093"</f>
        <v>61390093</v>
      </c>
      <c r="D5833" s="2" t="s">
        <v>4232</v>
      </c>
      <c r="E5833" s="4">
        <v>4000</v>
      </c>
    </row>
    <row r="5834" spans="1:5" ht="26.25" x14ac:dyDescent="0.25">
      <c r="A5834" s="2" t="s">
        <v>19</v>
      </c>
      <c r="B5834" s="2" t="str">
        <f>"674810318"</f>
        <v>674810318</v>
      </c>
      <c r="C5834" s="2" t="str">
        <f>"674810318"</f>
        <v>674810318</v>
      </c>
      <c r="D5834" s="2" t="s">
        <v>4232</v>
      </c>
      <c r="E5834" s="4">
        <v>3500</v>
      </c>
    </row>
    <row r="5835" spans="1:5" ht="26.25" x14ac:dyDescent="0.25">
      <c r="A5835" s="2" t="s">
        <v>19</v>
      </c>
      <c r="B5835" s="2" t="str">
        <f>"68711059"</f>
        <v>68711059</v>
      </c>
      <c r="C5835" s="2" t="str">
        <f>"68711059"</f>
        <v>68711059</v>
      </c>
      <c r="D5835" s="2" t="s">
        <v>4233</v>
      </c>
      <c r="E5835" s="4">
        <v>4800</v>
      </c>
    </row>
    <row r="5836" spans="1:5" ht="26.25" x14ac:dyDescent="0.25">
      <c r="A5836" s="2" t="s">
        <v>1590</v>
      </c>
      <c r="B5836" s="2" t="str">
        <f>"76261062"</f>
        <v>76261062</v>
      </c>
      <c r="C5836" s="2" t="str">
        <f>"76261062"</f>
        <v>76261062</v>
      </c>
      <c r="D5836" s="2" t="s">
        <v>4234</v>
      </c>
      <c r="E5836" s="4">
        <v>3000</v>
      </c>
    </row>
    <row r="5837" spans="1:5" ht="26.25" x14ac:dyDescent="0.25">
      <c r="A5837" s="2" t="s">
        <v>1590</v>
      </c>
      <c r="B5837" s="2" t="str">
        <f>"76561062"</f>
        <v>76561062</v>
      </c>
      <c r="C5837" s="2" t="str">
        <f>"76561062"</f>
        <v>76561062</v>
      </c>
      <c r="D5837" s="2" t="s">
        <v>4234</v>
      </c>
      <c r="E5837" s="4">
        <v>3500</v>
      </c>
    </row>
    <row r="5838" spans="1:5" ht="26.25" x14ac:dyDescent="0.25">
      <c r="A5838" s="2" t="s">
        <v>1590</v>
      </c>
      <c r="B5838" s="2" t="str">
        <f>"76566262"</f>
        <v>76566262</v>
      </c>
      <c r="C5838" s="2" t="str">
        <f>"76566262"</f>
        <v>76566262</v>
      </c>
      <c r="D5838" s="2" t="s">
        <v>4234</v>
      </c>
      <c r="E5838" s="4">
        <v>3000</v>
      </c>
    </row>
    <row r="5839" spans="1:5" ht="26.25" x14ac:dyDescent="0.25">
      <c r="A5839" s="2" t="s">
        <v>19</v>
      </c>
      <c r="B5839" s="2" t="str">
        <f>"68711062"</f>
        <v>68711062</v>
      </c>
      <c r="C5839" s="2" t="str">
        <f>"68711062"</f>
        <v>68711062</v>
      </c>
      <c r="D5839" s="2" t="s">
        <v>4234</v>
      </c>
      <c r="E5839" s="4">
        <v>4800</v>
      </c>
    </row>
    <row r="5840" spans="1:5" ht="26.25" x14ac:dyDescent="0.25">
      <c r="A5840" s="2" t="s">
        <v>19</v>
      </c>
      <c r="B5840" s="2" t="str">
        <f>"765610231"</f>
        <v>765610231</v>
      </c>
      <c r="C5840" s="2" t="str">
        <f>"765610231"</f>
        <v>765610231</v>
      </c>
      <c r="D5840" s="2" t="s">
        <v>4235</v>
      </c>
      <c r="E5840" s="4">
        <v>5500</v>
      </c>
    </row>
    <row r="5841" spans="1:5" ht="26.25" x14ac:dyDescent="0.25">
      <c r="A5841" s="2" t="s">
        <v>19</v>
      </c>
      <c r="B5841" s="2" t="str">
        <f>"178610268"</f>
        <v>178610268</v>
      </c>
      <c r="C5841" s="2" t="str">
        <f>"178610268"</f>
        <v>178610268</v>
      </c>
      <c r="D5841" s="2" t="s">
        <v>4236</v>
      </c>
      <c r="E5841" s="4">
        <v>5000</v>
      </c>
    </row>
    <row r="5842" spans="1:5" ht="26.25" x14ac:dyDescent="0.25">
      <c r="A5842" s="2" t="s">
        <v>19</v>
      </c>
      <c r="B5842" s="2" t="str">
        <f>"764810234"</f>
        <v>764810234</v>
      </c>
      <c r="C5842" s="2" t="str">
        <f>"764810234"</f>
        <v>764810234</v>
      </c>
      <c r="D5842" s="2" t="s">
        <v>4237</v>
      </c>
      <c r="E5842" s="4">
        <v>3500</v>
      </c>
    </row>
    <row r="5843" spans="1:5" ht="26.25" x14ac:dyDescent="0.25">
      <c r="A5843" s="2" t="s">
        <v>19</v>
      </c>
      <c r="B5843" s="2" t="str">
        <f>"174010295"</f>
        <v>174010295</v>
      </c>
      <c r="C5843" s="2" t="str">
        <f>"174010295"</f>
        <v>174010295</v>
      </c>
      <c r="D5843" s="2" t="s">
        <v>4238</v>
      </c>
      <c r="E5843" s="4">
        <v>3500</v>
      </c>
    </row>
    <row r="5844" spans="1:5" ht="26.25" x14ac:dyDescent="0.25">
      <c r="A5844" s="2" t="s">
        <v>19</v>
      </c>
      <c r="B5844" s="2" t="str">
        <f>"764810299"</f>
        <v>764810299</v>
      </c>
      <c r="C5844" s="2" t="str">
        <f>"764810299"</f>
        <v>764810299</v>
      </c>
      <c r="D5844" s="2" t="s">
        <v>4239</v>
      </c>
      <c r="E5844" s="4">
        <v>3500</v>
      </c>
    </row>
    <row r="5845" spans="1:5" ht="26.25" x14ac:dyDescent="0.25">
      <c r="A5845" s="2" t="s">
        <v>19</v>
      </c>
      <c r="B5845" s="2" t="str">
        <f>"764010299"</f>
        <v>764010299</v>
      </c>
      <c r="C5845" s="2" t="str">
        <f>"764010299"</f>
        <v>764010299</v>
      </c>
      <c r="D5845" s="2" t="s">
        <v>4239</v>
      </c>
      <c r="E5845" s="4">
        <v>3500</v>
      </c>
    </row>
    <row r="5846" spans="1:5" ht="26.25" x14ac:dyDescent="0.25">
      <c r="A5846" s="2" t="s">
        <v>19</v>
      </c>
      <c r="B5846" s="2" t="str">
        <f>"764010298"</f>
        <v>764010298</v>
      </c>
      <c r="C5846" s="2" t="str">
        <f>"764010298"</f>
        <v>764010298</v>
      </c>
      <c r="D5846" s="2" t="s">
        <v>4240</v>
      </c>
      <c r="E5846" s="4">
        <v>3500</v>
      </c>
    </row>
    <row r="5847" spans="1:5" ht="26.25" x14ac:dyDescent="0.25">
      <c r="A5847" s="2" t="s">
        <v>19</v>
      </c>
      <c r="B5847" s="2" t="str">
        <f>"764010308"</f>
        <v>764010308</v>
      </c>
      <c r="C5847" s="2" t="str">
        <f>"764010308"</f>
        <v>764010308</v>
      </c>
      <c r="D5847" s="2" t="s">
        <v>4241</v>
      </c>
      <c r="E5847" s="4">
        <v>3500</v>
      </c>
    </row>
    <row r="5848" spans="1:5" ht="26.25" x14ac:dyDescent="0.25">
      <c r="A5848" s="2" t="s">
        <v>19</v>
      </c>
      <c r="B5848" s="2" t="str">
        <f>"764010312"</f>
        <v>764010312</v>
      </c>
      <c r="C5848" s="2" t="str">
        <f>"764010312"</f>
        <v>764010312</v>
      </c>
      <c r="D5848" s="2" t="s">
        <v>4242</v>
      </c>
      <c r="E5848" s="4">
        <v>3500</v>
      </c>
    </row>
    <row r="5849" spans="1:5" ht="26.25" x14ac:dyDescent="0.25">
      <c r="A5849" s="2" t="s">
        <v>19</v>
      </c>
      <c r="B5849" s="2" t="str">
        <f>"677910312"</f>
        <v>677910312</v>
      </c>
      <c r="C5849" s="2" t="str">
        <f>"677910312"</f>
        <v>677910312</v>
      </c>
      <c r="D5849" s="2" t="s">
        <v>4242</v>
      </c>
      <c r="E5849" s="4">
        <v>3500</v>
      </c>
    </row>
    <row r="5850" spans="1:5" ht="26.25" x14ac:dyDescent="0.25">
      <c r="A5850" s="2" t="s">
        <v>19</v>
      </c>
      <c r="B5850" s="2" t="str">
        <f>"674810320"</f>
        <v>674810320</v>
      </c>
      <c r="C5850" s="2" t="str">
        <f>"674810320"</f>
        <v>674810320</v>
      </c>
      <c r="D5850" s="2" t="s">
        <v>4243</v>
      </c>
      <c r="E5850" s="4">
        <v>3500</v>
      </c>
    </row>
    <row r="5851" spans="1:5" ht="26.25" x14ac:dyDescent="0.25">
      <c r="A5851" s="2" t="s">
        <v>19</v>
      </c>
      <c r="B5851" s="2" t="str">
        <f>"1578146016531"</f>
        <v>1578146016531</v>
      </c>
      <c r="C5851" s="2" t="str">
        <f>"61390047"</f>
        <v>61390047</v>
      </c>
      <c r="D5851" s="2" t="s">
        <v>4244</v>
      </c>
      <c r="E5851" s="4">
        <v>4000</v>
      </c>
    </row>
    <row r="5852" spans="1:5" ht="26.25" x14ac:dyDescent="0.25">
      <c r="A5852" s="2" t="s">
        <v>10</v>
      </c>
      <c r="B5852" s="2" t="str">
        <f>"110761224"</f>
        <v>110761224</v>
      </c>
      <c r="C5852" s="2" t="str">
        <f>"110761224"</f>
        <v>110761224</v>
      </c>
      <c r="D5852" s="2" t="s">
        <v>4245</v>
      </c>
      <c r="E5852" s="4">
        <v>3500</v>
      </c>
    </row>
    <row r="5853" spans="1:5" ht="26.25" x14ac:dyDescent="0.25">
      <c r="A5853" s="2" t="s">
        <v>19</v>
      </c>
      <c r="B5853" s="2" t="str">
        <f>"1578146968078"</f>
        <v>1578146968078</v>
      </c>
      <c r="C5853" s="2" t="str">
        <f>"61390075"</f>
        <v>61390075</v>
      </c>
      <c r="D5853" s="2" t="s">
        <v>4246</v>
      </c>
      <c r="E5853" s="4">
        <v>4000</v>
      </c>
    </row>
    <row r="5854" spans="1:5" ht="26.25" x14ac:dyDescent="0.25">
      <c r="A5854" s="2" t="s">
        <v>1590</v>
      </c>
      <c r="B5854" s="2" t="str">
        <f>"76261082"</f>
        <v>76261082</v>
      </c>
      <c r="C5854" s="2" t="str">
        <f>"76261082"</f>
        <v>76261082</v>
      </c>
      <c r="D5854" s="2" t="s">
        <v>4247</v>
      </c>
      <c r="E5854" s="4">
        <v>3000</v>
      </c>
    </row>
    <row r="5855" spans="1:5" ht="26.25" x14ac:dyDescent="0.25">
      <c r="A5855" s="2" t="s">
        <v>10</v>
      </c>
      <c r="B5855" s="2" t="str">
        <f>"110761098"</f>
        <v>110761098</v>
      </c>
      <c r="C5855" s="2" t="str">
        <f>"110761098"</f>
        <v>110761098</v>
      </c>
      <c r="D5855" s="2" t="s">
        <v>4248</v>
      </c>
      <c r="E5855" s="4">
        <v>3000</v>
      </c>
    </row>
    <row r="5856" spans="1:5" ht="26.25" x14ac:dyDescent="0.25">
      <c r="A5856" s="2" t="s">
        <v>19</v>
      </c>
      <c r="B5856" s="2" t="str">
        <f>"76481082"</f>
        <v>76481082</v>
      </c>
      <c r="C5856" s="2" t="str">
        <f>"76481082"</f>
        <v>76481082</v>
      </c>
      <c r="D5856" s="2" t="s">
        <v>4248</v>
      </c>
      <c r="E5856" s="4">
        <v>3000</v>
      </c>
    </row>
    <row r="5857" spans="1:5" ht="26.25" x14ac:dyDescent="0.25">
      <c r="A5857" s="2" t="s">
        <v>19</v>
      </c>
      <c r="B5857" s="2" t="str">
        <f>"76473163"</f>
        <v>76473163</v>
      </c>
      <c r="C5857" s="2" t="str">
        <f>"76473163"</f>
        <v>76473163</v>
      </c>
      <c r="D5857" s="2" t="s">
        <v>4249</v>
      </c>
      <c r="E5857" s="4">
        <v>3500</v>
      </c>
    </row>
    <row r="5858" spans="1:5" ht="26.25" x14ac:dyDescent="0.25">
      <c r="A5858" s="2" t="s">
        <v>19</v>
      </c>
      <c r="B5858" s="2" t="str">
        <f>"76403163"</f>
        <v>76403163</v>
      </c>
      <c r="C5858" s="2" t="str">
        <f>"76403163"</f>
        <v>76403163</v>
      </c>
      <c r="D5858" s="2" t="s">
        <v>4249</v>
      </c>
      <c r="E5858" s="4">
        <v>3500</v>
      </c>
    </row>
    <row r="5859" spans="1:5" ht="26.25" x14ac:dyDescent="0.25">
      <c r="A5859" s="2" t="s">
        <v>19</v>
      </c>
      <c r="B5859" s="2" t="str">
        <f>"1578147332081"</f>
        <v>1578147332081</v>
      </c>
      <c r="C5859" s="2" t="str">
        <f>"61390058"</f>
        <v>61390058</v>
      </c>
      <c r="D5859" s="2" t="s">
        <v>4250</v>
      </c>
      <c r="E5859" s="4">
        <v>4000</v>
      </c>
    </row>
    <row r="5860" spans="1:5" ht="26.25" x14ac:dyDescent="0.25">
      <c r="A5860" s="2" t="s">
        <v>19</v>
      </c>
      <c r="B5860" s="2" t="str">
        <f>"1578147265753"</f>
        <v>1578147265753</v>
      </c>
      <c r="C5860" s="2" t="str">
        <f>"61390021"</f>
        <v>61390021</v>
      </c>
      <c r="D5860" s="2" t="s">
        <v>4251</v>
      </c>
      <c r="E5860" s="4">
        <v>4000</v>
      </c>
    </row>
    <row r="5861" spans="1:5" ht="26.25" x14ac:dyDescent="0.25">
      <c r="A5861" s="2" t="s">
        <v>19</v>
      </c>
      <c r="B5861" s="2" t="str">
        <f>"76403166"</f>
        <v>76403166</v>
      </c>
      <c r="C5861" s="2" t="str">
        <f>"76403166"</f>
        <v>76403166</v>
      </c>
      <c r="D5861" s="2" t="s">
        <v>4252</v>
      </c>
      <c r="E5861" s="4">
        <v>3500</v>
      </c>
    </row>
    <row r="5862" spans="1:5" ht="26.25" x14ac:dyDescent="0.25">
      <c r="A5862" s="2" t="s">
        <v>19</v>
      </c>
      <c r="B5862" s="2" t="str">
        <f>"764031661"</f>
        <v>764031661</v>
      </c>
      <c r="C5862" s="2" t="str">
        <f>"764031661"</f>
        <v>764031661</v>
      </c>
      <c r="D5862" s="2" t="s">
        <v>4253</v>
      </c>
      <c r="E5862" s="4">
        <v>3500</v>
      </c>
    </row>
    <row r="5863" spans="1:5" ht="26.25" x14ac:dyDescent="0.25">
      <c r="A5863" s="2" t="s">
        <v>19</v>
      </c>
      <c r="B5863" s="2" t="str">
        <f>"77343405"</f>
        <v>77343405</v>
      </c>
      <c r="C5863" s="2" t="str">
        <f>"77343405"</f>
        <v>77343405</v>
      </c>
      <c r="D5863" s="2" t="s">
        <v>4254</v>
      </c>
      <c r="E5863" s="4">
        <v>3000</v>
      </c>
    </row>
    <row r="5864" spans="1:5" ht="26.25" x14ac:dyDescent="0.25">
      <c r="A5864" s="2" t="s">
        <v>1590</v>
      </c>
      <c r="B5864" s="2" t="str">
        <f>"762620139"</f>
        <v>762620139</v>
      </c>
      <c r="C5864" s="2" t="str">
        <f>"762620139"</f>
        <v>762620139</v>
      </c>
      <c r="D5864" s="2" t="s">
        <v>4255</v>
      </c>
      <c r="E5864" s="4">
        <v>3000</v>
      </c>
    </row>
    <row r="5865" spans="1:5" ht="26.25" x14ac:dyDescent="0.25">
      <c r="A5865" s="2" t="s">
        <v>19</v>
      </c>
      <c r="B5865" s="2" t="str">
        <f>"176820115"</f>
        <v>176820115</v>
      </c>
      <c r="C5865" s="2" t="str">
        <f>"176820115"</f>
        <v>176820115</v>
      </c>
      <c r="D5865" s="2" t="s">
        <v>4256</v>
      </c>
      <c r="E5865" s="4">
        <v>3000</v>
      </c>
    </row>
    <row r="5866" spans="1:5" ht="26.25" x14ac:dyDescent="0.25">
      <c r="A5866" s="2" t="s">
        <v>19</v>
      </c>
      <c r="B5866" s="2" t="str">
        <f>"762620114"</f>
        <v>762620114</v>
      </c>
      <c r="C5866" s="2" t="str">
        <f>"762620114"</f>
        <v>762620114</v>
      </c>
      <c r="D5866" s="2" t="s">
        <v>4256</v>
      </c>
      <c r="E5866" s="4">
        <v>3000</v>
      </c>
    </row>
    <row r="5867" spans="1:5" ht="26.25" x14ac:dyDescent="0.25">
      <c r="A5867" s="2" t="s">
        <v>19</v>
      </c>
      <c r="B5867" s="2" t="str">
        <f>"766820181"</f>
        <v>766820181</v>
      </c>
      <c r="C5867" s="2" t="str">
        <f>"766820181"</f>
        <v>766820181</v>
      </c>
      <c r="D5867" s="2" t="s">
        <v>4257</v>
      </c>
      <c r="E5867" s="4">
        <v>3000</v>
      </c>
    </row>
    <row r="5868" spans="1:5" ht="26.25" x14ac:dyDescent="0.25">
      <c r="A5868" s="2" t="s">
        <v>19</v>
      </c>
      <c r="B5868" s="2" t="str">
        <f>"764820242"</f>
        <v>764820242</v>
      </c>
      <c r="C5868" s="2" t="str">
        <f>"764820242"</f>
        <v>764820242</v>
      </c>
      <c r="D5868" s="2" t="s">
        <v>4258</v>
      </c>
      <c r="E5868" s="4">
        <v>3000</v>
      </c>
    </row>
    <row r="5869" spans="1:5" ht="26.25" x14ac:dyDescent="0.25">
      <c r="A5869" s="2" t="s">
        <v>19</v>
      </c>
      <c r="B5869" s="2" t="str">
        <f>"764320180"</f>
        <v>764320180</v>
      </c>
      <c r="C5869" s="2" t="str">
        <f>"764320180"</f>
        <v>764320180</v>
      </c>
      <c r="D5869" s="2" t="s">
        <v>4259</v>
      </c>
      <c r="E5869" s="4">
        <v>3000</v>
      </c>
    </row>
    <row r="5870" spans="1:5" ht="26.25" x14ac:dyDescent="0.25">
      <c r="A5870" s="2" t="s">
        <v>19</v>
      </c>
      <c r="B5870" s="2" t="str">
        <f>"34711454"</f>
        <v>34711454</v>
      </c>
      <c r="C5870" s="2" t="str">
        <f>"34711454"</f>
        <v>34711454</v>
      </c>
      <c r="D5870" s="2" t="s">
        <v>4260</v>
      </c>
      <c r="E5870" s="4">
        <v>4500</v>
      </c>
    </row>
    <row r="5871" spans="1:5" ht="26.25" x14ac:dyDescent="0.25">
      <c r="A5871" s="2" t="s">
        <v>19</v>
      </c>
      <c r="B5871" s="2" t="str">
        <f>"1578147158147"</f>
        <v>1578147158147</v>
      </c>
      <c r="C5871" s="2" t="str">
        <f>"61390095"</f>
        <v>61390095</v>
      </c>
      <c r="D5871" s="2" t="s">
        <v>4261</v>
      </c>
      <c r="E5871" s="4">
        <v>4000</v>
      </c>
    </row>
    <row r="5872" spans="1:5" ht="26.25" x14ac:dyDescent="0.25">
      <c r="A5872" s="2" t="s">
        <v>19</v>
      </c>
      <c r="B5872" s="2" t="str">
        <f>"674814284"</f>
        <v>674814284</v>
      </c>
      <c r="C5872" s="2" t="str">
        <f>"674814284"</f>
        <v>674814284</v>
      </c>
      <c r="D5872" s="2" t="s">
        <v>4261</v>
      </c>
      <c r="E5872" s="4">
        <v>4500</v>
      </c>
    </row>
    <row r="5873" spans="1:5" ht="26.25" x14ac:dyDescent="0.25">
      <c r="A5873" s="2" t="s">
        <v>19</v>
      </c>
      <c r="B5873" s="2" t="str">
        <f>"1578146924101"</f>
        <v>1578146924101</v>
      </c>
      <c r="C5873" s="2" t="str">
        <f>"61390085"</f>
        <v>61390085</v>
      </c>
      <c r="D5873" s="2" t="s">
        <v>4262</v>
      </c>
      <c r="E5873" s="4">
        <v>4000</v>
      </c>
    </row>
    <row r="5874" spans="1:5" ht="26.25" x14ac:dyDescent="0.25">
      <c r="A5874" s="2" t="s">
        <v>19</v>
      </c>
      <c r="B5874" s="2" t="str">
        <f>"764814285"</f>
        <v>764814285</v>
      </c>
      <c r="C5874" s="2" t="str">
        <f>"764814285"</f>
        <v>764814285</v>
      </c>
      <c r="D5874" s="2" t="s">
        <v>4263</v>
      </c>
      <c r="E5874" s="4">
        <v>3500</v>
      </c>
    </row>
    <row r="5875" spans="1:5" ht="26.25" x14ac:dyDescent="0.25">
      <c r="A5875" s="2" t="s">
        <v>19</v>
      </c>
      <c r="B5875" s="2" t="str">
        <f>"1578147419118"</f>
        <v>1578147419118</v>
      </c>
      <c r="C5875" s="2" t="str">
        <f>"61390046"</f>
        <v>61390046</v>
      </c>
      <c r="D5875" s="2" t="s">
        <v>4263</v>
      </c>
      <c r="E5875" s="4">
        <v>4000</v>
      </c>
    </row>
    <row r="5876" spans="1:5" ht="26.25" x14ac:dyDescent="0.25">
      <c r="A5876" s="2" t="s">
        <v>19</v>
      </c>
      <c r="B5876" s="2" t="str">
        <f>"674814285"</f>
        <v>674814285</v>
      </c>
      <c r="C5876" s="2" t="str">
        <f>"674814285"</f>
        <v>674814285</v>
      </c>
      <c r="D5876" s="2" t="s">
        <v>4263</v>
      </c>
      <c r="E5876" s="4">
        <v>3500</v>
      </c>
    </row>
    <row r="5877" spans="1:5" ht="26.25" x14ac:dyDescent="0.25">
      <c r="A5877" s="2" t="s">
        <v>19</v>
      </c>
      <c r="B5877" s="2" t="str">
        <f>"677514285"</f>
        <v>677514285</v>
      </c>
      <c r="C5877" s="2" t="str">
        <f>"677514285"</f>
        <v>677514285</v>
      </c>
      <c r="D5877" s="2" t="s">
        <v>4263</v>
      </c>
      <c r="E5877" s="4">
        <v>4000</v>
      </c>
    </row>
    <row r="5878" spans="1:5" ht="26.25" x14ac:dyDescent="0.25">
      <c r="A5878" s="2" t="s">
        <v>19</v>
      </c>
      <c r="B5878" s="2" t="str">
        <f>"2019120500022"</f>
        <v>2019120500022</v>
      </c>
      <c r="C5878" s="2" t="str">
        <f>"177705285"</f>
        <v>177705285</v>
      </c>
      <c r="D5878" s="2" t="s">
        <v>4263</v>
      </c>
      <c r="E5878" s="4">
        <v>3500</v>
      </c>
    </row>
    <row r="5879" spans="1:5" ht="26.25" x14ac:dyDescent="0.25">
      <c r="A5879" s="2" t="s">
        <v>19</v>
      </c>
      <c r="B5879" s="2" t="str">
        <f>"177114197"</f>
        <v>177114197</v>
      </c>
      <c r="C5879" s="2" t="str">
        <f>"177114197"</f>
        <v>177114197</v>
      </c>
      <c r="D5879" s="2" t="s">
        <v>4264</v>
      </c>
      <c r="E5879" s="4">
        <v>4500</v>
      </c>
    </row>
    <row r="5880" spans="1:5" ht="26.25" x14ac:dyDescent="0.25">
      <c r="A5880" s="2" t="s">
        <v>19</v>
      </c>
      <c r="B5880" s="2" t="str">
        <f>"674814274"</f>
        <v>674814274</v>
      </c>
      <c r="C5880" s="2" t="str">
        <f>"674814274"</f>
        <v>674814274</v>
      </c>
      <c r="D5880" s="2" t="s">
        <v>4265</v>
      </c>
      <c r="E5880" s="4">
        <v>3500</v>
      </c>
    </row>
    <row r="5881" spans="1:5" ht="26.25" x14ac:dyDescent="0.25">
      <c r="A5881" s="2" t="s">
        <v>19</v>
      </c>
      <c r="B5881" s="2" t="str">
        <f>"1578146831560"</f>
        <v>1578146831560</v>
      </c>
      <c r="C5881" s="2" t="str">
        <f>"61390078"</f>
        <v>61390078</v>
      </c>
      <c r="D5881" s="2" t="s">
        <v>4266</v>
      </c>
      <c r="E5881" s="4">
        <v>4000</v>
      </c>
    </row>
    <row r="5882" spans="1:5" ht="26.25" x14ac:dyDescent="0.25">
      <c r="A5882" s="2" t="s">
        <v>19</v>
      </c>
      <c r="B5882" s="2" t="str">
        <f>"177114179"</f>
        <v>177114179</v>
      </c>
      <c r="C5882" s="2" t="str">
        <f>"177114179"</f>
        <v>177114179</v>
      </c>
      <c r="D5882" s="2" t="s">
        <v>4267</v>
      </c>
      <c r="E5882" s="4">
        <v>4500</v>
      </c>
    </row>
    <row r="5883" spans="1:5" ht="26.25" x14ac:dyDescent="0.25">
      <c r="A5883" s="2" t="s">
        <v>19</v>
      </c>
      <c r="B5883" s="2" t="str">
        <f>"174714293"</f>
        <v>174714293</v>
      </c>
      <c r="C5883" s="2" t="str">
        <f>"174714293"</f>
        <v>174714293</v>
      </c>
      <c r="D5883" s="2" t="s">
        <v>4268</v>
      </c>
      <c r="E5883" s="4">
        <v>3500</v>
      </c>
    </row>
    <row r="5884" spans="1:5" ht="26.25" x14ac:dyDescent="0.25">
      <c r="A5884" s="2" t="s">
        <v>19</v>
      </c>
      <c r="B5884" s="2" t="str">
        <f>"1578146873102"</f>
        <v>1578146873102</v>
      </c>
      <c r="C5884" s="2" t="str">
        <f>"61390056"</f>
        <v>61390056</v>
      </c>
      <c r="D5884" s="2" t="s">
        <v>4269</v>
      </c>
      <c r="E5884" s="4">
        <v>4000</v>
      </c>
    </row>
    <row r="5885" spans="1:5" ht="26.25" x14ac:dyDescent="0.25">
      <c r="A5885" s="2" t="s">
        <v>19</v>
      </c>
      <c r="B5885" s="2" t="str">
        <f>"177114177"</f>
        <v>177114177</v>
      </c>
      <c r="C5885" s="2" t="str">
        <f>"177114177"</f>
        <v>177114177</v>
      </c>
      <c r="D5885" s="2" t="s">
        <v>4270</v>
      </c>
      <c r="E5885" s="4">
        <v>4500</v>
      </c>
    </row>
    <row r="5886" spans="1:5" ht="26.25" x14ac:dyDescent="0.25">
      <c r="A5886" s="2" t="s">
        <v>19</v>
      </c>
      <c r="B5886" s="2" t="str">
        <f>"174714294"</f>
        <v>174714294</v>
      </c>
      <c r="C5886" s="2" t="str">
        <f>"174714294"</f>
        <v>174714294</v>
      </c>
      <c r="D5886" s="2" t="s">
        <v>4271</v>
      </c>
      <c r="E5886" s="4">
        <v>3500</v>
      </c>
    </row>
    <row r="5887" spans="1:5" ht="26.25" x14ac:dyDescent="0.25">
      <c r="A5887" s="2" t="s">
        <v>19</v>
      </c>
      <c r="B5887" s="2" t="str">
        <f>"1578146445160"</f>
        <v>1578146445160</v>
      </c>
      <c r="C5887" s="2" t="str">
        <f>"61390089"</f>
        <v>61390089</v>
      </c>
      <c r="D5887" s="2" t="s">
        <v>4272</v>
      </c>
      <c r="E5887" s="4">
        <v>4000</v>
      </c>
    </row>
    <row r="5888" spans="1:5" ht="26.25" x14ac:dyDescent="0.25">
      <c r="A5888" s="2" t="s">
        <v>19</v>
      </c>
      <c r="B5888" s="2" t="str">
        <f>"764714238"</f>
        <v>764714238</v>
      </c>
      <c r="C5888" s="2" t="str">
        <f>"764714238"</f>
        <v>764714238</v>
      </c>
      <c r="D5888" s="2" t="s">
        <v>4273</v>
      </c>
      <c r="E5888" s="4">
        <v>4000</v>
      </c>
    </row>
    <row r="5889" spans="1:5" ht="26.25" x14ac:dyDescent="0.25">
      <c r="A5889" s="2" t="s">
        <v>19</v>
      </c>
      <c r="B5889" s="2" t="str">
        <f>"764714138"</f>
        <v>764714138</v>
      </c>
      <c r="C5889" s="2" t="str">
        <f>"764714138"</f>
        <v>764714138</v>
      </c>
      <c r="D5889" s="2" t="s">
        <v>4274</v>
      </c>
      <c r="E5889" s="4">
        <v>4000</v>
      </c>
    </row>
    <row r="5890" spans="1:5" ht="26.25" x14ac:dyDescent="0.25">
      <c r="A5890" s="2" t="s">
        <v>1590</v>
      </c>
      <c r="B5890" s="2" t="str">
        <f>"76561413"</f>
        <v>76561413</v>
      </c>
      <c r="C5890" s="2" t="str">
        <f>"76561413"</f>
        <v>76561413</v>
      </c>
      <c r="D5890" s="2" t="s">
        <v>4275</v>
      </c>
      <c r="E5890" s="4">
        <v>3000</v>
      </c>
    </row>
    <row r="5891" spans="1:5" ht="26.25" x14ac:dyDescent="0.25">
      <c r="A5891" s="2" t="s">
        <v>1590</v>
      </c>
      <c r="B5891" s="2" t="str">
        <f>"76561425"</f>
        <v>76561425</v>
      </c>
      <c r="C5891" s="2" t="str">
        <f>"76561425"</f>
        <v>76561425</v>
      </c>
      <c r="D5891" s="2" t="s">
        <v>4276</v>
      </c>
      <c r="E5891" s="4">
        <v>3500</v>
      </c>
    </row>
    <row r="5892" spans="1:5" ht="26.25" x14ac:dyDescent="0.25">
      <c r="A5892" s="2" t="s">
        <v>19</v>
      </c>
      <c r="B5892" s="2" t="str">
        <f>"76551425"</f>
        <v>76551425</v>
      </c>
      <c r="C5892" s="2" t="str">
        <f>"76551425"</f>
        <v>76551425</v>
      </c>
      <c r="D5892" s="2" t="s">
        <v>4276</v>
      </c>
      <c r="E5892" s="4">
        <v>5000</v>
      </c>
    </row>
    <row r="5893" spans="1:5" ht="26.25" x14ac:dyDescent="0.25">
      <c r="A5893" s="2" t="s">
        <v>1590</v>
      </c>
      <c r="B5893" s="2" t="str">
        <f>"76561455"</f>
        <v>76561455</v>
      </c>
      <c r="C5893" s="2" t="str">
        <f>"76561455"</f>
        <v>76561455</v>
      </c>
      <c r="D5893" s="2" t="s">
        <v>4277</v>
      </c>
      <c r="E5893" s="4">
        <v>4000</v>
      </c>
    </row>
    <row r="5894" spans="1:5" ht="26.25" x14ac:dyDescent="0.25">
      <c r="A5894" s="2" t="s">
        <v>1590</v>
      </c>
      <c r="B5894" s="2" t="str">
        <f>"17561428"</f>
        <v>17561428</v>
      </c>
      <c r="C5894" s="2" t="str">
        <f>"17561428"</f>
        <v>17561428</v>
      </c>
      <c r="D5894" s="2" t="s">
        <v>4278</v>
      </c>
      <c r="E5894" s="4">
        <v>3000</v>
      </c>
    </row>
    <row r="5895" spans="1:5" ht="26.25" x14ac:dyDescent="0.25">
      <c r="A5895" s="2" t="s">
        <v>19</v>
      </c>
      <c r="B5895" s="2" t="str">
        <f>"76591427"</f>
        <v>76591427</v>
      </c>
      <c r="C5895" s="2" t="str">
        <f>"76591427"</f>
        <v>76591427</v>
      </c>
      <c r="D5895" s="2" t="s">
        <v>4279</v>
      </c>
      <c r="E5895" s="4">
        <v>4000</v>
      </c>
    </row>
    <row r="5896" spans="1:5" ht="26.25" x14ac:dyDescent="0.25">
      <c r="A5896" s="2" t="s">
        <v>19</v>
      </c>
      <c r="B5896" s="2" t="str">
        <f>"17481427"</f>
        <v>17481427</v>
      </c>
      <c r="C5896" s="2" t="str">
        <f>"17481427"</f>
        <v>17481427</v>
      </c>
      <c r="D5896" s="2" t="s">
        <v>4279</v>
      </c>
      <c r="E5896" s="4">
        <v>3000</v>
      </c>
    </row>
    <row r="5897" spans="1:5" ht="26.25" x14ac:dyDescent="0.25">
      <c r="A5897" s="2" t="s">
        <v>19</v>
      </c>
      <c r="B5897" s="2" t="str">
        <f>"76769080"</f>
        <v>76769080</v>
      </c>
      <c r="C5897" s="2" t="str">
        <f>"76769080"</f>
        <v>76769080</v>
      </c>
      <c r="D5897" s="2" t="s">
        <v>4148</v>
      </c>
      <c r="E5897" s="4">
        <v>3000</v>
      </c>
    </row>
    <row r="5898" spans="1:5" ht="26.25" x14ac:dyDescent="0.25">
      <c r="A5898" s="2" t="s">
        <v>1590</v>
      </c>
      <c r="B5898" s="2" t="str">
        <f>"76431480"</f>
        <v>76431480</v>
      </c>
      <c r="C5898" s="2" t="str">
        <f>"76431480"</f>
        <v>76431480</v>
      </c>
      <c r="D5898" s="2" t="s">
        <v>4280</v>
      </c>
      <c r="E5898" s="4">
        <v>3000</v>
      </c>
    </row>
    <row r="5899" spans="1:5" ht="26.25" x14ac:dyDescent="0.25">
      <c r="A5899" s="2" t="s">
        <v>1590</v>
      </c>
      <c r="B5899" s="2" t="str">
        <f>"76561430"</f>
        <v>76561430</v>
      </c>
      <c r="C5899" s="2" t="str">
        <f>"76561430"</f>
        <v>76561430</v>
      </c>
      <c r="D5899" s="2" t="s">
        <v>4281</v>
      </c>
      <c r="E5899" s="4">
        <v>3500</v>
      </c>
    </row>
    <row r="5900" spans="1:5" ht="26.25" x14ac:dyDescent="0.25">
      <c r="A5900" s="2" t="s">
        <v>19</v>
      </c>
      <c r="B5900" s="2" t="str">
        <f>"76771430"</f>
        <v>76771430</v>
      </c>
      <c r="C5900" s="2" t="str">
        <f>"76771430"</f>
        <v>76771430</v>
      </c>
      <c r="D5900" s="2" t="s">
        <v>4282</v>
      </c>
      <c r="E5900" s="4">
        <v>4500</v>
      </c>
    </row>
    <row r="5901" spans="1:5" ht="26.25" x14ac:dyDescent="0.25">
      <c r="A5901" s="2" t="s">
        <v>19</v>
      </c>
      <c r="B5901" s="2" t="str">
        <f>"177114192"</f>
        <v>177114192</v>
      </c>
      <c r="C5901" s="2" t="str">
        <f>"177114192"</f>
        <v>177114192</v>
      </c>
      <c r="D5901" s="2" t="s">
        <v>4283</v>
      </c>
      <c r="E5901" s="4">
        <v>4500</v>
      </c>
    </row>
    <row r="5902" spans="1:5" ht="26.25" x14ac:dyDescent="0.25">
      <c r="A5902" s="2" t="s">
        <v>19</v>
      </c>
      <c r="B5902" s="2" t="str">
        <f>"765614125"</f>
        <v>765614125</v>
      </c>
      <c r="C5902" s="2" t="str">
        <f>"765614125"</f>
        <v>765614125</v>
      </c>
      <c r="D5902" s="2" t="s">
        <v>4284</v>
      </c>
      <c r="E5902" s="4">
        <v>5500</v>
      </c>
    </row>
    <row r="5903" spans="1:5" ht="26.25" x14ac:dyDescent="0.25">
      <c r="A5903" s="2" t="s">
        <v>19</v>
      </c>
      <c r="B5903" s="2" t="str">
        <f>"764314125"</f>
        <v>764314125</v>
      </c>
      <c r="C5903" s="2" t="str">
        <f>"764314125"</f>
        <v>764314125</v>
      </c>
      <c r="D5903" s="2" t="s">
        <v>4284</v>
      </c>
      <c r="E5903" s="4">
        <v>3500</v>
      </c>
    </row>
    <row r="5904" spans="1:5" ht="26.25" x14ac:dyDescent="0.25">
      <c r="A5904" s="2" t="s">
        <v>19</v>
      </c>
      <c r="B5904" s="2" t="str">
        <f>"417114125"</f>
        <v>417114125</v>
      </c>
      <c r="C5904" s="2" t="str">
        <f>"417114125"</f>
        <v>417114125</v>
      </c>
      <c r="D5904" s="2" t="s">
        <v>4284</v>
      </c>
      <c r="E5904" s="4">
        <v>6500</v>
      </c>
    </row>
    <row r="5905" spans="1:5" ht="26.25" x14ac:dyDescent="0.25">
      <c r="A5905" s="2" t="s">
        <v>19</v>
      </c>
      <c r="B5905" s="2" t="str">
        <f>"414714125"</f>
        <v>414714125</v>
      </c>
      <c r="C5905" s="2" t="str">
        <f>"414714125"</f>
        <v>414714125</v>
      </c>
      <c r="D5905" s="2" t="s">
        <v>4284</v>
      </c>
      <c r="E5905" s="4">
        <v>3500</v>
      </c>
    </row>
    <row r="5906" spans="1:5" ht="26.25" x14ac:dyDescent="0.25">
      <c r="A5906" s="2" t="s">
        <v>19</v>
      </c>
      <c r="B5906" s="2" t="str">
        <f>"764314192"</f>
        <v>764314192</v>
      </c>
      <c r="C5906" s="2" t="str">
        <f>"764314192"</f>
        <v>764314192</v>
      </c>
      <c r="D5906" s="2" t="s">
        <v>4285</v>
      </c>
      <c r="E5906" s="4">
        <v>3000</v>
      </c>
    </row>
    <row r="5907" spans="1:5" ht="26.25" x14ac:dyDescent="0.25">
      <c r="A5907" s="2" t="s">
        <v>19</v>
      </c>
      <c r="B5907" s="2" t="str">
        <f>"414714283"</f>
        <v>414714283</v>
      </c>
      <c r="C5907" s="2" t="str">
        <f>"414714283"</f>
        <v>414714283</v>
      </c>
      <c r="D5907" s="2" t="s">
        <v>4286</v>
      </c>
      <c r="E5907" s="4">
        <v>3500</v>
      </c>
    </row>
    <row r="5908" spans="1:5" ht="26.25" x14ac:dyDescent="0.25">
      <c r="A5908" s="2" t="s">
        <v>19</v>
      </c>
      <c r="B5908" s="2" t="str">
        <f>"764314283"</f>
        <v>764314283</v>
      </c>
      <c r="C5908" s="2" t="str">
        <f>"764314283"</f>
        <v>764314283</v>
      </c>
      <c r="D5908" s="2" t="s">
        <v>4286</v>
      </c>
      <c r="E5908" s="4">
        <v>4500</v>
      </c>
    </row>
    <row r="5909" spans="1:5" ht="26.25" x14ac:dyDescent="0.25">
      <c r="A5909" s="2" t="s">
        <v>19</v>
      </c>
      <c r="B5909" s="2" t="str">
        <f>"764014283"</f>
        <v>764014283</v>
      </c>
      <c r="C5909" s="2" t="str">
        <f>"764014283"</f>
        <v>764014283</v>
      </c>
      <c r="D5909" s="2" t="s">
        <v>4286</v>
      </c>
      <c r="E5909" s="4">
        <v>3500</v>
      </c>
    </row>
    <row r="5910" spans="1:5" ht="26.25" x14ac:dyDescent="0.25">
      <c r="A5910" s="2" t="s">
        <v>19</v>
      </c>
      <c r="B5910" s="2" t="str">
        <f>"915914291"</f>
        <v>915914291</v>
      </c>
      <c r="C5910" s="2" t="str">
        <f>"915914291"</f>
        <v>915914291</v>
      </c>
      <c r="D5910" s="2" t="s">
        <v>4287</v>
      </c>
      <c r="E5910" s="4">
        <v>4500</v>
      </c>
    </row>
    <row r="5911" spans="1:5" ht="26.25" x14ac:dyDescent="0.25">
      <c r="A5911" s="2" t="s">
        <v>19</v>
      </c>
      <c r="B5911" s="2" t="str">
        <f>"764314108"</f>
        <v>764314108</v>
      </c>
      <c r="C5911" s="2" t="str">
        <f>"764314108"</f>
        <v>764314108</v>
      </c>
      <c r="D5911" s="2" t="s">
        <v>4288</v>
      </c>
      <c r="E5911" s="4">
        <v>3000</v>
      </c>
    </row>
    <row r="5912" spans="1:5" ht="26.25" x14ac:dyDescent="0.25">
      <c r="A5912" s="2" t="s">
        <v>19</v>
      </c>
      <c r="B5912" s="2" t="str">
        <f>"764014255"</f>
        <v>764014255</v>
      </c>
      <c r="C5912" s="2" t="str">
        <f>"764014255"</f>
        <v>764014255</v>
      </c>
      <c r="D5912" s="2" t="s">
        <v>4289</v>
      </c>
      <c r="E5912" s="4">
        <v>3500</v>
      </c>
    </row>
    <row r="5913" spans="1:5" ht="26.25" x14ac:dyDescent="0.25">
      <c r="A5913" s="2" t="s">
        <v>19</v>
      </c>
      <c r="B5913" s="2" t="str">
        <f>"34481445"</f>
        <v>34481445</v>
      </c>
      <c r="C5913" s="2" t="str">
        <f>"34481445"</f>
        <v>34481445</v>
      </c>
      <c r="D5913" s="2" t="s">
        <v>4290</v>
      </c>
      <c r="E5913" s="4">
        <v>3500</v>
      </c>
    </row>
    <row r="5914" spans="1:5" ht="26.25" x14ac:dyDescent="0.25">
      <c r="A5914" s="2" t="s">
        <v>19</v>
      </c>
      <c r="B5914" s="2" t="str">
        <f>"76561445"</f>
        <v>76561445</v>
      </c>
      <c r="C5914" s="2" t="str">
        <f>"76561445"</f>
        <v>76561445</v>
      </c>
      <c r="D5914" s="2" t="s">
        <v>4290</v>
      </c>
      <c r="E5914" s="4">
        <v>5500</v>
      </c>
    </row>
    <row r="5915" spans="1:5" ht="26.25" x14ac:dyDescent="0.25">
      <c r="A5915" s="2" t="s">
        <v>19</v>
      </c>
      <c r="B5915" s="2" t="str">
        <f>"76771445"</f>
        <v>76771445</v>
      </c>
      <c r="C5915" s="2" t="str">
        <f>"76771445"</f>
        <v>76771445</v>
      </c>
      <c r="D5915" s="2" t="s">
        <v>4290</v>
      </c>
      <c r="E5915" s="4">
        <v>4500</v>
      </c>
    </row>
    <row r="5916" spans="1:5" ht="26.25" x14ac:dyDescent="0.25">
      <c r="A5916" s="2" t="s">
        <v>19</v>
      </c>
      <c r="B5916" s="2" t="str">
        <f>"17901445"</f>
        <v>17901445</v>
      </c>
      <c r="C5916" s="2" t="str">
        <f>"17901445"</f>
        <v>17901445</v>
      </c>
      <c r="D5916" s="2" t="s">
        <v>4290</v>
      </c>
      <c r="E5916" s="4">
        <v>4500</v>
      </c>
    </row>
    <row r="5917" spans="1:5" ht="26.25" x14ac:dyDescent="0.25">
      <c r="A5917" s="2" t="s">
        <v>19</v>
      </c>
      <c r="B5917" s="2" t="str">
        <f>"765614270"</f>
        <v>765614270</v>
      </c>
      <c r="C5917" s="2" t="str">
        <f>"765614270"</f>
        <v>765614270</v>
      </c>
      <c r="D5917" s="2" t="s">
        <v>4291</v>
      </c>
      <c r="E5917" s="4">
        <v>5500</v>
      </c>
    </row>
    <row r="5918" spans="1:5" ht="26.25" x14ac:dyDescent="0.25">
      <c r="A5918" s="2" t="s">
        <v>19</v>
      </c>
      <c r="B5918" s="2" t="str">
        <f>"417114270"</f>
        <v>417114270</v>
      </c>
      <c r="C5918" s="2" t="str">
        <f>"417114270"</f>
        <v>417114270</v>
      </c>
      <c r="D5918" s="2" t="s">
        <v>4291</v>
      </c>
      <c r="E5918" s="4">
        <v>6500</v>
      </c>
    </row>
    <row r="5919" spans="1:5" ht="26.25" x14ac:dyDescent="0.25">
      <c r="A5919" s="2" t="s">
        <v>19</v>
      </c>
      <c r="B5919" s="2" t="str">
        <f>"764014270"</f>
        <v>764014270</v>
      </c>
      <c r="C5919" s="2" t="str">
        <f>"764014270"</f>
        <v>764014270</v>
      </c>
      <c r="D5919" s="2" t="s">
        <v>4291</v>
      </c>
      <c r="E5919" s="4">
        <v>3500</v>
      </c>
    </row>
    <row r="5920" spans="1:5" ht="26.25" x14ac:dyDescent="0.25">
      <c r="A5920" s="2" t="s">
        <v>19</v>
      </c>
      <c r="B5920" s="2" t="str">
        <f>"414714126"</f>
        <v>414714126</v>
      </c>
      <c r="C5920" s="2" t="str">
        <f>"414714126"</f>
        <v>414714126</v>
      </c>
      <c r="D5920" s="2" t="s">
        <v>4292</v>
      </c>
      <c r="E5920" s="4">
        <v>3500</v>
      </c>
    </row>
    <row r="5921" spans="1:5" ht="26.25" x14ac:dyDescent="0.25">
      <c r="A5921" s="2" t="s">
        <v>19</v>
      </c>
      <c r="B5921" s="2" t="str">
        <f>"764014256"</f>
        <v>764014256</v>
      </c>
      <c r="C5921" s="2" t="str">
        <f>"764014256"</f>
        <v>764014256</v>
      </c>
      <c r="D5921" s="2" t="s">
        <v>4293</v>
      </c>
      <c r="E5921" s="4">
        <v>3500</v>
      </c>
    </row>
    <row r="5922" spans="1:5" ht="26.25" x14ac:dyDescent="0.25">
      <c r="A5922" s="2" t="s">
        <v>19</v>
      </c>
      <c r="B5922" s="2" t="str">
        <f>"76431447"</f>
        <v>76431447</v>
      </c>
      <c r="C5922" s="2" t="str">
        <f>"76431447"</f>
        <v>76431447</v>
      </c>
      <c r="D5922" s="2" t="s">
        <v>4294</v>
      </c>
      <c r="E5922" s="4">
        <v>3500</v>
      </c>
    </row>
    <row r="5923" spans="1:5" ht="26.25" x14ac:dyDescent="0.25">
      <c r="A5923" s="2" t="s">
        <v>19</v>
      </c>
      <c r="B5923" s="2" t="str">
        <f>"76411447"</f>
        <v>76411447</v>
      </c>
      <c r="C5923" s="2" t="str">
        <f>"76411447"</f>
        <v>76411447</v>
      </c>
      <c r="D5923" s="2" t="s">
        <v>4294</v>
      </c>
      <c r="E5923" s="4">
        <v>4500</v>
      </c>
    </row>
    <row r="5924" spans="1:5" ht="26.25" x14ac:dyDescent="0.25">
      <c r="A5924" s="2" t="s">
        <v>19</v>
      </c>
      <c r="B5924" s="2" t="str">
        <f>"76401447"</f>
        <v>76401447</v>
      </c>
      <c r="C5924" s="2" t="str">
        <f>"76401447"</f>
        <v>76401447</v>
      </c>
      <c r="D5924" s="2" t="s">
        <v>4294</v>
      </c>
      <c r="E5924" s="4">
        <v>3500</v>
      </c>
    </row>
    <row r="5925" spans="1:5" ht="26.25" x14ac:dyDescent="0.25">
      <c r="A5925" s="2" t="s">
        <v>19</v>
      </c>
      <c r="B5925" s="2" t="str">
        <f>"174714137"</f>
        <v>174714137</v>
      </c>
      <c r="C5925" s="2" t="str">
        <f>"174714137"</f>
        <v>174714137</v>
      </c>
      <c r="D5925" s="2" t="s">
        <v>4295</v>
      </c>
      <c r="E5925" s="4">
        <v>3500</v>
      </c>
    </row>
    <row r="5926" spans="1:5" ht="26.25" x14ac:dyDescent="0.25">
      <c r="A5926" s="2" t="s">
        <v>19</v>
      </c>
      <c r="B5926" s="2" t="str">
        <f>"417114266"</f>
        <v>417114266</v>
      </c>
      <c r="C5926" s="2" t="str">
        <f>"417114266"</f>
        <v>417114266</v>
      </c>
      <c r="D5926" s="2" t="s">
        <v>4296</v>
      </c>
      <c r="E5926" s="4">
        <v>6500</v>
      </c>
    </row>
    <row r="5927" spans="1:5" ht="26.25" x14ac:dyDescent="0.25">
      <c r="A5927" s="2" t="s">
        <v>19</v>
      </c>
      <c r="B5927" s="2" t="str">
        <f>"764314266"</f>
        <v>764314266</v>
      </c>
      <c r="C5927" s="2" t="str">
        <f>"764314266"</f>
        <v>764314266</v>
      </c>
      <c r="D5927" s="2" t="s">
        <v>4296</v>
      </c>
      <c r="E5927" s="4">
        <v>3500</v>
      </c>
    </row>
    <row r="5928" spans="1:5" ht="26.25" x14ac:dyDescent="0.25">
      <c r="A5928" s="2" t="s">
        <v>19</v>
      </c>
      <c r="B5928" s="2" t="str">
        <f>"764114266"</f>
        <v>764114266</v>
      </c>
      <c r="C5928" s="2" t="str">
        <f>"764114266"</f>
        <v>764114266</v>
      </c>
      <c r="D5928" s="2" t="s">
        <v>4296</v>
      </c>
      <c r="E5928" s="4">
        <v>3500</v>
      </c>
    </row>
    <row r="5929" spans="1:5" ht="26.25" x14ac:dyDescent="0.25">
      <c r="A5929" s="2" t="s">
        <v>19</v>
      </c>
      <c r="B5929" s="2" t="str">
        <f>"764014266"</f>
        <v>764014266</v>
      </c>
      <c r="C5929" s="2" t="str">
        <f>"764014266"</f>
        <v>764014266</v>
      </c>
      <c r="D5929" s="2" t="s">
        <v>4296</v>
      </c>
      <c r="E5929" s="4">
        <v>3500</v>
      </c>
    </row>
    <row r="5930" spans="1:5" ht="26.25" x14ac:dyDescent="0.25">
      <c r="A5930" s="2" t="s">
        <v>19</v>
      </c>
      <c r="B5930" s="2" t="str">
        <f>"764314127"</f>
        <v>764314127</v>
      </c>
      <c r="C5930" s="2" t="str">
        <f>"764314127"</f>
        <v>764314127</v>
      </c>
      <c r="D5930" s="2" t="s">
        <v>4297</v>
      </c>
      <c r="E5930" s="4">
        <v>3500</v>
      </c>
    </row>
    <row r="5931" spans="1:5" ht="26.25" x14ac:dyDescent="0.25">
      <c r="A5931" s="2" t="s">
        <v>19</v>
      </c>
      <c r="B5931" s="2" t="str">
        <f>"764114261"</f>
        <v>764114261</v>
      </c>
      <c r="C5931" s="2" t="str">
        <f>"764114261"</f>
        <v>764114261</v>
      </c>
      <c r="D5931" s="2" t="s">
        <v>4298</v>
      </c>
      <c r="E5931" s="4">
        <v>3500</v>
      </c>
    </row>
    <row r="5932" spans="1:5" ht="26.25" x14ac:dyDescent="0.25">
      <c r="A5932" s="2" t="s">
        <v>19</v>
      </c>
      <c r="B5932" s="2" t="str">
        <f>"677914261"</f>
        <v>677914261</v>
      </c>
      <c r="C5932" s="2" t="str">
        <f>"677914261"</f>
        <v>677914261</v>
      </c>
      <c r="D5932" s="2" t="s">
        <v>4298</v>
      </c>
      <c r="E5932" s="4">
        <v>3500</v>
      </c>
    </row>
    <row r="5933" spans="1:5" ht="26.25" x14ac:dyDescent="0.25">
      <c r="A5933" s="2" t="s">
        <v>19</v>
      </c>
      <c r="B5933" s="2" t="str">
        <f>"76567612"</f>
        <v>76567612</v>
      </c>
      <c r="C5933" s="2" t="str">
        <f>"76567612"</f>
        <v>76567612</v>
      </c>
      <c r="D5933" s="2" t="s">
        <v>4299</v>
      </c>
      <c r="E5933" s="4">
        <v>3000</v>
      </c>
    </row>
    <row r="5934" spans="1:5" ht="26.25" x14ac:dyDescent="0.25">
      <c r="A5934" s="2" t="s">
        <v>19</v>
      </c>
      <c r="B5934" s="2" t="str">
        <f>"174714138"</f>
        <v>174714138</v>
      </c>
      <c r="C5934" s="2" t="str">
        <f>"174714138"</f>
        <v>174714138</v>
      </c>
      <c r="D5934" s="2" t="s">
        <v>4300</v>
      </c>
      <c r="E5934" s="4">
        <v>3500</v>
      </c>
    </row>
    <row r="5935" spans="1:5" ht="26.25" x14ac:dyDescent="0.25">
      <c r="A5935" s="2" t="s">
        <v>19</v>
      </c>
      <c r="B5935" s="2" t="str">
        <f>"11003327"</f>
        <v>11003327</v>
      </c>
      <c r="C5935" s="2" t="str">
        <f>"11003327"</f>
        <v>11003327</v>
      </c>
      <c r="D5935" s="2" t="s">
        <v>4301</v>
      </c>
      <c r="E5935" s="4">
        <v>2500</v>
      </c>
    </row>
    <row r="5936" spans="1:5" ht="26.25" x14ac:dyDescent="0.25">
      <c r="A5936" s="2" t="s">
        <v>19</v>
      </c>
      <c r="B5936" s="2" t="str">
        <f>"11017707"</f>
        <v>11017707</v>
      </c>
      <c r="C5936" s="2" t="str">
        <f>"11017707"</f>
        <v>11017707</v>
      </c>
      <c r="D5936" s="2" t="s">
        <v>4301</v>
      </c>
      <c r="E5936" s="4">
        <v>1000</v>
      </c>
    </row>
    <row r="5937" spans="1:5" ht="26.25" x14ac:dyDescent="0.25">
      <c r="A5937" s="2" t="s">
        <v>19</v>
      </c>
      <c r="B5937" s="2" t="str">
        <f>"11017708"</f>
        <v>11017708</v>
      </c>
      <c r="C5937" s="2" t="str">
        <f>"11017708"</f>
        <v>11017708</v>
      </c>
      <c r="D5937" s="2" t="s">
        <v>4302</v>
      </c>
      <c r="E5937" s="4">
        <v>1000</v>
      </c>
    </row>
    <row r="5938" spans="1:5" ht="26.25" x14ac:dyDescent="0.25">
      <c r="A5938" s="2" t="s">
        <v>19</v>
      </c>
      <c r="B5938" s="2" t="str">
        <f>"76481486"</f>
        <v>76481486</v>
      </c>
      <c r="C5938" s="2" t="str">
        <f>"76481486"</f>
        <v>76481486</v>
      </c>
      <c r="D5938" s="2" t="s">
        <v>4303</v>
      </c>
      <c r="E5938" s="4">
        <v>3500</v>
      </c>
    </row>
    <row r="5939" spans="1:5" ht="26.25" x14ac:dyDescent="0.25">
      <c r="A5939" s="2" t="s">
        <v>19</v>
      </c>
      <c r="B5939" s="2" t="str">
        <f>"177114178"</f>
        <v>177114178</v>
      </c>
      <c r="C5939" s="2" t="str">
        <f>"177114178"</f>
        <v>177114178</v>
      </c>
      <c r="D5939" s="2" t="s">
        <v>4304</v>
      </c>
      <c r="E5939" s="4">
        <v>4500</v>
      </c>
    </row>
    <row r="5940" spans="1:5" ht="26.25" x14ac:dyDescent="0.25">
      <c r="A5940" s="2" t="s">
        <v>19</v>
      </c>
      <c r="B5940" s="2" t="str">
        <f>"767714178"</f>
        <v>767714178</v>
      </c>
      <c r="C5940" s="2" t="str">
        <f>"767714178"</f>
        <v>767714178</v>
      </c>
      <c r="D5940" s="2" t="s">
        <v>4304</v>
      </c>
      <c r="E5940" s="4">
        <v>4500</v>
      </c>
    </row>
    <row r="5941" spans="1:5" ht="26.25" x14ac:dyDescent="0.25">
      <c r="A5941" s="2" t="s">
        <v>19</v>
      </c>
      <c r="B5941" s="2" t="str">
        <f>"176814191"</f>
        <v>176814191</v>
      </c>
      <c r="C5941" s="2" t="str">
        <f>"176814191"</f>
        <v>176814191</v>
      </c>
      <c r="D5941" s="2" t="s">
        <v>4305</v>
      </c>
      <c r="E5941" s="4">
        <v>4000</v>
      </c>
    </row>
    <row r="5942" spans="1:5" ht="26.25" x14ac:dyDescent="0.25">
      <c r="A5942" s="2" t="s">
        <v>19</v>
      </c>
      <c r="B5942" s="2" t="str">
        <f>"175714191"</f>
        <v>175714191</v>
      </c>
      <c r="C5942" s="2" t="str">
        <f>"175714191"</f>
        <v>175714191</v>
      </c>
      <c r="D5942" s="2" t="s">
        <v>4305</v>
      </c>
      <c r="E5942" s="4">
        <v>3500</v>
      </c>
    </row>
    <row r="5943" spans="1:5" ht="26.25" x14ac:dyDescent="0.25">
      <c r="A5943" s="2" t="s">
        <v>19</v>
      </c>
      <c r="B5943" s="2" t="str">
        <f>"767714200"</f>
        <v>767714200</v>
      </c>
      <c r="C5943" s="2" t="str">
        <f>"767714200"</f>
        <v>767714200</v>
      </c>
      <c r="D5943" s="2" t="s">
        <v>4306</v>
      </c>
      <c r="E5943" s="4">
        <v>4500</v>
      </c>
    </row>
    <row r="5944" spans="1:5" ht="26.25" x14ac:dyDescent="0.25">
      <c r="A5944" s="2" t="s">
        <v>19</v>
      </c>
      <c r="B5944" s="2" t="str">
        <f>"174614200"</f>
        <v>174614200</v>
      </c>
      <c r="C5944" s="2" t="str">
        <f>"174614200"</f>
        <v>174614200</v>
      </c>
      <c r="D5944" s="2" t="s">
        <v>4306</v>
      </c>
      <c r="E5944" s="4">
        <v>7500</v>
      </c>
    </row>
    <row r="5945" spans="1:5" ht="26.25" x14ac:dyDescent="0.25">
      <c r="A5945" s="2" t="s">
        <v>19</v>
      </c>
      <c r="B5945" s="2" t="str">
        <f>"177714201"</f>
        <v>177714201</v>
      </c>
      <c r="C5945" s="2" t="str">
        <f>"177714201"</f>
        <v>177714201</v>
      </c>
      <c r="D5945" s="2" t="s">
        <v>4307</v>
      </c>
      <c r="E5945" s="4">
        <v>5000</v>
      </c>
    </row>
    <row r="5946" spans="1:5" ht="26.25" x14ac:dyDescent="0.25">
      <c r="A5946" s="2" t="s">
        <v>19</v>
      </c>
      <c r="B5946" s="2" t="str">
        <f>"767714201"</f>
        <v>767714201</v>
      </c>
      <c r="C5946" s="2" t="str">
        <f>"767714201"</f>
        <v>767714201</v>
      </c>
      <c r="D5946" s="2" t="s">
        <v>4307</v>
      </c>
      <c r="E5946" s="4">
        <v>3500</v>
      </c>
    </row>
    <row r="5947" spans="1:5" ht="26.25" x14ac:dyDescent="0.25">
      <c r="A5947" s="2" t="s">
        <v>19</v>
      </c>
      <c r="B5947" s="2" t="str">
        <f>"174614201"</f>
        <v>174614201</v>
      </c>
      <c r="C5947" s="2" t="str">
        <f>"174614201"</f>
        <v>174614201</v>
      </c>
      <c r="D5947" s="2" t="s">
        <v>4307</v>
      </c>
      <c r="E5947" s="4">
        <v>7500</v>
      </c>
    </row>
    <row r="5948" spans="1:5" ht="26.25" x14ac:dyDescent="0.25">
      <c r="A5948" s="2" t="s">
        <v>19</v>
      </c>
      <c r="B5948" s="2" t="str">
        <f>"869214203"</f>
        <v>869214203</v>
      </c>
      <c r="C5948" s="2" t="str">
        <f>"869214203"</f>
        <v>869214203</v>
      </c>
      <c r="D5948" s="2" t="s">
        <v>4308</v>
      </c>
      <c r="E5948" s="4">
        <v>3000</v>
      </c>
    </row>
    <row r="5949" spans="1:5" ht="26.25" x14ac:dyDescent="0.25">
      <c r="A5949" s="2" t="s">
        <v>10</v>
      </c>
      <c r="B5949" s="2" t="str">
        <f>"110764025"</f>
        <v>110764025</v>
      </c>
      <c r="C5949" s="2" t="str">
        <f>"110764025"</f>
        <v>110764025</v>
      </c>
      <c r="D5949" s="2" t="s">
        <v>4309</v>
      </c>
      <c r="E5949" s="4">
        <v>3000</v>
      </c>
    </row>
    <row r="5950" spans="1:5" ht="26.25" x14ac:dyDescent="0.25">
      <c r="A5950" s="2" t="s">
        <v>10</v>
      </c>
      <c r="B5950" s="2" t="str">
        <f>"110762360"</f>
        <v>110762360</v>
      </c>
      <c r="C5950" s="2" t="str">
        <f>"110762360"</f>
        <v>110762360</v>
      </c>
      <c r="D5950" s="2" t="s">
        <v>4310</v>
      </c>
      <c r="E5950" s="4">
        <v>3000</v>
      </c>
    </row>
    <row r="5951" spans="1:5" ht="26.25" x14ac:dyDescent="0.25">
      <c r="A5951" s="2" t="s">
        <v>1590</v>
      </c>
      <c r="B5951" s="2" t="str">
        <f>"764805152"</f>
        <v>764805152</v>
      </c>
      <c r="C5951" s="2" t="str">
        <f>"764805152"</f>
        <v>764805152</v>
      </c>
      <c r="D5951" s="2" t="s">
        <v>4311</v>
      </c>
      <c r="E5951" s="4">
        <v>3500</v>
      </c>
    </row>
    <row r="5952" spans="1:5" ht="26.25" x14ac:dyDescent="0.25">
      <c r="A5952" s="2" t="s">
        <v>1590</v>
      </c>
      <c r="B5952" s="2" t="str">
        <f>"76431503"</f>
        <v>76431503</v>
      </c>
      <c r="C5952" s="2" t="str">
        <f>"76431503"</f>
        <v>76431503</v>
      </c>
      <c r="D5952" s="2" t="s">
        <v>4312</v>
      </c>
      <c r="E5952" s="4">
        <v>3000</v>
      </c>
    </row>
    <row r="5953" spans="1:5" ht="26.25" x14ac:dyDescent="0.25">
      <c r="A5953" s="2" t="s">
        <v>1590</v>
      </c>
      <c r="B5953" s="2" t="str">
        <f>"76560303"</f>
        <v>76560303</v>
      </c>
      <c r="C5953" s="2" t="str">
        <f>"76560303"</f>
        <v>76560303</v>
      </c>
      <c r="D5953" s="2" t="s">
        <v>4313</v>
      </c>
      <c r="E5953" s="4">
        <v>3000</v>
      </c>
    </row>
    <row r="5954" spans="1:5" ht="26.25" x14ac:dyDescent="0.25">
      <c r="A5954" s="2" t="s">
        <v>1590</v>
      </c>
      <c r="B5954" s="2" t="str">
        <f>"76561503"</f>
        <v>76561503</v>
      </c>
      <c r="C5954" s="2" t="str">
        <f>"76561503"</f>
        <v>76561503</v>
      </c>
      <c r="D5954" s="2" t="s">
        <v>4313</v>
      </c>
      <c r="E5954" s="4">
        <v>3000</v>
      </c>
    </row>
    <row r="5955" spans="1:5" ht="26.25" x14ac:dyDescent="0.25">
      <c r="A5955" s="2" t="s">
        <v>10</v>
      </c>
      <c r="B5955" s="2" t="str">
        <f>"110764027"</f>
        <v>110764027</v>
      </c>
      <c r="C5955" s="2" t="str">
        <f>"110764027"</f>
        <v>110764027</v>
      </c>
      <c r="D5955" s="2" t="s">
        <v>4314</v>
      </c>
      <c r="E5955" s="4">
        <v>3500</v>
      </c>
    </row>
    <row r="5956" spans="1:5" ht="26.25" x14ac:dyDescent="0.25">
      <c r="A5956" s="2" t="s">
        <v>19</v>
      </c>
      <c r="B5956" s="2" t="str">
        <f>"17481518"</f>
        <v>17481518</v>
      </c>
      <c r="C5956" s="2" t="str">
        <f>"17481518"</f>
        <v>17481518</v>
      </c>
      <c r="D5956" s="2" t="s">
        <v>4315</v>
      </c>
      <c r="E5956" s="4">
        <v>3500</v>
      </c>
    </row>
    <row r="5957" spans="1:5" ht="26.25" x14ac:dyDescent="0.25">
      <c r="A5957" s="2" t="s">
        <v>19</v>
      </c>
      <c r="B5957" s="2" t="str">
        <f>"767715286"</f>
        <v>767715286</v>
      </c>
      <c r="C5957" s="2" t="str">
        <f>"767715286"</f>
        <v>767715286</v>
      </c>
      <c r="D5957" s="2" t="s">
        <v>4316</v>
      </c>
      <c r="E5957" s="4">
        <v>4500</v>
      </c>
    </row>
    <row r="5958" spans="1:5" ht="26.25" x14ac:dyDescent="0.25">
      <c r="A5958" s="2" t="s">
        <v>10</v>
      </c>
      <c r="B5958" s="2" t="str">
        <f>"110761002"</f>
        <v>110761002</v>
      </c>
      <c r="C5958" s="2" t="str">
        <f>"110761002"</f>
        <v>110761002</v>
      </c>
      <c r="D5958" s="2" t="s">
        <v>4317</v>
      </c>
      <c r="E5958" s="4">
        <v>3000</v>
      </c>
    </row>
    <row r="5959" spans="1:5" ht="26.25" x14ac:dyDescent="0.25">
      <c r="A5959" s="2" t="s">
        <v>19</v>
      </c>
      <c r="B5959" s="2" t="str">
        <f>"76681524"</f>
        <v>76681524</v>
      </c>
      <c r="C5959" s="2" t="str">
        <f>"76681524"</f>
        <v>76681524</v>
      </c>
      <c r="D5959" s="2" t="s">
        <v>4318</v>
      </c>
      <c r="E5959" s="4">
        <v>3500</v>
      </c>
    </row>
    <row r="5960" spans="1:5" ht="26.25" x14ac:dyDescent="0.25">
      <c r="A5960" s="2" t="s">
        <v>19</v>
      </c>
      <c r="B5960" s="2" t="str">
        <f>"76261806"</f>
        <v>76261806</v>
      </c>
      <c r="C5960" s="2" t="str">
        <f>"76261806"</f>
        <v>76261806</v>
      </c>
      <c r="D5960" s="2" t="s">
        <v>4319</v>
      </c>
      <c r="E5960" s="4">
        <v>3000</v>
      </c>
    </row>
    <row r="5961" spans="1:5" ht="26.25" x14ac:dyDescent="0.25">
      <c r="A5961" s="2" t="s">
        <v>19</v>
      </c>
      <c r="B5961" s="2" t="str">
        <f>"764318203"</f>
        <v>764318203</v>
      </c>
      <c r="C5961" s="2" t="str">
        <f>"764318203"</f>
        <v>764318203</v>
      </c>
      <c r="D5961" s="2" t="s">
        <v>4320</v>
      </c>
      <c r="E5961" s="4">
        <v>3000</v>
      </c>
    </row>
    <row r="5962" spans="1:5" ht="26.25" x14ac:dyDescent="0.25">
      <c r="A5962" s="2" t="s">
        <v>1590</v>
      </c>
      <c r="B5962" s="2" t="str">
        <f>"76561486"</f>
        <v>76561486</v>
      </c>
      <c r="C5962" s="2" t="str">
        <f>"76561486"</f>
        <v>76561486</v>
      </c>
      <c r="D5962" s="2" t="s">
        <v>4321</v>
      </c>
      <c r="E5962" s="4">
        <v>4000</v>
      </c>
    </row>
    <row r="5963" spans="1:5" ht="26.25" x14ac:dyDescent="0.25">
      <c r="A5963" s="2" t="s">
        <v>10</v>
      </c>
      <c r="B5963" s="2" t="str">
        <f>"34480952"</f>
        <v>34480952</v>
      </c>
      <c r="C5963" s="2" t="str">
        <f>"34480952"</f>
        <v>34480952</v>
      </c>
      <c r="D5963" s="2" t="s">
        <v>4322</v>
      </c>
      <c r="E5963" s="4">
        <v>3500</v>
      </c>
    </row>
    <row r="5964" spans="1:5" ht="26.25" x14ac:dyDescent="0.25">
      <c r="A5964" s="2" t="s">
        <v>10</v>
      </c>
      <c r="B5964" s="2" t="str">
        <f>"76480974"</f>
        <v>76480974</v>
      </c>
      <c r="C5964" s="2" t="str">
        <f>"76480974"</f>
        <v>76480974</v>
      </c>
      <c r="D5964" s="2" t="s">
        <v>4323</v>
      </c>
      <c r="E5964" s="4">
        <v>3500</v>
      </c>
    </row>
    <row r="5965" spans="1:5" ht="26.25" x14ac:dyDescent="0.25">
      <c r="A5965" s="2" t="s">
        <v>1590</v>
      </c>
      <c r="B5965" s="2" t="str">
        <f>"344810121"</f>
        <v>344810121</v>
      </c>
      <c r="C5965" s="2" t="str">
        <f>"344810121"</f>
        <v>344810121</v>
      </c>
      <c r="D5965" s="2" t="s">
        <v>4324</v>
      </c>
      <c r="E5965" s="4">
        <v>3500</v>
      </c>
    </row>
    <row r="5966" spans="1:5" ht="26.25" x14ac:dyDescent="0.25">
      <c r="A5966" s="2" t="s">
        <v>10</v>
      </c>
      <c r="B5966" s="2" t="str">
        <f>"110764028"</f>
        <v>110764028</v>
      </c>
      <c r="C5966" s="2" t="str">
        <f>"110764028"</f>
        <v>110764028</v>
      </c>
      <c r="D5966" s="2" t="s">
        <v>4325</v>
      </c>
      <c r="E5966" s="4">
        <v>3500</v>
      </c>
    </row>
    <row r="5967" spans="1:5" ht="26.25" x14ac:dyDescent="0.25">
      <c r="A5967" s="2" t="s">
        <v>1590</v>
      </c>
      <c r="B5967" s="2" t="str">
        <f>"766805260"</f>
        <v>766805260</v>
      </c>
      <c r="C5967" s="2" t="str">
        <f>"766805260"</f>
        <v>766805260</v>
      </c>
      <c r="D5967" s="2" t="s">
        <v>4326</v>
      </c>
      <c r="E5967" s="4">
        <v>3000</v>
      </c>
    </row>
    <row r="5968" spans="1:5" ht="26.25" x14ac:dyDescent="0.25">
      <c r="A5968" s="2" t="s">
        <v>1590</v>
      </c>
      <c r="B5968" s="2" t="str">
        <f>"17560500"</f>
        <v>17560500</v>
      </c>
      <c r="C5968" s="2" t="str">
        <f>"17560500"</f>
        <v>17560500</v>
      </c>
      <c r="D5968" s="2" t="s">
        <v>4327</v>
      </c>
      <c r="E5968" s="4">
        <v>3500</v>
      </c>
    </row>
    <row r="5969" spans="1:5" ht="26.25" x14ac:dyDescent="0.25">
      <c r="A5969" s="2" t="s">
        <v>10</v>
      </c>
      <c r="B5969" s="2" t="str">
        <f>"34460716"</f>
        <v>34460716</v>
      </c>
      <c r="C5969" s="2" t="str">
        <f>"34460716"</f>
        <v>34460716</v>
      </c>
      <c r="D5969" s="2" t="s">
        <v>4328</v>
      </c>
      <c r="E5969" s="4">
        <v>3500</v>
      </c>
    </row>
    <row r="5970" spans="1:5" ht="26.25" x14ac:dyDescent="0.25">
      <c r="A5970" s="2" t="s">
        <v>10</v>
      </c>
      <c r="B5970" s="2" t="str">
        <f>"34460717"</f>
        <v>34460717</v>
      </c>
      <c r="C5970" s="2" t="str">
        <f>"34460717"</f>
        <v>34460717</v>
      </c>
      <c r="D5970" s="2" t="s">
        <v>4329</v>
      </c>
      <c r="E5970" s="4">
        <v>3500</v>
      </c>
    </row>
    <row r="5971" spans="1:5" ht="26.25" x14ac:dyDescent="0.25">
      <c r="A5971" s="2" t="s">
        <v>10</v>
      </c>
      <c r="B5971" s="2" t="str">
        <f>"765832215"</f>
        <v>765832215</v>
      </c>
      <c r="C5971" s="2" t="str">
        <f>"765832215"</f>
        <v>765832215</v>
      </c>
      <c r="D5971" s="2" t="s">
        <v>4330</v>
      </c>
      <c r="E5971" s="4">
        <v>4000</v>
      </c>
    </row>
    <row r="5972" spans="1:5" ht="26.25" x14ac:dyDescent="0.25">
      <c r="A5972" s="2" t="s">
        <v>1590</v>
      </c>
      <c r="B5972" s="2" t="str">
        <f>"76560903"</f>
        <v>76560903</v>
      </c>
      <c r="C5972" s="2" t="str">
        <f>"76560903"</f>
        <v>76560903</v>
      </c>
      <c r="D5972" s="2" t="s">
        <v>4331</v>
      </c>
      <c r="E5972" s="4">
        <v>3500</v>
      </c>
    </row>
    <row r="5973" spans="1:5" ht="26.25" x14ac:dyDescent="0.25">
      <c r="A5973" s="2" t="s">
        <v>10</v>
      </c>
      <c r="B5973" s="2" t="str">
        <f>"110560805"</f>
        <v>110560805</v>
      </c>
      <c r="C5973" s="2" t="str">
        <f>"110560805"</f>
        <v>110560805</v>
      </c>
      <c r="D5973" s="2" t="s">
        <v>4332</v>
      </c>
      <c r="E5973" s="4">
        <v>3000</v>
      </c>
    </row>
    <row r="5974" spans="1:5" ht="26.25" x14ac:dyDescent="0.25">
      <c r="A5974" s="2" t="s">
        <v>10</v>
      </c>
      <c r="B5974" s="2" t="str">
        <f>"110560620"</f>
        <v>110560620</v>
      </c>
      <c r="C5974" s="2" t="str">
        <f>"110560620"</f>
        <v>110560620</v>
      </c>
      <c r="D5974" s="2" t="s">
        <v>4333</v>
      </c>
      <c r="E5974" s="4">
        <v>3000</v>
      </c>
    </row>
    <row r="5975" spans="1:5" ht="26.25" x14ac:dyDescent="0.25">
      <c r="A5975" s="2" t="s">
        <v>1590</v>
      </c>
      <c r="B5975" s="2" t="str">
        <f>"76560963"</f>
        <v>76560963</v>
      </c>
      <c r="C5975" s="2" t="str">
        <f>"76560963"</f>
        <v>76560963</v>
      </c>
      <c r="D5975" s="2" t="s">
        <v>4333</v>
      </c>
      <c r="E5975" s="4">
        <v>3000</v>
      </c>
    </row>
    <row r="5976" spans="1:5" ht="26.25" x14ac:dyDescent="0.25">
      <c r="A5976" s="2" t="s">
        <v>10</v>
      </c>
      <c r="B5976" s="2" t="str">
        <f>"684809293"</f>
        <v>684809293</v>
      </c>
      <c r="C5976" s="2" t="str">
        <f>"684809293"</f>
        <v>684809293</v>
      </c>
      <c r="D5976" s="2" t="s">
        <v>4334</v>
      </c>
      <c r="E5976" s="4">
        <v>3500</v>
      </c>
    </row>
    <row r="5977" spans="1:5" ht="26.25" x14ac:dyDescent="0.25">
      <c r="A5977" s="2" t="s">
        <v>10</v>
      </c>
      <c r="B5977" s="2" t="str">
        <f>"684809291"</f>
        <v>684809291</v>
      </c>
      <c r="C5977" s="2" t="str">
        <f>"684809291"</f>
        <v>684809291</v>
      </c>
      <c r="D5977" s="2" t="s">
        <v>4335</v>
      </c>
      <c r="E5977" s="4">
        <v>3500</v>
      </c>
    </row>
    <row r="5978" spans="1:5" ht="26.25" x14ac:dyDescent="0.25">
      <c r="A5978" s="2" t="s">
        <v>1590</v>
      </c>
      <c r="B5978" s="2" t="str">
        <f>"345709285"</f>
        <v>345709285</v>
      </c>
      <c r="C5978" s="2" t="str">
        <f>"345709285"</f>
        <v>345709285</v>
      </c>
      <c r="D5978" s="2" t="s">
        <v>4336</v>
      </c>
      <c r="E5978" s="4">
        <v>4000</v>
      </c>
    </row>
    <row r="5979" spans="1:5" ht="26.25" x14ac:dyDescent="0.25">
      <c r="A5979" s="2" t="s">
        <v>10</v>
      </c>
      <c r="B5979" s="2" t="str">
        <f>"684809292"</f>
        <v>684809292</v>
      </c>
      <c r="C5979" s="2" t="str">
        <f>"684809292"</f>
        <v>684809292</v>
      </c>
      <c r="D5979" s="2" t="s">
        <v>4337</v>
      </c>
      <c r="E5979" s="4">
        <v>3500</v>
      </c>
    </row>
    <row r="5980" spans="1:5" ht="26.25" x14ac:dyDescent="0.25">
      <c r="A5980" s="2" t="s">
        <v>14</v>
      </c>
      <c r="B5980" s="2" t="str">
        <f>"17581480"</f>
        <v>17581480</v>
      </c>
      <c r="C5980" s="2" t="str">
        <f>"17581480"</f>
        <v>17581480</v>
      </c>
      <c r="D5980" s="2" t="s">
        <v>4338</v>
      </c>
      <c r="E5980" s="4">
        <v>4000</v>
      </c>
    </row>
    <row r="5981" spans="1:5" ht="26.25" x14ac:dyDescent="0.25">
      <c r="A5981" s="2" t="s">
        <v>1590</v>
      </c>
      <c r="B5981" s="2" t="str">
        <f>"76561059"</f>
        <v>76561059</v>
      </c>
      <c r="C5981" s="2" t="str">
        <f>"76561059"</f>
        <v>76561059</v>
      </c>
      <c r="D5981" s="2" t="s">
        <v>4339</v>
      </c>
      <c r="E5981" s="4">
        <v>3000</v>
      </c>
    </row>
    <row r="5982" spans="1:5" ht="26.25" x14ac:dyDescent="0.25">
      <c r="A5982" s="2" t="s">
        <v>1590</v>
      </c>
      <c r="B5982" s="2" t="str">
        <f>"32561064"</f>
        <v>32561064</v>
      </c>
      <c r="C5982" s="2" t="str">
        <f>"32561064"</f>
        <v>32561064</v>
      </c>
      <c r="D5982" s="2" t="s">
        <v>4340</v>
      </c>
      <c r="E5982" s="4">
        <v>3500</v>
      </c>
    </row>
    <row r="5983" spans="1:5" ht="26.25" x14ac:dyDescent="0.25">
      <c r="A5983" s="2" t="s">
        <v>1590</v>
      </c>
      <c r="B5983" s="2" t="str">
        <f>"76561079"</f>
        <v>76561079</v>
      </c>
      <c r="C5983" s="2" t="str">
        <f>"76561079"</f>
        <v>76561079</v>
      </c>
      <c r="D5983" s="2" t="s">
        <v>4341</v>
      </c>
      <c r="E5983" s="4">
        <v>3000</v>
      </c>
    </row>
    <row r="5984" spans="1:5" ht="26.25" x14ac:dyDescent="0.25">
      <c r="A5984" s="2" t="s">
        <v>14</v>
      </c>
      <c r="B5984" s="2" t="str">
        <f>"76700715"</f>
        <v>76700715</v>
      </c>
      <c r="C5984" s="2" t="str">
        <f>"76700715"</f>
        <v>76700715</v>
      </c>
      <c r="D5984" s="2" t="s">
        <v>4342</v>
      </c>
      <c r="E5984" s="4">
        <v>5000</v>
      </c>
    </row>
    <row r="5985" spans="1:5" ht="26.25" x14ac:dyDescent="0.25">
      <c r="A5985" s="2" t="s">
        <v>1590</v>
      </c>
      <c r="B5985" s="2" t="str">
        <f>"17473163"</f>
        <v>17473163</v>
      </c>
      <c r="C5985" s="2" t="str">
        <f>"17473163"</f>
        <v>17473163</v>
      </c>
      <c r="D5985" s="2" t="s">
        <v>4343</v>
      </c>
      <c r="E5985" s="4">
        <v>3500</v>
      </c>
    </row>
    <row r="5986" spans="1:5" ht="26.25" x14ac:dyDescent="0.25">
      <c r="A5986" s="2" t="s">
        <v>1590</v>
      </c>
      <c r="B5986" s="2" t="str">
        <f>"686820185"</f>
        <v>686820185</v>
      </c>
      <c r="C5986" s="2" t="str">
        <f>"686820185"</f>
        <v>686820185</v>
      </c>
      <c r="D5986" s="2" t="s">
        <v>4344</v>
      </c>
      <c r="E5986" s="4">
        <v>3000</v>
      </c>
    </row>
    <row r="5987" spans="1:5" ht="26.25" x14ac:dyDescent="0.25">
      <c r="A5987" s="2" t="s">
        <v>1590</v>
      </c>
      <c r="B5987" s="2" t="str">
        <f>"17561480"</f>
        <v>17561480</v>
      </c>
      <c r="C5987" s="2" t="str">
        <f>"17561480"</f>
        <v>17561480</v>
      </c>
      <c r="D5987" s="2" t="s">
        <v>4345</v>
      </c>
      <c r="E5987" s="4">
        <v>3500</v>
      </c>
    </row>
    <row r="5988" spans="1:5" ht="26.25" x14ac:dyDescent="0.25">
      <c r="A5988" s="2" t="s">
        <v>1590</v>
      </c>
      <c r="B5988" s="2" t="str">
        <f>"76561487"</f>
        <v>76561487</v>
      </c>
      <c r="C5988" s="2" t="str">
        <f>"76561487"</f>
        <v>76561487</v>
      </c>
      <c r="D5988" s="2" t="s">
        <v>4346</v>
      </c>
      <c r="E5988" s="4">
        <v>3000</v>
      </c>
    </row>
    <row r="5989" spans="1:5" ht="26.25" x14ac:dyDescent="0.25">
      <c r="A5989" s="2" t="s">
        <v>1590</v>
      </c>
      <c r="B5989" s="2" t="str">
        <f>"76561496"</f>
        <v>76561496</v>
      </c>
      <c r="C5989" s="2" t="str">
        <f>"76561496"</f>
        <v>76561496</v>
      </c>
      <c r="D5989" s="2" t="s">
        <v>4347</v>
      </c>
      <c r="E5989" s="4">
        <v>3000</v>
      </c>
    </row>
    <row r="5990" spans="1:5" ht="26.25" x14ac:dyDescent="0.25">
      <c r="A5990" s="2" t="s">
        <v>1590</v>
      </c>
      <c r="B5990" s="2" t="str">
        <f>"275614266"</f>
        <v>275614266</v>
      </c>
      <c r="C5990" s="2" t="str">
        <f>"275614266"</f>
        <v>275614266</v>
      </c>
      <c r="D5990" s="2" t="s">
        <v>4348</v>
      </c>
      <c r="E5990" s="4">
        <v>3500</v>
      </c>
    </row>
    <row r="5991" spans="1:5" ht="26.25" x14ac:dyDescent="0.25">
      <c r="A5991" s="2" t="s">
        <v>10</v>
      </c>
      <c r="B5991" s="2" t="str">
        <f>"34461454"</f>
        <v>34461454</v>
      </c>
      <c r="C5991" s="2" t="str">
        <f>"34461454"</f>
        <v>34461454</v>
      </c>
      <c r="D5991" s="2" t="s">
        <v>4349</v>
      </c>
      <c r="E5991" s="4">
        <v>3500</v>
      </c>
    </row>
    <row r="5992" spans="1:5" ht="26.25" x14ac:dyDescent="0.25">
      <c r="A5992" s="2" t="s">
        <v>10</v>
      </c>
      <c r="B5992" s="2" t="str">
        <f>"17750720"</f>
        <v>17750720</v>
      </c>
      <c r="C5992" s="2" t="str">
        <f>"17750720"</f>
        <v>17750720</v>
      </c>
      <c r="D5992" s="2" t="s">
        <v>4350</v>
      </c>
      <c r="E5992" s="4">
        <v>4000</v>
      </c>
    </row>
    <row r="5993" spans="1:5" ht="26.25" x14ac:dyDescent="0.25">
      <c r="A5993" s="2" t="s">
        <v>14</v>
      </c>
      <c r="B5993" s="2" t="str">
        <f>"177505548"</f>
        <v>177505548</v>
      </c>
      <c r="C5993" s="2" t="str">
        <f>"177505548"</f>
        <v>177505548</v>
      </c>
      <c r="D5993" s="2" t="s">
        <v>4351</v>
      </c>
      <c r="E5993" s="4">
        <v>3500</v>
      </c>
    </row>
    <row r="5994" spans="1:5" ht="26.25" x14ac:dyDescent="0.25">
      <c r="A5994" s="2" t="s">
        <v>1590</v>
      </c>
      <c r="B5994" s="2" t="str">
        <f>"766810121"</f>
        <v>766810121</v>
      </c>
      <c r="C5994" s="2" t="str">
        <f>"766810121"</f>
        <v>766810121</v>
      </c>
      <c r="D5994" s="2" t="s">
        <v>4352</v>
      </c>
      <c r="E5994" s="4">
        <v>3000</v>
      </c>
    </row>
    <row r="5995" spans="1:5" ht="26.25" x14ac:dyDescent="0.25">
      <c r="A5995" s="2" t="s">
        <v>1590</v>
      </c>
      <c r="B5995" s="2" t="str">
        <f>"17561430"</f>
        <v>17561430</v>
      </c>
      <c r="C5995" s="2" t="str">
        <f>"17561430"</f>
        <v>17561430</v>
      </c>
      <c r="D5995" s="2" t="s">
        <v>4353</v>
      </c>
      <c r="E5995" s="4">
        <v>3500</v>
      </c>
    </row>
    <row r="5996" spans="1:5" ht="26.25" x14ac:dyDescent="0.25">
      <c r="A5996" s="2" t="s">
        <v>14</v>
      </c>
      <c r="B5996" s="2" t="str">
        <f>"17750548"</f>
        <v>17750548</v>
      </c>
      <c r="C5996" s="2" t="str">
        <f>"17750548"</f>
        <v>17750548</v>
      </c>
      <c r="D5996" s="2" t="s">
        <v>4354</v>
      </c>
      <c r="E5996" s="4">
        <v>4500</v>
      </c>
    </row>
    <row r="5997" spans="1:5" ht="26.25" x14ac:dyDescent="0.25">
      <c r="A5997" s="2" t="s">
        <v>1590</v>
      </c>
      <c r="B5997" s="2" t="str">
        <f>"76680598"</f>
        <v>76680598</v>
      </c>
      <c r="C5997" s="2" t="str">
        <f>"76680598"</f>
        <v>76680598</v>
      </c>
      <c r="D5997" s="2" t="s">
        <v>4355</v>
      </c>
      <c r="E5997" s="4">
        <v>3000</v>
      </c>
    </row>
    <row r="5998" spans="1:5" ht="26.25" x14ac:dyDescent="0.25">
      <c r="A5998" s="2" t="s">
        <v>10</v>
      </c>
      <c r="B5998" s="2" t="str">
        <f>"764805216"</f>
        <v>764805216</v>
      </c>
      <c r="C5998" s="2" t="str">
        <f>"764805216"</f>
        <v>764805216</v>
      </c>
      <c r="D5998" s="2" t="s">
        <v>4356</v>
      </c>
      <c r="E5998" s="4">
        <v>3500</v>
      </c>
    </row>
    <row r="5999" spans="1:5" ht="26.25" x14ac:dyDescent="0.25">
      <c r="A5999" s="2" t="s">
        <v>10</v>
      </c>
      <c r="B5999" s="2" t="str">
        <f>"764805238"</f>
        <v>764805238</v>
      </c>
      <c r="C5999" s="2" t="str">
        <f>"764805238"</f>
        <v>764805238</v>
      </c>
      <c r="D5999" s="2" t="s">
        <v>4357</v>
      </c>
      <c r="E5999" s="4">
        <v>3500</v>
      </c>
    </row>
    <row r="6000" spans="1:5" ht="26.25" x14ac:dyDescent="0.25">
      <c r="A6000" s="2" t="s">
        <v>14</v>
      </c>
      <c r="B6000" s="2" t="str">
        <f>"767505249"</f>
        <v>767505249</v>
      </c>
      <c r="C6000" s="2" t="str">
        <f>"767505249"</f>
        <v>767505249</v>
      </c>
      <c r="D6000" s="2" t="s">
        <v>4358</v>
      </c>
      <c r="E6000" s="4">
        <v>5500</v>
      </c>
    </row>
    <row r="6001" spans="1:5" ht="26.25" x14ac:dyDescent="0.25">
      <c r="A6001" s="2" t="s">
        <v>10</v>
      </c>
      <c r="B6001" s="2" t="str">
        <f>"764805157"</f>
        <v>764805157</v>
      </c>
      <c r="C6001" s="2" t="str">
        <f>"764805157"</f>
        <v>764805157</v>
      </c>
      <c r="D6001" s="2" t="s">
        <v>4359</v>
      </c>
      <c r="E6001" s="4">
        <v>3000</v>
      </c>
    </row>
    <row r="6002" spans="1:5" ht="26.25" x14ac:dyDescent="0.25">
      <c r="A6002" s="2" t="s">
        <v>10</v>
      </c>
      <c r="B6002" s="2" t="str">
        <f>"110073392"</f>
        <v>110073392</v>
      </c>
      <c r="C6002" s="2" t="str">
        <f>"110073392"</f>
        <v>110073392</v>
      </c>
      <c r="D6002" s="2" t="s">
        <v>4360</v>
      </c>
      <c r="E6002" s="4">
        <v>4000</v>
      </c>
    </row>
    <row r="6003" spans="1:5" ht="26.25" x14ac:dyDescent="0.25">
      <c r="A6003" s="2" t="s">
        <v>14</v>
      </c>
      <c r="B6003" s="2" t="str">
        <f>"767014136"</f>
        <v>767014136</v>
      </c>
      <c r="C6003" s="2" t="str">
        <f>"767014136"</f>
        <v>767014136</v>
      </c>
      <c r="D6003" s="2" t="s">
        <v>4361</v>
      </c>
      <c r="E6003" s="4">
        <v>5000</v>
      </c>
    </row>
    <row r="6004" spans="1:5" ht="26.25" x14ac:dyDescent="0.25">
      <c r="A6004" s="2" t="s">
        <v>14</v>
      </c>
      <c r="B6004" s="2" t="str">
        <f>"767014125"</f>
        <v>767014125</v>
      </c>
      <c r="C6004" s="2" t="str">
        <f>"767014125"</f>
        <v>767014125</v>
      </c>
      <c r="D6004" s="2" t="s">
        <v>4362</v>
      </c>
      <c r="E6004" s="4">
        <v>5000</v>
      </c>
    </row>
    <row r="6005" spans="1:5" ht="26.25" x14ac:dyDescent="0.25">
      <c r="A6005" s="2" t="s">
        <v>1590</v>
      </c>
      <c r="B6005" s="2" t="str">
        <f>"76561447"</f>
        <v>76561447</v>
      </c>
      <c r="C6005" s="2" t="str">
        <f>"76561447"</f>
        <v>76561447</v>
      </c>
      <c r="D6005" s="2" t="s">
        <v>4363</v>
      </c>
      <c r="E6005" s="4">
        <v>4000</v>
      </c>
    </row>
    <row r="6006" spans="1:5" ht="26.25" x14ac:dyDescent="0.25">
      <c r="A6006" s="2" t="s">
        <v>14</v>
      </c>
      <c r="B6006" s="2" t="str">
        <f>"76750598"</f>
        <v>76750598</v>
      </c>
      <c r="C6006" s="2" t="str">
        <f>"76750598"</f>
        <v>76750598</v>
      </c>
      <c r="D6006" s="2" t="s">
        <v>4364</v>
      </c>
      <c r="E6006" s="4">
        <v>5500</v>
      </c>
    </row>
    <row r="6007" spans="1:5" ht="26.25" x14ac:dyDescent="0.25">
      <c r="A6007" s="2" t="s">
        <v>14</v>
      </c>
      <c r="B6007" s="2" t="str">
        <f>"76750548"</f>
        <v>76750548</v>
      </c>
      <c r="C6007" s="2" t="str">
        <f>"76750548"</f>
        <v>76750548</v>
      </c>
      <c r="D6007" s="2" t="s">
        <v>4365</v>
      </c>
      <c r="E6007" s="4">
        <v>5500</v>
      </c>
    </row>
    <row r="6008" spans="1:5" ht="26.25" x14ac:dyDescent="0.25">
      <c r="A6008" s="2" t="s">
        <v>14</v>
      </c>
      <c r="B6008" s="2" t="str">
        <f>"76750714"</f>
        <v>76750714</v>
      </c>
      <c r="C6008" s="2" t="str">
        <f>"76750714"</f>
        <v>76750714</v>
      </c>
      <c r="D6008" s="2" t="s">
        <v>4366</v>
      </c>
      <c r="E6008" s="4">
        <v>5500</v>
      </c>
    </row>
    <row r="6009" spans="1:5" ht="26.25" x14ac:dyDescent="0.25">
      <c r="A6009" s="2" t="s">
        <v>14</v>
      </c>
      <c r="B6009" s="2" t="str">
        <f>"767514125"</f>
        <v>767514125</v>
      </c>
      <c r="C6009" s="2" t="str">
        <f>"767514125"</f>
        <v>767514125</v>
      </c>
      <c r="D6009" s="2" t="s">
        <v>4367</v>
      </c>
      <c r="E6009" s="4">
        <v>5500</v>
      </c>
    </row>
    <row r="6010" spans="1:5" ht="26.25" x14ac:dyDescent="0.25">
      <c r="A6010" s="2" t="s">
        <v>14</v>
      </c>
      <c r="B6010" s="2" t="str">
        <f>"76750715"</f>
        <v>76750715</v>
      </c>
      <c r="C6010" s="2" t="str">
        <f>"76750715"</f>
        <v>76750715</v>
      </c>
      <c r="D6010" s="2" t="s">
        <v>4368</v>
      </c>
      <c r="E6010" s="4">
        <v>5500</v>
      </c>
    </row>
    <row r="6011" spans="1:5" ht="26.25" x14ac:dyDescent="0.25">
      <c r="A6011" s="2" t="s">
        <v>14</v>
      </c>
      <c r="B6011" s="2" t="str">
        <f>"76750716"</f>
        <v>76750716</v>
      </c>
      <c r="C6011" s="2" t="str">
        <f>"76750716"</f>
        <v>76750716</v>
      </c>
      <c r="D6011" s="2" t="s">
        <v>4369</v>
      </c>
      <c r="E6011" s="4">
        <v>5500</v>
      </c>
    </row>
    <row r="6012" spans="1:5" ht="26.25" x14ac:dyDescent="0.25">
      <c r="A6012" s="2" t="s">
        <v>14</v>
      </c>
      <c r="B6012" s="2" t="str">
        <f>"76770548"</f>
        <v>76770548</v>
      </c>
      <c r="C6012" s="2" t="str">
        <f>"76770548"</f>
        <v>76770548</v>
      </c>
      <c r="D6012" s="2" t="s">
        <v>4370</v>
      </c>
      <c r="E6012" s="4">
        <v>4500</v>
      </c>
    </row>
    <row r="6013" spans="1:5" ht="26.25" x14ac:dyDescent="0.25">
      <c r="A6013" s="2" t="s">
        <v>14</v>
      </c>
      <c r="B6013" s="2" t="str">
        <f>"1000001081083"</f>
        <v>1000001081083</v>
      </c>
      <c r="C6013" s="2" t="str">
        <f>"767705247"</f>
        <v>767705247</v>
      </c>
      <c r="D6013" s="2" t="s">
        <v>4371</v>
      </c>
      <c r="E6013" s="4">
        <v>4500</v>
      </c>
    </row>
    <row r="6014" spans="1:5" ht="39" x14ac:dyDescent="0.25">
      <c r="A6014" s="2" t="s">
        <v>14</v>
      </c>
      <c r="B6014" s="2" t="str">
        <f>"1495824139361"</f>
        <v>1495824139361</v>
      </c>
      <c r="C6014" s="2" t="str">
        <f>"1495824139360"</f>
        <v>1495824139360</v>
      </c>
      <c r="D6014" s="2" t="s">
        <v>4371</v>
      </c>
      <c r="E6014" s="4">
        <v>4500</v>
      </c>
    </row>
    <row r="6015" spans="1:5" ht="26.25" x14ac:dyDescent="0.25">
      <c r="A6015" s="2" t="s">
        <v>14</v>
      </c>
      <c r="B6015" s="2" t="str">
        <f>"767705280"</f>
        <v>767705280</v>
      </c>
      <c r="C6015" s="2" t="str">
        <f>"767705280"</f>
        <v>767705280</v>
      </c>
      <c r="D6015" s="2" t="s">
        <v>4372</v>
      </c>
      <c r="E6015" s="4">
        <v>4500</v>
      </c>
    </row>
    <row r="6016" spans="1:5" ht="26.25" x14ac:dyDescent="0.25">
      <c r="A6016" s="2" t="s">
        <v>14</v>
      </c>
      <c r="B6016" s="2" t="str">
        <f>"767710295"</f>
        <v>767710295</v>
      </c>
      <c r="C6016" s="2" t="str">
        <f>"767710295"</f>
        <v>767710295</v>
      </c>
      <c r="D6016" s="2" t="s">
        <v>4373</v>
      </c>
      <c r="E6016" s="4">
        <v>4500</v>
      </c>
    </row>
    <row r="6017" spans="1:5" ht="26.25" x14ac:dyDescent="0.25">
      <c r="A6017" s="2" t="s">
        <v>1590</v>
      </c>
      <c r="B6017" s="2" t="str">
        <f>"76680714"</f>
        <v>76680714</v>
      </c>
      <c r="C6017" s="2" t="str">
        <f>"76680714"</f>
        <v>76680714</v>
      </c>
      <c r="D6017" s="2" t="s">
        <v>4374</v>
      </c>
      <c r="E6017" s="4">
        <v>3000</v>
      </c>
    </row>
    <row r="6018" spans="1:5" ht="26.25" x14ac:dyDescent="0.25">
      <c r="A6018" s="2" t="s">
        <v>10</v>
      </c>
      <c r="B6018" s="2" t="str">
        <f>"110400005"</f>
        <v>110400005</v>
      </c>
      <c r="C6018" s="2" t="str">
        <f>"110400005"</f>
        <v>110400005</v>
      </c>
      <c r="D6018" s="2" t="s">
        <v>4375</v>
      </c>
      <c r="E6018" s="4">
        <v>2000</v>
      </c>
    </row>
    <row r="6019" spans="1:5" ht="26.25" x14ac:dyDescent="0.25">
      <c r="A6019" s="2" t="s">
        <v>10</v>
      </c>
      <c r="B6019" s="2" t="str">
        <f>"76460720"</f>
        <v>76460720</v>
      </c>
      <c r="C6019" s="2" t="str">
        <f>"76460720"</f>
        <v>76460720</v>
      </c>
      <c r="D6019" s="2" t="s">
        <v>4376</v>
      </c>
      <c r="E6019" s="4">
        <v>4500</v>
      </c>
    </row>
    <row r="6020" spans="1:5" ht="26.25" x14ac:dyDescent="0.25">
      <c r="A6020" s="2" t="s">
        <v>10</v>
      </c>
      <c r="B6020" s="2" t="str">
        <f>"34470715"</f>
        <v>34470715</v>
      </c>
      <c r="C6020" s="2" t="str">
        <f>"34470715"</f>
        <v>34470715</v>
      </c>
      <c r="D6020" s="2" t="s">
        <v>4377</v>
      </c>
      <c r="E6020" s="4">
        <v>7500</v>
      </c>
    </row>
    <row r="6021" spans="1:5" ht="26.25" x14ac:dyDescent="0.25">
      <c r="A6021" s="2" t="s">
        <v>10</v>
      </c>
      <c r="B6021" s="2" t="str">
        <f>"17200716"</f>
        <v>17200716</v>
      </c>
      <c r="C6021" s="2" t="str">
        <f>"17200716"</f>
        <v>17200716</v>
      </c>
      <c r="D6021" s="2" t="s">
        <v>4378</v>
      </c>
      <c r="E6021" s="4">
        <v>3500</v>
      </c>
    </row>
    <row r="6022" spans="1:5" ht="26.25" x14ac:dyDescent="0.25">
      <c r="A6022" s="2" t="s">
        <v>10</v>
      </c>
      <c r="B6022" s="2" t="str">
        <f>"110762121"</f>
        <v>110762121</v>
      </c>
      <c r="C6022" s="2" t="str">
        <f>"110762121"</f>
        <v>110762121</v>
      </c>
      <c r="D6022" s="2" t="s">
        <v>4379</v>
      </c>
      <c r="E6022" s="4">
        <v>3500</v>
      </c>
    </row>
    <row r="6023" spans="1:5" ht="26.25" x14ac:dyDescent="0.25">
      <c r="A6023" s="2" t="s">
        <v>10</v>
      </c>
      <c r="B6023" s="2" t="str">
        <f>"764709154"</f>
        <v>764709154</v>
      </c>
      <c r="C6023" s="2" t="str">
        <f>"764709154"</f>
        <v>764709154</v>
      </c>
      <c r="D6023" s="2" t="s">
        <v>4380</v>
      </c>
      <c r="E6023" s="4">
        <v>3500</v>
      </c>
    </row>
    <row r="6024" spans="1:5" ht="26.25" x14ac:dyDescent="0.25">
      <c r="A6024" s="2" t="s">
        <v>10</v>
      </c>
      <c r="B6024" s="2" t="str">
        <f>"345809221"</f>
        <v>345809221</v>
      </c>
      <c r="C6024" s="2" t="str">
        <f>"345809221"</f>
        <v>345809221</v>
      </c>
      <c r="D6024" s="2" t="s">
        <v>4381</v>
      </c>
      <c r="E6024" s="4">
        <v>4000</v>
      </c>
    </row>
    <row r="6025" spans="1:5" ht="26.25" x14ac:dyDescent="0.25">
      <c r="A6025" s="2" t="s">
        <v>10</v>
      </c>
      <c r="B6025" s="2" t="str">
        <f>"11581460"</f>
        <v>11581460</v>
      </c>
      <c r="C6025" s="2" t="str">
        <f>"11581460"</f>
        <v>11581460</v>
      </c>
      <c r="D6025" s="2" t="s">
        <v>4382</v>
      </c>
      <c r="E6025" s="4">
        <v>5500</v>
      </c>
    </row>
    <row r="6026" spans="1:5" ht="26.25" x14ac:dyDescent="0.25">
      <c r="A6026" s="2" t="s">
        <v>10</v>
      </c>
      <c r="B6026" s="2" t="str">
        <f>"110341052"</f>
        <v>110341052</v>
      </c>
      <c r="C6026" s="2" t="str">
        <f>"110341052"</f>
        <v>110341052</v>
      </c>
      <c r="D6026" s="2" t="s">
        <v>4383</v>
      </c>
      <c r="E6026" s="4">
        <v>5500</v>
      </c>
    </row>
    <row r="6027" spans="1:5" ht="26.25" x14ac:dyDescent="0.25">
      <c r="A6027" s="2" t="s">
        <v>10</v>
      </c>
      <c r="B6027" s="2" t="str">
        <f>"76471064"</f>
        <v>76471064</v>
      </c>
      <c r="C6027" s="2" t="str">
        <f>"76471064"</f>
        <v>76471064</v>
      </c>
      <c r="D6027" s="2" t="s">
        <v>4384</v>
      </c>
      <c r="E6027" s="4">
        <v>3500</v>
      </c>
    </row>
    <row r="6028" spans="1:5" ht="26.25" x14ac:dyDescent="0.25">
      <c r="A6028" s="2" t="s">
        <v>10</v>
      </c>
      <c r="B6028" s="2" t="str">
        <f>"764610190"</f>
        <v>764610190</v>
      </c>
      <c r="C6028" s="2" t="str">
        <f>"764610190"</f>
        <v>764610190</v>
      </c>
      <c r="D6028" s="2" t="s">
        <v>4384</v>
      </c>
      <c r="E6028" s="4">
        <v>4500</v>
      </c>
    </row>
    <row r="6029" spans="1:5" ht="26.25" x14ac:dyDescent="0.25">
      <c r="A6029" s="2" t="s">
        <v>10</v>
      </c>
      <c r="B6029" s="2" t="str">
        <f>"764810241"</f>
        <v>764810241</v>
      </c>
      <c r="C6029" s="2" t="str">
        <f>"764810241"</f>
        <v>764810241</v>
      </c>
      <c r="D6029" s="2" t="s">
        <v>4385</v>
      </c>
      <c r="E6029" s="4">
        <v>3500</v>
      </c>
    </row>
    <row r="6030" spans="1:5" ht="26.25" x14ac:dyDescent="0.25">
      <c r="A6030" s="2" t="s">
        <v>4065</v>
      </c>
      <c r="B6030" s="2" t="str">
        <f>"764632214"</f>
        <v>764632214</v>
      </c>
      <c r="C6030" s="2" t="str">
        <f>"764632214"</f>
        <v>764632214</v>
      </c>
      <c r="D6030" s="2" t="s">
        <v>4386</v>
      </c>
      <c r="E6030" s="4">
        <v>4800</v>
      </c>
    </row>
    <row r="6031" spans="1:5" ht="26.25" x14ac:dyDescent="0.25">
      <c r="A6031" s="2" t="s">
        <v>4065</v>
      </c>
      <c r="B6031" s="2" t="str">
        <f>"764610268"</f>
        <v>764610268</v>
      </c>
      <c r="C6031" s="2" t="str">
        <f>"764610268"</f>
        <v>764610268</v>
      </c>
      <c r="D6031" s="2" t="s">
        <v>4387</v>
      </c>
      <c r="E6031" s="4">
        <v>4800</v>
      </c>
    </row>
    <row r="6032" spans="1:5" ht="26.25" x14ac:dyDescent="0.25">
      <c r="A6032" s="2" t="s">
        <v>14</v>
      </c>
      <c r="B6032" s="2" t="str">
        <f>"76391447"</f>
        <v>76391447</v>
      </c>
      <c r="C6032" s="2" t="str">
        <f>"76391447"</f>
        <v>76391447</v>
      </c>
      <c r="D6032" s="2" t="s">
        <v>4388</v>
      </c>
      <c r="E6032" s="4">
        <v>4500</v>
      </c>
    </row>
    <row r="6033" spans="1:5" ht="26.25" x14ac:dyDescent="0.25">
      <c r="A6033" s="2" t="s">
        <v>10</v>
      </c>
      <c r="B6033" s="2" t="str">
        <f>"764705196"</f>
        <v>764705196</v>
      </c>
      <c r="C6033" s="2" t="str">
        <f>"764705196"</f>
        <v>764705196</v>
      </c>
      <c r="D6033" s="2" t="s">
        <v>4389</v>
      </c>
      <c r="E6033" s="4">
        <v>3500</v>
      </c>
    </row>
    <row r="6034" spans="1:5" ht="26.25" x14ac:dyDescent="0.25">
      <c r="A6034" s="2" t="s">
        <v>14</v>
      </c>
      <c r="B6034" s="2" t="str">
        <f>"177505321"</f>
        <v>177505321</v>
      </c>
      <c r="C6034" s="2" t="str">
        <f>"177505321"</f>
        <v>177505321</v>
      </c>
      <c r="D6034" s="2" t="s">
        <v>4390</v>
      </c>
      <c r="E6034" s="4">
        <v>4500</v>
      </c>
    </row>
    <row r="6035" spans="1:5" ht="26.25" x14ac:dyDescent="0.25">
      <c r="A6035" s="2" t="s">
        <v>14</v>
      </c>
      <c r="B6035" s="2" t="str">
        <f>"767505295"</f>
        <v>767505295</v>
      </c>
      <c r="C6035" s="2" t="str">
        <f>"767505295"</f>
        <v>767505295</v>
      </c>
      <c r="D6035" s="2" t="s">
        <v>4391</v>
      </c>
      <c r="E6035" s="4">
        <v>4500</v>
      </c>
    </row>
    <row r="6036" spans="1:5" ht="26.25" x14ac:dyDescent="0.25">
      <c r="A6036" s="2" t="s">
        <v>14</v>
      </c>
      <c r="B6036" s="2" t="str">
        <f>"767505296"</f>
        <v>767505296</v>
      </c>
      <c r="C6036" s="2" t="str">
        <f>"767505296"</f>
        <v>767505296</v>
      </c>
      <c r="D6036" s="2" t="s">
        <v>4392</v>
      </c>
      <c r="E6036" s="4">
        <v>5500</v>
      </c>
    </row>
    <row r="6037" spans="1:5" ht="26.25" x14ac:dyDescent="0.25">
      <c r="A6037" s="2" t="s">
        <v>14</v>
      </c>
      <c r="B6037" s="2" t="str">
        <f>"764605247"</f>
        <v>764605247</v>
      </c>
      <c r="C6037" s="2" t="str">
        <f>"764605247"</f>
        <v>764605247</v>
      </c>
      <c r="D6037" s="2" t="s">
        <v>4393</v>
      </c>
      <c r="E6037" s="4">
        <v>4800</v>
      </c>
    </row>
    <row r="6038" spans="1:5" ht="26.25" x14ac:dyDescent="0.25">
      <c r="A6038" s="2" t="s">
        <v>14</v>
      </c>
      <c r="B6038" s="2" t="str">
        <f>"767705299"</f>
        <v>767705299</v>
      </c>
      <c r="C6038" s="2" t="str">
        <f>"767705299"</f>
        <v>767705299</v>
      </c>
      <c r="D6038" s="2" t="s">
        <v>4394</v>
      </c>
      <c r="E6038" s="4">
        <v>5000</v>
      </c>
    </row>
    <row r="6039" spans="1:5" ht="26.25" x14ac:dyDescent="0.25">
      <c r="A6039" s="2" t="s">
        <v>14</v>
      </c>
      <c r="B6039" s="2" t="str">
        <f>"767505299"</f>
        <v>767505299</v>
      </c>
      <c r="C6039" s="2" t="str">
        <f>"767505299"</f>
        <v>767505299</v>
      </c>
      <c r="D6039" s="2" t="s">
        <v>4394</v>
      </c>
      <c r="E6039" s="4">
        <v>4500</v>
      </c>
    </row>
    <row r="6040" spans="1:5" ht="26.25" x14ac:dyDescent="0.25">
      <c r="A6040" s="2" t="s">
        <v>14</v>
      </c>
      <c r="B6040" s="2" t="str">
        <f>"767505329"</f>
        <v>767505329</v>
      </c>
      <c r="C6040" s="2" t="str">
        <f>"767505329"</f>
        <v>767505329</v>
      </c>
      <c r="D6040" s="2" t="s">
        <v>4395</v>
      </c>
      <c r="E6040" s="4">
        <v>4500</v>
      </c>
    </row>
    <row r="6041" spans="1:5" ht="26.25" x14ac:dyDescent="0.25">
      <c r="A6041" s="2" t="s">
        <v>14</v>
      </c>
      <c r="B6041" s="2" t="str">
        <f>"767505229"</f>
        <v>767505229</v>
      </c>
      <c r="C6041" s="2" t="str">
        <f>"767505229"</f>
        <v>767505229</v>
      </c>
      <c r="D6041" s="2" t="s">
        <v>4396</v>
      </c>
      <c r="E6041" s="4">
        <v>5500</v>
      </c>
    </row>
    <row r="6042" spans="1:5" ht="26.25" x14ac:dyDescent="0.25">
      <c r="A6042" s="2" t="s">
        <v>14</v>
      </c>
      <c r="B6042" s="2" t="str">
        <f>"767505157"</f>
        <v>767505157</v>
      </c>
      <c r="C6042" s="2" t="str">
        <f>"767505157"</f>
        <v>767505157</v>
      </c>
      <c r="D6042" s="2" t="s">
        <v>4397</v>
      </c>
      <c r="E6042" s="4">
        <v>5500</v>
      </c>
    </row>
    <row r="6043" spans="1:5" ht="26.25" x14ac:dyDescent="0.25">
      <c r="A6043" s="2" t="s">
        <v>14</v>
      </c>
      <c r="B6043" s="2" t="str">
        <f>"177505280"</f>
        <v>177505280</v>
      </c>
      <c r="C6043" s="2" t="str">
        <f>"177505280"</f>
        <v>177505280</v>
      </c>
      <c r="D6043" s="2" t="s">
        <v>4398</v>
      </c>
      <c r="E6043" s="4">
        <v>4500</v>
      </c>
    </row>
    <row r="6044" spans="1:5" ht="26.25" x14ac:dyDescent="0.25">
      <c r="A6044" s="2" t="s">
        <v>14</v>
      </c>
      <c r="B6044" s="2" t="str">
        <f>"767505280"</f>
        <v>767505280</v>
      </c>
      <c r="C6044" s="2" t="str">
        <f>"767505280"</f>
        <v>767505280</v>
      </c>
      <c r="D6044" s="2" t="s">
        <v>4399</v>
      </c>
      <c r="E6044" s="4">
        <v>4500</v>
      </c>
    </row>
    <row r="6045" spans="1:5" ht="26.25" x14ac:dyDescent="0.25">
      <c r="A6045" s="2" t="s">
        <v>14</v>
      </c>
      <c r="B6045" s="2" t="str">
        <f>"767505160"</f>
        <v>767505160</v>
      </c>
      <c r="C6045" s="2" t="str">
        <f>"767505160"</f>
        <v>767505160</v>
      </c>
      <c r="D6045" s="2" t="s">
        <v>4400</v>
      </c>
      <c r="E6045" s="4">
        <v>4500</v>
      </c>
    </row>
    <row r="6046" spans="1:5" ht="26.25" x14ac:dyDescent="0.25">
      <c r="A6046" s="2" t="s">
        <v>14</v>
      </c>
      <c r="B6046" s="2" t="str">
        <f>"76701445"</f>
        <v>76701445</v>
      </c>
      <c r="C6046" s="2" t="str">
        <f>"76701445"</f>
        <v>76701445</v>
      </c>
      <c r="D6046" s="2" t="s">
        <v>4401</v>
      </c>
      <c r="E6046" s="4">
        <v>5000</v>
      </c>
    </row>
    <row r="6047" spans="1:5" ht="26.25" x14ac:dyDescent="0.25">
      <c r="A6047" s="2" t="s">
        <v>14</v>
      </c>
      <c r="B6047" s="2" t="str">
        <f>"76750951"</f>
        <v>76750951</v>
      </c>
      <c r="C6047" s="2" t="str">
        <f>"76750951"</f>
        <v>76750951</v>
      </c>
      <c r="D6047" s="2" t="s">
        <v>4402</v>
      </c>
      <c r="E6047" s="4">
        <v>5500</v>
      </c>
    </row>
    <row r="6048" spans="1:5" ht="26.25" x14ac:dyDescent="0.25">
      <c r="A6048" s="2" t="s">
        <v>14</v>
      </c>
      <c r="B6048" s="2" t="str">
        <f>"767532214"</f>
        <v>767532214</v>
      </c>
      <c r="C6048" s="2" t="str">
        <f>"767532214"</f>
        <v>767532214</v>
      </c>
      <c r="D6048" s="2" t="s">
        <v>4403</v>
      </c>
      <c r="E6048" s="4">
        <v>5500</v>
      </c>
    </row>
    <row r="6049" spans="1:5" ht="26.25" x14ac:dyDescent="0.25">
      <c r="A6049" s="2" t="s">
        <v>14</v>
      </c>
      <c r="B6049" s="2" t="str">
        <f>"767732295"</f>
        <v>767732295</v>
      </c>
      <c r="C6049" s="2" t="str">
        <f>"767732295"</f>
        <v>767732295</v>
      </c>
      <c r="D6049" s="2" t="s">
        <v>4404</v>
      </c>
      <c r="E6049" s="4">
        <v>4500</v>
      </c>
    </row>
    <row r="6050" spans="1:5" ht="26.25" x14ac:dyDescent="0.25">
      <c r="A6050" s="2" t="s">
        <v>14</v>
      </c>
      <c r="B6050" s="2" t="str">
        <f>"767509154"</f>
        <v>767509154</v>
      </c>
      <c r="C6050" s="2" t="str">
        <f>"767509154"</f>
        <v>767509154</v>
      </c>
      <c r="D6050" s="2" t="s">
        <v>4405</v>
      </c>
      <c r="E6050" s="4">
        <v>5500</v>
      </c>
    </row>
    <row r="6051" spans="1:5" ht="26.25" x14ac:dyDescent="0.25">
      <c r="A6051" s="2" t="s">
        <v>10</v>
      </c>
      <c r="B6051" s="2" t="str">
        <f>"764709221"</f>
        <v>764709221</v>
      </c>
      <c r="C6051" s="2" t="str">
        <f>"764709221"</f>
        <v>764709221</v>
      </c>
      <c r="D6051" s="2" t="s">
        <v>4406</v>
      </c>
      <c r="E6051" s="4">
        <v>3500</v>
      </c>
    </row>
    <row r="6052" spans="1:5" ht="26.25" x14ac:dyDescent="0.25">
      <c r="A6052" s="2" t="s">
        <v>14</v>
      </c>
      <c r="B6052" s="2" t="str">
        <f>"767509293"</f>
        <v>767509293</v>
      </c>
      <c r="C6052" s="2" t="str">
        <f>"767509293"</f>
        <v>767509293</v>
      </c>
      <c r="D6052" s="2" t="s">
        <v>4407</v>
      </c>
      <c r="E6052" s="4">
        <v>4500</v>
      </c>
    </row>
    <row r="6053" spans="1:5" ht="26.25" x14ac:dyDescent="0.25">
      <c r="A6053" s="2" t="s">
        <v>14</v>
      </c>
      <c r="B6053" s="2" t="str">
        <f>"767509291"</f>
        <v>767509291</v>
      </c>
      <c r="C6053" s="2" t="str">
        <f>"767509291"</f>
        <v>767509291</v>
      </c>
      <c r="D6053" s="2" t="s">
        <v>4408</v>
      </c>
      <c r="E6053" s="4">
        <v>4500</v>
      </c>
    </row>
    <row r="6054" spans="1:5" ht="26.25" x14ac:dyDescent="0.25">
      <c r="A6054" s="2" t="s">
        <v>14</v>
      </c>
      <c r="B6054" s="2" t="str">
        <f>"767509325"</f>
        <v>767509325</v>
      </c>
      <c r="C6054" s="2" t="str">
        <f>"767509325"</f>
        <v>767509325</v>
      </c>
      <c r="D6054" s="2" t="s">
        <v>4409</v>
      </c>
      <c r="E6054" s="4">
        <v>4500</v>
      </c>
    </row>
    <row r="6055" spans="1:5" ht="26.25" x14ac:dyDescent="0.25">
      <c r="A6055" s="2" t="s">
        <v>14</v>
      </c>
      <c r="B6055" s="2" t="str">
        <f>"177509292"</f>
        <v>177509292</v>
      </c>
      <c r="C6055" s="2" t="str">
        <f>"177509292"</f>
        <v>177509292</v>
      </c>
      <c r="D6055" s="2" t="s">
        <v>4410</v>
      </c>
      <c r="E6055" s="4">
        <v>4500</v>
      </c>
    </row>
    <row r="6056" spans="1:5" ht="26.25" x14ac:dyDescent="0.25">
      <c r="A6056" s="2" t="s">
        <v>14</v>
      </c>
      <c r="B6056" s="2" t="str">
        <f>"34641480"</f>
        <v>34641480</v>
      </c>
      <c r="C6056" s="2" t="str">
        <f>"34641480"</f>
        <v>34641480</v>
      </c>
      <c r="D6056" s="2" t="s">
        <v>4411</v>
      </c>
      <c r="E6056" s="4">
        <v>5000</v>
      </c>
    </row>
    <row r="6057" spans="1:5" ht="26.25" x14ac:dyDescent="0.25">
      <c r="A6057" s="2" t="s">
        <v>14</v>
      </c>
      <c r="B6057" s="2" t="str">
        <f>"765805196"</f>
        <v>765805196</v>
      </c>
      <c r="C6057" s="2" t="str">
        <f>"765805196"</f>
        <v>765805196</v>
      </c>
      <c r="D6057" s="2" t="s">
        <v>4412</v>
      </c>
      <c r="E6057" s="4">
        <v>5500</v>
      </c>
    </row>
    <row r="6058" spans="1:5" ht="26.25" x14ac:dyDescent="0.25">
      <c r="A6058" s="2" t="s">
        <v>14</v>
      </c>
      <c r="B6058" s="2" t="str">
        <f>"765809221"</f>
        <v>765809221</v>
      </c>
      <c r="C6058" s="2" t="str">
        <f>"765809221"</f>
        <v>765809221</v>
      </c>
      <c r="D6058" s="2" t="s">
        <v>4413</v>
      </c>
      <c r="E6058" s="4">
        <v>5500</v>
      </c>
    </row>
    <row r="6059" spans="1:5" ht="26.25" x14ac:dyDescent="0.25">
      <c r="A6059" s="2" t="s">
        <v>14</v>
      </c>
      <c r="B6059" s="2" t="str">
        <f>"177510297"</f>
        <v>177510297</v>
      </c>
      <c r="C6059" s="2" t="str">
        <f>"177510297"</f>
        <v>177510297</v>
      </c>
      <c r="D6059" s="2" t="s">
        <v>4414</v>
      </c>
      <c r="E6059" s="4">
        <v>4500</v>
      </c>
    </row>
    <row r="6060" spans="1:5" ht="26.25" x14ac:dyDescent="0.25">
      <c r="A6060" s="2" t="s">
        <v>14</v>
      </c>
      <c r="B6060" s="2" t="str">
        <f>"767510297"</f>
        <v>767510297</v>
      </c>
      <c r="C6060" s="2" t="str">
        <f>"767510297"</f>
        <v>767510297</v>
      </c>
      <c r="D6060" s="2" t="s">
        <v>4414</v>
      </c>
      <c r="E6060" s="4">
        <v>4500</v>
      </c>
    </row>
    <row r="6061" spans="1:5" ht="26.25" x14ac:dyDescent="0.25">
      <c r="A6061" s="2" t="s">
        <v>14</v>
      </c>
      <c r="B6061" s="2" t="str">
        <f>"767510301"</f>
        <v>767510301</v>
      </c>
      <c r="C6061" s="2" t="str">
        <f>"767510301"</f>
        <v>767510301</v>
      </c>
      <c r="D6061" s="2" t="s">
        <v>4415</v>
      </c>
      <c r="E6061" s="4">
        <v>4500</v>
      </c>
    </row>
    <row r="6062" spans="1:5" ht="26.25" x14ac:dyDescent="0.25">
      <c r="A6062" s="2" t="s">
        <v>14</v>
      </c>
      <c r="B6062" s="2" t="str">
        <f>"767510304"</f>
        <v>767510304</v>
      </c>
      <c r="C6062" s="2" t="str">
        <f>"767510304"</f>
        <v>767510304</v>
      </c>
      <c r="D6062" s="2" t="s">
        <v>4416</v>
      </c>
      <c r="E6062" s="4">
        <v>4500</v>
      </c>
    </row>
    <row r="6063" spans="1:5" ht="26.25" x14ac:dyDescent="0.25">
      <c r="A6063" s="2" t="s">
        <v>14</v>
      </c>
      <c r="B6063" s="2" t="str">
        <f>"767510306"</f>
        <v>767510306</v>
      </c>
      <c r="C6063" s="2" t="str">
        <f>"767510306"</f>
        <v>767510306</v>
      </c>
      <c r="D6063" s="2" t="s">
        <v>4417</v>
      </c>
      <c r="E6063" s="4">
        <v>4500</v>
      </c>
    </row>
    <row r="6064" spans="1:5" ht="26.25" x14ac:dyDescent="0.25">
      <c r="A6064" s="2" t="s">
        <v>14</v>
      </c>
      <c r="B6064" s="2" t="str">
        <f>"177510306"</f>
        <v>177510306</v>
      </c>
      <c r="C6064" s="2" t="str">
        <f>"177510306"</f>
        <v>177510306</v>
      </c>
      <c r="D6064" s="2" t="s">
        <v>4417</v>
      </c>
      <c r="E6064" s="4">
        <v>4500</v>
      </c>
    </row>
    <row r="6065" spans="1:5" ht="26.25" x14ac:dyDescent="0.25">
      <c r="A6065" s="2" t="s">
        <v>10</v>
      </c>
      <c r="B6065" s="2" t="str">
        <f>"764710231"</f>
        <v>764710231</v>
      </c>
      <c r="C6065" s="2" t="str">
        <f>"764710231"</f>
        <v>764710231</v>
      </c>
      <c r="D6065" s="2" t="s">
        <v>4418</v>
      </c>
      <c r="E6065" s="4">
        <v>3500</v>
      </c>
    </row>
    <row r="6066" spans="1:5" ht="26.25" x14ac:dyDescent="0.25">
      <c r="A6066" s="2" t="s">
        <v>14</v>
      </c>
      <c r="B6066" s="2" t="str">
        <f>"767510268"</f>
        <v>767510268</v>
      </c>
      <c r="C6066" s="2" t="str">
        <f>"767510268"</f>
        <v>767510268</v>
      </c>
      <c r="D6066" s="2" t="s">
        <v>4419</v>
      </c>
      <c r="E6066" s="4">
        <v>4200</v>
      </c>
    </row>
    <row r="6067" spans="1:5" ht="26.25" x14ac:dyDescent="0.25">
      <c r="A6067" s="2" t="s">
        <v>14</v>
      </c>
      <c r="B6067" s="2" t="str">
        <f>"767510295"</f>
        <v>767510295</v>
      </c>
      <c r="C6067" s="2" t="str">
        <f>"767510295"</f>
        <v>767510295</v>
      </c>
      <c r="D6067" s="2" t="s">
        <v>4420</v>
      </c>
      <c r="E6067" s="4">
        <v>4200</v>
      </c>
    </row>
    <row r="6068" spans="1:5" ht="26.25" x14ac:dyDescent="0.25">
      <c r="A6068" s="2" t="s">
        <v>14</v>
      </c>
      <c r="B6068" s="2" t="str">
        <f>"767510296"</f>
        <v>767510296</v>
      </c>
      <c r="C6068" s="2" t="str">
        <f>"767510296"</f>
        <v>767510296</v>
      </c>
      <c r="D6068" s="2" t="s">
        <v>4421</v>
      </c>
      <c r="E6068" s="4">
        <v>4500</v>
      </c>
    </row>
    <row r="6069" spans="1:5" ht="26.25" x14ac:dyDescent="0.25">
      <c r="A6069" s="2" t="s">
        <v>14</v>
      </c>
      <c r="B6069" s="2" t="str">
        <f>"767510299"</f>
        <v>767510299</v>
      </c>
      <c r="C6069" s="2" t="str">
        <f>"767510299"</f>
        <v>767510299</v>
      </c>
      <c r="D6069" s="2" t="s">
        <v>4422</v>
      </c>
      <c r="E6069" s="4">
        <v>4500</v>
      </c>
    </row>
    <row r="6070" spans="1:5" ht="26.25" x14ac:dyDescent="0.25">
      <c r="A6070" s="2" t="s">
        <v>14</v>
      </c>
      <c r="B6070" s="2" t="str">
        <f>"177510299"</f>
        <v>177510299</v>
      </c>
      <c r="C6070" s="2" t="str">
        <f>"177510299"</f>
        <v>177510299</v>
      </c>
      <c r="D6070" s="2" t="s">
        <v>4422</v>
      </c>
      <c r="E6070" s="4">
        <v>4500</v>
      </c>
    </row>
    <row r="6071" spans="1:5" ht="26.25" x14ac:dyDescent="0.25">
      <c r="A6071" s="2" t="s">
        <v>14</v>
      </c>
      <c r="B6071" s="2" t="str">
        <f>"177510298"</f>
        <v>177510298</v>
      </c>
      <c r="C6071" s="2" t="str">
        <f>"177510298"</f>
        <v>177510298</v>
      </c>
      <c r="D6071" s="2" t="s">
        <v>4423</v>
      </c>
      <c r="E6071" s="4">
        <v>4500</v>
      </c>
    </row>
    <row r="6072" spans="1:5" ht="26.25" x14ac:dyDescent="0.25">
      <c r="A6072" s="2" t="s">
        <v>14</v>
      </c>
      <c r="B6072" s="2" t="str">
        <f>"767510305"</f>
        <v>767510305</v>
      </c>
      <c r="C6072" s="2" t="str">
        <f>"767510305"</f>
        <v>767510305</v>
      </c>
      <c r="D6072" s="2" t="s">
        <v>4424</v>
      </c>
      <c r="E6072" s="4">
        <v>4500</v>
      </c>
    </row>
    <row r="6073" spans="1:5" ht="26.25" x14ac:dyDescent="0.25">
      <c r="A6073" s="2" t="s">
        <v>14</v>
      </c>
      <c r="B6073" s="2" t="str">
        <f>"76751082"</f>
        <v>76751082</v>
      </c>
      <c r="C6073" s="2" t="str">
        <f>"76751082"</f>
        <v>76751082</v>
      </c>
      <c r="D6073" s="2" t="s">
        <v>4425</v>
      </c>
      <c r="E6073" s="4">
        <v>5500</v>
      </c>
    </row>
    <row r="6074" spans="1:5" ht="26.25" x14ac:dyDescent="0.25">
      <c r="A6074" s="2" t="s">
        <v>14</v>
      </c>
      <c r="B6074" s="2" t="str">
        <f>"767510282"</f>
        <v>767510282</v>
      </c>
      <c r="C6074" s="2" t="str">
        <f>"767510282"</f>
        <v>767510282</v>
      </c>
      <c r="D6074" s="2" t="s">
        <v>4425</v>
      </c>
      <c r="E6074" s="4">
        <v>5500</v>
      </c>
    </row>
    <row r="6075" spans="1:5" ht="26.25" x14ac:dyDescent="0.25">
      <c r="A6075" s="2" t="s">
        <v>14</v>
      </c>
      <c r="B6075" s="2" t="str">
        <f>"76751064"</f>
        <v>76751064</v>
      </c>
      <c r="C6075" s="2" t="str">
        <f>"76751064"</f>
        <v>76751064</v>
      </c>
      <c r="D6075" s="2" t="s">
        <v>4426</v>
      </c>
      <c r="E6075" s="4">
        <v>5500</v>
      </c>
    </row>
    <row r="6076" spans="1:5" ht="26.25" x14ac:dyDescent="0.25">
      <c r="A6076" s="2" t="s">
        <v>4065</v>
      </c>
      <c r="B6076" s="2" t="str">
        <f>"764609221"</f>
        <v>764609221</v>
      </c>
      <c r="C6076" s="2" t="str">
        <f>"764609221"</f>
        <v>764609221</v>
      </c>
      <c r="D6076" s="2" t="s">
        <v>4427</v>
      </c>
      <c r="E6076" s="4">
        <v>4800</v>
      </c>
    </row>
    <row r="6077" spans="1:5" ht="26.25" x14ac:dyDescent="0.25">
      <c r="A6077" s="2" t="s">
        <v>4065</v>
      </c>
      <c r="B6077" s="2" t="str">
        <f>"76461430"</f>
        <v>76461430</v>
      </c>
      <c r="C6077" s="2" t="str">
        <f>"76461430"</f>
        <v>76461430</v>
      </c>
      <c r="D6077" s="2" t="s">
        <v>4428</v>
      </c>
      <c r="E6077" s="4">
        <v>3900</v>
      </c>
    </row>
    <row r="6078" spans="1:5" ht="26.25" x14ac:dyDescent="0.25">
      <c r="A6078" s="2" t="s">
        <v>4065</v>
      </c>
      <c r="B6078" s="2" t="str">
        <f>"76461445"</f>
        <v>76461445</v>
      </c>
      <c r="C6078" s="2" t="str">
        <f>"76461445"</f>
        <v>76461445</v>
      </c>
      <c r="D6078" s="2" t="s">
        <v>4429</v>
      </c>
      <c r="E6078" s="4">
        <v>3900</v>
      </c>
    </row>
    <row r="6079" spans="1:5" ht="26.25" x14ac:dyDescent="0.25">
      <c r="A6079" s="2" t="s">
        <v>10</v>
      </c>
      <c r="B6079" s="2" t="str">
        <f>"764614127"</f>
        <v>764614127</v>
      </c>
      <c r="C6079" s="2" t="str">
        <f>"764614127"</f>
        <v>764614127</v>
      </c>
      <c r="D6079" s="2" t="s">
        <v>4430</v>
      </c>
      <c r="E6079" s="4">
        <v>4800</v>
      </c>
    </row>
    <row r="6080" spans="1:5" ht="26.25" x14ac:dyDescent="0.25">
      <c r="A6080" s="2" t="s">
        <v>14</v>
      </c>
      <c r="B6080" s="2" t="str">
        <f>"17753166"</f>
        <v>17753166</v>
      </c>
      <c r="C6080" s="2" t="str">
        <f>"17753166"</f>
        <v>17753166</v>
      </c>
      <c r="D6080" s="2" t="s">
        <v>4431</v>
      </c>
      <c r="E6080" s="4">
        <v>4500</v>
      </c>
    </row>
    <row r="6081" spans="1:5" ht="26.25" x14ac:dyDescent="0.25">
      <c r="A6081" s="2" t="s">
        <v>14</v>
      </c>
      <c r="B6081" s="2" t="str">
        <f>"767514293"</f>
        <v>767514293</v>
      </c>
      <c r="C6081" s="2" t="str">
        <f>"767514293"</f>
        <v>767514293</v>
      </c>
      <c r="D6081" s="2" t="s">
        <v>4432</v>
      </c>
      <c r="E6081" s="4">
        <v>4500</v>
      </c>
    </row>
    <row r="6082" spans="1:5" ht="26.25" x14ac:dyDescent="0.25">
      <c r="A6082" s="2" t="s">
        <v>14</v>
      </c>
      <c r="B6082" s="2" t="str">
        <f>"767514294"</f>
        <v>767514294</v>
      </c>
      <c r="C6082" s="2" t="str">
        <f>"767514294"</f>
        <v>767514294</v>
      </c>
      <c r="D6082" s="2" t="s">
        <v>4433</v>
      </c>
      <c r="E6082" s="4">
        <v>4500</v>
      </c>
    </row>
    <row r="6083" spans="1:5" ht="26.25" x14ac:dyDescent="0.25">
      <c r="A6083" s="2" t="s">
        <v>14</v>
      </c>
      <c r="B6083" s="2" t="str">
        <f>"767514283"</f>
        <v>767514283</v>
      </c>
      <c r="C6083" s="2" t="str">
        <f>"767514283"</f>
        <v>767514283</v>
      </c>
      <c r="D6083" s="2" t="s">
        <v>4434</v>
      </c>
      <c r="E6083" s="4">
        <v>4500</v>
      </c>
    </row>
    <row r="6084" spans="1:5" ht="26.25" x14ac:dyDescent="0.25">
      <c r="A6084" s="2" t="s">
        <v>14</v>
      </c>
      <c r="B6084" s="2" t="str">
        <f>"177514283"</f>
        <v>177514283</v>
      </c>
      <c r="C6084" s="2" t="str">
        <f>"177514283"</f>
        <v>177514283</v>
      </c>
      <c r="D6084" s="2" t="s">
        <v>4434</v>
      </c>
      <c r="E6084" s="4">
        <v>4500</v>
      </c>
    </row>
    <row r="6085" spans="1:5" ht="26.25" x14ac:dyDescent="0.25">
      <c r="A6085" s="2" t="s">
        <v>14</v>
      </c>
      <c r="B6085" s="2" t="str">
        <f>"767514108"</f>
        <v>767514108</v>
      </c>
      <c r="C6085" s="2" t="str">
        <f>"767514108"</f>
        <v>767514108</v>
      </c>
      <c r="D6085" s="2" t="s">
        <v>4435</v>
      </c>
      <c r="E6085" s="4">
        <v>4500</v>
      </c>
    </row>
    <row r="6086" spans="1:5" ht="26.25" x14ac:dyDescent="0.25">
      <c r="A6086" s="2" t="s">
        <v>14</v>
      </c>
      <c r="B6086" s="2" t="str">
        <f>"764614126"</f>
        <v>764614126</v>
      </c>
      <c r="C6086" s="2" t="str">
        <f>"764614126"</f>
        <v>764614126</v>
      </c>
      <c r="D6086" s="2" t="s">
        <v>4436</v>
      </c>
      <c r="E6086" s="4">
        <v>4800</v>
      </c>
    </row>
    <row r="6087" spans="1:5" ht="26.25" x14ac:dyDescent="0.25">
      <c r="A6087" s="2" t="s">
        <v>14</v>
      </c>
      <c r="B6087" s="2" t="str">
        <f>"767514270"</f>
        <v>767514270</v>
      </c>
      <c r="C6087" s="2" t="str">
        <f>"767514270"</f>
        <v>767514270</v>
      </c>
      <c r="D6087" s="2" t="s">
        <v>4437</v>
      </c>
      <c r="E6087" s="4">
        <v>4200</v>
      </c>
    </row>
    <row r="6088" spans="1:5" ht="26.25" x14ac:dyDescent="0.25">
      <c r="A6088" s="2" t="s">
        <v>14</v>
      </c>
      <c r="B6088" s="2" t="str">
        <f>"767714270"</f>
        <v>767714270</v>
      </c>
      <c r="C6088" s="2" t="str">
        <f>"767714270"</f>
        <v>767714270</v>
      </c>
      <c r="D6088" s="2" t="s">
        <v>4437</v>
      </c>
      <c r="E6088" s="4">
        <v>4500</v>
      </c>
    </row>
    <row r="6089" spans="1:5" ht="26.25" x14ac:dyDescent="0.25">
      <c r="A6089" s="2" t="s">
        <v>14</v>
      </c>
      <c r="B6089" s="2" t="str">
        <f>"76581447"</f>
        <v>76581447</v>
      </c>
      <c r="C6089" s="2" t="str">
        <f>"76581447"</f>
        <v>76581447</v>
      </c>
      <c r="D6089" s="2" t="s">
        <v>4438</v>
      </c>
      <c r="E6089" s="4">
        <v>3600</v>
      </c>
    </row>
    <row r="6090" spans="1:5" ht="26.25" x14ac:dyDescent="0.25">
      <c r="A6090" s="2" t="s">
        <v>14</v>
      </c>
      <c r="B6090" s="2" t="str">
        <f>"177514266"</f>
        <v>177514266</v>
      </c>
      <c r="C6090" s="2" t="str">
        <f>"177514266"</f>
        <v>177514266</v>
      </c>
      <c r="D6090" s="2" t="s">
        <v>4439</v>
      </c>
      <c r="E6090" s="4">
        <v>4500</v>
      </c>
    </row>
    <row r="6091" spans="1:5" ht="26.25" x14ac:dyDescent="0.25">
      <c r="A6091" s="2" t="s">
        <v>14</v>
      </c>
      <c r="B6091" s="2" t="str">
        <f>"177514129"</f>
        <v>177514129</v>
      </c>
      <c r="C6091" s="2" t="str">
        <f>"177514129"</f>
        <v>177514129</v>
      </c>
      <c r="D6091" s="2" t="s">
        <v>4440</v>
      </c>
      <c r="E6091" s="4">
        <v>4500</v>
      </c>
    </row>
    <row r="6092" spans="1:5" ht="26.25" x14ac:dyDescent="0.25">
      <c r="A6092" s="2" t="s">
        <v>14</v>
      </c>
      <c r="B6092" s="2" t="str">
        <f>"767514191"</f>
        <v>767514191</v>
      </c>
      <c r="C6092" s="2" t="str">
        <f>"767514191"</f>
        <v>767514191</v>
      </c>
      <c r="D6092" s="2" t="s">
        <v>4441</v>
      </c>
      <c r="E6092" s="4">
        <v>4500</v>
      </c>
    </row>
    <row r="6093" spans="1:5" ht="26.25" x14ac:dyDescent="0.25">
      <c r="A6093" s="2" t="s">
        <v>14</v>
      </c>
      <c r="B6093" s="2" t="str">
        <f>"767514200"</f>
        <v>767514200</v>
      </c>
      <c r="C6093" s="2" t="str">
        <f>"767514200"</f>
        <v>767514200</v>
      </c>
      <c r="D6093" s="2" t="s">
        <v>4442</v>
      </c>
      <c r="E6093" s="4">
        <v>4500</v>
      </c>
    </row>
    <row r="6094" spans="1:5" ht="26.25" x14ac:dyDescent="0.25">
      <c r="A6094" s="2" t="s">
        <v>14</v>
      </c>
      <c r="B6094" s="2" t="str">
        <f>"767514126"</f>
        <v>767514126</v>
      </c>
      <c r="C6094" s="2" t="str">
        <f>"767514126"</f>
        <v>767514126</v>
      </c>
      <c r="D6094" s="2" t="s">
        <v>4443</v>
      </c>
      <c r="E6094" s="4">
        <v>4500</v>
      </c>
    </row>
    <row r="6095" spans="1:5" ht="26.25" x14ac:dyDescent="0.25">
      <c r="A6095" s="2" t="s">
        <v>14</v>
      </c>
      <c r="B6095" s="2" t="str">
        <f>"765814270"</f>
        <v>765814270</v>
      </c>
      <c r="C6095" s="2" t="str">
        <f>"765814270"</f>
        <v>765814270</v>
      </c>
      <c r="D6095" s="2" t="s">
        <v>4444</v>
      </c>
      <c r="E6095" s="4">
        <v>3600</v>
      </c>
    </row>
    <row r="6096" spans="1:5" ht="26.25" x14ac:dyDescent="0.25">
      <c r="A6096" s="2" t="s">
        <v>14</v>
      </c>
      <c r="B6096" s="2" t="str">
        <f>"765814266"</f>
        <v>765814266</v>
      </c>
      <c r="C6096" s="2" t="str">
        <f>"765814266"</f>
        <v>765814266</v>
      </c>
      <c r="D6096" s="2" t="s">
        <v>4445</v>
      </c>
      <c r="E6096" s="4">
        <v>3600</v>
      </c>
    </row>
    <row r="6097" spans="1:5" ht="26.25" x14ac:dyDescent="0.25">
      <c r="A6097" s="2" t="s">
        <v>14</v>
      </c>
      <c r="B6097" s="2" t="str">
        <f>"76581416"</f>
        <v>76581416</v>
      </c>
      <c r="C6097" s="2" t="str">
        <f>"76581416"</f>
        <v>76581416</v>
      </c>
      <c r="D6097" s="2" t="s">
        <v>4446</v>
      </c>
      <c r="E6097" s="4">
        <v>3600</v>
      </c>
    </row>
    <row r="6098" spans="1:5" ht="26.25" x14ac:dyDescent="0.25">
      <c r="A6098" s="2" t="s">
        <v>14</v>
      </c>
      <c r="B6098" s="2" t="str">
        <f>"76581486"</f>
        <v>76581486</v>
      </c>
      <c r="C6098" s="2" t="str">
        <f>"76581486"</f>
        <v>76581486</v>
      </c>
      <c r="D6098" s="2" t="s">
        <v>4446</v>
      </c>
      <c r="E6098" s="4">
        <v>3600</v>
      </c>
    </row>
    <row r="6099" spans="1:5" ht="26.25" x14ac:dyDescent="0.25">
      <c r="A6099" s="2" t="s">
        <v>14</v>
      </c>
      <c r="B6099" s="2" t="str">
        <f>"767510234"</f>
        <v>767510234</v>
      </c>
      <c r="C6099" s="2" t="str">
        <f>"767510234"</f>
        <v>767510234</v>
      </c>
      <c r="D6099" s="2" t="s">
        <v>4447</v>
      </c>
      <c r="E6099" s="4">
        <v>5500</v>
      </c>
    </row>
    <row r="6100" spans="1:5" ht="26.25" x14ac:dyDescent="0.25">
      <c r="A6100" s="2" t="s">
        <v>14</v>
      </c>
      <c r="B6100" s="2" t="str">
        <f>"76772445"</f>
        <v>76772445</v>
      </c>
      <c r="C6100" s="2" t="str">
        <f>"76772445"</f>
        <v>76772445</v>
      </c>
      <c r="D6100" s="2" t="s">
        <v>4448</v>
      </c>
      <c r="E6100" s="4">
        <v>4500</v>
      </c>
    </row>
    <row r="6101" spans="1:5" ht="26.25" x14ac:dyDescent="0.25">
      <c r="A6101" s="2" t="s">
        <v>14</v>
      </c>
      <c r="B6101" s="2" t="str">
        <f>"767515310"</f>
        <v>767515310</v>
      </c>
      <c r="C6101" s="2" t="str">
        <f>"767515310"</f>
        <v>767515310</v>
      </c>
      <c r="D6101" s="2" t="s">
        <v>4449</v>
      </c>
      <c r="E6101" s="4">
        <v>4500</v>
      </c>
    </row>
    <row r="6102" spans="1:5" ht="26.25" x14ac:dyDescent="0.25">
      <c r="A6102" s="2" t="s">
        <v>14</v>
      </c>
      <c r="B6102" s="2" t="str">
        <f>"767515287"</f>
        <v>767515287</v>
      </c>
      <c r="C6102" s="2" t="str">
        <f>"767515287"</f>
        <v>767515287</v>
      </c>
      <c r="D6102" s="2" t="s">
        <v>4450</v>
      </c>
      <c r="E6102" s="4">
        <v>5500</v>
      </c>
    </row>
    <row r="6103" spans="1:5" ht="26.25" x14ac:dyDescent="0.25">
      <c r="A6103" s="2" t="s">
        <v>4065</v>
      </c>
      <c r="B6103" s="2" t="str">
        <f>"767514268"</f>
        <v>767514268</v>
      </c>
      <c r="C6103" s="2" t="str">
        <f>"767514268"</f>
        <v>767514268</v>
      </c>
      <c r="D6103" s="2" t="s">
        <v>4451</v>
      </c>
      <c r="E6103" s="4">
        <v>5500</v>
      </c>
    </row>
    <row r="6104" spans="1:5" ht="26.25" x14ac:dyDescent="0.25">
      <c r="A6104" s="2" t="s">
        <v>14</v>
      </c>
      <c r="B6104" s="2" t="str">
        <f>"76771062"</f>
        <v>76771062</v>
      </c>
      <c r="C6104" s="2" t="str">
        <f>"76771062"</f>
        <v>76771062</v>
      </c>
      <c r="D6104" s="2" t="s">
        <v>4452</v>
      </c>
      <c r="E6104" s="4">
        <v>4500</v>
      </c>
    </row>
    <row r="6105" spans="1:5" ht="26.25" x14ac:dyDescent="0.25">
      <c r="A6105" s="2" t="s">
        <v>14</v>
      </c>
      <c r="B6105" s="2" t="str">
        <f>"76751430"</f>
        <v>76751430</v>
      </c>
      <c r="C6105" s="2" t="str">
        <f>"76751430"</f>
        <v>76751430</v>
      </c>
      <c r="D6105" s="2" t="s">
        <v>4453</v>
      </c>
      <c r="E6105" s="4">
        <v>5500</v>
      </c>
    </row>
    <row r="6106" spans="1:5" ht="26.25" x14ac:dyDescent="0.25">
      <c r="A6106" s="2" t="s">
        <v>10</v>
      </c>
      <c r="B6106" s="2" t="str">
        <f>"175805238"</f>
        <v>175805238</v>
      </c>
      <c r="C6106" s="2" t="str">
        <f>"175805238"</f>
        <v>175805238</v>
      </c>
      <c r="D6106" s="2" t="s">
        <v>4454</v>
      </c>
      <c r="E6106" s="4">
        <v>3500</v>
      </c>
    </row>
    <row r="6107" spans="1:5" ht="26.25" x14ac:dyDescent="0.25">
      <c r="A6107" s="2" t="s">
        <v>10</v>
      </c>
      <c r="B6107" s="2" t="str">
        <f>"175807253"</f>
        <v>175807253</v>
      </c>
      <c r="C6107" s="2" t="str">
        <f>"175807253"</f>
        <v>175807253</v>
      </c>
      <c r="D6107" s="2" t="s">
        <v>4455</v>
      </c>
      <c r="E6107" s="4">
        <v>3500</v>
      </c>
    </row>
    <row r="6108" spans="1:5" ht="26.25" x14ac:dyDescent="0.25">
      <c r="A6108" s="2" t="s">
        <v>14</v>
      </c>
      <c r="B6108" s="2" t="str">
        <f>"764805195"</f>
        <v>764805195</v>
      </c>
      <c r="C6108" s="2" t="str">
        <f>"764805195"</f>
        <v>764805195</v>
      </c>
      <c r="D6108" s="2" t="s">
        <v>4456</v>
      </c>
      <c r="E6108" s="4">
        <v>4500</v>
      </c>
    </row>
    <row r="6109" spans="1:5" ht="26.25" x14ac:dyDescent="0.25">
      <c r="A6109" s="2" t="s">
        <v>10</v>
      </c>
      <c r="B6109" s="2" t="str">
        <f>"76581430"</f>
        <v>76581430</v>
      </c>
      <c r="C6109" s="2" t="str">
        <f>"76581430"</f>
        <v>76581430</v>
      </c>
      <c r="D6109" s="2" t="s">
        <v>4457</v>
      </c>
      <c r="E6109" s="4">
        <v>4500</v>
      </c>
    </row>
    <row r="6110" spans="1:5" ht="26.25" x14ac:dyDescent="0.25">
      <c r="A6110" s="2" t="s">
        <v>14</v>
      </c>
      <c r="B6110" s="2" t="str">
        <f>"767714108"</f>
        <v>767714108</v>
      </c>
      <c r="C6110" s="2" t="str">
        <f>"767714108"</f>
        <v>767714108</v>
      </c>
      <c r="D6110" s="2" t="s">
        <v>4458</v>
      </c>
      <c r="E6110" s="4">
        <v>4500</v>
      </c>
    </row>
    <row r="6111" spans="1:5" ht="26.25" x14ac:dyDescent="0.25">
      <c r="A6111" s="2" t="s">
        <v>10</v>
      </c>
      <c r="B6111" s="2" t="str">
        <f>"11003161"</f>
        <v>11003161</v>
      </c>
      <c r="C6111" s="2" t="str">
        <f>"11003161"</f>
        <v>11003161</v>
      </c>
      <c r="D6111" s="2" t="s">
        <v>4459</v>
      </c>
      <c r="E6111" s="4">
        <v>3500</v>
      </c>
    </row>
    <row r="6112" spans="1:5" ht="26.25" x14ac:dyDescent="0.25">
      <c r="A6112" s="2" t="s">
        <v>14</v>
      </c>
      <c r="B6112" s="2" t="str">
        <f>"275823232"</f>
        <v>275823232</v>
      </c>
      <c r="C6112" s="2" t="str">
        <f>"275823232"</f>
        <v>275823232</v>
      </c>
      <c r="D6112" s="2" t="s">
        <v>4460</v>
      </c>
      <c r="E6112" s="4">
        <v>3600</v>
      </c>
    </row>
    <row r="6113" spans="1:5" ht="26.25" x14ac:dyDescent="0.25">
      <c r="A6113" s="2" t="s">
        <v>14</v>
      </c>
      <c r="B6113" s="2" t="str">
        <f>"275807253"</f>
        <v>275807253</v>
      </c>
      <c r="C6113" s="2" t="str">
        <f>"275807253"</f>
        <v>275807253</v>
      </c>
      <c r="D6113" s="2" t="s">
        <v>4461</v>
      </c>
      <c r="E6113" s="4">
        <v>3600</v>
      </c>
    </row>
    <row r="6114" spans="1:5" ht="26.25" x14ac:dyDescent="0.25">
      <c r="A6114" s="2" t="s">
        <v>14</v>
      </c>
      <c r="B6114" s="2" t="str">
        <f>"275814136"</f>
        <v>275814136</v>
      </c>
      <c r="C6114" s="2" t="str">
        <f>"275814136"</f>
        <v>275814136</v>
      </c>
      <c r="D6114" s="2" t="s">
        <v>4462</v>
      </c>
      <c r="E6114" s="4">
        <v>3600</v>
      </c>
    </row>
    <row r="6115" spans="1:5" ht="26.25" x14ac:dyDescent="0.25">
      <c r="A6115" s="2" t="s">
        <v>14</v>
      </c>
      <c r="B6115" s="2" t="str">
        <f>"275814270"</f>
        <v>275814270</v>
      </c>
      <c r="C6115" s="2" t="str">
        <f>"275814270"</f>
        <v>275814270</v>
      </c>
      <c r="D6115" s="2" t="s">
        <v>4463</v>
      </c>
      <c r="E6115" s="4">
        <v>3600</v>
      </c>
    </row>
    <row r="6116" spans="1:5" ht="26.25" x14ac:dyDescent="0.25">
      <c r="A6116" s="2" t="s">
        <v>14</v>
      </c>
      <c r="B6116" s="2" t="str">
        <f>"275809271"</f>
        <v>275809271</v>
      </c>
      <c r="C6116" s="2" t="str">
        <f>"275809271"</f>
        <v>275809271</v>
      </c>
      <c r="D6116" s="2" t="s">
        <v>4464</v>
      </c>
      <c r="E6116" s="4">
        <v>3600</v>
      </c>
    </row>
    <row r="6117" spans="1:5" ht="26.25" x14ac:dyDescent="0.25">
      <c r="A6117" s="2" t="s">
        <v>14</v>
      </c>
      <c r="B6117" s="2" t="str">
        <f>"275809285"</f>
        <v>275809285</v>
      </c>
      <c r="C6117" s="2" t="str">
        <f>"275809285"</f>
        <v>275809285</v>
      </c>
      <c r="D6117" s="2" t="s">
        <v>4465</v>
      </c>
      <c r="E6117" s="4">
        <v>3600</v>
      </c>
    </row>
    <row r="6118" spans="1:5" ht="26.25" x14ac:dyDescent="0.25">
      <c r="A6118" s="2" t="s">
        <v>14</v>
      </c>
      <c r="B6118" s="2" t="str">
        <f>"17581064"</f>
        <v>17581064</v>
      </c>
      <c r="C6118" s="2" t="str">
        <f>"17581064"</f>
        <v>17581064</v>
      </c>
      <c r="D6118" s="2" t="s">
        <v>4466</v>
      </c>
      <c r="E6118" s="4">
        <v>3600</v>
      </c>
    </row>
    <row r="6119" spans="1:5" ht="26.25" x14ac:dyDescent="0.25">
      <c r="A6119" s="2" t="s">
        <v>14</v>
      </c>
      <c r="B6119" s="2" t="str">
        <f>"27581064"</f>
        <v>27581064</v>
      </c>
      <c r="C6119" s="2" t="str">
        <f>"27581064"</f>
        <v>27581064</v>
      </c>
      <c r="D6119" s="2" t="s">
        <v>4466</v>
      </c>
      <c r="E6119" s="4">
        <v>3600</v>
      </c>
    </row>
    <row r="6120" spans="1:5" ht="26.25" x14ac:dyDescent="0.25">
      <c r="A6120" s="2" t="s">
        <v>14</v>
      </c>
      <c r="B6120" s="2" t="str">
        <f>"275814125"</f>
        <v>275814125</v>
      </c>
      <c r="C6120" s="2" t="str">
        <f>"275814125"</f>
        <v>275814125</v>
      </c>
      <c r="D6120" s="2" t="s">
        <v>4467</v>
      </c>
      <c r="E6120" s="4">
        <v>3600</v>
      </c>
    </row>
    <row r="6121" spans="1:5" ht="26.25" x14ac:dyDescent="0.25">
      <c r="A6121" s="2" t="s">
        <v>14</v>
      </c>
      <c r="B6121" s="2" t="str">
        <f>"275814266"</f>
        <v>275814266</v>
      </c>
      <c r="C6121" s="2" t="str">
        <f>"275814266"</f>
        <v>275814266</v>
      </c>
      <c r="D6121" s="2" t="s">
        <v>4468</v>
      </c>
      <c r="E6121" s="4">
        <v>3600</v>
      </c>
    </row>
    <row r="6122" spans="1:5" ht="26.25" x14ac:dyDescent="0.25">
      <c r="A6122" s="2" t="s">
        <v>14</v>
      </c>
      <c r="B6122" s="2" t="str">
        <f>"275814127"</f>
        <v>275814127</v>
      </c>
      <c r="C6122" s="2" t="str">
        <f>"275814127"</f>
        <v>275814127</v>
      </c>
      <c r="D6122" s="2" t="s">
        <v>4469</v>
      </c>
      <c r="E6122" s="4">
        <v>3600</v>
      </c>
    </row>
    <row r="6123" spans="1:5" ht="26.25" x14ac:dyDescent="0.25">
      <c r="A6123" s="2" t="s">
        <v>14</v>
      </c>
      <c r="B6123" s="2" t="str">
        <f>"27581487"</f>
        <v>27581487</v>
      </c>
      <c r="C6123" s="2" t="str">
        <f>"27581487"</f>
        <v>27581487</v>
      </c>
      <c r="D6123" s="2" t="s">
        <v>4470</v>
      </c>
      <c r="E6123" s="4">
        <v>3600</v>
      </c>
    </row>
    <row r="6124" spans="1:5" ht="26.25" x14ac:dyDescent="0.25">
      <c r="A6124" s="2" t="s">
        <v>14</v>
      </c>
      <c r="B6124" s="2" t="str">
        <f>"27581485"</f>
        <v>27581485</v>
      </c>
      <c r="C6124" s="2" t="str">
        <f>"27581485"</f>
        <v>27581485</v>
      </c>
      <c r="D6124" s="2" t="s">
        <v>4471</v>
      </c>
      <c r="E6124" s="4">
        <v>3600</v>
      </c>
    </row>
    <row r="6125" spans="1:5" ht="26.25" x14ac:dyDescent="0.25">
      <c r="A6125" s="2" t="s">
        <v>14</v>
      </c>
      <c r="B6125" s="2" t="str">
        <f>"27581496"</f>
        <v>27581496</v>
      </c>
      <c r="C6125" s="2" t="str">
        <f>"27581496"</f>
        <v>27581496</v>
      </c>
      <c r="D6125" s="2" t="s">
        <v>4472</v>
      </c>
      <c r="E6125" s="4">
        <v>3600</v>
      </c>
    </row>
    <row r="6126" spans="1:5" ht="26.25" x14ac:dyDescent="0.25">
      <c r="A6126" s="2" t="s">
        <v>14</v>
      </c>
      <c r="B6126" s="2" t="str">
        <f>"17770548"</f>
        <v>17770548</v>
      </c>
      <c r="C6126" s="2" t="str">
        <f>"17770548"</f>
        <v>17770548</v>
      </c>
      <c r="D6126" s="2" t="s">
        <v>4473</v>
      </c>
      <c r="E6126" s="4">
        <v>4500</v>
      </c>
    </row>
    <row r="6127" spans="1:5" ht="26.25" x14ac:dyDescent="0.25">
      <c r="A6127" s="2" t="s">
        <v>14</v>
      </c>
      <c r="B6127" s="2" t="str">
        <f>"347514266"</f>
        <v>347514266</v>
      </c>
      <c r="C6127" s="2" t="str">
        <f>"347514266"</f>
        <v>347514266</v>
      </c>
      <c r="D6127" s="2" t="s">
        <v>4474</v>
      </c>
      <c r="E6127" s="4">
        <v>4500</v>
      </c>
    </row>
    <row r="6128" spans="1:5" ht="26.25" x14ac:dyDescent="0.25">
      <c r="A6128" s="2" t="s">
        <v>14</v>
      </c>
      <c r="B6128" s="2" t="str">
        <f>"177532214"</f>
        <v>177532214</v>
      </c>
      <c r="C6128" s="2" t="str">
        <f>"177532214"</f>
        <v>177532214</v>
      </c>
      <c r="D6128" s="2" t="s">
        <v>4475</v>
      </c>
      <c r="E6128" s="4">
        <v>4500</v>
      </c>
    </row>
    <row r="6129" spans="1:5" ht="26.25" x14ac:dyDescent="0.25">
      <c r="A6129" s="2" t="s">
        <v>14</v>
      </c>
      <c r="B6129" s="2" t="str">
        <f>"27580715"</f>
        <v>27580715</v>
      </c>
      <c r="C6129" s="2" t="str">
        <f>"27580715"</f>
        <v>27580715</v>
      </c>
      <c r="D6129" s="2" t="s">
        <v>4476</v>
      </c>
      <c r="E6129" s="4">
        <v>3600</v>
      </c>
    </row>
    <row r="6130" spans="1:5" ht="26.25" x14ac:dyDescent="0.25">
      <c r="A6130" s="2" t="s">
        <v>14</v>
      </c>
      <c r="B6130" s="2" t="str">
        <f>"275810121"</f>
        <v>275810121</v>
      </c>
      <c r="C6130" s="2" t="str">
        <f>"275810121"</f>
        <v>275810121</v>
      </c>
      <c r="D6130" s="2" t="s">
        <v>4477</v>
      </c>
      <c r="E6130" s="4">
        <v>3600</v>
      </c>
    </row>
    <row r="6131" spans="1:5" ht="26.25" x14ac:dyDescent="0.25">
      <c r="A6131" s="2" t="s">
        <v>14</v>
      </c>
      <c r="B6131" s="2" t="str">
        <f>"27580716"</f>
        <v>27580716</v>
      </c>
      <c r="C6131" s="2" t="str">
        <f>"27580716"</f>
        <v>27580716</v>
      </c>
      <c r="D6131" s="2" t="s">
        <v>4478</v>
      </c>
      <c r="E6131" s="4">
        <v>3600</v>
      </c>
    </row>
    <row r="6132" spans="1:5" ht="26.25" x14ac:dyDescent="0.25">
      <c r="A6132" s="2" t="s">
        <v>14</v>
      </c>
      <c r="B6132" s="2" t="str">
        <f>"27580720"</f>
        <v>27580720</v>
      </c>
      <c r="C6132" s="2" t="str">
        <f>"27580720"</f>
        <v>27580720</v>
      </c>
      <c r="D6132" s="2" t="s">
        <v>4479</v>
      </c>
      <c r="E6132" s="4">
        <v>3600</v>
      </c>
    </row>
    <row r="6133" spans="1:5" ht="26.25" x14ac:dyDescent="0.25">
      <c r="A6133" s="2" t="s">
        <v>14</v>
      </c>
      <c r="B6133" s="2" t="str">
        <f>"27583214"</f>
        <v>27583214</v>
      </c>
      <c r="C6133" s="2" t="str">
        <f>"27583214"</f>
        <v>27583214</v>
      </c>
      <c r="D6133" s="2" t="s">
        <v>4480</v>
      </c>
      <c r="E6133" s="4">
        <v>3600</v>
      </c>
    </row>
    <row r="6134" spans="1:5" ht="26.25" x14ac:dyDescent="0.25">
      <c r="A6134" s="2" t="s">
        <v>14</v>
      </c>
      <c r="B6134" s="2" t="str">
        <f>"275832214"</f>
        <v>275832214</v>
      </c>
      <c r="C6134" s="2" t="str">
        <f>"275832214"</f>
        <v>275832214</v>
      </c>
      <c r="D6134" s="2" t="s">
        <v>4480</v>
      </c>
      <c r="E6134" s="4">
        <v>3600</v>
      </c>
    </row>
    <row r="6135" spans="1:5" ht="26.25" x14ac:dyDescent="0.25">
      <c r="A6135" s="2" t="s">
        <v>14</v>
      </c>
      <c r="B6135" s="2" t="str">
        <f>"275809213"</f>
        <v>275809213</v>
      </c>
      <c r="C6135" s="2" t="str">
        <f>"275809213"</f>
        <v>275809213</v>
      </c>
      <c r="D6135" s="2" t="s">
        <v>4481</v>
      </c>
      <c r="E6135" s="4">
        <v>3600</v>
      </c>
    </row>
    <row r="6136" spans="1:5" ht="26.25" x14ac:dyDescent="0.25">
      <c r="A6136" s="2" t="s">
        <v>14</v>
      </c>
      <c r="B6136" s="2" t="str">
        <f>"27581059"</f>
        <v>27581059</v>
      </c>
      <c r="C6136" s="2" t="str">
        <f>"27581059"</f>
        <v>27581059</v>
      </c>
      <c r="D6136" s="2" t="s">
        <v>4482</v>
      </c>
      <c r="E6136" s="4">
        <v>3600</v>
      </c>
    </row>
    <row r="6137" spans="1:5" ht="26.25" x14ac:dyDescent="0.25">
      <c r="A6137" s="2" t="s">
        <v>14</v>
      </c>
      <c r="B6137" s="2" t="str">
        <f>"275810234"</f>
        <v>275810234</v>
      </c>
      <c r="C6137" s="2" t="str">
        <f>"275810234"</f>
        <v>275810234</v>
      </c>
      <c r="D6137" s="2" t="s">
        <v>4483</v>
      </c>
      <c r="E6137" s="4">
        <v>3600</v>
      </c>
    </row>
    <row r="6138" spans="1:5" ht="26.25" x14ac:dyDescent="0.25">
      <c r="A6138" s="2" t="s">
        <v>14</v>
      </c>
      <c r="B6138" s="2" t="str">
        <f>"275810231"</f>
        <v>275810231</v>
      </c>
      <c r="C6138" s="2" t="str">
        <f>"275810231"</f>
        <v>275810231</v>
      </c>
      <c r="D6138" s="2" t="s">
        <v>4484</v>
      </c>
      <c r="E6138" s="4">
        <v>3600</v>
      </c>
    </row>
    <row r="6139" spans="1:5" ht="26.25" x14ac:dyDescent="0.25">
      <c r="A6139" s="2" t="s">
        <v>14</v>
      </c>
      <c r="B6139" s="2" t="str">
        <f>"275809221"</f>
        <v>275809221</v>
      </c>
      <c r="C6139" s="2" t="str">
        <f>"275809221"</f>
        <v>275809221</v>
      </c>
      <c r="D6139" s="2" t="s">
        <v>4485</v>
      </c>
      <c r="E6139" s="4">
        <v>3600</v>
      </c>
    </row>
    <row r="6140" spans="1:5" ht="26.25" x14ac:dyDescent="0.25">
      <c r="A6140" s="2" t="s">
        <v>1981</v>
      </c>
      <c r="B6140" s="2" t="str">
        <f>"17782120"</f>
        <v>17782120</v>
      </c>
      <c r="C6140" s="2" t="str">
        <f>"17782120"</f>
        <v>17782120</v>
      </c>
      <c r="D6140" s="2" t="s">
        <v>4486</v>
      </c>
      <c r="E6140" s="4">
        <v>4000</v>
      </c>
    </row>
    <row r="6141" spans="1:5" ht="26.25" x14ac:dyDescent="0.25">
      <c r="A6141" s="2" t="s">
        <v>1981</v>
      </c>
      <c r="B6141" s="2" t="str">
        <f>"767822142"</f>
        <v>767822142</v>
      </c>
      <c r="C6141" s="2" t="str">
        <f>"767822142"</f>
        <v>767822142</v>
      </c>
      <c r="D6141" s="2" t="s">
        <v>4487</v>
      </c>
      <c r="E6141" s="4">
        <v>5990</v>
      </c>
    </row>
    <row r="6142" spans="1:5" ht="26.25" x14ac:dyDescent="0.25">
      <c r="A6142" s="2" t="s">
        <v>14</v>
      </c>
      <c r="B6142" s="2" t="str">
        <f>"76580568"</f>
        <v>76580568</v>
      </c>
      <c r="C6142" s="2" t="str">
        <f>"76580568"</f>
        <v>76580568</v>
      </c>
      <c r="D6142" s="2" t="s">
        <v>4488</v>
      </c>
      <c r="E6142" s="4">
        <v>4500</v>
      </c>
    </row>
    <row r="6143" spans="1:5" ht="26.25" x14ac:dyDescent="0.25">
      <c r="A6143" s="2" t="s">
        <v>14</v>
      </c>
      <c r="B6143" s="2" t="str">
        <f>"76580934"</f>
        <v>76580934</v>
      </c>
      <c r="C6143" s="2" t="str">
        <f>"76580934"</f>
        <v>76580934</v>
      </c>
      <c r="D6143" s="2" t="s">
        <v>4489</v>
      </c>
      <c r="E6143" s="4">
        <v>4500</v>
      </c>
    </row>
    <row r="6144" spans="1:5" ht="26.25" x14ac:dyDescent="0.25">
      <c r="A6144" s="2" t="s">
        <v>14</v>
      </c>
      <c r="B6144" s="2" t="str">
        <f>"76581082"</f>
        <v>76581082</v>
      </c>
      <c r="C6144" s="2" t="str">
        <f>"76581082"</f>
        <v>76581082</v>
      </c>
      <c r="D6144" s="2" t="s">
        <v>4490</v>
      </c>
      <c r="E6144" s="4">
        <v>4500</v>
      </c>
    </row>
    <row r="6145" spans="1:5" ht="26.25" x14ac:dyDescent="0.25">
      <c r="A6145" s="2" t="s">
        <v>14</v>
      </c>
      <c r="B6145" s="2" t="str">
        <f>"765810121"</f>
        <v>765810121</v>
      </c>
      <c r="C6145" s="2" t="str">
        <f>"765810121"</f>
        <v>765810121</v>
      </c>
      <c r="D6145" s="2" t="s">
        <v>4491</v>
      </c>
      <c r="E6145" s="4">
        <v>4500</v>
      </c>
    </row>
    <row r="6146" spans="1:5" ht="26.25" x14ac:dyDescent="0.25">
      <c r="A6146" s="2" t="s">
        <v>14</v>
      </c>
      <c r="B6146" s="2" t="str">
        <f>"765815111"</f>
        <v>765815111</v>
      </c>
      <c r="C6146" s="2" t="str">
        <f>"765815111"</f>
        <v>765815111</v>
      </c>
      <c r="D6146" s="2" t="s">
        <v>4492</v>
      </c>
      <c r="E6146" s="4">
        <v>4500</v>
      </c>
    </row>
    <row r="6147" spans="1:5" ht="26.25" x14ac:dyDescent="0.25">
      <c r="A6147" s="2" t="s">
        <v>14</v>
      </c>
      <c r="B6147" s="2" t="str">
        <f>"76751023"</f>
        <v>76751023</v>
      </c>
      <c r="C6147" s="2" t="str">
        <f>"76751023"</f>
        <v>76751023</v>
      </c>
      <c r="D6147" s="2" t="s">
        <v>4493</v>
      </c>
      <c r="E6147" s="4">
        <v>5500</v>
      </c>
    </row>
    <row r="6148" spans="1:5" ht="26.25" x14ac:dyDescent="0.25">
      <c r="A6148" s="2" t="s">
        <v>14</v>
      </c>
      <c r="B6148" s="2" t="str">
        <f>"76690714"</f>
        <v>76690714</v>
      </c>
      <c r="C6148" s="2" t="str">
        <f>"76690714"</f>
        <v>76690714</v>
      </c>
      <c r="D6148" s="2" t="s">
        <v>4494</v>
      </c>
      <c r="E6148" s="4">
        <v>3500</v>
      </c>
    </row>
    <row r="6149" spans="1:5" ht="26.25" x14ac:dyDescent="0.25">
      <c r="A6149" s="2" t="s">
        <v>1590</v>
      </c>
      <c r="B6149" s="2" t="str">
        <f>"76690715"</f>
        <v>76690715</v>
      </c>
      <c r="C6149" s="2" t="str">
        <f>"76690715"</f>
        <v>76690715</v>
      </c>
      <c r="D6149" s="2" t="s">
        <v>4495</v>
      </c>
      <c r="E6149" s="4">
        <v>3500</v>
      </c>
    </row>
    <row r="6150" spans="1:5" ht="26.25" x14ac:dyDescent="0.25">
      <c r="A6150" s="2" t="s">
        <v>14</v>
      </c>
      <c r="B6150" s="2" t="str">
        <f>"76690716"</f>
        <v>76690716</v>
      </c>
      <c r="C6150" s="2" t="str">
        <f>"76690716"</f>
        <v>76690716</v>
      </c>
      <c r="D6150" s="2" t="s">
        <v>4496</v>
      </c>
      <c r="E6150" s="4">
        <v>3500</v>
      </c>
    </row>
    <row r="6151" spans="1:5" ht="26.25" x14ac:dyDescent="0.25">
      <c r="A6151" s="2" t="s">
        <v>14</v>
      </c>
      <c r="B6151" s="2" t="str">
        <f>"766914125"</f>
        <v>766914125</v>
      </c>
      <c r="C6151" s="2" t="str">
        <f>"766914125"</f>
        <v>766914125</v>
      </c>
      <c r="D6151" s="2" t="s">
        <v>4497</v>
      </c>
      <c r="E6151" s="4">
        <v>3500</v>
      </c>
    </row>
    <row r="6152" spans="1:5" ht="26.25" x14ac:dyDescent="0.25">
      <c r="A6152" s="2" t="s">
        <v>10</v>
      </c>
      <c r="B6152" s="2" t="str">
        <f>"17201480"</f>
        <v>17201480</v>
      </c>
      <c r="C6152" s="2" t="str">
        <f>"17201480"</f>
        <v>17201480</v>
      </c>
      <c r="D6152" s="2" t="s">
        <v>4498</v>
      </c>
      <c r="E6152" s="4">
        <v>3500</v>
      </c>
    </row>
    <row r="6153" spans="1:5" ht="26.25" x14ac:dyDescent="0.25">
      <c r="A6153" s="2" t="s">
        <v>10</v>
      </c>
      <c r="B6153" s="2" t="str">
        <f>"76491480"</f>
        <v>76491480</v>
      </c>
      <c r="C6153" s="2" t="str">
        <f>"76491480"</f>
        <v>76491480</v>
      </c>
      <c r="D6153" s="2" t="s">
        <v>4498</v>
      </c>
      <c r="E6153" s="4">
        <v>3000</v>
      </c>
    </row>
    <row r="6154" spans="1:5" ht="26.25" x14ac:dyDescent="0.25">
      <c r="A6154" s="2" t="s">
        <v>14</v>
      </c>
      <c r="B6154" s="2" t="str">
        <f>"767505196"</f>
        <v>767505196</v>
      </c>
      <c r="C6154" s="2" t="str">
        <f>"767505196"</f>
        <v>767505196</v>
      </c>
      <c r="D6154" s="2" t="s">
        <v>4499</v>
      </c>
      <c r="E6154" s="4">
        <v>5500</v>
      </c>
    </row>
    <row r="6155" spans="1:5" ht="26.25" x14ac:dyDescent="0.25">
      <c r="A6155" s="2" t="s">
        <v>14</v>
      </c>
      <c r="B6155" s="2" t="str">
        <f>"347514270"</f>
        <v>347514270</v>
      </c>
      <c r="C6155" s="2" t="str">
        <f>"347514270"</f>
        <v>347514270</v>
      </c>
      <c r="D6155" s="2" t="s">
        <v>4500</v>
      </c>
      <c r="E6155" s="4">
        <v>4500</v>
      </c>
    </row>
    <row r="6156" spans="1:5" ht="26.25" x14ac:dyDescent="0.25">
      <c r="A6156" s="2" t="s">
        <v>14</v>
      </c>
      <c r="B6156" s="2" t="str">
        <f>"767710297"</f>
        <v>767710297</v>
      </c>
      <c r="C6156" s="2" t="str">
        <f>"767710297"</f>
        <v>767710297</v>
      </c>
      <c r="D6156" s="2" t="s">
        <v>4501</v>
      </c>
      <c r="E6156" s="4">
        <v>4500</v>
      </c>
    </row>
    <row r="6157" spans="1:5" ht="26.25" x14ac:dyDescent="0.25">
      <c r="A6157" s="2" t="s">
        <v>14</v>
      </c>
      <c r="B6157" s="2" t="str">
        <f>"17751445"</f>
        <v>17751445</v>
      </c>
      <c r="C6157" s="2" t="str">
        <f>"17751445"</f>
        <v>17751445</v>
      </c>
      <c r="D6157" s="2" t="s">
        <v>4502</v>
      </c>
      <c r="E6157" s="4">
        <v>3500</v>
      </c>
    </row>
    <row r="6158" spans="1:5" ht="26.25" x14ac:dyDescent="0.25">
      <c r="A6158" s="2" t="s">
        <v>14</v>
      </c>
      <c r="B6158" s="2" t="str">
        <f>"767705196"</f>
        <v>767705196</v>
      </c>
      <c r="C6158" s="2" t="str">
        <f>"767705196"</f>
        <v>767705196</v>
      </c>
      <c r="D6158" s="2" t="s">
        <v>4503</v>
      </c>
      <c r="E6158" s="4">
        <v>4500</v>
      </c>
    </row>
    <row r="6159" spans="1:5" ht="26.25" x14ac:dyDescent="0.25">
      <c r="A6159" s="2" t="s">
        <v>14</v>
      </c>
      <c r="B6159" s="2" t="str">
        <f>"76771064"</f>
        <v>76771064</v>
      </c>
      <c r="C6159" s="2" t="str">
        <f>"76771064"</f>
        <v>76771064</v>
      </c>
      <c r="D6159" s="2" t="s">
        <v>4504</v>
      </c>
      <c r="E6159" s="4">
        <v>4500</v>
      </c>
    </row>
    <row r="6160" spans="1:5" ht="26.25" x14ac:dyDescent="0.25">
      <c r="A6160" s="2" t="s">
        <v>14</v>
      </c>
      <c r="B6160" s="2" t="str">
        <f>"767710234"</f>
        <v>767710234</v>
      </c>
      <c r="C6160" s="2" t="str">
        <f>"767710234"</f>
        <v>767710234</v>
      </c>
      <c r="D6160" s="2" t="s">
        <v>4505</v>
      </c>
      <c r="E6160" s="4">
        <v>4500</v>
      </c>
    </row>
    <row r="6161" spans="1:5" ht="26.25" x14ac:dyDescent="0.25">
      <c r="A6161" s="2" t="s">
        <v>14</v>
      </c>
      <c r="B6161" s="2" t="str">
        <f>"76160717"</f>
        <v>76160717</v>
      </c>
      <c r="C6161" s="2" t="str">
        <f>"76160717"</f>
        <v>76160717</v>
      </c>
      <c r="D6161" s="2" t="s">
        <v>4506</v>
      </c>
      <c r="E6161" s="4">
        <v>8000</v>
      </c>
    </row>
    <row r="6162" spans="1:5" ht="26.25" x14ac:dyDescent="0.25">
      <c r="A6162" s="2" t="s">
        <v>14</v>
      </c>
      <c r="B6162" s="2" t="str">
        <f>"76160716"</f>
        <v>76160716</v>
      </c>
      <c r="C6162" s="2" t="str">
        <f>"76160716"</f>
        <v>76160716</v>
      </c>
      <c r="D6162" s="2" t="s">
        <v>4507</v>
      </c>
      <c r="E6162" s="4">
        <v>8000</v>
      </c>
    </row>
    <row r="6163" spans="1:5" ht="26.25" x14ac:dyDescent="0.25">
      <c r="A6163" s="2" t="s">
        <v>14</v>
      </c>
      <c r="B6163" s="2" t="str">
        <f>"76580714"</f>
        <v>76580714</v>
      </c>
      <c r="C6163" s="2" t="str">
        <f>"76580714"</f>
        <v>76580714</v>
      </c>
      <c r="D6163" s="2" t="s">
        <v>4508</v>
      </c>
      <c r="E6163" s="4">
        <v>4000</v>
      </c>
    </row>
    <row r="6164" spans="1:5" ht="26.25" x14ac:dyDescent="0.25">
      <c r="A6164" s="2" t="s">
        <v>19</v>
      </c>
      <c r="B6164" s="2" t="str">
        <f>"345714127"</f>
        <v>345714127</v>
      </c>
      <c r="C6164" s="2" t="str">
        <f>"345714127"</f>
        <v>345714127</v>
      </c>
      <c r="D6164" s="2" t="s">
        <v>4509</v>
      </c>
      <c r="E6164" s="4">
        <v>4000</v>
      </c>
    </row>
    <row r="6165" spans="1:5" ht="26.25" x14ac:dyDescent="0.25">
      <c r="A6165" s="2" t="s">
        <v>1590</v>
      </c>
      <c r="B6165" s="2" t="str">
        <f>"34680105"</f>
        <v>34680105</v>
      </c>
      <c r="C6165" s="2" t="str">
        <f>"34680105"</f>
        <v>34680105</v>
      </c>
      <c r="D6165" s="2" t="s">
        <v>4510</v>
      </c>
      <c r="E6165" s="4">
        <v>3000</v>
      </c>
    </row>
    <row r="6166" spans="1:5" ht="26.25" x14ac:dyDescent="0.25">
      <c r="A6166" s="2" t="s">
        <v>1590</v>
      </c>
      <c r="B6166" s="2" t="str">
        <f>"34680111"</f>
        <v>34680111</v>
      </c>
      <c r="C6166" s="2" t="str">
        <f>"34680111"</f>
        <v>34680111</v>
      </c>
      <c r="D6166" s="2" t="s">
        <v>4511</v>
      </c>
      <c r="E6166" s="4">
        <v>3000</v>
      </c>
    </row>
    <row r="6167" spans="1:5" ht="26.25" x14ac:dyDescent="0.25">
      <c r="A6167" s="2" t="s">
        <v>1590</v>
      </c>
      <c r="B6167" s="2" t="str">
        <f>"34680178"</f>
        <v>34680178</v>
      </c>
      <c r="C6167" s="2" t="str">
        <f>"34680178"</f>
        <v>34680178</v>
      </c>
      <c r="D6167" s="2" t="s">
        <v>4512</v>
      </c>
      <c r="E6167" s="4">
        <v>3000</v>
      </c>
    </row>
    <row r="6168" spans="1:5" ht="26.25" x14ac:dyDescent="0.25">
      <c r="A6168" s="2" t="s">
        <v>1590</v>
      </c>
      <c r="B6168" s="2" t="str">
        <f>"346801108"</f>
        <v>346801108</v>
      </c>
      <c r="C6168" s="2" t="str">
        <f>"346801108"</f>
        <v>346801108</v>
      </c>
      <c r="D6168" s="2" t="s">
        <v>4513</v>
      </c>
      <c r="E6168" s="4">
        <v>3000</v>
      </c>
    </row>
    <row r="6169" spans="1:5" ht="26.25" x14ac:dyDescent="0.25">
      <c r="A6169" s="2" t="s">
        <v>1590</v>
      </c>
      <c r="B6169" s="2" t="str">
        <f>"346801115"</f>
        <v>346801115</v>
      </c>
      <c r="C6169" s="2" t="str">
        <f>"346801115"</f>
        <v>346801115</v>
      </c>
      <c r="D6169" s="2" t="s">
        <v>4514</v>
      </c>
      <c r="E6169" s="4">
        <v>3000</v>
      </c>
    </row>
    <row r="6170" spans="1:5" ht="26.25" x14ac:dyDescent="0.25">
      <c r="A6170" s="2" t="s">
        <v>1590</v>
      </c>
      <c r="B6170" s="2" t="str">
        <f>"766823132"</f>
        <v>766823132</v>
      </c>
      <c r="C6170" s="2" t="str">
        <f>"766823132"</f>
        <v>766823132</v>
      </c>
      <c r="D6170" s="2" t="s">
        <v>4515</v>
      </c>
      <c r="E6170" s="4">
        <v>3000</v>
      </c>
    </row>
    <row r="6171" spans="1:5" ht="26.25" x14ac:dyDescent="0.25">
      <c r="A6171" s="2" t="s">
        <v>1590</v>
      </c>
      <c r="B6171" s="2" t="str">
        <f>"764921203"</f>
        <v>764921203</v>
      </c>
      <c r="C6171" s="2" t="str">
        <f>"764921203"</f>
        <v>764921203</v>
      </c>
      <c r="D6171" s="2" t="s">
        <v>4516</v>
      </c>
      <c r="E6171" s="4">
        <v>3000</v>
      </c>
    </row>
    <row r="6172" spans="1:5" ht="26.25" x14ac:dyDescent="0.25">
      <c r="A6172" s="2" t="s">
        <v>1590</v>
      </c>
      <c r="B6172" s="2" t="str">
        <f>"764921160"</f>
        <v>764921160</v>
      </c>
      <c r="C6172" s="2" t="str">
        <f>"764921160"</f>
        <v>764921160</v>
      </c>
      <c r="D6172" s="2" t="s">
        <v>4517</v>
      </c>
      <c r="E6172" s="4">
        <v>3000</v>
      </c>
    </row>
    <row r="6173" spans="1:5" ht="26.25" x14ac:dyDescent="0.25">
      <c r="A6173" s="2" t="s">
        <v>1590</v>
      </c>
      <c r="B6173" s="2" t="str">
        <f>"346821120"</f>
        <v>346821120</v>
      </c>
      <c r="C6173" s="2" t="str">
        <f>"346821120"</f>
        <v>346821120</v>
      </c>
      <c r="D6173" s="2" t="s">
        <v>4518</v>
      </c>
      <c r="E6173" s="4">
        <v>3000</v>
      </c>
    </row>
    <row r="6174" spans="1:5" ht="26.25" x14ac:dyDescent="0.25">
      <c r="A6174" s="2" t="s">
        <v>1590</v>
      </c>
      <c r="B6174" s="2" t="str">
        <f>"34680568"</f>
        <v>34680568</v>
      </c>
      <c r="C6174" s="2" t="str">
        <f>"34680568"</f>
        <v>34680568</v>
      </c>
      <c r="D6174" s="2" t="s">
        <v>4519</v>
      </c>
      <c r="E6174" s="4">
        <v>3000</v>
      </c>
    </row>
    <row r="6175" spans="1:5" ht="26.25" x14ac:dyDescent="0.25">
      <c r="A6175" s="2" t="s">
        <v>1590</v>
      </c>
      <c r="B6175" s="2" t="str">
        <f>"34680569"</f>
        <v>34680569</v>
      </c>
      <c r="C6175" s="2" t="str">
        <f>"34680569"</f>
        <v>34680569</v>
      </c>
      <c r="D6175" s="2" t="s">
        <v>4520</v>
      </c>
      <c r="E6175" s="4">
        <v>3000</v>
      </c>
    </row>
    <row r="6176" spans="1:5" ht="26.25" x14ac:dyDescent="0.25">
      <c r="A6176" s="2" t="s">
        <v>1590</v>
      </c>
      <c r="B6176" s="2" t="str">
        <f>"76680569"</f>
        <v>76680569</v>
      </c>
      <c r="C6176" s="2" t="str">
        <f>"76680569"</f>
        <v>76680569</v>
      </c>
      <c r="D6176" s="2" t="s">
        <v>4520</v>
      </c>
      <c r="E6176" s="4">
        <v>3000</v>
      </c>
    </row>
    <row r="6177" spans="1:5" ht="26.25" x14ac:dyDescent="0.25">
      <c r="A6177" s="2" t="s">
        <v>1590</v>
      </c>
      <c r="B6177" s="2" t="str">
        <f>"34680570"</f>
        <v>34680570</v>
      </c>
      <c r="C6177" s="2" t="str">
        <f>"34680570"</f>
        <v>34680570</v>
      </c>
      <c r="D6177" s="2" t="s">
        <v>4521</v>
      </c>
      <c r="E6177" s="4">
        <v>3000</v>
      </c>
    </row>
    <row r="6178" spans="1:5" ht="26.25" x14ac:dyDescent="0.25">
      <c r="A6178" s="2" t="s">
        <v>1590</v>
      </c>
      <c r="B6178" s="2" t="str">
        <f>"764905216"</f>
        <v>764905216</v>
      </c>
      <c r="C6178" s="2" t="str">
        <f>"764905216"</f>
        <v>764905216</v>
      </c>
      <c r="D6178" s="2" t="s">
        <v>4522</v>
      </c>
      <c r="E6178" s="4">
        <v>2500</v>
      </c>
    </row>
    <row r="6179" spans="1:5" ht="26.25" x14ac:dyDescent="0.25">
      <c r="A6179" s="2" t="s">
        <v>1590</v>
      </c>
      <c r="B6179" s="2" t="str">
        <f>"764905196"</f>
        <v>764905196</v>
      </c>
      <c r="C6179" s="2" t="str">
        <f>"764905196"</f>
        <v>764905196</v>
      </c>
      <c r="D6179" s="2" t="s">
        <v>4523</v>
      </c>
      <c r="E6179" s="4">
        <v>2500</v>
      </c>
    </row>
    <row r="6180" spans="1:5" ht="26.25" x14ac:dyDescent="0.25">
      <c r="A6180" s="2" t="s">
        <v>1590</v>
      </c>
      <c r="B6180" s="2" t="str">
        <f>"766805197"</f>
        <v>766805197</v>
      </c>
      <c r="C6180" s="2" t="str">
        <f>"766805197"</f>
        <v>766805197</v>
      </c>
      <c r="D6180" s="2" t="s">
        <v>4524</v>
      </c>
      <c r="E6180" s="4">
        <v>3000</v>
      </c>
    </row>
    <row r="6181" spans="1:5" ht="26.25" x14ac:dyDescent="0.25">
      <c r="A6181" s="2" t="s">
        <v>1590</v>
      </c>
      <c r="B6181" s="2" t="str">
        <f>"766805310"</f>
        <v>766805310</v>
      </c>
      <c r="C6181" s="2" t="str">
        <f>"766805310"</f>
        <v>766805310</v>
      </c>
      <c r="D6181" s="2" t="s">
        <v>4525</v>
      </c>
      <c r="E6181" s="4">
        <v>3000</v>
      </c>
    </row>
    <row r="6182" spans="1:5" ht="26.25" x14ac:dyDescent="0.25">
      <c r="A6182" s="2" t="s">
        <v>1590</v>
      </c>
      <c r="B6182" s="2" t="str">
        <f>"764905321"</f>
        <v>764905321</v>
      </c>
      <c r="C6182" s="2" t="str">
        <f>"764905321"</f>
        <v>764905321</v>
      </c>
      <c r="D6182" s="2" t="s">
        <v>4525</v>
      </c>
      <c r="E6182" s="4">
        <v>3000</v>
      </c>
    </row>
    <row r="6183" spans="1:5" ht="26.25" x14ac:dyDescent="0.25">
      <c r="A6183" s="2" t="s">
        <v>1590</v>
      </c>
      <c r="B6183" s="2" t="str">
        <f>"864905321"</f>
        <v>864905321</v>
      </c>
      <c r="C6183" s="2" t="str">
        <f>"864905321"</f>
        <v>864905321</v>
      </c>
      <c r="D6183" s="2" t="s">
        <v>4525</v>
      </c>
      <c r="E6183" s="4">
        <v>1000</v>
      </c>
    </row>
    <row r="6184" spans="1:5" ht="26.25" x14ac:dyDescent="0.25">
      <c r="A6184" s="2" t="s">
        <v>1590</v>
      </c>
      <c r="B6184" s="2" t="str">
        <f>"766805321"</f>
        <v>766805321</v>
      </c>
      <c r="C6184" s="2" t="str">
        <f>"766805321"</f>
        <v>766805321</v>
      </c>
      <c r="D6184" s="2" t="s">
        <v>4525</v>
      </c>
      <c r="E6184" s="4">
        <v>3000</v>
      </c>
    </row>
    <row r="6185" spans="1:5" ht="26.25" x14ac:dyDescent="0.25">
      <c r="A6185" s="2" t="s">
        <v>1590</v>
      </c>
      <c r="B6185" s="2" t="str">
        <f>"76680533"</f>
        <v>76680533</v>
      </c>
      <c r="C6185" s="2" t="str">
        <f>"76680533"</f>
        <v>76680533</v>
      </c>
      <c r="D6185" s="2" t="s">
        <v>4526</v>
      </c>
      <c r="E6185" s="4">
        <v>3000</v>
      </c>
    </row>
    <row r="6186" spans="1:5" ht="26.25" x14ac:dyDescent="0.25">
      <c r="A6186" s="2" t="s">
        <v>1590</v>
      </c>
      <c r="B6186" s="2" t="str">
        <f>"3820181069002"</f>
        <v>3820181069002</v>
      </c>
      <c r="C6186" s="2" t="str">
        <f>"344905307"</f>
        <v>344905307</v>
      </c>
      <c r="D6186" s="2" t="s">
        <v>4527</v>
      </c>
      <c r="E6186" s="4">
        <v>3000</v>
      </c>
    </row>
    <row r="6187" spans="1:5" ht="26.25" x14ac:dyDescent="0.25">
      <c r="A6187" s="2" t="s">
        <v>1590</v>
      </c>
      <c r="B6187" s="2" t="str">
        <f>"764905307"</f>
        <v>764905307</v>
      </c>
      <c r="C6187" s="2" t="str">
        <f>"764905307"</f>
        <v>764905307</v>
      </c>
      <c r="D6187" s="2" t="s">
        <v>4527</v>
      </c>
      <c r="E6187" s="4">
        <v>3000</v>
      </c>
    </row>
    <row r="6188" spans="1:5" ht="26.25" x14ac:dyDescent="0.25">
      <c r="A6188" s="2" t="s">
        <v>1590</v>
      </c>
      <c r="B6188" s="2" t="str">
        <f>"34680529"</f>
        <v>34680529</v>
      </c>
      <c r="C6188" s="2" t="str">
        <f>"34680529"</f>
        <v>34680529</v>
      </c>
      <c r="D6188" s="2" t="s">
        <v>4528</v>
      </c>
      <c r="E6188" s="4">
        <v>3000</v>
      </c>
    </row>
    <row r="6189" spans="1:5" ht="26.25" x14ac:dyDescent="0.25">
      <c r="A6189" s="2" t="s">
        <v>1590</v>
      </c>
      <c r="B6189" s="2" t="str">
        <f>"766805294"</f>
        <v>766805294</v>
      </c>
      <c r="C6189" s="2" t="str">
        <f>"766805294"</f>
        <v>766805294</v>
      </c>
      <c r="D6189" s="2" t="s">
        <v>4529</v>
      </c>
      <c r="E6189" s="4">
        <v>3000</v>
      </c>
    </row>
    <row r="6190" spans="1:5" ht="26.25" x14ac:dyDescent="0.25">
      <c r="A6190" s="2" t="s">
        <v>1590</v>
      </c>
      <c r="B6190" s="2" t="str">
        <f>"176805295"</f>
        <v>176805295</v>
      </c>
      <c r="C6190" s="2" t="str">
        <f>"176805295"</f>
        <v>176805295</v>
      </c>
      <c r="D6190" s="2" t="s">
        <v>4530</v>
      </c>
      <c r="E6190" s="4">
        <v>3500</v>
      </c>
    </row>
    <row r="6191" spans="1:5" ht="26.25" x14ac:dyDescent="0.25">
      <c r="A6191" s="2" t="s">
        <v>1590</v>
      </c>
      <c r="B6191" s="2" t="str">
        <f>"346805295"</f>
        <v>346805295</v>
      </c>
      <c r="C6191" s="2" t="str">
        <f>"346805295"</f>
        <v>346805295</v>
      </c>
      <c r="D6191" s="2" t="s">
        <v>4530</v>
      </c>
      <c r="E6191" s="4">
        <v>3000</v>
      </c>
    </row>
    <row r="6192" spans="1:5" ht="26.25" x14ac:dyDescent="0.25">
      <c r="A6192" s="2" t="s">
        <v>1590</v>
      </c>
      <c r="B6192" s="2" t="str">
        <f>"766805295"</f>
        <v>766805295</v>
      </c>
      <c r="C6192" s="2" t="str">
        <f>"766805295"</f>
        <v>766805295</v>
      </c>
      <c r="D6192" s="2" t="s">
        <v>4530</v>
      </c>
      <c r="E6192" s="4">
        <v>3000</v>
      </c>
    </row>
    <row r="6193" spans="1:5" ht="26.25" x14ac:dyDescent="0.25">
      <c r="A6193" s="2" t="s">
        <v>1590</v>
      </c>
      <c r="B6193" s="2" t="str">
        <f>"76490598"</f>
        <v>76490598</v>
      </c>
      <c r="C6193" s="2" t="str">
        <f>"76490598"</f>
        <v>76490598</v>
      </c>
      <c r="D6193" s="2" t="s">
        <v>4531</v>
      </c>
      <c r="E6193" s="4">
        <v>3000</v>
      </c>
    </row>
    <row r="6194" spans="1:5" ht="26.25" x14ac:dyDescent="0.25">
      <c r="A6194" s="2" t="s">
        <v>1590</v>
      </c>
      <c r="B6194" s="2" t="str">
        <f>"766805296"</f>
        <v>766805296</v>
      </c>
      <c r="C6194" s="2" t="str">
        <f>"766805296"</f>
        <v>766805296</v>
      </c>
      <c r="D6194" s="2" t="s">
        <v>4532</v>
      </c>
      <c r="E6194" s="4">
        <v>3000</v>
      </c>
    </row>
    <row r="6195" spans="1:5" ht="26.25" x14ac:dyDescent="0.25">
      <c r="A6195" s="2" t="s">
        <v>1590</v>
      </c>
      <c r="B6195" s="2" t="str">
        <f>"174905296"</f>
        <v>174905296</v>
      </c>
      <c r="C6195" s="2" t="str">
        <f>"174905296"</f>
        <v>174905296</v>
      </c>
      <c r="D6195" s="2" t="s">
        <v>4532</v>
      </c>
      <c r="E6195" s="4">
        <v>3000</v>
      </c>
    </row>
    <row r="6196" spans="1:5" ht="26.25" x14ac:dyDescent="0.25">
      <c r="A6196" s="2" t="s">
        <v>1590</v>
      </c>
      <c r="B6196" s="2" t="str">
        <f>"175705296"</f>
        <v>175705296</v>
      </c>
      <c r="C6196" s="2" t="str">
        <f>"175705296"</f>
        <v>175705296</v>
      </c>
      <c r="D6196" s="2" t="s">
        <v>4532</v>
      </c>
      <c r="E6196" s="4">
        <v>3000</v>
      </c>
    </row>
    <row r="6197" spans="1:5" ht="26.25" x14ac:dyDescent="0.25">
      <c r="A6197" s="2" t="s">
        <v>1590</v>
      </c>
      <c r="B6197" s="2" t="str">
        <f>"765705296"</f>
        <v>765705296</v>
      </c>
      <c r="C6197" s="2" t="str">
        <f>"765705296"</f>
        <v>765705296</v>
      </c>
      <c r="D6197" s="2" t="s">
        <v>4532</v>
      </c>
      <c r="E6197" s="4">
        <v>3000</v>
      </c>
    </row>
    <row r="6198" spans="1:5" ht="26.25" x14ac:dyDescent="0.25">
      <c r="A6198" s="2" t="s">
        <v>1590</v>
      </c>
      <c r="B6198" s="2" t="str">
        <f>"766805297"</f>
        <v>766805297</v>
      </c>
      <c r="C6198" s="2" t="str">
        <f>"766805297"</f>
        <v>766805297</v>
      </c>
      <c r="D6198" s="2" t="s">
        <v>4533</v>
      </c>
      <c r="E6198" s="4">
        <v>3000</v>
      </c>
    </row>
    <row r="6199" spans="1:5" ht="26.25" x14ac:dyDescent="0.25">
      <c r="A6199" s="2" t="s">
        <v>1590</v>
      </c>
      <c r="B6199" s="2" t="str">
        <f>"764905297"</f>
        <v>764905297</v>
      </c>
      <c r="C6199" s="2" t="str">
        <f>"764905297"</f>
        <v>764905297</v>
      </c>
      <c r="D6199" s="2" t="s">
        <v>4533</v>
      </c>
      <c r="E6199" s="4">
        <v>3000</v>
      </c>
    </row>
    <row r="6200" spans="1:5" ht="26.25" x14ac:dyDescent="0.25">
      <c r="A6200" s="2" t="s">
        <v>1590</v>
      </c>
      <c r="B6200" s="2" t="str">
        <f>"766805300"</f>
        <v>766805300</v>
      </c>
      <c r="C6200" s="2" t="str">
        <f>"766805300"</f>
        <v>766805300</v>
      </c>
      <c r="D6200" s="2" t="s">
        <v>4534</v>
      </c>
      <c r="E6200" s="4">
        <v>3000</v>
      </c>
    </row>
    <row r="6201" spans="1:5" ht="26.25" x14ac:dyDescent="0.25">
      <c r="A6201" s="2" t="s">
        <v>1590</v>
      </c>
      <c r="B6201" s="2" t="str">
        <f>"346805300"</f>
        <v>346805300</v>
      </c>
      <c r="C6201" s="2" t="str">
        <f>"346805300"</f>
        <v>346805300</v>
      </c>
      <c r="D6201" s="2" t="s">
        <v>4534</v>
      </c>
      <c r="E6201" s="4">
        <v>3000</v>
      </c>
    </row>
    <row r="6202" spans="1:5" ht="26.25" x14ac:dyDescent="0.25">
      <c r="A6202" s="2" t="s">
        <v>1590</v>
      </c>
      <c r="B6202" s="2" t="str">
        <f>"766805302"</f>
        <v>766805302</v>
      </c>
      <c r="C6202" s="2" t="str">
        <f>"766805302"</f>
        <v>766805302</v>
      </c>
      <c r="D6202" s="2" t="s">
        <v>4535</v>
      </c>
      <c r="E6202" s="4">
        <v>3000</v>
      </c>
    </row>
    <row r="6203" spans="1:5" ht="26.25" x14ac:dyDescent="0.25">
      <c r="A6203" s="2" t="s">
        <v>1590</v>
      </c>
      <c r="B6203" s="2" t="str">
        <f>"346805305"</f>
        <v>346805305</v>
      </c>
      <c r="C6203" s="2" t="str">
        <f>"346805305"</f>
        <v>346805305</v>
      </c>
      <c r="D6203" s="2" t="s">
        <v>4535</v>
      </c>
      <c r="E6203" s="4">
        <v>3000</v>
      </c>
    </row>
    <row r="6204" spans="1:5" ht="26.25" x14ac:dyDescent="0.25">
      <c r="A6204" s="2" t="s">
        <v>1590</v>
      </c>
      <c r="B6204" s="2" t="str">
        <f>"764905316"</f>
        <v>764905316</v>
      </c>
      <c r="C6204" s="2" t="str">
        <f>"764905316"</f>
        <v>764905316</v>
      </c>
      <c r="D6204" s="2" t="s">
        <v>4536</v>
      </c>
      <c r="E6204" s="4">
        <v>3000</v>
      </c>
    </row>
    <row r="6205" spans="1:5" ht="26.25" x14ac:dyDescent="0.25">
      <c r="A6205" s="2" t="s">
        <v>1590</v>
      </c>
      <c r="B6205" s="2" t="str">
        <f>"766805303"</f>
        <v>766805303</v>
      </c>
      <c r="C6205" s="2" t="str">
        <f>"766805303"</f>
        <v>766805303</v>
      </c>
      <c r="D6205" s="2" t="s">
        <v>4537</v>
      </c>
      <c r="E6205" s="4">
        <v>3000</v>
      </c>
    </row>
    <row r="6206" spans="1:5" ht="26.25" x14ac:dyDescent="0.25">
      <c r="A6206" s="2" t="s">
        <v>1590</v>
      </c>
      <c r="B6206" s="2" t="str">
        <f>"764905303"</f>
        <v>764905303</v>
      </c>
      <c r="C6206" s="2" t="str">
        <f>"764905303"</f>
        <v>764905303</v>
      </c>
      <c r="D6206" s="2" t="s">
        <v>4537</v>
      </c>
      <c r="E6206" s="4">
        <v>3000</v>
      </c>
    </row>
    <row r="6207" spans="1:5" ht="26.25" x14ac:dyDescent="0.25">
      <c r="A6207" s="2" t="s">
        <v>1590</v>
      </c>
      <c r="B6207" s="2" t="str">
        <f>"614905303"</f>
        <v>614905303</v>
      </c>
      <c r="C6207" s="2" t="str">
        <f>"614905303"</f>
        <v>614905303</v>
      </c>
      <c r="D6207" s="2" t="s">
        <v>4537</v>
      </c>
      <c r="E6207" s="4">
        <v>3000</v>
      </c>
    </row>
    <row r="6208" spans="1:5" ht="26.25" x14ac:dyDescent="0.25">
      <c r="A6208" s="2" t="s">
        <v>1590</v>
      </c>
      <c r="B6208" s="2" t="str">
        <f>"202006101117"</f>
        <v>202006101117</v>
      </c>
      <c r="C6208" s="2" t="str">
        <f>"184905328"</f>
        <v>184905328</v>
      </c>
      <c r="D6208" s="2" t="s">
        <v>4537</v>
      </c>
      <c r="E6208" s="4">
        <v>4000</v>
      </c>
    </row>
    <row r="6209" spans="1:5" ht="26.25" x14ac:dyDescent="0.25">
      <c r="A6209" s="2" t="s">
        <v>1590</v>
      </c>
      <c r="B6209" s="2" t="str">
        <f>"2019512588043"</f>
        <v>2019512588043</v>
      </c>
      <c r="C6209" s="2" t="str">
        <f>"344905303"</f>
        <v>344905303</v>
      </c>
      <c r="D6209" s="2" t="s">
        <v>4537</v>
      </c>
      <c r="E6209" s="4">
        <v>3000</v>
      </c>
    </row>
    <row r="6210" spans="1:5" ht="26.25" x14ac:dyDescent="0.25">
      <c r="A6210" s="2" t="s">
        <v>1590</v>
      </c>
      <c r="B6210" s="2" t="str">
        <f>"684905303"</f>
        <v>684905303</v>
      </c>
      <c r="C6210" s="2" t="str">
        <f>"684905303"</f>
        <v>684905303</v>
      </c>
      <c r="D6210" s="2" t="s">
        <v>4537</v>
      </c>
      <c r="E6210" s="4">
        <v>3000</v>
      </c>
    </row>
    <row r="6211" spans="1:5" ht="26.25" x14ac:dyDescent="0.25">
      <c r="A6211" s="2" t="s">
        <v>19</v>
      </c>
      <c r="B6211" s="2" t="str">
        <f>"764905328"</f>
        <v>764905328</v>
      </c>
      <c r="C6211" s="2" t="str">
        <f>"764905328"</f>
        <v>764905328</v>
      </c>
      <c r="D6211" s="2" t="s">
        <v>4537</v>
      </c>
      <c r="E6211" s="4">
        <v>3000</v>
      </c>
    </row>
    <row r="6212" spans="1:5" ht="26.25" x14ac:dyDescent="0.25">
      <c r="A6212" s="2" t="s">
        <v>10</v>
      </c>
      <c r="B6212" s="2" t="str">
        <f>"34680598"</f>
        <v>34680598</v>
      </c>
      <c r="C6212" s="2" t="str">
        <f>"34680598"</f>
        <v>34680598</v>
      </c>
      <c r="D6212" s="2" t="s">
        <v>4538</v>
      </c>
      <c r="E6212" s="4">
        <v>3000</v>
      </c>
    </row>
    <row r="6213" spans="1:5" ht="26.25" x14ac:dyDescent="0.25">
      <c r="A6213" s="2" t="s">
        <v>1590</v>
      </c>
      <c r="B6213" s="2" t="str">
        <f>"34680548"</f>
        <v>34680548</v>
      </c>
      <c r="C6213" s="2" t="str">
        <f>"34680548"</f>
        <v>34680548</v>
      </c>
      <c r="D6213" s="2" t="s">
        <v>4539</v>
      </c>
      <c r="E6213" s="4">
        <v>3000</v>
      </c>
    </row>
    <row r="6214" spans="1:5" ht="26.25" x14ac:dyDescent="0.25">
      <c r="A6214" s="2" t="s">
        <v>1590</v>
      </c>
      <c r="B6214" s="2" t="str">
        <f>"76470548"</f>
        <v>76470548</v>
      </c>
      <c r="C6214" s="2" t="str">
        <f>"76470548"</f>
        <v>76470548</v>
      </c>
      <c r="D6214" s="2" t="s">
        <v>4539</v>
      </c>
      <c r="E6214" s="4">
        <v>3500</v>
      </c>
    </row>
    <row r="6215" spans="1:5" ht="26.25" x14ac:dyDescent="0.25">
      <c r="A6215" s="2" t="s">
        <v>1590</v>
      </c>
      <c r="B6215" s="2" t="str">
        <f>"76680548"</f>
        <v>76680548</v>
      </c>
      <c r="C6215" s="2" t="str">
        <f>"76680548"</f>
        <v>76680548</v>
      </c>
      <c r="D6215" s="2" t="s">
        <v>4539</v>
      </c>
      <c r="E6215" s="4">
        <v>3000</v>
      </c>
    </row>
    <row r="6216" spans="1:5" ht="26.25" x14ac:dyDescent="0.25">
      <c r="A6216" s="2" t="s">
        <v>1590</v>
      </c>
      <c r="B6216" s="2" t="str">
        <f>"346805103"</f>
        <v>346805103</v>
      </c>
      <c r="C6216" s="2" t="str">
        <f>"346805103"</f>
        <v>346805103</v>
      </c>
      <c r="D6216" s="2" t="s">
        <v>4539</v>
      </c>
      <c r="E6216" s="4">
        <v>3000</v>
      </c>
    </row>
    <row r="6217" spans="1:5" ht="26.25" x14ac:dyDescent="0.25">
      <c r="A6217" s="2" t="s">
        <v>1590</v>
      </c>
      <c r="B6217" s="2" t="str">
        <f>"766805103"</f>
        <v>766805103</v>
      </c>
      <c r="C6217" s="2" t="str">
        <f>"766805103"</f>
        <v>766805103</v>
      </c>
      <c r="D6217" s="2" t="s">
        <v>4539</v>
      </c>
      <c r="E6217" s="4">
        <v>3000</v>
      </c>
    </row>
    <row r="6218" spans="1:5" ht="26.25" x14ac:dyDescent="0.25">
      <c r="A6218" s="2" t="s">
        <v>1590</v>
      </c>
      <c r="B6218" s="2" t="str">
        <f>"766805247"</f>
        <v>766805247</v>
      </c>
      <c r="C6218" s="2" t="str">
        <f>"766805247"</f>
        <v>766805247</v>
      </c>
      <c r="D6218" s="2" t="s">
        <v>4540</v>
      </c>
      <c r="E6218" s="4">
        <v>3000</v>
      </c>
    </row>
    <row r="6219" spans="1:5" ht="26.25" x14ac:dyDescent="0.25">
      <c r="A6219" s="2" t="s">
        <v>1590</v>
      </c>
      <c r="B6219" s="2" t="str">
        <f>"174905247"</f>
        <v>174905247</v>
      </c>
      <c r="C6219" s="2" t="str">
        <f>"174905247"</f>
        <v>174905247</v>
      </c>
      <c r="D6219" s="2" t="s">
        <v>4540</v>
      </c>
      <c r="E6219" s="4">
        <v>3000</v>
      </c>
    </row>
    <row r="6220" spans="1:5" ht="26.25" x14ac:dyDescent="0.25">
      <c r="A6220" s="2" t="s">
        <v>1590</v>
      </c>
      <c r="B6220" s="2" t="str">
        <f>"764905247"</f>
        <v>764905247</v>
      </c>
      <c r="C6220" s="2" t="str">
        <f>"764905247"</f>
        <v>764905247</v>
      </c>
      <c r="D6220" s="2" t="s">
        <v>4540</v>
      </c>
      <c r="E6220" s="4">
        <v>3000</v>
      </c>
    </row>
    <row r="6221" spans="1:5" ht="26.25" x14ac:dyDescent="0.25">
      <c r="A6221" s="2" t="s">
        <v>1590</v>
      </c>
      <c r="B6221" s="2" t="str">
        <f>"346805299"</f>
        <v>346805299</v>
      </c>
      <c r="C6221" s="2" t="str">
        <f>"346805299"</f>
        <v>346805299</v>
      </c>
      <c r="D6221" s="2" t="s">
        <v>4541</v>
      </c>
      <c r="E6221" s="4">
        <v>3000</v>
      </c>
    </row>
    <row r="6222" spans="1:5" ht="26.25" x14ac:dyDescent="0.25">
      <c r="A6222" s="2" t="s">
        <v>1590</v>
      </c>
      <c r="B6222" s="2" t="str">
        <f>"766805329"</f>
        <v>766805329</v>
      </c>
      <c r="C6222" s="2" t="str">
        <f>"766805329"</f>
        <v>766805329</v>
      </c>
      <c r="D6222" s="2" t="s">
        <v>4542</v>
      </c>
      <c r="E6222" s="4">
        <v>3000</v>
      </c>
    </row>
    <row r="6223" spans="1:5" ht="26.25" x14ac:dyDescent="0.25">
      <c r="A6223" s="2" t="s">
        <v>1590</v>
      </c>
      <c r="B6223" s="2" t="str">
        <f>"764905329"</f>
        <v>764905329</v>
      </c>
      <c r="C6223" s="2" t="str">
        <f>"764905329"</f>
        <v>764905329</v>
      </c>
      <c r="D6223" s="2" t="s">
        <v>4542</v>
      </c>
      <c r="E6223" s="4">
        <v>3000</v>
      </c>
    </row>
    <row r="6224" spans="1:5" ht="26.25" x14ac:dyDescent="0.25">
      <c r="A6224" s="2" t="s">
        <v>1590</v>
      </c>
      <c r="B6224" s="2" t="str">
        <f>"766805248"</f>
        <v>766805248</v>
      </c>
      <c r="C6224" s="2" t="str">
        <f>"766805248"</f>
        <v>766805248</v>
      </c>
      <c r="D6224" s="2" t="s">
        <v>4543</v>
      </c>
      <c r="E6224" s="4">
        <v>3000</v>
      </c>
    </row>
    <row r="6225" spans="1:5" ht="26.25" x14ac:dyDescent="0.25">
      <c r="A6225" s="2" t="s">
        <v>1590</v>
      </c>
      <c r="B6225" s="2" t="str">
        <f>"764905248"</f>
        <v>764905248</v>
      </c>
      <c r="C6225" s="2" t="str">
        <f>"764905248"</f>
        <v>764905248</v>
      </c>
      <c r="D6225" s="2" t="s">
        <v>4543</v>
      </c>
      <c r="E6225" s="4">
        <v>3000</v>
      </c>
    </row>
    <row r="6226" spans="1:5" ht="26.25" x14ac:dyDescent="0.25">
      <c r="A6226" s="2" t="s">
        <v>1590</v>
      </c>
      <c r="B6226" s="2" t="str">
        <f>"346805304"</f>
        <v>346805304</v>
      </c>
      <c r="C6226" s="2" t="str">
        <f>"346805304"</f>
        <v>346805304</v>
      </c>
      <c r="D6226" s="2" t="s">
        <v>4544</v>
      </c>
      <c r="E6226" s="4">
        <v>3000</v>
      </c>
    </row>
    <row r="6227" spans="1:5" ht="26.25" x14ac:dyDescent="0.25">
      <c r="A6227" s="2" t="s">
        <v>1590</v>
      </c>
      <c r="B6227" s="2" t="str">
        <f>"866805304"</f>
        <v>866805304</v>
      </c>
      <c r="C6227" s="2" t="str">
        <f>"866805304"</f>
        <v>866805304</v>
      </c>
      <c r="D6227" s="2" t="s">
        <v>4544</v>
      </c>
      <c r="E6227" s="4">
        <v>3000</v>
      </c>
    </row>
    <row r="6228" spans="1:5" ht="26.25" x14ac:dyDescent="0.25">
      <c r="A6228" s="2" t="s">
        <v>1590</v>
      </c>
      <c r="B6228" s="2" t="str">
        <f>"864905304"</f>
        <v>864905304</v>
      </c>
      <c r="C6228" s="2" t="str">
        <f>"864905304"</f>
        <v>864905304</v>
      </c>
      <c r="D6228" s="2" t="s">
        <v>4544</v>
      </c>
      <c r="E6228" s="4">
        <v>3000</v>
      </c>
    </row>
    <row r="6229" spans="1:5" ht="26.25" x14ac:dyDescent="0.25">
      <c r="A6229" s="2" t="s">
        <v>1590</v>
      </c>
      <c r="B6229" s="2" t="str">
        <f>"764905304"</f>
        <v>764905304</v>
      </c>
      <c r="C6229" s="2" t="str">
        <f>"764905304"</f>
        <v>764905304</v>
      </c>
      <c r="D6229" s="2" t="s">
        <v>4544</v>
      </c>
      <c r="E6229" s="4">
        <v>3000</v>
      </c>
    </row>
    <row r="6230" spans="1:5" ht="26.25" x14ac:dyDescent="0.25">
      <c r="A6230" s="2" t="s">
        <v>1590</v>
      </c>
      <c r="B6230" s="2" t="str">
        <f>"764905313"</f>
        <v>764905313</v>
      </c>
      <c r="C6230" s="2" t="str">
        <f>"764905313"</f>
        <v>764905313</v>
      </c>
      <c r="D6230" s="2" t="s">
        <v>4545</v>
      </c>
      <c r="E6230" s="4">
        <v>3000</v>
      </c>
    </row>
    <row r="6231" spans="1:5" ht="26.25" x14ac:dyDescent="0.25">
      <c r="A6231" s="2" t="s">
        <v>1590</v>
      </c>
      <c r="B6231" s="2" t="str">
        <f>"766805183"</f>
        <v>766805183</v>
      </c>
      <c r="C6231" s="2" t="str">
        <f>"766805183"</f>
        <v>766805183</v>
      </c>
      <c r="D6231" s="2" t="s">
        <v>4546</v>
      </c>
      <c r="E6231" s="4">
        <v>3000</v>
      </c>
    </row>
    <row r="6232" spans="1:5" ht="26.25" x14ac:dyDescent="0.25">
      <c r="A6232" s="2" t="s">
        <v>1590</v>
      </c>
      <c r="B6232" s="2" t="str">
        <f>"766805282"</f>
        <v>766805282</v>
      </c>
      <c r="C6232" s="2" t="str">
        <f>"766805282"</f>
        <v>766805282</v>
      </c>
      <c r="D6232" s="2" t="s">
        <v>4547</v>
      </c>
      <c r="E6232" s="4">
        <v>3000</v>
      </c>
    </row>
    <row r="6233" spans="1:5" ht="26.25" x14ac:dyDescent="0.25">
      <c r="A6233" s="2" t="s">
        <v>1590</v>
      </c>
      <c r="B6233" s="2" t="str">
        <f>"864905282"</f>
        <v>864905282</v>
      </c>
      <c r="C6233" s="2" t="str">
        <f>"864905282"</f>
        <v>864905282</v>
      </c>
      <c r="D6233" s="2" t="s">
        <v>4547</v>
      </c>
      <c r="E6233" s="4">
        <v>3000</v>
      </c>
    </row>
    <row r="6234" spans="1:5" ht="26.25" x14ac:dyDescent="0.25">
      <c r="A6234" s="2" t="s">
        <v>1590</v>
      </c>
      <c r="B6234" s="2" t="str">
        <f>"764905282"</f>
        <v>764905282</v>
      </c>
      <c r="C6234" s="2" t="str">
        <f>"764905282"</f>
        <v>764905282</v>
      </c>
      <c r="D6234" s="2" t="s">
        <v>4547</v>
      </c>
      <c r="E6234" s="4">
        <v>3000</v>
      </c>
    </row>
    <row r="6235" spans="1:5" ht="26.25" x14ac:dyDescent="0.25">
      <c r="A6235" s="2" t="s">
        <v>1590</v>
      </c>
      <c r="B6235" s="2" t="str">
        <f>"764905317"</f>
        <v>764905317</v>
      </c>
      <c r="C6235" s="2" t="str">
        <f>"764905317"</f>
        <v>764905317</v>
      </c>
      <c r="D6235" s="2" t="s">
        <v>4548</v>
      </c>
      <c r="E6235" s="4">
        <v>3000</v>
      </c>
    </row>
    <row r="6236" spans="1:5" ht="26.25" x14ac:dyDescent="0.25">
      <c r="A6236" s="2" t="s">
        <v>1590</v>
      </c>
      <c r="B6236" s="2" t="str">
        <f>"2019512588047"</f>
        <v>2019512588047</v>
      </c>
      <c r="C6236" s="2" t="str">
        <f>"344905317"</f>
        <v>344905317</v>
      </c>
      <c r="D6236" s="2" t="s">
        <v>4548</v>
      </c>
      <c r="E6236" s="4">
        <v>3000</v>
      </c>
    </row>
    <row r="6237" spans="1:5" ht="26.25" x14ac:dyDescent="0.25">
      <c r="A6237" s="2" t="s">
        <v>1590</v>
      </c>
      <c r="B6237" s="2" t="str">
        <f>"766805280"</f>
        <v>766805280</v>
      </c>
      <c r="C6237" s="2" t="str">
        <f>"766805280"</f>
        <v>766805280</v>
      </c>
      <c r="D6237" s="2" t="s">
        <v>4549</v>
      </c>
      <c r="E6237" s="4">
        <v>3000</v>
      </c>
    </row>
    <row r="6238" spans="1:5" ht="26.25" x14ac:dyDescent="0.25">
      <c r="A6238" s="2" t="s">
        <v>1590</v>
      </c>
      <c r="B6238" s="2" t="str">
        <f>"866805280"</f>
        <v>866805280</v>
      </c>
      <c r="C6238" s="2" t="str">
        <f>"866805280"</f>
        <v>866805280</v>
      </c>
      <c r="D6238" s="2" t="s">
        <v>4549</v>
      </c>
      <c r="E6238" s="4">
        <v>3000</v>
      </c>
    </row>
    <row r="6239" spans="1:5" ht="26.25" x14ac:dyDescent="0.25">
      <c r="A6239" s="2" t="s">
        <v>1590</v>
      </c>
      <c r="B6239" s="2" t="str">
        <f>"414905280"</f>
        <v>414905280</v>
      </c>
      <c r="C6239" s="2" t="str">
        <f>"414905280"</f>
        <v>414905280</v>
      </c>
      <c r="D6239" s="2" t="s">
        <v>4549</v>
      </c>
      <c r="E6239" s="4">
        <v>3000</v>
      </c>
    </row>
    <row r="6240" spans="1:5" ht="26.25" x14ac:dyDescent="0.25">
      <c r="A6240" s="2" t="s">
        <v>1590</v>
      </c>
      <c r="B6240" s="2" t="str">
        <f>"174905280"</f>
        <v>174905280</v>
      </c>
      <c r="C6240" s="2" t="str">
        <f>"174905280"</f>
        <v>174905280</v>
      </c>
      <c r="D6240" s="2" t="s">
        <v>4549</v>
      </c>
      <c r="E6240" s="4">
        <v>3000</v>
      </c>
    </row>
    <row r="6241" spans="1:5" ht="26.25" x14ac:dyDescent="0.25">
      <c r="A6241" s="2" t="s">
        <v>1590</v>
      </c>
      <c r="B6241" s="2" t="str">
        <f>"764905280"</f>
        <v>764905280</v>
      </c>
      <c r="C6241" s="2" t="str">
        <f>"764905280"</f>
        <v>764905280</v>
      </c>
      <c r="D6241" s="2" t="s">
        <v>4549</v>
      </c>
      <c r="E6241" s="4">
        <v>3000</v>
      </c>
    </row>
    <row r="6242" spans="1:5" ht="26.25" x14ac:dyDescent="0.25">
      <c r="A6242" s="2" t="s">
        <v>1590</v>
      </c>
      <c r="B6242" s="2" t="str">
        <f>"34680549"</f>
        <v>34680549</v>
      </c>
      <c r="C6242" s="2" t="str">
        <f>"34680549"</f>
        <v>34680549</v>
      </c>
      <c r="D6242" s="2" t="s">
        <v>4550</v>
      </c>
      <c r="E6242" s="4">
        <v>3000</v>
      </c>
    </row>
    <row r="6243" spans="1:5" ht="26.25" x14ac:dyDescent="0.25">
      <c r="A6243" s="2" t="s">
        <v>1590</v>
      </c>
      <c r="B6243" s="2" t="str">
        <f>"346805118"</f>
        <v>346805118</v>
      </c>
      <c r="C6243" s="2" t="str">
        <f>"346805118"</f>
        <v>346805118</v>
      </c>
      <c r="D6243" s="2" t="s">
        <v>4551</v>
      </c>
      <c r="E6243" s="4">
        <v>3000</v>
      </c>
    </row>
    <row r="6244" spans="1:5" ht="26.25" x14ac:dyDescent="0.25">
      <c r="A6244" s="2" t="s">
        <v>1590</v>
      </c>
      <c r="B6244" s="2" t="str">
        <f>"764914275"</f>
        <v>764914275</v>
      </c>
      <c r="C6244" s="2" t="str">
        <f>"764914275"</f>
        <v>764914275</v>
      </c>
      <c r="D6244" s="2" t="s">
        <v>4552</v>
      </c>
      <c r="E6244" s="4">
        <v>3000</v>
      </c>
    </row>
    <row r="6245" spans="1:5" ht="26.25" x14ac:dyDescent="0.25">
      <c r="A6245" s="2" t="s">
        <v>1590</v>
      </c>
      <c r="B6245" s="2" t="str">
        <f>"202006101113"</f>
        <v>202006101113</v>
      </c>
      <c r="C6245" s="2" t="str">
        <f>"184905329"</f>
        <v>184905329</v>
      </c>
      <c r="D6245" s="2" t="s">
        <v>4552</v>
      </c>
      <c r="E6245" s="4">
        <v>4000</v>
      </c>
    </row>
    <row r="6246" spans="1:5" ht="26.25" x14ac:dyDescent="0.25">
      <c r="A6246" s="2" t="s">
        <v>1590</v>
      </c>
      <c r="B6246" s="2" t="str">
        <f>"764914274"</f>
        <v>764914274</v>
      </c>
      <c r="C6246" s="2" t="str">
        <f>"764914274"</f>
        <v>764914274</v>
      </c>
      <c r="D6246" s="2" t="s">
        <v>4553</v>
      </c>
      <c r="E6246" s="4">
        <v>3000</v>
      </c>
    </row>
    <row r="6247" spans="1:5" ht="26.25" x14ac:dyDescent="0.25">
      <c r="A6247" s="2" t="s">
        <v>1590</v>
      </c>
      <c r="B6247" s="2" t="str">
        <f>"202006101110"</f>
        <v>202006101110</v>
      </c>
      <c r="C6247" s="2" t="str">
        <f>"184905330"</f>
        <v>184905330</v>
      </c>
      <c r="D6247" s="2" t="s">
        <v>4553</v>
      </c>
      <c r="E6247" s="4">
        <v>4000</v>
      </c>
    </row>
    <row r="6248" spans="1:5" ht="26.25" x14ac:dyDescent="0.25">
      <c r="A6248" s="2" t="s">
        <v>1590</v>
      </c>
      <c r="B6248" s="2" t="str">
        <f>"2019512588054"</f>
        <v>2019512588054</v>
      </c>
      <c r="C6248" s="2" t="str">
        <f>"344914274"</f>
        <v>344914274</v>
      </c>
      <c r="D6248" s="2" t="s">
        <v>4553</v>
      </c>
      <c r="E6248" s="4">
        <v>3000</v>
      </c>
    </row>
    <row r="6249" spans="1:5" ht="26.25" x14ac:dyDescent="0.25">
      <c r="A6249" s="2" t="s">
        <v>1590</v>
      </c>
      <c r="B6249" s="2" t="str">
        <f>"766805160"</f>
        <v>766805160</v>
      </c>
      <c r="C6249" s="2" t="str">
        <f>"766805160"</f>
        <v>766805160</v>
      </c>
      <c r="D6249" s="2" t="s">
        <v>4554</v>
      </c>
      <c r="E6249" s="4">
        <v>3000</v>
      </c>
    </row>
    <row r="6250" spans="1:5" ht="26.25" x14ac:dyDescent="0.25">
      <c r="A6250" s="2" t="s">
        <v>1590</v>
      </c>
      <c r="B6250" s="2" t="str">
        <f>"764605160"</f>
        <v>764605160</v>
      </c>
      <c r="C6250" s="2" t="str">
        <f>"764605160"</f>
        <v>764605160</v>
      </c>
      <c r="D6250" s="2" t="s">
        <v>4554</v>
      </c>
      <c r="E6250" s="4">
        <v>3000</v>
      </c>
    </row>
    <row r="6251" spans="1:5" ht="26.25" x14ac:dyDescent="0.25">
      <c r="A6251" s="2" t="s">
        <v>1590</v>
      </c>
      <c r="B6251" s="2" t="str">
        <f>"174905160"</f>
        <v>174905160</v>
      </c>
      <c r="C6251" s="2" t="str">
        <f>"174905160"</f>
        <v>174905160</v>
      </c>
      <c r="D6251" s="2" t="s">
        <v>4554</v>
      </c>
      <c r="E6251" s="4">
        <v>3000</v>
      </c>
    </row>
    <row r="6252" spans="1:5" ht="26.25" x14ac:dyDescent="0.25">
      <c r="A6252" s="2" t="s">
        <v>1590</v>
      </c>
      <c r="B6252" s="2" t="str">
        <f>"764905160"</f>
        <v>764905160</v>
      </c>
      <c r="C6252" s="2" t="str">
        <f>"764905160"</f>
        <v>764905160</v>
      </c>
      <c r="D6252" s="2" t="s">
        <v>4554</v>
      </c>
      <c r="E6252" s="4">
        <v>3000</v>
      </c>
    </row>
    <row r="6253" spans="1:5" ht="26.25" x14ac:dyDescent="0.25">
      <c r="A6253" s="2" t="s">
        <v>1590</v>
      </c>
      <c r="B6253" s="2" t="str">
        <f>"766805162"</f>
        <v>766805162</v>
      </c>
      <c r="C6253" s="2" t="str">
        <f>"766805162"</f>
        <v>766805162</v>
      </c>
      <c r="D6253" s="2" t="s">
        <v>4555</v>
      </c>
      <c r="E6253" s="4">
        <v>3000</v>
      </c>
    </row>
    <row r="6254" spans="1:5" ht="26.25" x14ac:dyDescent="0.25">
      <c r="A6254" s="2" t="s">
        <v>1590</v>
      </c>
      <c r="B6254" s="2" t="str">
        <f>"764905162"</f>
        <v>764905162</v>
      </c>
      <c r="C6254" s="2" t="str">
        <f>"764905162"</f>
        <v>764905162</v>
      </c>
      <c r="D6254" s="2" t="s">
        <v>4555</v>
      </c>
      <c r="E6254" s="4">
        <v>3000</v>
      </c>
    </row>
    <row r="6255" spans="1:5" ht="26.25" x14ac:dyDescent="0.25">
      <c r="A6255" s="2" t="s">
        <v>1590</v>
      </c>
      <c r="B6255" s="2" t="str">
        <f>"764905315"</f>
        <v>764905315</v>
      </c>
      <c r="C6255" s="2" t="str">
        <f>"764905315"</f>
        <v>764905315</v>
      </c>
      <c r="D6255" s="2" t="s">
        <v>4556</v>
      </c>
      <c r="E6255" s="4">
        <v>3000</v>
      </c>
    </row>
    <row r="6256" spans="1:5" ht="26.25" x14ac:dyDescent="0.25">
      <c r="A6256" s="2" t="s">
        <v>1590</v>
      </c>
      <c r="B6256" s="2" t="str">
        <f>"764907259"</f>
        <v>764907259</v>
      </c>
      <c r="C6256" s="2" t="str">
        <f>"764907259"</f>
        <v>764907259</v>
      </c>
      <c r="D6256" s="2" t="s">
        <v>4557</v>
      </c>
      <c r="E6256" s="4">
        <v>3500</v>
      </c>
    </row>
    <row r="6257" spans="1:5" ht="26.25" x14ac:dyDescent="0.25">
      <c r="A6257" s="2" t="s">
        <v>1590</v>
      </c>
      <c r="B6257" s="2" t="str">
        <f>"766807259"</f>
        <v>766807259</v>
      </c>
      <c r="C6257" s="2" t="str">
        <f>"766807259"</f>
        <v>766807259</v>
      </c>
      <c r="D6257" s="2" t="s">
        <v>4557</v>
      </c>
      <c r="E6257" s="4">
        <v>3000</v>
      </c>
    </row>
    <row r="6258" spans="1:5" ht="26.25" x14ac:dyDescent="0.25">
      <c r="A6258" s="2" t="s">
        <v>1590</v>
      </c>
      <c r="B6258" s="2" t="str">
        <f>"202006101114"</f>
        <v>202006101114</v>
      </c>
      <c r="C6258" s="2" t="str">
        <f>"184905324"</f>
        <v>184905324</v>
      </c>
      <c r="D6258" s="2" t="s">
        <v>4557</v>
      </c>
      <c r="E6258" s="4">
        <v>4000</v>
      </c>
    </row>
    <row r="6259" spans="1:5" ht="26.25" x14ac:dyDescent="0.25">
      <c r="A6259" s="2" t="s">
        <v>1590</v>
      </c>
      <c r="B6259" s="2" t="str">
        <f>"2019512588038 "</f>
        <v xml:space="preserve">2019512588038 </v>
      </c>
      <c r="C6259" s="2" t="str">
        <f>"344907259"</f>
        <v>344907259</v>
      </c>
      <c r="D6259" s="2" t="s">
        <v>4557</v>
      </c>
      <c r="E6259" s="4">
        <v>3000</v>
      </c>
    </row>
    <row r="6260" spans="1:5" ht="26.25" x14ac:dyDescent="0.25">
      <c r="A6260" s="2" t="s">
        <v>1590</v>
      </c>
      <c r="B6260" s="2" t="str">
        <f>"684907259"</f>
        <v>684907259</v>
      </c>
      <c r="C6260" s="2" t="str">
        <f>"684907259"</f>
        <v>684907259</v>
      </c>
      <c r="D6260" s="2" t="s">
        <v>4557</v>
      </c>
      <c r="E6260" s="4">
        <v>3000</v>
      </c>
    </row>
    <row r="6261" spans="1:5" ht="26.25" x14ac:dyDescent="0.25">
      <c r="A6261" s="2" t="s">
        <v>1590</v>
      </c>
      <c r="B6261" s="2" t="str">
        <f>"10340716"</f>
        <v>10340716</v>
      </c>
      <c r="C6261" s="2" t="str">
        <f>"10340716"</f>
        <v>10340716</v>
      </c>
      <c r="D6261" s="2" t="s">
        <v>4558</v>
      </c>
      <c r="E6261" s="4">
        <v>3000</v>
      </c>
    </row>
    <row r="6262" spans="1:5" ht="26.25" x14ac:dyDescent="0.25">
      <c r="A6262" s="2" t="s">
        <v>1590</v>
      </c>
      <c r="B6262" s="2" t="str">
        <f>"34570715"</f>
        <v>34570715</v>
      </c>
      <c r="C6262" s="2" t="str">
        <f>"34570715"</f>
        <v>34570715</v>
      </c>
      <c r="D6262" s="2" t="s">
        <v>4558</v>
      </c>
      <c r="E6262" s="4">
        <v>3000</v>
      </c>
    </row>
    <row r="6263" spans="1:5" ht="26.25" x14ac:dyDescent="0.25">
      <c r="A6263" s="2" t="s">
        <v>1590</v>
      </c>
      <c r="B6263" s="2" t="str">
        <f>"34680716"</f>
        <v>34680716</v>
      </c>
      <c r="C6263" s="2" t="str">
        <f>"34680716"</f>
        <v>34680716</v>
      </c>
      <c r="D6263" s="2" t="s">
        <v>4558</v>
      </c>
      <c r="E6263" s="4">
        <v>3000</v>
      </c>
    </row>
    <row r="6264" spans="1:5" ht="26.25" x14ac:dyDescent="0.25">
      <c r="A6264" s="2" t="s">
        <v>1590</v>
      </c>
      <c r="B6264" s="2" t="str">
        <f>"202006101115"</f>
        <v>202006101115</v>
      </c>
      <c r="C6264" s="2" t="str">
        <f>"184905325"</f>
        <v>184905325</v>
      </c>
      <c r="D6264" s="2" t="s">
        <v>4558</v>
      </c>
      <c r="E6264" s="4">
        <v>4000</v>
      </c>
    </row>
    <row r="6265" spans="1:5" ht="26.25" x14ac:dyDescent="0.25">
      <c r="A6265" s="2" t="s">
        <v>1590</v>
      </c>
      <c r="B6265" s="2" t="str">
        <f>"67390715"</f>
        <v>67390715</v>
      </c>
      <c r="C6265" s="2" t="str">
        <f>"67390715"</f>
        <v>67390715</v>
      </c>
      <c r="D6265" s="2" t="s">
        <v>4558</v>
      </c>
      <c r="E6265" s="4">
        <v>3000</v>
      </c>
    </row>
    <row r="6266" spans="1:5" ht="26.25" x14ac:dyDescent="0.25">
      <c r="A6266" s="2" t="s">
        <v>1590</v>
      </c>
      <c r="B6266" s="2" t="str">
        <f>"202006101111"</f>
        <v>202006101111</v>
      </c>
      <c r="C6266" s="2" t="str">
        <f>"184905331"</f>
        <v>184905331</v>
      </c>
      <c r="D6266" s="2" t="s">
        <v>4559</v>
      </c>
      <c r="E6266" s="4">
        <v>4000</v>
      </c>
    </row>
    <row r="6267" spans="1:5" ht="26.25" x14ac:dyDescent="0.25">
      <c r="A6267" s="2" t="s">
        <v>1590</v>
      </c>
      <c r="B6267" s="2" t="str">
        <f>"134905319"</f>
        <v>134905319</v>
      </c>
      <c r="C6267" s="2" t="str">
        <f>"134905319"</f>
        <v>134905319</v>
      </c>
      <c r="D6267" s="2" t="s">
        <v>4560</v>
      </c>
      <c r="E6267" s="4">
        <v>3000</v>
      </c>
    </row>
    <row r="6268" spans="1:5" ht="26.25" x14ac:dyDescent="0.25">
      <c r="A6268" s="2" t="s">
        <v>1590</v>
      </c>
      <c r="B6268" s="2" t="str">
        <f>"766805161"</f>
        <v>766805161</v>
      </c>
      <c r="C6268" s="2" t="str">
        <f>"766805161"</f>
        <v>766805161</v>
      </c>
      <c r="D6268" s="2" t="s">
        <v>4561</v>
      </c>
      <c r="E6268" s="4">
        <v>3000</v>
      </c>
    </row>
    <row r="6269" spans="1:5" ht="26.25" x14ac:dyDescent="0.25">
      <c r="A6269" s="2" t="s">
        <v>1590</v>
      </c>
      <c r="B6269" s="2" t="str">
        <f>"764905161"</f>
        <v>764905161</v>
      </c>
      <c r="C6269" s="2" t="str">
        <f>"764905161"</f>
        <v>764905161</v>
      </c>
      <c r="D6269" s="2" t="s">
        <v>4561</v>
      </c>
      <c r="E6269" s="4">
        <v>3000</v>
      </c>
    </row>
    <row r="6270" spans="1:5" ht="26.25" x14ac:dyDescent="0.25">
      <c r="A6270" s="2" t="s">
        <v>1590</v>
      </c>
      <c r="B6270" s="2" t="str">
        <f>"674905310"</f>
        <v>674905310</v>
      </c>
      <c r="C6270" s="2" t="str">
        <f>"674905310"</f>
        <v>674905310</v>
      </c>
      <c r="D6270" s="2" t="s">
        <v>4562</v>
      </c>
      <c r="E6270" s="4">
        <v>3000</v>
      </c>
    </row>
    <row r="6271" spans="1:5" ht="26.25" x14ac:dyDescent="0.25">
      <c r="A6271" s="2" t="s">
        <v>1590</v>
      </c>
      <c r="B6271" s="2" t="str">
        <f>"764905310"</f>
        <v>764905310</v>
      </c>
      <c r="C6271" s="2" t="str">
        <f>"764905310"</f>
        <v>764905310</v>
      </c>
      <c r="D6271" s="2" t="s">
        <v>4562</v>
      </c>
      <c r="E6271" s="4">
        <v>3000</v>
      </c>
    </row>
    <row r="6272" spans="1:5" ht="26.25" x14ac:dyDescent="0.25">
      <c r="A6272" s="2" t="s">
        <v>1590</v>
      </c>
      <c r="B6272" s="2" t="str">
        <f>"202006101112"</f>
        <v>202006101112</v>
      </c>
      <c r="C6272" s="2" t="str">
        <f>"184905320"</f>
        <v>184905320</v>
      </c>
      <c r="D6272" s="2" t="s">
        <v>4563</v>
      </c>
      <c r="E6272" s="4">
        <v>4000</v>
      </c>
    </row>
    <row r="6273" spans="1:5" ht="26.25" x14ac:dyDescent="0.25">
      <c r="A6273" s="2" t="s">
        <v>1590</v>
      </c>
      <c r="B6273" s="2" t="str">
        <f>"34490700"</f>
        <v>34490700</v>
      </c>
      <c r="C6273" s="2" t="str">
        <f>"34490700"</f>
        <v>34490700</v>
      </c>
      <c r="D6273" s="2" t="s">
        <v>4564</v>
      </c>
      <c r="E6273" s="4">
        <v>5500</v>
      </c>
    </row>
    <row r="6274" spans="1:5" ht="26.25" x14ac:dyDescent="0.25">
      <c r="A6274" s="2" t="s">
        <v>1590</v>
      </c>
      <c r="B6274" s="2" t="str">
        <f>"684907601"</f>
        <v>684907601</v>
      </c>
      <c r="C6274" s="2" t="str">
        <f>"684907601"</f>
        <v>684907601</v>
      </c>
      <c r="D6274" s="2" t="s">
        <v>4565</v>
      </c>
      <c r="E6274" s="4">
        <v>3000</v>
      </c>
    </row>
    <row r="6275" spans="1:5" ht="26.25" x14ac:dyDescent="0.25">
      <c r="A6275" s="2" t="s">
        <v>1590</v>
      </c>
      <c r="B6275" s="2" t="str">
        <f>"344907601"</f>
        <v>344907601</v>
      </c>
      <c r="C6275" s="2" t="str">
        <f>"344907601"</f>
        <v>344907601</v>
      </c>
      <c r="D6275" s="2" t="s">
        <v>4565</v>
      </c>
      <c r="E6275" s="4">
        <v>3000</v>
      </c>
    </row>
    <row r="6276" spans="1:5" ht="26.25" x14ac:dyDescent="0.25">
      <c r="A6276" s="2" t="s">
        <v>1590</v>
      </c>
      <c r="B6276" s="2" t="str">
        <f>"673907601"</f>
        <v>673907601</v>
      </c>
      <c r="C6276" s="2" t="str">
        <f>"673907601"</f>
        <v>673907601</v>
      </c>
      <c r="D6276" s="2" t="s">
        <v>4565</v>
      </c>
      <c r="E6276" s="4">
        <v>3000</v>
      </c>
    </row>
    <row r="6277" spans="1:5" ht="26.25" x14ac:dyDescent="0.25">
      <c r="A6277" s="2" t="s">
        <v>1590</v>
      </c>
      <c r="B6277" s="2" t="str">
        <f>"344907602"</f>
        <v>344907602</v>
      </c>
      <c r="C6277" s="2" t="str">
        <f>"344907602"</f>
        <v>344907602</v>
      </c>
      <c r="D6277" s="2" t="s">
        <v>4566</v>
      </c>
      <c r="E6277" s="4">
        <v>3000</v>
      </c>
    </row>
    <row r="6278" spans="1:5" ht="26.25" x14ac:dyDescent="0.25">
      <c r="A6278" s="2" t="s">
        <v>1590</v>
      </c>
      <c r="B6278" s="2" t="str">
        <f>"673907602"</f>
        <v>673907602</v>
      </c>
      <c r="C6278" s="2" t="str">
        <f>"673907602"</f>
        <v>673907602</v>
      </c>
      <c r="D6278" s="2" t="s">
        <v>4566</v>
      </c>
      <c r="E6278" s="4">
        <v>3000</v>
      </c>
    </row>
    <row r="6279" spans="1:5" ht="26.25" x14ac:dyDescent="0.25">
      <c r="A6279" s="2" t="s">
        <v>1590</v>
      </c>
      <c r="B6279" s="2" t="str">
        <f>"344907603"</f>
        <v>344907603</v>
      </c>
      <c r="C6279" s="2" t="str">
        <f>"344907603"</f>
        <v>344907603</v>
      </c>
      <c r="D6279" s="2" t="s">
        <v>4567</v>
      </c>
      <c r="E6279" s="4">
        <v>3000</v>
      </c>
    </row>
    <row r="6280" spans="1:5" ht="26.25" x14ac:dyDescent="0.25">
      <c r="A6280" s="2" t="s">
        <v>1590</v>
      </c>
      <c r="B6280" s="2" t="str">
        <f>"764907605"</f>
        <v>764907605</v>
      </c>
      <c r="C6280" s="2" t="str">
        <f>"764907605"</f>
        <v>764907605</v>
      </c>
      <c r="D6280" s="2" t="s">
        <v>4568</v>
      </c>
      <c r="E6280" s="4">
        <v>3000</v>
      </c>
    </row>
    <row r="6281" spans="1:5" ht="26.25" x14ac:dyDescent="0.25">
      <c r="A6281" s="2" t="s">
        <v>1590</v>
      </c>
      <c r="B6281" s="2" t="str">
        <f>"764907606"</f>
        <v>764907606</v>
      </c>
      <c r="C6281" s="2" t="str">
        <f>"764907606"</f>
        <v>764907606</v>
      </c>
      <c r="D6281" s="2" t="s">
        <v>4569</v>
      </c>
      <c r="E6281" s="4">
        <v>3000</v>
      </c>
    </row>
    <row r="6282" spans="1:5" ht="26.25" x14ac:dyDescent="0.25">
      <c r="A6282" s="2" t="s">
        <v>1590</v>
      </c>
      <c r="B6282" s="2" t="str">
        <f>"764907607"</f>
        <v>764907607</v>
      </c>
      <c r="C6282" s="2" t="str">
        <f>"764907607"</f>
        <v>764907607</v>
      </c>
      <c r="D6282" s="2" t="s">
        <v>4570</v>
      </c>
      <c r="E6282" s="4">
        <v>3000</v>
      </c>
    </row>
    <row r="6283" spans="1:5" ht="26.25" x14ac:dyDescent="0.25">
      <c r="A6283" s="2" t="s">
        <v>1590</v>
      </c>
      <c r="B6283" s="2" t="str">
        <f>"764907608"</f>
        <v>764907608</v>
      </c>
      <c r="C6283" s="2" t="str">
        <f>"764907608"</f>
        <v>764907608</v>
      </c>
      <c r="D6283" s="2" t="s">
        <v>4571</v>
      </c>
      <c r="E6283" s="4">
        <v>3000</v>
      </c>
    </row>
    <row r="6284" spans="1:5" ht="26.25" x14ac:dyDescent="0.25">
      <c r="A6284" s="2" t="s">
        <v>1590</v>
      </c>
      <c r="B6284" s="2" t="str">
        <f>"76490714"</f>
        <v>76490714</v>
      </c>
      <c r="C6284" s="2" t="str">
        <f>"76490714"</f>
        <v>76490714</v>
      </c>
      <c r="D6284" s="2" t="s">
        <v>4572</v>
      </c>
      <c r="E6284" s="4">
        <v>3000</v>
      </c>
    </row>
    <row r="6285" spans="1:5" ht="26.25" x14ac:dyDescent="0.25">
      <c r="A6285" s="2" t="s">
        <v>1590</v>
      </c>
      <c r="B6285" s="2" t="str">
        <f>"76570714"</f>
        <v>76570714</v>
      </c>
      <c r="C6285" s="2" t="str">
        <f>"76570714"</f>
        <v>76570714</v>
      </c>
      <c r="D6285" s="2" t="s">
        <v>4572</v>
      </c>
      <c r="E6285" s="4">
        <v>4000</v>
      </c>
    </row>
    <row r="6286" spans="1:5" ht="26.25" x14ac:dyDescent="0.25">
      <c r="A6286" s="2" t="s">
        <v>1590</v>
      </c>
      <c r="B6286" s="2" t="str">
        <f>"2019512588033"</f>
        <v>2019512588033</v>
      </c>
      <c r="C6286" s="2" t="str">
        <f>"34490715"</f>
        <v>34490715</v>
      </c>
      <c r="D6286" s="2" t="s">
        <v>4573</v>
      </c>
      <c r="E6286" s="4">
        <v>3000</v>
      </c>
    </row>
    <row r="6287" spans="1:5" ht="26.25" x14ac:dyDescent="0.25">
      <c r="A6287" s="2" t="s">
        <v>1590</v>
      </c>
      <c r="B6287" s="2" t="str">
        <f>"34680715"</f>
        <v>34680715</v>
      </c>
      <c r="C6287" s="2" t="str">
        <f>"34680715"</f>
        <v>34680715</v>
      </c>
      <c r="D6287" s="2" t="s">
        <v>4573</v>
      </c>
      <c r="E6287" s="4">
        <v>3000</v>
      </c>
    </row>
    <row r="6288" spans="1:5" ht="26.25" x14ac:dyDescent="0.25">
      <c r="A6288" s="2" t="s">
        <v>1590</v>
      </c>
      <c r="B6288" s="2" t="str">
        <f>"76570716"</f>
        <v>76570716</v>
      </c>
      <c r="C6288" s="2" t="str">
        <f>"76570716"</f>
        <v>76570716</v>
      </c>
      <c r="D6288" s="2" t="s">
        <v>4573</v>
      </c>
      <c r="E6288" s="4">
        <v>4000</v>
      </c>
    </row>
    <row r="6289" spans="1:5" ht="26.25" x14ac:dyDescent="0.25">
      <c r="A6289" s="2" t="s">
        <v>1590</v>
      </c>
      <c r="B6289" s="2" t="str">
        <f>"34680720"</f>
        <v>34680720</v>
      </c>
      <c r="C6289" s="2" t="str">
        <f>"34680720"</f>
        <v>34680720</v>
      </c>
      <c r="D6289" s="2" t="s">
        <v>4573</v>
      </c>
      <c r="E6289" s="4">
        <v>3000</v>
      </c>
    </row>
    <row r="6290" spans="1:5" ht="26.25" x14ac:dyDescent="0.25">
      <c r="A6290" s="2" t="s">
        <v>1590</v>
      </c>
      <c r="B6290" s="2" t="str">
        <f>"767470720"</f>
        <v>767470720</v>
      </c>
      <c r="C6290" s="2" t="str">
        <f>"767470720"</f>
        <v>767470720</v>
      </c>
      <c r="D6290" s="2" t="s">
        <v>4573</v>
      </c>
      <c r="E6290" s="4">
        <v>3000</v>
      </c>
    </row>
    <row r="6291" spans="1:5" ht="26.25" x14ac:dyDescent="0.25">
      <c r="A6291" s="2" t="s">
        <v>1590</v>
      </c>
      <c r="B6291" s="2" t="str">
        <f>"76460715"</f>
        <v>76460715</v>
      </c>
      <c r="C6291" s="2" t="str">
        <f>"76460715"</f>
        <v>76460715</v>
      </c>
      <c r="D6291" s="2" t="s">
        <v>4573</v>
      </c>
      <c r="E6291" s="4">
        <v>4500</v>
      </c>
    </row>
    <row r="6292" spans="1:5" ht="26.25" x14ac:dyDescent="0.25">
      <c r="A6292" s="2" t="s">
        <v>1590</v>
      </c>
      <c r="B6292" s="2" t="str">
        <f>"76490715"</f>
        <v>76490715</v>
      </c>
      <c r="C6292" s="2" t="str">
        <f>"76490715"</f>
        <v>76490715</v>
      </c>
      <c r="D6292" s="2" t="s">
        <v>4573</v>
      </c>
      <c r="E6292" s="4">
        <v>3000</v>
      </c>
    </row>
    <row r="6293" spans="1:5" ht="26.25" x14ac:dyDescent="0.25">
      <c r="A6293" s="2" t="s">
        <v>1590</v>
      </c>
      <c r="B6293" s="2" t="str">
        <f>"76490720"</f>
        <v>76490720</v>
      </c>
      <c r="C6293" s="2" t="str">
        <f>"76490720"</f>
        <v>76490720</v>
      </c>
      <c r="D6293" s="2" t="s">
        <v>4573</v>
      </c>
      <c r="E6293" s="4">
        <v>3000</v>
      </c>
    </row>
    <row r="6294" spans="1:5" ht="26.25" x14ac:dyDescent="0.25">
      <c r="A6294" s="2" t="s">
        <v>1590</v>
      </c>
      <c r="B6294" s="2" t="str">
        <f>"76570715"</f>
        <v>76570715</v>
      </c>
      <c r="C6294" s="2" t="str">
        <f>"76570715"</f>
        <v>76570715</v>
      </c>
      <c r="D6294" s="2" t="s">
        <v>4573</v>
      </c>
      <c r="E6294" s="4">
        <v>4000</v>
      </c>
    </row>
    <row r="6295" spans="1:5" ht="26.25" x14ac:dyDescent="0.25">
      <c r="A6295" s="2" t="s">
        <v>1590</v>
      </c>
      <c r="B6295" s="2" t="str">
        <f>"76570720"</f>
        <v>76570720</v>
      </c>
      <c r="C6295" s="2" t="str">
        <f>"76570720"</f>
        <v>76570720</v>
      </c>
      <c r="D6295" s="2" t="s">
        <v>4573</v>
      </c>
      <c r="E6295" s="4">
        <v>4000</v>
      </c>
    </row>
    <row r="6296" spans="1:5" ht="26.25" x14ac:dyDescent="0.25">
      <c r="A6296" s="2" t="s">
        <v>1590</v>
      </c>
      <c r="B6296" s="2" t="str">
        <f>"76680715"</f>
        <v>76680715</v>
      </c>
      <c r="C6296" s="2" t="str">
        <f>"76680715"</f>
        <v>76680715</v>
      </c>
      <c r="D6296" s="2" t="s">
        <v>4573</v>
      </c>
      <c r="E6296" s="4">
        <v>3000</v>
      </c>
    </row>
    <row r="6297" spans="1:5" ht="26.25" x14ac:dyDescent="0.25">
      <c r="A6297" s="2" t="s">
        <v>1590</v>
      </c>
      <c r="B6297" s="2" t="str">
        <f>"76680720"</f>
        <v>76680720</v>
      </c>
      <c r="C6297" s="2" t="str">
        <f>"76680720"</f>
        <v>76680720</v>
      </c>
      <c r="D6297" s="2" t="s">
        <v>4573</v>
      </c>
      <c r="E6297" s="4">
        <v>3000</v>
      </c>
    </row>
    <row r="6298" spans="1:5" ht="26.25" x14ac:dyDescent="0.25">
      <c r="A6298" s="2" t="s">
        <v>1590</v>
      </c>
      <c r="B6298" s="2" t="str">
        <f>"41490715"</f>
        <v>41490715</v>
      </c>
      <c r="C6298" s="2" t="str">
        <f>"41490715"</f>
        <v>41490715</v>
      </c>
      <c r="D6298" s="2" t="s">
        <v>4573</v>
      </c>
      <c r="E6298" s="4">
        <v>3000</v>
      </c>
    </row>
    <row r="6299" spans="1:5" ht="26.25" x14ac:dyDescent="0.25">
      <c r="A6299" s="2" t="s">
        <v>1590</v>
      </c>
      <c r="B6299" s="2" t="str">
        <f>"34570716"</f>
        <v>34570716</v>
      </c>
      <c r="C6299" s="2" t="str">
        <f>"34570716"</f>
        <v>34570716</v>
      </c>
      <c r="D6299" s="2" t="s">
        <v>4574</v>
      </c>
      <c r="E6299" s="4">
        <v>4500</v>
      </c>
    </row>
    <row r="6300" spans="1:5" ht="26.25" x14ac:dyDescent="0.25">
      <c r="A6300" s="2" t="s">
        <v>1590</v>
      </c>
      <c r="B6300" s="2" t="str">
        <f>"2019030200029"</f>
        <v>2019030200029</v>
      </c>
      <c r="C6300" s="2" t="str">
        <f>"17490716"</f>
        <v>17490716</v>
      </c>
      <c r="D6300" s="2" t="s">
        <v>4574</v>
      </c>
      <c r="E6300" s="4">
        <v>3000</v>
      </c>
    </row>
    <row r="6301" spans="1:5" ht="26.25" x14ac:dyDescent="0.25">
      <c r="A6301" s="2" t="s">
        <v>1590</v>
      </c>
      <c r="B6301" s="2" t="str">
        <f>"68490716"</f>
        <v>68490716</v>
      </c>
      <c r="C6301" s="2" t="str">
        <f>"68490716"</f>
        <v>68490716</v>
      </c>
      <c r="D6301" s="2" t="s">
        <v>4574</v>
      </c>
      <c r="E6301" s="4">
        <v>3000</v>
      </c>
    </row>
    <row r="6302" spans="1:5" ht="26.25" x14ac:dyDescent="0.25">
      <c r="A6302" s="2" t="s">
        <v>1590</v>
      </c>
      <c r="B6302" s="2" t="str">
        <f>"67390716"</f>
        <v>67390716</v>
      </c>
      <c r="C6302" s="2" t="str">
        <f>"67390716"</f>
        <v>67390716</v>
      </c>
      <c r="D6302" s="2" t="s">
        <v>4574</v>
      </c>
      <c r="E6302" s="4">
        <v>3000</v>
      </c>
    </row>
    <row r="6303" spans="1:5" ht="26.25" x14ac:dyDescent="0.25">
      <c r="A6303" s="2" t="s">
        <v>1590</v>
      </c>
      <c r="B6303" s="2" t="str">
        <f>"76460716"</f>
        <v>76460716</v>
      </c>
      <c r="C6303" s="2" t="str">
        <f>"76460716"</f>
        <v>76460716</v>
      </c>
      <c r="D6303" s="2" t="s">
        <v>4574</v>
      </c>
      <c r="E6303" s="4">
        <v>3000</v>
      </c>
    </row>
    <row r="6304" spans="1:5" ht="26.25" x14ac:dyDescent="0.25">
      <c r="A6304" s="2" t="s">
        <v>1590</v>
      </c>
      <c r="B6304" s="2" t="str">
        <f>"76490716"</f>
        <v>76490716</v>
      </c>
      <c r="C6304" s="2" t="str">
        <f>"76490716"</f>
        <v>76490716</v>
      </c>
      <c r="D6304" s="2" t="s">
        <v>4574</v>
      </c>
      <c r="E6304" s="4">
        <v>3000</v>
      </c>
    </row>
    <row r="6305" spans="1:5" ht="26.25" x14ac:dyDescent="0.25">
      <c r="A6305" s="2" t="s">
        <v>1590</v>
      </c>
      <c r="B6305" s="2" t="str">
        <f>"76680716"</f>
        <v>76680716</v>
      </c>
      <c r="C6305" s="2" t="str">
        <f>"76680716"</f>
        <v>76680716</v>
      </c>
      <c r="D6305" s="2" t="s">
        <v>4574</v>
      </c>
      <c r="E6305" s="4">
        <v>3000</v>
      </c>
    </row>
    <row r="6306" spans="1:5" ht="26.25" x14ac:dyDescent="0.25">
      <c r="A6306" s="2" t="s">
        <v>1590</v>
      </c>
      <c r="B6306" s="2" t="str">
        <f>"764640716"</f>
        <v>764640716</v>
      </c>
      <c r="C6306" s="2" t="str">
        <f>"764640716"</f>
        <v>764640716</v>
      </c>
      <c r="D6306" s="2" t="s">
        <v>4574</v>
      </c>
      <c r="E6306" s="4">
        <v>4500</v>
      </c>
    </row>
    <row r="6307" spans="1:5" ht="26.25" x14ac:dyDescent="0.25">
      <c r="A6307" s="2" t="s">
        <v>1590</v>
      </c>
      <c r="B6307" s="2" t="str">
        <f>"41490716"</f>
        <v>41490716</v>
      </c>
      <c r="C6307" s="2" t="str">
        <f>"41490716"</f>
        <v>41490716</v>
      </c>
      <c r="D6307" s="2" t="s">
        <v>4574</v>
      </c>
      <c r="E6307" s="4">
        <v>3000</v>
      </c>
    </row>
    <row r="6308" spans="1:5" ht="26.25" x14ac:dyDescent="0.25">
      <c r="A6308" s="2" t="s">
        <v>19</v>
      </c>
      <c r="B6308" s="2" t="str">
        <f>"2019512588034"</f>
        <v>2019512588034</v>
      </c>
      <c r="C6308" s="2" t="str">
        <f>"34490716"</f>
        <v>34490716</v>
      </c>
      <c r="D6308" s="2" t="s">
        <v>4574</v>
      </c>
      <c r="E6308" s="4">
        <v>3000</v>
      </c>
    </row>
    <row r="6309" spans="1:5" ht="26.25" x14ac:dyDescent="0.25">
      <c r="A6309" s="2" t="s">
        <v>1590</v>
      </c>
      <c r="B6309" s="2" t="str">
        <f>"76490717"</f>
        <v>76490717</v>
      </c>
      <c r="C6309" s="2" t="str">
        <f>"76490717"</f>
        <v>76490717</v>
      </c>
      <c r="D6309" s="2" t="s">
        <v>4575</v>
      </c>
      <c r="E6309" s="4">
        <v>3000</v>
      </c>
    </row>
    <row r="6310" spans="1:5" ht="26.25" x14ac:dyDescent="0.25">
      <c r="A6310" s="2" t="s">
        <v>1590</v>
      </c>
      <c r="B6310" s="2" t="str">
        <f>"76680717"</f>
        <v>76680717</v>
      </c>
      <c r="C6310" s="2" t="str">
        <f>"76680717"</f>
        <v>76680717</v>
      </c>
      <c r="D6310" s="2" t="s">
        <v>4575</v>
      </c>
      <c r="E6310" s="4">
        <v>3000</v>
      </c>
    </row>
    <row r="6311" spans="1:5" ht="26.25" x14ac:dyDescent="0.25">
      <c r="A6311" s="2" t="s">
        <v>1590</v>
      </c>
      <c r="B6311" s="2" t="str">
        <f>"34680717"</f>
        <v>34680717</v>
      </c>
      <c r="C6311" s="2" t="str">
        <f>"34680717"</f>
        <v>34680717</v>
      </c>
      <c r="D6311" s="2" t="s">
        <v>4575</v>
      </c>
      <c r="E6311" s="4">
        <v>3000</v>
      </c>
    </row>
    <row r="6312" spans="1:5" ht="26.25" x14ac:dyDescent="0.25">
      <c r="A6312" s="2" t="s">
        <v>1590</v>
      </c>
      <c r="B6312" s="2" t="str">
        <f>"17490717"</f>
        <v>17490717</v>
      </c>
      <c r="C6312" s="2" t="str">
        <f>"17490717"</f>
        <v>17490717</v>
      </c>
      <c r="D6312" s="2" t="s">
        <v>4575</v>
      </c>
      <c r="E6312" s="4">
        <v>3000</v>
      </c>
    </row>
    <row r="6313" spans="1:5" ht="26.25" x14ac:dyDescent="0.25">
      <c r="A6313" s="2" t="s">
        <v>1590</v>
      </c>
      <c r="B6313" s="2" t="str">
        <f>"1000001080703"</f>
        <v>1000001080703</v>
      </c>
      <c r="C6313" s="2" t="str">
        <f>"764907253"</f>
        <v>764907253</v>
      </c>
      <c r="D6313" s="2" t="s">
        <v>4576</v>
      </c>
      <c r="E6313" s="4">
        <v>3000</v>
      </c>
    </row>
    <row r="6314" spans="1:5" ht="26.25" x14ac:dyDescent="0.25">
      <c r="A6314" s="2" t="s">
        <v>1590</v>
      </c>
      <c r="B6314" s="2" t="str">
        <f>"766807253"</f>
        <v>766807253</v>
      </c>
      <c r="C6314" s="2" t="str">
        <f>"766807253"</f>
        <v>766807253</v>
      </c>
      <c r="D6314" s="2" t="s">
        <v>4576</v>
      </c>
      <c r="E6314" s="4">
        <v>3000</v>
      </c>
    </row>
    <row r="6315" spans="1:5" ht="26.25" x14ac:dyDescent="0.25">
      <c r="A6315" s="2" t="s">
        <v>1590</v>
      </c>
      <c r="B6315" s="2" t="str">
        <f>"414907253"</f>
        <v>414907253</v>
      </c>
      <c r="C6315" s="2" t="str">
        <f>"414907253"</f>
        <v>414907253</v>
      </c>
      <c r="D6315" s="2" t="s">
        <v>4576</v>
      </c>
      <c r="E6315" s="4">
        <v>3000</v>
      </c>
    </row>
    <row r="6316" spans="1:5" ht="26.25" x14ac:dyDescent="0.25">
      <c r="A6316" s="2" t="s">
        <v>1590</v>
      </c>
      <c r="B6316" s="2" t="str">
        <f>"174907253"</f>
        <v>174907253</v>
      </c>
      <c r="C6316" s="2" t="str">
        <f>"174907253"</f>
        <v>174907253</v>
      </c>
      <c r="D6316" s="2" t="s">
        <v>4576</v>
      </c>
      <c r="E6316" s="4">
        <v>3000</v>
      </c>
    </row>
    <row r="6317" spans="1:5" ht="26.25" x14ac:dyDescent="0.25">
      <c r="A6317" s="2" t="s">
        <v>1590</v>
      </c>
      <c r="B6317" s="2" t="str">
        <f>"764807254"</f>
        <v>764807254</v>
      </c>
      <c r="C6317" s="2" t="str">
        <f>"764807254"</f>
        <v>764807254</v>
      </c>
      <c r="D6317" s="2" t="s">
        <v>4577</v>
      </c>
      <c r="E6317" s="4">
        <v>4000</v>
      </c>
    </row>
    <row r="6318" spans="1:5" ht="26.25" x14ac:dyDescent="0.25">
      <c r="A6318" s="2" t="s">
        <v>1590</v>
      </c>
      <c r="B6318" s="2" t="str">
        <f>"344907254"</f>
        <v>344907254</v>
      </c>
      <c r="C6318" s="2" t="str">
        <f>"344907254"</f>
        <v>344907254</v>
      </c>
      <c r="D6318" s="2" t="s">
        <v>4577</v>
      </c>
      <c r="E6318" s="4">
        <v>3000</v>
      </c>
    </row>
    <row r="6319" spans="1:5" ht="26.25" x14ac:dyDescent="0.25">
      <c r="A6319" s="2" t="s">
        <v>1590</v>
      </c>
      <c r="B6319" s="2" t="str">
        <f>"1000001095820"</f>
        <v>1000001095820</v>
      </c>
      <c r="C6319" s="2" t="str">
        <f>"764907254"</f>
        <v>764907254</v>
      </c>
      <c r="D6319" s="2" t="s">
        <v>4577</v>
      </c>
      <c r="E6319" s="4">
        <v>3000</v>
      </c>
    </row>
    <row r="6320" spans="1:5" ht="26.25" x14ac:dyDescent="0.25">
      <c r="A6320" s="2" t="s">
        <v>1590</v>
      </c>
      <c r="B6320" s="2" t="str">
        <f>"766807254"</f>
        <v>766807254</v>
      </c>
      <c r="C6320" s="2" t="str">
        <f>"766807254"</f>
        <v>766807254</v>
      </c>
      <c r="D6320" s="2" t="s">
        <v>4577</v>
      </c>
      <c r="E6320" s="4">
        <v>3000</v>
      </c>
    </row>
    <row r="6321" spans="1:5" ht="26.25" x14ac:dyDescent="0.25">
      <c r="A6321" s="2" t="s">
        <v>1590</v>
      </c>
      <c r="B6321" s="2" t="str">
        <f>"174907254"</f>
        <v>174907254</v>
      </c>
      <c r="C6321" s="2" t="str">
        <f>"174907254"</f>
        <v>174907254</v>
      </c>
      <c r="D6321" s="2" t="s">
        <v>4577</v>
      </c>
      <c r="E6321" s="4">
        <v>3000</v>
      </c>
    </row>
    <row r="6322" spans="1:5" ht="26.25" x14ac:dyDescent="0.25">
      <c r="A6322" s="2" t="s">
        <v>1590</v>
      </c>
      <c r="B6322" s="2" t="str">
        <f>"764907255"</f>
        <v>764907255</v>
      </c>
      <c r="C6322" s="2" t="str">
        <f>"764907255"</f>
        <v>764907255</v>
      </c>
      <c r="D6322" s="2" t="s">
        <v>4578</v>
      </c>
      <c r="E6322" s="4">
        <v>3000</v>
      </c>
    </row>
    <row r="6323" spans="1:5" ht="26.25" x14ac:dyDescent="0.25">
      <c r="A6323" s="2" t="s">
        <v>1590</v>
      </c>
      <c r="B6323" s="2" t="str">
        <f>"766807255"</f>
        <v>766807255</v>
      </c>
      <c r="C6323" s="2" t="str">
        <f>"766807255"</f>
        <v>766807255</v>
      </c>
      <c r="D6323" s="2" t="s">
        <v>4578</v>
      </c>
      <c r="E6323" s="4">
        <v>3000</v>
      </c>
    </row>
    <row r="6324" spans="1:5" ht="26.25" x14ac:dyDescent="0.25">
      <c r="A6324" s="2" t="s">
        <v>1590</v>
      </c>
      <c r="B6324" s="2" t="str">
        <f>"174807256"</f>
        <v>174807256</v>
      </c>
      <c r="C6324" s="2" t="str">
        <f>"174807256"</f>
        <v>174807256</v>
      </c>
      <c r="D6324" s="2" t="s">
        <v>4579</v>
      </c>
      <c r="E6324" s="4">
        <v>3500</v>
      </c>
    </row>
    <row r="6325" spans="1:5" ht="26.25" x14ac:dyDescent="0.25">
      <c r="A6325" s="2" t="s">
        <v>1590</v>
      </c>
      <c r="B6325" s="2" t="str">
        <f>"766807256"</f>
        <v>766807256</v>
      </c>
      <c r="C6325" s="2" t="str">
        <f>"766807256"</f>
        <v>766807256</v>
      </c>
      <c r="D6325" s="2" t="s">
        <v>4579</v>
      </c>
      <c r="E6325" s="4">
        <v>3000</v>
      </c>
    </row>
    <row r="6326" spans="1:5" ht="26.25" x14ac:dyDescent="0.25">
      <c r="A6326" s="2" t="s">
        <v>1590</v>
      </c>
      <c r="B6326" s="2" t="str">
        <f>"764907256"</f>
        <v>764907256</v>
      </c>
      <c r="C6326" s="2" t="str">
        <f>"764907256"</f>
        <v>764907256</v>
      </c>
      <c r="D6326" s="2" t="s">
        <v>4579</v>
      </c>
      <c r="E6326" s="4">
        <v>3000</v>
      </c>
    </row>
    <row r="6327" spans="1:5" ht="26.25" x14ac:dyDescent="0.25">
      <c r="A6327" s="2" t="s">
        <v>1590</v>
      </c>
      <c r="B6327" s="2" t="str">
        <f>"766807257"</f>
        <v>766807257</v>
      </c>
      <c r="C6327" s="2" t="str">
        <f>"766807257"</f>
        <v>766807257</v>
      </c>
      <c r="D6327" s="2" t="s">
        <v>4580</v>
      </c>
      <c r="E6327" s="4">
        <v>3500</v>
      </c>
    </row>
    <row r="6328" spans="1:5" ht="26.25" x14ac:dyDescent="0.25">
      <c r="A6328" s="2" t="s">
        <v>1590</v>
      </c>
      <c r="B6328" s="2" t="str">
        <f>"764907257"</f>
        <v>764907257</v>
      </c>
      <c r="C6328" s="2" t="str">
        <f>"764907257"</f>
        <v>764907257</v>
      </c>
      <c r="D6328" s="2" t="s">
        <v>4580</v>
      </c>
      <c r="E6328" s="4">
        <v>3000</v>
      </c>
    </row>
    <row r="6329" spans="1:5" ht="26.25" x14ac:dyDescent="0.25">
      <c r="A6329" s="2" t="s">
        <v>1590</v>
      </c>
      <c r="B6329" s="2" t="str">
        <f>"346807257"</f>
        <v>346807257</v>
      </c>
      <c r="C6329" s="2" t="str">
        <f>"346807257"</f>
        <v>346807257</v>
      </c>
      <c r="D6329" s="2" t="s">
        <v>4580</v>
      </c>
      <c r="E6329" s="4">
        <v>3000</v>
      </c>
    </row>
    <row r="6330" spans="1:5" ht="26.25" x14ac:dyDescent="0.25">
      <c r="A6330" s="2" t="s">
        <v>1590</v>
      </c>
      <c r="B6330" s="2" t="str">
        <f>"134907259"</f>
        <v>134907259</v>
      </c>
      <c r="C6330" s="2" t="str">
        <f>"134907259"</f>
        <v>134907259</v>
      </c>
      <c r="D6330" s="2" t="s">
        <v>4581</v>
      </c>
      <c r="E6330" s="4">
        <v>3000</v>
      </c>
    </row>
    <row r="6331" spans="1:5" ht="26.25" x14ac:dyDescent="0.25">
      <c r="A6331" s="2" t="s">
        <v>1590</v>
      </c>
      <c r="B6331" s="2" t="str">
        <f>"764907258"</f>
        <v>764907258</v>
      </c>
      <c r="C6331" s="2" t="str">
        <f>"764907258"</f>
        <v>764907258</v>
      </c>
      <c r="D6331" s="2" t="s">
        <v>4582</v>
      </c>
      <c r="E6331" s="4">
        <v>3500</v>
      </c>
    </row>
    <row r="6332" spans="1:5" ht="26.25" x14ac:dyDescent="0.25">
      <c r="A6332" s="2" t="s">
        <v>1590</v>
      </c>
      <c r="B6332" s="2" t="str">
        <f>"764907300"</f>
        <v>764907300</v>
      </c>
      <c r="C6332" s="2" t="str">
        <f>"764907300"</f>
        <v>764907300</v>
      </c>
      <c r="D6332" s="2" t="s">
        <v>4583</v>
      </c>
      <c r="E6332" s="4">
        <v>3500</v>
      </c>
    </row>
    <row r="6333" spans="1:5" ht="26.25" x14ac:dyDescent="0.25">
      <c r="A6333" s="2" t="s">
        <v>1590</v>
      </c>
      <c r="B6333" s="2" t="str">
        <f>"766807300"</f>
        <v>766807300</v>
      </c>
      <c r="C6333" s="2" t="str">
        <f>"766807300"</f>
        <v>766807300</v>
      </c>
      <c r="D6333" s="2" t="s">
        <v>4583</v>
      </c>
      <c r="E6333" s="4">
        <v>3000</v>
      </c>
    </row>
    <row r="6334" spans="1:5" ht="26.25" x14ac:dyDescent="0.25">
      <c r="A6334" s="2" t="s">
        <v>1590</v>
      </c>
      <c r="B6334" s="2" t="str">
        <f>"764907600"</f>
        <v>764907600</v>
      </c>
      <c r="C6334" s="2" t="str">
        <f>"764907600"</f>
        <v>764907600</v>
      </c>
      <c r="D6334" s="2" t="s">
        <v>4583</v>
      </c>
      <c r="E6334" s="4">
        <v>3000</v>
      </c>
    </row>
    <row r="6335" spans="1:5" ht="26.25" x14ac:dyDescent="0.25">
      <c r="A6335" s="2" t="s">
        <v>1590</v>
      </c>
      <c r="B6335" s="2" t="str">
        <f>"134907600"</f>
        <v>134907600</v>
      </c>
      <c r="C6335" s="2" t="str">
        <f>"134907600"</f>
        <v>134907600</v>
      </c>
      <c r="D6335" s="2" t="s">
        <v>4583</v>
      </c>
      <c r="E6335" s="4">
        <v>3000</v>
      </c>
    </row>
    <row r="6336" spans="1:5" ht="26.25" x14ac:dyDescent="0.25">
      <c r="A6336" s="2" t="s">
        <v>1590</v>
      </c>
      <c r="B6336" s="2" t="str">
        <f>"764832245"</f>
        <v>764832245</v>
      </c>
      <c r="C6336" s="2" t="str">
        <f>"764832245"</f>
        <v>764832245</v>
      </c>
      <c r="D6336" s="2" t="s">
        <v>4584</v>
      </c>
      <c r="E6336" s="4">
        <v>3000</v>
      </c>
    </row>
    <row r="6337" spans="1:5" ht="26.25" x14ac:dyDescent="0.25">
      <c r="A6337" s="2" t="s">
        <v>1590</v>
      </c>
      <c r="B6337" s="2" t="str">
        <f>"766832295"</f>
        <v>766832295</v>
      </c>
      <c r="C6337" s="2" t="str">
        <f>"766832295"</f>
        <v>766832295</v>
      </c>
      <c r="D6337" s="2" t="s">
        <v>4585</v>
      </c>
      <c r="E6337" s="4">
        <v>3000</v>
      </c>
    </row>
    <row r="6338" spans="1:5" ht="26.25" x14ac:dyDescent="0.25">
      <c r="A6338" s="2" t="s">
        <v>1590</v>
      </c>
      <c r="B6338" s="2" t="str">
        <f>"766832296"</f>
        <v>766832296</v>
      </c>
      <c r="C6338" s="2" t="str">
        <f>"766832296"</f>
        <v>766832296</v>
      </c>
      <c r="D6338" s="2" t="s">
        <v>4586</v>
      </c>
      <c r="E6338" s="4">
        <v>3000</v>
      </c>
    </row>
    <row r="6339" spans="1:5" ht="26.25" x14ac:dyDescent="0.25">
      <c r="A6339" s="2" t="s">
        <v>1590</v>
      </c>
      <c r="B6339" s="2" t="str">
        <f>"766832298"</f>
        <v>766832298</v>
      </c>
      <c r="C6339" s="2" t="str">
        <f>"766832298"</f>
        <v>766832298</v>
      </c>
      <c r="D6339" s="2" t="s">
        <v>4587</v>
      </c>
      <c r="E6339" s="4">
        <v>3000</v>
      </c>
    </row>
    <row r="6340" spans="1:5" ht="26.25" x14ac:dyDescent="0.25">
      <c r="A6340" s="2" t="s">
        <v>1590</v>
      </c>
      <c r="B6340" s="2" t="str">
        <f>"766832297"</f>
        <v>766832297</v>
      </c>
      <c r="C6340" s="2" t="str">
        <f>"766832297"</f>
        <v>766832297</v>
      </c>
      <c r="D6340" s="2" t="s">
        <v>4588</v>
      </c>
      <c r="E6340" s="4">
        <v>3000</v>
      </c>
    </row>
    <row r="6341" spans="1:5" ht="26.25" x14ac:dyDescent="0.25">
      <c r="A6341" s="2" t="s">
        <v>1590</v>
      </c>
      <c r="B6341" s="2" t="str">
        <f>"76560964"</f>
        <v>76560964</v>
      </c>
      <c r="C6341" s="2" t="str">
        <f>"76560964"</f>
        <v>76560964</v>
      </c>
      <c r="D6341" s="2" t="s">
        <v>4589</v>
      </c>
      <c r="E6341" s="4">
        <v>3500</v>
      </c>
    </row>
    <row r="6342" spans="1:5" ht="26.25" x14ac:dyDescent="0.25">
      <c r="A6342" s="2" t="s">
        <v>1590</v>
      </c>
      <c r="B6342" s="2" t="str">
        <f>"76560951"</f>
        <v>76560951</v>
      </c>
      <c r="C6342" s="2" t="str">
        <f>"76560951"</f>
        <v>76560951</v>
      </c>
      <c r="D6342" s="2" t="s">
        <v>4590</v>
      </c>
      <c r="E6342" s="4">
        <v>3000</v>
      </c>
    </row>
    <row r="6343" spans="1:5" ht="26.25" x14ac:dyDescent="0.25">
      <c r="A6343" s="2" t="s">
        <v>1590</v>
      </c>
      <c r="B6343" s="2" t="str">
        <f>"766809290"</f>
        <v>766809290</v>
      </c>
      <c r="C6343" s="2" t="str">
        <f>"766809290"</f>
        <v>766809290</v>
      </c>
      <c r="D6343" s="2" t="s">
        <v>4591</v>
      </c>
      <c r="E6343" s="4">
        <v>3000</v>
      </c>
    </row>
    <row r="6344" spans="1:5" ht="26.25" x14ac:dyDescent="0.25">
      <c r="A6344" s="2" t="s">
        <v>1590</v>
      </c>
      <c r="B6344" s="2" t="str">
        <f>"764909221"</f>
        <v>764909221</v>
      </c>
      <c r="C6344" s="2" t="str">
        <f>"764909221"</f>
        <v>764909221</v>
      </c>
      <c r="D6344" s="2" t="s">
        <v>4592</v>
      </c>
      <c r="E6344" s="4">
        <v>3000</v>
      </c>
    </row>
    <row r="6345" spans="1:5" ht="26.25" x14ac:dyDescent="0.25">
      <c r="A6345" s="2" t="s">
        <v>1590</v>
      </c>
      <c r="B6345" s="2" t="str">
        <f>"174909221"</f>
        <v>174909221</v>
      </c>
      <c r="C6345" s="2" t="str">
        <f>"174909221"</f>
        <v>174909221</v>
      </c>
      <c r="D6345" s="2" t="s">
        <v>4592</v>
      </c>
      <c r="E6345" s="4">
        <v>3000</v>
      </c>
    </row>
    <row r="6346" spans="1:5" ht="26.25" x14ac:dyDescent="0.25">
      <c r="A6346" s="2" t="s">
        <v>1590</v>
      </c>
      <c r="B6346" s="2" t="str">
        <f>"346809293"</f>
        <v>346809293</v>
      </c>
      <c r="C6346" s="2" t="str">
        <f>"346809293"</f>
        <v>346809293</v>
      </c>
      <c r="D6346" s="2" t="s">
        <v>4593</v>
      </c>
      <c r="E6346" s="4">
        <v>3000</v>
      </c>
    </row>
    <row r="6347" spans="1:5" ht="26.25" x14ac:dyDescent="0.25">
      <c r="A6347" s="2" t="s">
        <v>1590</v>
      </c>
      <c r="B6347" s="2" t="str">
        <f>"764909293"</f>
        <v>764909293</v>
      </c>
      <c r="C6347" s="2" t="str">
        <f>"764909293"</f>
        <v>764909293</v>
      </c>
      <c r="D6347" s="2" t="s">
        <v>4593</v>
      </c>
      <c r="E6347" s="4">
        <v>3000</v>
      </c>
    </row>
    <row r="6348" spans="1:5" ht="26.25" x14ac:dyDescent="0.25">
      <c r="A6348" s="2" t="s">
        <v>1590</v>
      </c>
      <c r="B6348" s="2" t="str">
        <f>"766809293"</f>
        <v>766809293</v>
      </c>
      <c r="C6348" s="2" t="str">
        <f>"766809293"</f>
        <v>766809293</v>
      </c>
      <c r="D6348" s="2" t="s">
        <v>4593</v>
      </c>
      <c r="E6348" s="4">
        <v>3000</v>
      </c>
    </row>
    <row r="6349" spans="1:5" ht="26.25" x14ac:dyDescent="0.25">
      <c r="A6349" s="2" t="s">
        <v>1590</v>
      </c>
      <c r="B6349" s="2" t="str">
        <f>"766809327"</f>
        <v>766809327</v>
      </c>
      <c r="C6349" s="2" t="str">
        <f>"766809327"</f>
        <v>766809327</v>
      </c>
      <c r="D6349" s="2" t="s">
        <v>4594</v>
      </c>
      <c r="E6349" s="4">
        <v>3000</v>
      </c>
    </row>
    <row r="6350" spans="1:5" ht="26.25" x14ac:dyDescent="0.25">
      <c r="A6350" s="2" t="s">
        <v>1590</v>
      </c>
      <c r="B6350" s="2" t="str">
        <f>"764909330"</f>
        <v>764909330</v>
      </c>
      <c r="C6350" s="2" t="str">
        <f>"764909330"</f>
        <v>764909330</v>
      </c>
      <c r="D6350" s="2" t="s">
        <v>4594</v>
      </c>
      <c r="E6350" s="4">
        <v>3000</v>
      </c>
    </row>
    <row r="6351" spans="1:5" ht="26.25" x14ac:dyDescent="0.25">
      <c r="A6351" s="2" t="s">
        <v>1590</v>
      </c>
      <c r="B6351" s="2" t="str">
        <f>"2019512588062"</f>
        <v>2019512588062</v>
      </c>
      <c r="C6351" s="2" t="str">
        <f>"344909334"</f>
        <v>344909334</v>
      </c>
      <c r="D6351" s="2" t="s">
        <v>4595</v>
      </c>
      <c r="E6351" s="4">
        <v>3000</v>
      </c>
    </row>
    <row r="6352" spans="1:5" ht="26.25" x14ac:dyDescent="0.25">
      <c r="A6352" s="2" t="s">
        <v>1590</v>
      </c>
      <c r="B6352" s="2" t="str">
        <f>"2019512588063"</f>
        <v>2019512588063</v>
      </c>
      <c r="C6352" s="2" t="str">
        <f>"344909333"</f>
        <v>344909333</v>
      </c>
      <c r="D6352" s="2" t="s">
        <v>4596</v>
      </c>
      <c r="E6352" s="4">
        <v>3000</v>
      </c>
    </row>
    <row r="6353" spans="1:5" ht="26.25" x14ac:dyDescent="0.25">
      <c r="A6353" s="2" t="s">
        <v>1590</v>
      </c>
      <c r="B6353" s="2" t="str">
        <f>"765609258"</f>
        <v>765609258</v>
      </c>
      <c r="C6353" s="2" t="str">
        <f>"765609258"</f>
        <v>765609258</v>
      </c>
      <c r="D6353" s="2" t="s">
        <v>4597</v>
      </c>
      <c r="E6353" s="4">
        <v>3500</v>
      </c>
    </row>
    <row r="6354" spans="1:5" ht="26.25" x14ac:dyDescent="0.25">
      <c r="A6354" s="2" t="s">
        <v>1590</v>
      </c>
      <c r="B6354" s="2" t="str">
        <f>"764909213"</f>
        <v>764909213</v>
      </c>
      <c r="C6354" s="2" t="str">
        <f>"764909213"</f>
        <v>764909213</v>
      </c>
      <c r="D6354" s="2" t="s">
        <v>4598</v>
      </c>
      <c r="E6354" s="4">
        <v>3000</v>
      </c>
    </row>
    <row r="6355" spans="1:5" ht="26.25" x14ac:dyDescent="0.25">
      <c r="A6355" s="2" t="s">
        <v>1590</v>
      </c>
      <c r="B6355" s="2" t="str">
        <f>"686809215"</f>
        <v>686809215</v>
      </c>
      <c r="C6355" s="2" t="str">
        <f>"686809215"</f>
        <v>686809215</v>
      </c>
      <c r="D6355" s="2" t="s">
        <v>4599</v>
      </c>
      <c r="E6355" s="4">
        <v>3000</v>
      </c>
    </row>
    <row r="6356" spans="1:5" ht="26.25" x14ac:dyDescent="0.25">
      <c r="A6356" s="2" t="s">
        <v>1590</v>
      </c>
      <c r="B6356" s="2" t="str">
        <f>"346809329"</f>
        <v>346809329</v>
      </c>
      <c r="C6356" s="2" t="str">
        <f>"346809329"</f>
        <v>346809329</v>
      </c>
      <c r="D6356" s="2" t="s">
        <v>4600</v>
      </c>
      <c r="E6356" s="4">
        <v>3000</v>
      </c>
    </row>
    <row r="6357" spans="1:5" ht="26.25" x14ac:dyDescent="0.25">
      <c r="A6357" s="2" t="s">
        <v>1590</v>
      </c>
      <c r="B6357" s="2" t="str">
        <f>"76480926"</f>
        <v>76480926</v>
      </c>
      <c r="C6357" s="2" t="str">
        <f>"76480926"</f>
        <v>76480926</v>
      </c>
      <c r="D6357" s="2" t="s">
        <v>4601</v>
      </c>
      <c r="E6357" s="4">
        <v>3500</v>
      </c>
    </row>
    <row r="6358" spans="1:5" ht="26.25" x14ac:dyDescent="0.25">
      <c r="A6358" s="2" t="s">
        <v>1590</v>
      </c>
      <c r="B6358" s="2" t="str">
        <f>"766809325"</f>
        <v>766809325</v>
      </c>
      <c r="C6358" s="2" t="str">
        <f>"766809325"</f>
        <v>766809325</v>
      </c>
      <c r="D6358" s="2" t="s">
        <v>4602</v>
      </c>
      <c r="E6358" s="4">
        <v>3000</v>
      </c>
    </row>
    <row r="6359" spans="1:5" ht="26.25" x14ac:dyDescent="0.25">
      <c r="A6359" s="2" t="s">
        <v>1590</v>
      </c>
      <c r="B6359" s="2" t="str">
        <f>"864909326"</f>
        <v>864909326</v>
      </c>
      <c r="C6359" s="2" t="str">
        <f>"864909326"</f>
        <v>864909326</v>
      </c>
      <c r="D6359" s="2" t="s">
        <v>4603</v>
      </c>
      <c r="E6359" s="4">
        <v>3000</v>
      </c>
    </row>
    <row r="6360" spans="1:5" ht="26.25" x14ac:dyDescent="0.25">
      <c r="A6360" s="2" t="s">
        <v>1590</v>
      </c>
      <c r="B6360" s="2" t="str">
        <f>"766809173"</f>
        <v>766809173</v>
      </c>
      <c r="C6360" s="2" t="str">
        <f>"766809173"</f>
        <v>766809173</v>
      </c>
      <c r="D6360" s="2" t="s">
        <v>4604</v>
      </c>
      <c r="E6360" s="4">
        <v>3000</v>
      </c>
    </row>
    <row r="6361" spans="1:5" ht="26.25" x14ac:dyDescent="0.25">
      <c r="A6361" s="2" t="s">
        <v>1590</v>
      </c>
      <c r="B6361" s="2" t="str">
        <f>"766809292"</f>
        <v>766809292</v>
      </c>
      <c r="C6361" s="2" t="str">
        <f>"766809292"</f>
        <v>766809292</v>
      </c>
      <c r="D6361" s="2" t="s">
        <v>4605</v>
      </c>
      <c r="E6361" s="4">
        <v>3000</v>
      </c>
    </row>
    <row r="6362" spans="1:5" ht="26.25" x14ac:dyDescent="0.25">
      <c r="A6362" s="2" t="s">
        <v>1590</v>
      </c>
      <c r="B6362" s="2" t="str">
        <f>"414909292"</f>
        <v>414909292</v>
      </c>
      <c r="C6362" s="2" t="str">
        <f>"414909292"</f>
        <v>414909292</v>
      </c>
      <c r="D6362" s="2" t="s">
        <v>4605</v>
      </c>
      <c r="E6362" s="4">
        <v>3000</v>
      </c>
    </row>
    <row r="6363" spans="1:5" ht="26.25" x14ac:dyDescent="0.25">
      <c r="A6363" s="2" t="s">
        <v>1590</v>
      </c>
      <c r="B6363" s="2" t="str">
        <f>"674909292"</f>
        <v>674909292</v>
      </c>
      <c r="C6363" s="2" t="str">
        <f>"674909292"</f>
        <v>674909292</v>
      </c>
      <c r="D6363" s="2" t="s">
        <v>4605</v>
      </c>
      <c r="E6363" s="4">
        <v>3000</v>
      </c>
    </row>
    <row r="6364" spans="1:5" ht="26.25" x14ac:dyDescent="0.25">
      <c r="A6364" s="2" t="s">
        <v>1590</v>
      </c>
      <c r="B6364" s="2" t="str">
        <f>"764809261"</f>
        <v>764809261</v>
      </c>
      <c r="C6364" s="2" t="str">
        <f>"764809261"</f>
        <v>764809261</v>
      </c>
      <c r="D6364" s="2" t="s">
        <v>4606</v>
      </c>
      <c r="E6364" s="4">
        <v>3500</v>
      </c>
    </row>
    <row r="6365" spans="1:5" ht="26.25" x14ac:dyDescent="0.25">
      <c r="A6365" s="2" t="s">
        <v>1590</v>
      </c>
      <c r="B6365" s="2" t="str">
        <f>"766809271"</f>
        <v>766809271</v>
      </c>
      <c r="C6365" s="2" t="str">
        <f>"766809271"</f>
        <v>766809271</v>
      </c>
      <c r="D6365" s="2" t="s">
        <v>4607</v>
      </c>
      <c r="E6365" s="4">
        <v>3000</v>
      </c>
    </row>
    <row r="6366" spans="1:5" ht="26.25" x14ac:dyDescent="0.25">
      <c r="A6366" s="2" t="s">
        <v>1590</v>
      </c>
      <c r="B6366" s="2" t="str">
        <f>"344909285"</f>
        <v>344909285</v>
      </c>
      <c r="C6366" s="2" t="str">
        <f>"344909285"</f>
        <v>344909285</v>
      </c>
      <c r="D6366" s="2" t="s">
        <v>4608</v>
      </c>
      <c r="E6366" s="4">
        <v>3000</v>
      </c>
    </row>
    <row r="6367" spans="1:5" ht="26.25" x14ac:dyDescent="0.25">
      <c r="A6367" s="2" t="s">
        <v>1590</v>
      </c>
      <c r="B6367" s="2" t="str">
        <f>"766809285"</f>
        <v>766809285</v>
      </c>
      <c r="C6367" s="2" t="str">
        <f>"766809285"</f>
        <v>766809285</v>
      </c>
      <c r="D6367" s="2" t="s">
        <v>4608</v>
      </c>
      <c r="E6367" s="4">
        <v>3000</v>
      </c>
    </row>
    <row r="6368" spans="1:5" ht="26.25" x14ac:dyDescent="0.25">
      <c r="A6368" s="2" t="s">
        <v>1590</v>
      </c>
      <c r="B6368" s="2" t="str">
        <f>"76490532"</f>
        <v>76490532</v>
      </c>
      <c r="C6368" s="2" t="str">
        <f>"76490532"</f>
        <v>76490532</v>
      </c>
      <c r="D6368" s="2" t="s">
        <v>4609</v>
      </c>
      <c r="E6368" s="4">
        <v>3000</v>
      </c>
    </row>
    <row r="6369" spans="1:5" ht="26.25" x14ac:dyDescent="0.25">
      <c r="A6369" s="2" t="s">
        <v>1590</v>
      </c>
      <c r="B6369" s="2" t="str">
        <f>"766810301"</f>
        <v>766810301</v>
      </c>
      <c r="C6369" s="2" t="str">
        <f>"766810301"</f>
        <v>766810301</v>
      </c>
      <c r="D6369" s="2" t="s">
        <v>4610</v>
      </c>
      <c r="E6369" s="4">
        <v>3000</v>
      </c>
    </row>
    <row r="6370" spans="1:5" ht="26.25" x14ac:dyDescent="0.25">
      <c r="A6370" s="2" t="s">
        <v>1590</v>
      </c>
      <c r="B6370" s="2" t="str">
        <f>"764910301"</f>
        <v>764910301</v>
      </c>
      <c r="C6370" s="2" t="str">
        <f>"764910301"</f>
        <v>764910301</v>
      </c>
      <c r="D6370" s="2" t="s">
        <v>4610</v>
      </c>
      <c r="E6370" s="4">
        <v>3000</v>
      </c>
    </row>
    <row r="6371" spans="1:5" ht="26.25" x14ac:dyDescent="0.25">
      <c r="A6371" s="2" t="s">
        <v>1590</v>
      </c>
      <c r="B6371" s="2" t="str">
        <f>"766810306"</f>
        <v>766810306</v>
      </c>
      <c r="C6371" s="2" t="str">
        <f>"766810306"</f>
        <v>766810306</v>
      </c>
      <c r="D6371" s="2" t="s">
        <v>4611</v>
      </c>
      <c r="E6371" s="4">
        <v>3000</v>
      </c>
    </row>
    <row r="6372" spans="1:5" ht="26.25" x14ac:dyDescent="0.25">
      <c r="A6372" s="2" t="s">
        <v>1590</v>
      </c>
      <c r="B6372" s="2" t="str">
        <f>"414910306"</f>
        <v>414910306</v>
      </c>
      <c r="C6372" s="2" t="str">
        <f>"414910306"</f>
        <v>414910306</v>
      </c>
      <c r="D6372" s="2" t="s">
        <v>4611</v>
      </c>
      <c r="E6372" s="4">
        <v>3000</v>
      </c>
    </row>
    <row r="6373" spans="1:5" ht="26.25" x14ac:dyDescent="0.25">
      <c r="A6373" s="2" t="s">
        <v>1590</v>
      </c>
      <c r="B6373" s="2" t="str">
        <f>"764910306"</f>
        <v>764910306</v>
      </c>
      <c r="C6373" s="2" t="str">
        <f>"764910306"</f>
        <v>764910306</v>
      </c>
      <c r="D6373" s="2" t="s">
        <v>4611</v>
      </c>
      <c r="E6373" s="4">
        <v>3000</v>
      </c>
    </row>
    <row r="6374" spans="1:5" ht="26.25" x14ac:dyDescent="0.25">
      <c r="A6374" s="2" t="s">
        <v>1590</v>
      </c>
      <c r="B6374" s="2" t="str">
        <f>"766810309"</f>
        <v>766810309</v>
      </c>
      <c r="C6374" s="2" t="str">
        <f>"766810309"</f>
        <v>766810309</v>
      </c>
      <c r="D6374" s="2" t="s">
        <v>4612</v>
      </c>
      <c r="E6374" s="4">
        <v>3000</v>
      </c>
    </row>
    <row r="6375" spans="1:5" ht="26.25" x14ac:dyDescent="0.25">
      <c r="A6375" s="2" t="s">
        <v>1590</v>
      </c>
      <c r="B6375" s="2" t="str">
        <f>"764910309"</f>
        <v>764910309</v>
      </c>
      <c r="C6375" s="2" t="str">
        <f>"764910309"</f>
        <v>764910309</v>
      </c>
      <c r="D6375" s="2" t="s">
        <v>4612</v>
      </c>
      <c r="E6375" s="4">
        <v>3000</v>
      </c>
    </row>
    <row r="6376" spans="1:5" ht="26.25" x14ac:dyDescent="0.25">
      <c r="A6376" s="2" t="s">
        <v>1590</v>
      </c>
      <c r="B6376" s="2" t="str">
        <f>"766810310"</f>
        <v>766810310</v>
      </c>
      <c r="C6376" s="2" t="str">
        <f>"766810310"</f>
        <v>766810310</v>
      </c>
      <c r="D6376" s="2" t="s">
        <v>4613</v>
      </c>
      <c r="E6376" s="4">
        <v>3000</v>
      </c>
    </row>
    <row r="6377" spans="1:5" ht="26.25" x14ac:dyDescent="0.25">
      <c r="A6377" s="2" t="s">
        <v>1590</v>
      </c>
      <c r="B6377" s="2" t="str">
        <f>"34681059"</f>
        <v>34681059</v>
      </c>
      <c r="C6377" s="2" t="str">
        <f>"34681059"</f>
        <v>34681059</v>
      </c>
      <c r="D6377" s="2" t="s">
        <v>4614</v>
      </c>
      <c r="E6377" s="4">
        <v>3000</v>
      </c>
    </row>
    <row r="6378" spans="1:5" ht="26.25" x14ac:dyDescent="0.25">
      <c r="A6378" s="2" t="s">
        <v>1590</v>
      </c>
      <c r="B6378" s="2" t="str">
        <f>"34681061"</f>
        <v>34681061</v>
      </c>
      <c r="C6378" s="2" t="str">
        <f>"34681061"</f>
        <v>34681061</v>
      </c>
      <c r="D6378" s="2" t="s">
        <v>4614</v>
      </c>
      <c r="E6378" s="4">
        <v>3000</v>
      </c>
    </row>
    <row r="6379" spans="1:5" ht="26.25" x14ac:dyDescent="0.25">
      <c r="A6379" s="2" t="s">
        <v>1590</v>
      </c>
      <c r="B6379" s="2" t="str">
        <f>"34681064"</f>
        <v>34681064</v>
      </c>
      <c r="C6379" s="2" t="str">
        <f>"34681064"</f>
        <v>34681064</v>
      </c>
      <c r="D6379" s="2" t="s">
        <v>4615</v>
      </c>
      <c r="E6379" s="4">
        <v>3000</v>
      </c>
    </row>
    <row r="6380" spans="1:5" ht="26.25" x14ac:dyDescent="0.25">
      <c r="A6380" s="2" t="s">
        <v>1590</v>
      </c>
      <c r="B6380" s="2" t="str">
        <f>"76681064"</f>
        <v>76681064</v>
      </c>
      <c r="C6380" s="2" t="str">
        <f>"76681064"</f>
        <v>76681064</v>
      </c>
      <c r="D6380" s="2" t="s">
        <v>4615</v>
      </c>
      <c r="E6380" s="4">
        <v>3000</v>
      </c>
    </row>
    <row r="6381" spans="1:5" ht="26.25" x14ac:dyDescent="0.25">
      <c r="A6381" s="2" t="s">
        <v>1590</v>
      </c>
      <c r="B6381" s="2" t="str">
        <f>"764910231"</f>
        <v>764910231</v>
      </c>
      <c r="C6381" s="2" t="str">
        <f>"764910231"</f>
        <v>764910231</v>
      </c>
      <c r="D6381" s="2" t="s">
        <v>4616</v>
      </c>
      <c r="E6381" s="4">
        <v>3000</v>
      </c>
    </row>
    <row r="6382" spans="1:5" ht="26.25" x14ac:dyDescent="0.25">
      <c r="A6382" s="2" t="s">
        <v>1590</v>
      </c>
      <c r="B6382" s="2" t="str">
        <f>"766810231"</f>
        <v>766810231</v>
      </c>
      <c r="C6382" s="2" t="str">
        <f>"766810231"</f>
        <v>766810231</v>
      </c>
      <c r="D6382" s="2" t="s">
        <v>4616</v>
      </c>
      <c r="E6382" s="4">
        <v>3000</v>
      </c>
    </row>
    <row r="6383" spans="1:5" ht="26.25" x14ac:dyDescent="0.25">
      <c r="A6383" s="2" t="s">
        <v>1590</v>
      </c>
      <c r="B6383" s="2" t="str">
        <f>"764910268"</f>
        <v>764910268</v>
      </c>
      <c r="C6383" s="2" t="str">
        <f>"764910268"</f>
        <v>764910268</v>
      </c>
      <c r="D6383" s="2" t="s">
        <v>4617</v>
      </c>
      <c r="E6383" s="4">
        <v>3000</v>
      </c>
    </row>
    <row r="6384" spans="1:5" ht="26.25" x14ac:dyDescent="0.25">
      <c r="A6384" s="2" t="s">
        <v>1590</v>
      </c>
      <c r="B6384" s="2" t="str">
        <f>"766810268"</f>
        <v>766810268</v>
      </c>
      <c r="C6384" s="2" t="str">
        <f>"766810268"</f>
        <v>766810268</v>
      </c>
      <c r="D6384" s="2" t="s">
        <v>4617</v>
      </c>
      <c r="E6384" s="4">
        <v>3000</v>
      </c>
    </row>
    <row r="6385" spans="1:5" ht="26.25" x14ac:dyDescent="0.25">
      <c r="A6385" s="2" t="s">
        <v>1590</v>
      </c>
      <c r="B6385" s="2" t="str">
        <f>"766810234"</f>
        <v>766810234</v>
      </c>
      <c r="C6385" s="2" t="str">
        <f>"766810234"</f>
        <v>766810234</v>
      </c>
      <c r="D6385" s="2" t="s">
        <v>4618</v>
      </c>
      <c r="E6385" s="4">
        <v>3000</v>
      </c>
    </row>
    <row r="6386" spans="1:5" ht="26.25" x14ac:dyDescent="0.25">
      <c r="A6386" s="2" t="s">
        <v>1590</v>
      </c>
      <c r="B6386" s="2" t="str">
        <f>"766810295"</f>
        <v>766810295</v>
      </c>
      <c r="C6386" s="2" t="str">
        <f>"766810295"</f>
        <v>766810295</v>
      </c>
      <c r="D6386" s="2" t="s">
        <v>4619</v>
      </c>
      <c r="E6386" s="4">
        <v>3000</v>
      </c>
    </row>
    <row r="6387" spans="1:5" ht="26.25" x14ac:dyDescent="0.25">
      <c r="A6387" s="2" t="s">
        <v>1590</v>
      </c>
      <c r="B6387" s="2" t="str">
        <f>"764910295"</f>
        <v>764910295</v>
      </c>
      <c r="C6387" s="2" t="str">
        <f>"764910295"</f>
        <v>764910295</v>
      </c>
      <c r="D6387" s="2" t="s">
        <v>4619</v>
      </c>
      <c r="E6387" s="4">
        <v>3000</v>
      </c>
    </row>
    <row r="6388" spans="1:5" ht="26.25" x14ac:dyDescent="0.25">
      <c r="A6388" s="2" t="s">
        <v>1590</v>
      </c>
      <c r="B6388" s="2" t="str">
        <f>"1000001085692"</f>
        <v>1000001085692</v>
      </c>
      <c r="C6388" s="2" t="str">
        <f>"766810296"</f>
        <v>766810296</v>
      </c>
      <c r="D6388" s="2" t="s">
        <v>4620</v>
      </c>
      <c r="E6388" s="4">
        <v>3000</v>
      </c>
    </row>
    <row r="6389" spans="1:5" ht="26.25" x14ac:dyDescent="0.25">
      <c r="A6389" s="2" t="s">
        <v>1590</v>
      </c>
      <c r="B6389" s="2" t="str">
        <f>"766810299"</f>
        <v>766810299</v>
      </c>
      <c r="C6389" s="2" t="str">
        <f>"766810299"</f>
        <v>766810299</v>
      </c>
      <c r="D6389" s="2" t="s">
        <v>4621</v>
      </c>
      <c r="E6389" s="4">
        <v>3000</v>
      </c>
    </row>
    <row r="6390" spans="1:5" ht="26.25" x14ac:dyDescent="0.25">
      <c r="A6390" s="2" t="s">
        <v>1590</v>
      </c>
      <c r="B6390" s="2" t="str">
        <f>"766810298"</f>
        <v>766810298</v>
      </c>
      <c r="C6390" s="2" t="str">
        <f>"766810298"</f>
        <v>766810298</v>
      </c>
      <c r="D6390" s="2" t="s">
        <v>4622</v>
      </c>
      <c r="E6390" s="4">
        <v>3000</v>
      </c>
    </row>
    <row r="6391" spans="1:5" ht="26.25" x14ac:dyDescent="0.25">
      <c r="A6391" s="2" t="s">
        <v>1590</v>
      </c>
      <c r="B6391" s="2" t="str">
        <f>"414910298"</f>
        <v>414910298</v>
      </c>
      <c r="C6391" s="2" t="str">
        <f>"414910298"</f>
        <v>414910298</v>
      </c>
      <c r="D6391" s="2" t="s">
        <v>4622</v>
      </c>
      <c r="E6391" s="4">
        <v>3000</v>
      </c>
    </row>
    <row r="6392" spans="1:5" ht="26.25" x14ac:dyDescent="0.25">
      <c r="A6392" s="2" t="s">
        <v>1590</v>
      </c>
      <c r="B6392" s="2" t="str">
        <f>"766810308"</f>
        <v>766810308</v>
      </c>
      <c r="C6392" s="2" t="str">
        <f>"766810308"</f>
        <v>766810308</v>
      </c>
      <c r="D6392" s="2" t="s">
        <v>4623</v>
      </c>
      <c r="E6392" s="4">
        <v>3000</v>
      </c>
    </row>
    <row r="6393" spans="1:5" ht="26.25" x14ac:dyDescent="0.25">
      <c r="A6393" s="2" t="s">
        <v>1590</v>
      </c>
      <c r="B6393" s="2" t="str">
        <f>"864910312"</f>
        <v>864910312</v>
      </c>
      <c r="C6393" s="2" t="str">
        <f>"864910312"</f>
        <v>864910312</v>
      </c>
      <c r="D6393" s="2" t="s">
        <v>4624</v>
      </c>
      <c r="E6393" s="4">
        <v>3000</v>
      </c>
    </row>
    <row r="6394" spans="1:5" ht="26.25" x14ac:dyDescent="0.25">
      <c r="A6394" s="2" t="s">
        <v>1590</v>
      </c>
      <c r="B6394" s="2" t="str">
        <f>"766810312"</f>
        <v>766810312</v>
      </c>
      <c r="C6394" s="2" t="str">
        <f>"766810312"</f>
        <v>766810312</v>
      </c>
      <c r="D6394" s="2" t="s">
        <v>4624</v>
      </c>
      <c r="E6394" s="4">
        <v>3000</v>
      </c>
    </row>
    <row r="6395" spans="1:5" ht="26.25" x14ac:dyDescent="0.25">
      <c r="A6395" s="2" t="s">
        <v>1590</v>
      </c>
      <c r="B6395" s="2" t="str">
        <f>"766810307"</f>
        <v>766810307</v>
      </c>
      <c r="C6395" s="2" t="str">
        <f>"766810307"</f>
        <v>766810307</v>
      </c>
      <c r="D6395" s="2" t="s">
        <v>4625</v>
      </c>
      <c r="E6395" s="4">
        <v>3000</v>
      </c>
    </row>
    <row r="6396" spans="1:5" ht="26.25" x14ac:dyDescent="0.25">
      <c r="A6396" s="2" t="s">
        <v>1590</v>
      </c>
      <c r="B6396" s="2" t="str">
        <f>"864910307"</f>
        <v>864910307</v>
      </c>
      <c r="C6396" s="2" t="str">
        <f>"864910307"</f>
        <v>864910307</v>
      </c>
      <c r="D6396" s="2" t="s">
        <v>4625</v>
      </c>
      <c r="E6396" s="4">
        <v>3000</v>
      </c>
    </row>
    <row r="6397" spans="1:5" ht="26.25" x14ac:dyDescent="0.25">
      <c r="A6397" s="2" t="s">
        <v>1590</v>
      </c>
      <c r="B6397" s="2" t="str">
        <f>"764910314"</f>
        <v>764910314</v>
      </c>
      <c r="C6397" s="2" t="str">
        <f>"764910314"</f>
        <v>764910314</v>
      </c>
      <c r="D6397" s="2" t="s">
        <v>4626</v>
      </c>
      <c r="E6397" s="4">
        <v>3000</v>
      </c>
    </row>
    <row r="6398" spans="1:5" ht="26.25" x14ac:dyDescent="0.25">
      <c r="A6398" s="2" t="s">
        <v>1590</v>
      </c>
      <c r="B6398" s="2" t="str">
        <f>"764910315"</f>
        <v>764910315</v>
      </c>
      <c r="C6398" s="2" t="str">
        <f>"764910315"</f>
        <v>764910315</v>
      </c>
      <c r="D6398" s="2" t="s">
        <v>4627</v>
      </c>
      <c r="E6398" s="4">
        <v>3000</v>
      </c>
    </row>
    <row r="6399" spans="1:5" ht="26.25" x14ac:dyDescent="0.25">
      <c r="A6399" s="2" t="s">
        <v>1590</v>
      </c>
      <c r="B6399" s="2" t="str">
        <f>"764910313"</f>
        <v>764910313</v>
      </c>
      <c r="C6399" s="2" t="str">
        <f>"764910313"</f>
        <v>764910313</v>
      </c>
      <c r="D6399" s="2" t="s">
        <v>4628</v>
      </c>
      <c r="E6399" s="4">
        <v>3000</v>
      </c>
    </row>
    <row r="6400" spans="1:5" ht="26.25" x14ac:dyDescent="0.25">
      <c r="A6400" s="2" t="s">
        <v>1590</v>
      </c>
      <c r="B6400" s="2" t="str">
        <f>"346810121"</f>
        <v>346810121</v>
      </c>
      <c r="C6400" s="2" t="str">
        <f>"346810121"</f>
        <v>346810121</v>
      </c>
      <c r="D6400" s="2" t="s">
        <v>4629</v>
      </c>
      <c r="E6400" s="4">
        <v>3000</v>
      </c>
    </row>
    <row r="6401" spans="1:5" ht="26.25" x14ac:dyDescent="0.25">
      <c r="A6401" s="2" t="s">
        <v>1590</v>
      </c>
      <c r="B6401" s="2" t="str">
        <f>"76681082"</f>
        <v>76681082</v>
      </c>
      <c r="C6401" s="2" t="str">
        <f>"76681082"</f>
        <v>76681082</v>
      </c>
      <c r="D6401" s="2" t="s">
        <v>4630</v>
      </c>
      <c r="E6401" s="4">
        <v>3000</v>
      </c>
    </row>
    <row r="6402" spans="1:5" ht="26.25" x14ac:dyDescent="0.25">
      <c r="A6402" s="2" t="s">
        <v>1590</v>
      </c>
      <c r="B6402" s="2" t="str">
        <f>"764910305"</f>
        <v>764910305</v>
      </c>
      <c r="C6402" s="2" t="str">
        <f>"764910305"</f>
        <v>764910305</v>
      </c>
      <c r="D6402" s="2" t="s">
        <v>4631</v>
      </c>
      <c r="E6402" s="4">
        <v>3000</v>
      </c>
    </row>
    <row r="6403" spans="1:5" ht="26.25" x14ac:dyDescent="0.25">
      <c r="A6403" s="2" t="s">
        <v>1590</v>
      </c>
      <c r="B6403" s="2" t="str">
        <f>"614910305"</f>
        <v>614910305</v>
      </c>
      <c r="C6403" s="2" t="str">
        <f>"614910305"</f>
        <v>614910305</v>
      </c>
      <c r="D6403" s="2" t="s">
        <v>4631</v>
      </c>
      <c r="E6403" s="4">
        <v>3000</v>
      </c>
    </row>
    <row r="6404" spans="1:5" ht="26.25" x14ac:dyDescent="0.25">
      <c r="A6404" s="2" t="s">
        <v>1590</v>
      </c>
      <c r="B6404" s="2" t="str">
        <f>"5901737920232"</f>
        <v>5901737920232</v>
      </c>
      <c r="C6404" s="2" t="str">
        <f>"344910305"</f>
        <v>344910305</v>
      </c>
      <c r="D6404" s="2" t="s">
        <v>4631</v>
      </c>
      <c r="E6404" s="4">
        <v>3000</v>
      </c>
    </row>
    <row r="6405" spans="1:5" ht="26.25" x14ac:dyDescent="0.25">
      <c r="A6405" s="2" t="s">
        <v>1590</v>
      </c>
      <c r="B6405" s="2" t="str">
        <f>"76681025"</f>
        <v>76681025</v>
      </c>
      <c r="C6405" s="2" t="str">
        <f>"76681025"</f>
        <v>76681025</v>
      </c>
      <c r="D6405" s="2" t="s">
        <v>4632</v>
      </c>
      <c r="E6405" s="4">
        <v>3000</v>
      </c>
    </row>
    <row r="6406" spans="1:5" ht="26.25" x14ac:dyDescent="0.25">
      <c r="A6406" s="2" t="s">
        <v>1590</v>
      </c>
      <c r="B6406" s="2" t="str">
        <f>"766810305"</f>
        <v>766810305</v>
      </c>
      <c r="C6406" s="2" t="str">
        <f>"766810305"</f>
        <v>766810305</v>
      </c>
      <c r="D6406" s="2" t="s">
        <v>4632</v>
      </c>
      <c r="E6406" s="4">
        <v>3000</v>
      </c>
    </row>
    <row r="6407" spans="1:5" ht="26.25" x14ac:dyDescent="0.25">
      <c r="A6407" s="2" t="s">
        <v>1590</v>
      </c>
      <c r="B6407" s="2" t="str">
        <f>"764610305"</f>
        <v>764610305</v>
      </c>
      <c r="C6407" s="2" t="str">
        <f>"764610305"</f>
        <v>764610305</v>
      </c>
      <c r="D6407" s="2" t="s">
        <v>4632</v>
      </c>
      <c r="E6407" s="4">
        <v>3000</v>
      </c>
    </row>
    <row r="6408" spans="1:5" ht="26.25" x14ac:dyDescent="0.25">
      <c r="A6408" s="2" t="s">
        <v>1590</v>
      </c>
      <c r="B6408" s="2" t="str">
        <f>"61491025"</f>
        <v>61491025</v>
      </c>
      <c r="C6408" s="2" t="str">
        <f>"61491025"</f>
        <v>61491025</v>
      </c>
      <c r="D6408" s="2" t="s">
        <v>4632</v>
      </c>
      <c r="E6408" s="4">
        <v>3000</v>
      </c>
    </row>
    <row r="6409" spans="1:5" ht="26.25" x14ac:dyDescent="0.25">
      <c r="A6409" s="2" t="s">
        <v>1590</v>
      </c>
      <c r="B6409" s="2" t="str">
        <f>"86493161"</f>
        <v>86493161</v>
      </c>
      <c r="C6409" s="2" t="str">
        <f>"86493161"</f>
        <v>86493161</v>
      </c>
      <c r="D6409" s="2" t="s">
        <v>4633</v>
      </c>
      <c r="E6409" s="4">
        <v>3000</v>
      </c>
    </row>
    <row r="6410" spans="1:5" ht="26.25" x14ac:dyDescent="0.25">
      <c r="A6410" s="2" t="s">
        <v>1590</v>
      </c>
      <c r="B6410" s="2" t="str">
        <f>"76683163"</f>
        <v>76683163</v>
      </c>
      <c r="C6410" s="2" t="str">
        <f>"76683163"</f>
        <v>76683163</v>
      </c>
      <c r="D6410" s="2" t="s">
        <v>4634</v>
      </c>
      <c r="E6410" s="4">
        <v>3000</v>
      </c>
    </row>
    <row r="6411" spans="1:5" ht="26.25" x14ac:dyDescent="0.25">
      <c r="A6411" s="2" t="s">
        <v>1590</v>
      </c>
      <c r="B6411" s="2" t="str">
        <f>"33683163"</f>
        <v>33683163</v>
      </c>
      <c r="C6411" s="2" t="str">
        <f>"33683163"</f>
        <v>33683163</v>
      </c>
      <c r="D6411" s="2" t="s">
        <v>4634</v>
      </c>
      <c r="E6411" s="4">
        <v>3000</v>
      </c>
    </row>
    <row r="6412" spans="1:5" ht="26.25" x14ac:dyDescent="0.25">
      <c r="A6412" s="2" t="s">
        <v>1590</v>
      </c>
      <c r="B6412" s="2" t="str">
        <f>"764931631"</f>
        <v>764931631</v>
      </c>
      <c r="C6412" s="2" t="str">
        <f>"764931631"</f>
        <v>764931631</v>
      </c>
      <c r="D6412" s="2" t="s">
        <v>4635</v>
      </c>
      <c r="E6412" s="4">
        <v>3000</v>
      </c>
    </row>
    <row r="6413" spans="1:5" ht="26.25" x14ac:dyDescent="0.25">
      <c r="A6413" s="2" t="s">
        <v>1590</v>
      </c>
      <c r="B6413" s="2" t="str">
        <f>"76683165"</f>
        <v>76683165</v>
      </c>
      <c r="C6413" s="2" t="str">
        <f>"76683165"</f>
        <v>76683165</v>
      </c>
      <c r="D6413" s="2" t="s">
        <v>4636</v>
      </c>
      <c r="E6413" s="4">
        <v>3000</v>
      </c>
    </row>
    <row r="6414" spans="1:5" ht="26.25" x14ac:dyDescent="0.25">
      <c r="A6414" s="2" t="s">
        <v>1590</v>
      </c>
      <c r="B6414" s="2" t="str">
        <f>"33683165"</f>
        <v>33683165</v>
      </c>
      <c r="C6414" s="2" t="str">
        <f>"33683165"</f>
        <v>33683165</v>
      </c>
      <c r="D6414" s="2" t="s">
        <v>4636</v>
      </c>
      <c r="E6414" s="4">
        <v>3000</v>
      </c>
    </row>
    <row r="6415" spans="1:5" ht="26.25" x14ac:dyDescent="0.25">
      <c r="A6415" s="2" t="s">
        <v>1590</v>
      </c>
      <c r="B6415" s="2" t="str">
        <f>"76493165"</f>
        <v>76493165</v>
      </c>
      <c r="C6415" s="2" t="str">
        <f>"76493165"</f>
        <v>76493165</v>
      </c>
      <c r="D6415" s="2" t="s">
        <v>4636</v>
      </c>
      <c r="E6415" s="4">
        <v>3000</v>
      </c>
    </row>
    <row r="6416" spans="1:5" ht="26.25" x14ac:dyDescent="0.25">
      <c r="A6416" s="2" t="s">
        <v>1590</v>
      </c>
      <c r="B6416" s="2" t="str">
        <f>"764931651"</f>
        <v>764931651</v>
      </c>
      <c r="C6416" s="2" t="str">
        <f>"764931651"</f>
        <v>764931651</v>
      </c>
      <c r="D6416" s="2" t="s">
        <v>4637</v>
      </c>
      <c r="E6416" s="4">
        <v>3000</v>
      </c>
    </row>
    <row r="6417" spans="1:5" ht="26.25" x14ac:dyDescent="0.25">
      <c r="A6417" s="2" t="s">
        <v>1590</v>
      </c>
      <c r="B6417" s="2" t="str">
        <f>"764931652"</f>
        <v>764931652</v>
      </c>
      <c r="C6417" s="2" t="str">
        <f>"764931652"</f>
        <v>764931652</v>
      </c>
      <c r="D6417" s="2" t="s">
        <v>4638</v>
      </c>
      <c r="E6417" s="4">
        <v>3000</v>
      </c>
    </row>
    <row r="6418" spans="1:5" ht="26.25" x14ac:dyDescent="0.25">
      <c r="A6418" s="2" t="s">
        <v>1590</v>
      </c>
      <c r="B6418" s="2" t="str">
        <f>"33683166"</f>
        <v>33683166</v>
      </c>
      <c r="C6418" s="2" t="str">
        <f>"33683166"</f>
        <v>33683166</v>
      </c>
      <c r="D6418" s="2" t="s">
        <v>4639</v>
      </c>
      <c r="E6418" s="4">
        <v>3000</v>
      </c>
    </row>
    <row r="6419" spans="1:5" ht="26.25" x14ac:dyDescent="0.25">
      <c r="A6419" s="2" t="s">
        <v>1590</v>
      </c>
      <c r="B6419" s="2" t="str">
        <f>"76683166"</f>
        <v>76683166</v>
      </c>
      <c r="C6419" s="2" t="str">
        <f>"76683166"</f>
        <v>76683166</v>
      </c>
      <c r="D6419" s="2" t="s">
        <v>4639</v>
      </c>
      <c r="E6419" s="4">
        <v>3000</v>
      </c>
    </row>
    <row r="6420" spans="1:5" ht="26.25" x14ac:dyDescent="0.25">
      <c r="A6420" s="2" t="s">
        <v>1590</v>
      </c>
      <c r="B6420" s="2" t="str">
        <f>"17493166"</f>
        <v>17493166</v>
      </c>
      <c r="C6420" s="2" t="str">
        <f>"17493166"</f>
        <v>17493166</v>
      </c>
      <c r="D6420" s="2" t="s">
        <v>4639</v>
      </c>
      <c r="E6420" s="4">
        <v>3000</v>
      </c>
    </row>
    <row r="6421" spans="1:5" ht="26.25" x14ac:dyDescent="0.25">
      <c r="A6421" s="2" t="s">
        <v>1590</v>
      </c>
      <c r="B6421" s="2" t="str">
        <f>"76493166"</f>
        <v>76493166</v>
      </c>
      <c r="C6421" s="2" t="str">
        <f>"76493166"</f>
        <v>76493166</v>
      </c>
      <c r="D6421" s="2" t="s">
        <v>4639</v>
      </c>
      <c r="E6421" s="4">
        <v>3000</v>
      </c>
    </row>
    <row r="6422" spans="1:5" ht="26.25" x14ac:dyDescent="0.25">
      <c r="A6422" s="2" t="s">
        <v>1590</v>
      </c>
      <c r="B6422" s="2" t="str">
        <f>"764931661"</f>
        <v>764931661</v>
      </c>
      <c r="C6422" s="2" t="str">
        <f>"764931661"</f>
        <v>764931661</v>
      </c>
      <c r="D6422" s="2" t="s">
        <v>4640</v>
      </c>
      <c r="E6422" s="4">
        <v>3000</v>
      </c>
    </row>
    <row r="6423" spans="1:5" ht="26.25" x14ac:dyDescent="0.25">
      <c r="A6423" s="2" t="s">
        <v>1590</v>
      </c>
      <c r="B6423" s="2" t="str">
        <f>"7649316712"</f>
        <v>7649316712</v>
      </c>
      <c r="C6423" s="2" t="str">
        <f>"7649316712"</f>
        <v>7649316712</v>
      </c>
      <c r="D6423" s="2" t="s">
        <v>4641</v>
      </c>
      <c r="E6423" s="4">
        <v>3000</v>
      </c>
    </row>
    <row r="6424" spans="1:5" ht="26.25" x14ac:dyDescent="0.25">
      <c r="A6424" s="2" t="s">
        <v>1590</v>
      </c>
      <c r="B6424" s="2" t="str">
        <f>"76683168"</f>
        <v>76683168</v>
      </c>
      <c r="C6424" s="2" t="str">
        <f>"76683168"</f>
        <v>76683168</v>
      </c>
      <c r="D6424" s="2" t="s">
        <v>4642</v>
      </c>
      <c r="E6424" s="4">
        <v>3000</v>
      </c>
    </row>
    <row r="6425" spans="1:5" ht="26.25" x14ac:dyDescent="0.25">
      <c r="A6425" s="2" t="s">
        <v>1590</v>
      </c>
      <c r="B6425" s="2" t="str">
        <f>"34682419"</f>
        <v>34682419</v>
      </c>
      <c r="C6425" s="2" t="str">
        <f>"34682419"</f>
        <v>34682419</v>
      </c>
      <c r="D6425" s="2" t="s">
        <v>4643</v>
      </c>
      <c r="E6425" s="4">
        <v>3000</v>
      </c>
    </row>
    <row r="6426" spans="1:5" ht="26.25" x14ac:dyDescent="0.25">
      <c r="A6426" s="2" t="s">
        <v>1590</v>
      </c>
      <c r="B6426" s="2" t="str">
        <f>"346820119"</f>
        <v>346820119</v>
      </c>
      <c r="C6426" s="2" t="str">
        <f>"346820119"</f>
        <v>346820119</v>
      </c>
      <c r="D6426" s="2" t="s">
        <v>4643</v>
      </c>
      <c r="E6426" s="4">
        <v>3000</v>
      </c>
    </row>
    <row r="6427" spans="1:5" ht="26.25" x14ac:dyDescent="0.25">
      <c r="A6427" s="2" t="s">
        <v>1590</v>
      </c>
      <c r="B6427" s="2" t="str">
        <f>"2019512588053"</f>
        <v>2019512588053</v>
      </c>
      <c r="C6427" s="2" t="str">
        <f>"344914279"</f>
        <v>344914279</v>
      </c>
      <c r="D6427" s="2" t="s">
        <v>4644</v>
      </c>
      <c r="E6427" s="4">
        <v>3000</v>
      </c>
    </row>
    <row r="6428" spans="1:5" ht="26.25" x14ac:dyDescent="0.25">
      <c r="A6428" s="2" t="s">
        <v>1590</v>
      </c>
      <c r="B6428" s="2" t="str">
        <f>"684914284"</f>
        <v>684914284</v>
      </c>
      <c r="C6428" s="2" t="str">
        <f>"684914284"</f>
        <v>684914284</v>
      </c>
      <c r="D6428" s="2" t="s">
        <v>4645</v>
      </c>
      <c r="E6428" s="4">
        <v>3000</v>
      </c>
    </row>
    <row r="6429" spans="1:5" ht="26.25" x14ac:dyDescent="0.25">
      <c r="A6429" s="2" t="s">
        <v>1590</v>
      </c>
      <c r="B6429" s="2" t="str">
        <f>"764914284"</f>
        <v>764914284</v>
      </c>
      <c r="C6429" s="2" t="str">
        <f>"764914284"</f>
        <v>764914284</v>
      </c>
      <c r="D6429" s="2" t="s">
        <v>4645</v>
      </c>
      <c r="E6429" s="4">
        <v>3000</v>
      </c>
    </row>
    <row r="6430" spans="1:5" ht="26.25" x14ac:dyDescent="0.25">
      <c r="A6430" s="2" t="s">
        <v>1590</v>
      </c>
      <c r="B6430" s="2" t="str">
        <f>"344914197"</f>
        <v>344914197</v>
      </c>
      <c r="C6430" s="2" t="str">
        <f>"344914197"</f>
        <v>344914197</v>
      </c>
      <c r="D6430" s="2" t="s">
        <v>4646</v>
      </c>
      <c r="E6430" s="4">
        <v>3000</v>
      </c>
    </row>
    <row r="6431" spans="1:5" ht="26.25" x14ac:dyDescent="0.25">
      <c r="A6431" s="2" t="s">
        <v>1590</v>
      </c>
      <c r="B6431" s="2" t="str">
        <f>"764614197"</f>
        <v>764614197</v>
      </c>
      <c r="C6431" s="2" t="str">
        <f>"764614197"</f>
        <v>764614197</v>
      </c>
      <c r="D6431" s="2" t="s">
        <v>4646</v>
      </c>
      <c r="E6431" s="4">
        <v>3900</v>
      </c>
    </row>
    <row r="6432" spans="1:5" ht="26.25" x14ac:dyDescent="0.25">
      <c r="A6432" s="2" t="s">
        <v>1590</v>
      </c>
      <c r="B6432" s="2" t="str">
        <f>"202006101105"</f>
        <v>202006101105</v>
      </c>
      <c r="C6432" s="2" t="str">
        <f>"184914294"</f>
        <v>184914294</v>
      </c>
      <c r="D6432" s="2" t="s">
        <v>4647</v>
      </c>
      <c r="E6432" s="4">
        <v>4000</v>
      </c>
    </row>
    <row r="6433" spans="1:5" ht="26.25" x14ac:dyDescent="0.25">
      <c r="A6433" s="2" t="s">
        <v>1590</v>
      </c>
      <c r="B6433" s="2" t="str">
        <f>"76493163"</f>
        <v>76493163</v>
      </c>
      <c r="C6433" s="2" t="str">
        <f>"76493163"</f>
        <v>76493163</v>
      </c>
      <c r="D6433" s="2" t="s">
        <v>4647</v>
      </c>
      <c r="E6433" s="4">
        <v>3000</v>
      </c>
    </row>
    <row r="6434" spans="1:5" ht="26.25" x14ac:dyDescent="0.25">
      <c r="A6434" s="2" t="s">
        <v>1590</v>
      </c>
      <c r="B6434" s="2" t="str">
        <f>"34681401"</f>
        <v>34681401</v>
      </c>
      <c r="C6434" s="2" t="str">
        <f>"34681401"</f>
        <v>34681401</v>
      </c>
      <c r="D6434" s="2" t="s">
        <v>4648</v>
      </c>
      <c r="E6434" s="4">
        <v>3000</v>
      </c>
    </row>
    <row r="6435" spans="1:5" ht="26.25" x14ac:dyDescent="0.25">
      <c r="A6435" s="2" t="s">
        <v>1590</v>
      </c>
      <c r="B6435" s="2" t="str">
        <f>"344914179"</f>
        <v>344914179</v>
      </c>
      <c r="C6435" s="2" t="str">
        <f>"344914179"</f>
        <v>344914179</v>
      </c>
      <c r="D6435" s="2" t="s">
        <v>4649</v>
      </c>
      <c r="E6435" s="4">
        <v>3000</v>
      </c>
    </row>
    <row r="6436" spans="1:5" ht="26.25" x14ac:dyDescent="0.25">
      <c r="A6436" s="2" t="s">
        <v>1590</v>
      </c>
      <c r="B6436" s="2" t="str">
        <f>"764614179"</f>
        <v>764614179</v>
      </c>
      <c r="C6436" s="2" t="str">
        <f>"764614179"</f>
        <v>764614179</v>
      </c>
      <c r="D6436" s="2" t="s">
        <v>4649</v>
      </c>
      <c r="E6436" s="4">
        <v>3900</v>
      </c>
    </row>
    <row r="6437" spans="1:5" ht="26.25" x14ac:dyDescent="0.25">
      <c r="A6437" s="2" t="s">
        <v>1590</v>
      </c>
      <c r="B6437" s="2" t="str">
        <f>"766814293"</f>
        <v>766814293</v>
      </c>
      <c r="C6437" s="2" t="str">
        <f>"766814293"</f>
        <v>766814293</v>
      </c>
      <c r="D6437" s="2" t="s">
        <v>4650</v>
      </c>
      <c r="E6437" s="4">
        <v>3000</v>
      </c>
    </row>
    <row r="6438" spans="1:5" ht="26.25" x14ac:dyDescent="0.25">
      <c r="A6438" s="2" t="s">
        <v>1590</v>
      </c>
      <c r="B6438" s="2" t="str">
        <f>"202006101106"</f>
        <v>202006101106</v>
      </c>
      <c r="C6438" s="2" t="str">
        <f>"184914288"</f>
        <v>184914288</v>
      </c>
      <c r="D6438" s="2" t="s">
        <v>4651</v>
      </c>
      <c r="E6438" s="4">
        <v>4000</v>
      </c>
    </row>
    <row r="6439" spans="1:5" ht="26.25" x14ac:dyDescent="0.25">
      <c r="A6439" s="2" t="s">
        <v>1590</v>
      </c>
      <c r="B6439" s="2" t="str">
        <f>"764914258"</f>
        <v>764914258</v>
      </c>
      <c r="C6439" s="2" t="str">
        <f>"764914258"</f>
        <v>764914258</v>
      </c>
      <c r="D6439" s="2" t="s">
        <v>4652</v>
      </c>
      <c r="E6439" s="4">
        <v>3000</v>
      </c>
    </row>
    <row r="6440" spans="1:5" ht="26.25" x14ac:dyDescent="0.25">
      <c r="A6440" s="2" t="s">
        <v>1590</v>
      </c>
      <c r="B6440" s="2" t="str">
        <f>"764914259"</f>
        <v>764914259</v>
      </c>
      <c r="C6440" s="2" t="str">
        <f>"764914259"</f>
        <v>764914259</v>
      </c>
      <c r="D6440" s="2" t="s">
        <v>4653</v>
      </c>
      <c r="E6440" s="4">
        <v>3000</v>
      </c>
    </row>
    <row r="6441" spans="1:5" ht="26.25" x14ac:dyDescent="0.25">
      <c r="A6441" s="2" t="s">
        <v>1590</v>
      </c>
      <c r="B6441" s="2" t="str">
        <f>"344914177"</f>
        <v>344914177</v>
      </c>
      <c r="C6441" s="2" t="str">
        <f>"344914177"</f>
        <v>344914177</v>
      </c>
      <c r="D6441" s="2" t="s">
        <v>4654</v>
      </c>
      <c r="E6441" s="4">
        <v>3000</v>
      </c>
    </row>
    <row r="6442" spans="1:5" ht="26.25" x14ac:dyDescent="0.25">
      <c r="A6442" s="2" t="s">
        <v>1590</v>
      </c>
      <c r="B6442" s="2" t="str">
        <f>"766814294"</f>
        <v>766814294</v>
      </c>
      <c r="C6442" s="2" t="str">
        <f>"766814294"</f>
        <v>766814294</v>
      </c>
      <c r="D6442" s="2" t="s">
        <v>4655</v>
      </c>
      <c r="E6442" s="4">
        <v>3000</v>
      </c>
    </row>
    <row r="6443" spans="1:5" ht="26.25" x14ac:dyDescent="0.25">
      <c r="A6443" s="2" t="s">
        <v>1590</v>
      </c>
      <c r="B6443" s="2" t="str">
        <f>"346814294"</f>
        <v>346814294</v>
      </c>
      <c r="C6443" s="2" t="str">
        <f>"346814294"</f>
        <v>346814294</v>
      </c>
      <c r="D6443" s="2" t="s">
        <v>4655</v>
      </c>
      <c r="E6443" s="4">
        <v>3000</v>
      </c>
    </row>
    <row r="6444" spans="1:5" ht="26.25" x14ac:dyDescent="0.25">
      <c r="A6444" s="2" t="s">
        <v>1590</v>
      </c>
      <c r="B6444" s="2" t="str">
        <f>"764914265"</f>
        <v>764914265</v>
      </c>
      <c r="C6444" s="2" t="str">
        <f>"764914265"</f>
        <v>764914265</v>
      </c>
      <c r="D6444" s="2" t="s">
        <v>4656</v>
      </c>
      <c r="E6444" s="4">
        <v>3000</v>
      </c>
    </row>
    <row r="6445" spans="1:5" ht="26.25" x14ac:dyDescent="0.25">
      <c r="A6445" s="2" t="s">
        <v>1590</v>
      </c>
      <c r="B6445" s="2" t="str">
        <f>"764914277"</f>
        <v>764914277</v>
      </c>
      <c r="C6445" s="2" t="str">
        <f>"764914277"</f>
        <v>764914277</v>
      </c>
      <c r="D6445" s="2" t="s">
        <v>4657</v>
      </c>
      <c r="E6445" s="4">
        <v>3000</v>
      </c>
    </row>
    <row r="6446" spans="1:5" ht="26.25" x14ac:dyDescent="0.25">
      <c r="A6446" s="2" t="s">
        <v>1590</v>
      </c>
      <c r="B6446" s="2" t="str">
        <f>"766814138"</f>
        <v>766814138</v>
      </c>
      <c r="C6446" s="2" t="str">
        <f>"766814138"</f>
        <v>766814138</v>
      </c>
      <c r="D6446" s="2" t="s">
        <v>4658</v>
      </c>
      <c r="E6446" s="4">
        <v>3000</v>
      </c>
    </row>
    <row r="6447" spans="1:5" ht="26.25" x14ac:dyDescent="0.25">
      <c r="A6447" s="2" t="s">
        <v>1590</v>
      </c>
      <c r="B6447" s="2" t="str">
        <f>"344014168"</f>
        <v>344014168</v>
      </c>
      <c r="C6447" s="2" t="str">
        <f>"344014168"</f>
        <v>344014168</v>
      </c>
      <c r="D6447" s="2" t="s">
        <v>4658</v>
      </c>
      <c r="E6447" s="4">
        <v>3500</v>
      </c>
    </row>
    <row r="6448" spans="1:5" ht="26.25" x14ac:dyDescent="0.25">
      <c r="A6448" s="2" t="s">
        <v>1590</v>
      </c>
      <c r="B6448" s="2" t="str">
        <f>"766814139"</f>
        <v>766814139</v>
      </c>
      <c r="C6448" s="2" t="str">
        <f>"766814139"</f>
        <v>766814139</v>
      </c>
      <c r="D6448" s="2" t="s">
        <v>4659</v>
      </c>
      <c r="E6448" s="4">
        <v>3000</v>
      </c>
    </row>
    <row r="6449" spans="1:5" ht="26.25" x14ac:dyDescent="0.25">
      <c r="A6449" s="2" t="s">
        <v>1590</v>
      </c>
      <c r="B6449" s="2" t="str">
        <f>"344014139"</f>
        <v>344014139</v>
      </c>
      <c r="C6449" s="2" t="str">
        <f>"344014139"</f>
        <v>344014139</v>
      </c>
      <c r="D6449" s="2" t="s">
        <v>4659</v>
      </c>
      <c r="E6449" s="4">
        <v>3500</v>
      </c>
    </row>
    <row r="6450" spans="1:5" ht="26.25" x14ac:dyDescent="0.25">
      <c r="A6450" s="2" t="s">
        <v>1590</v>
      </c>
      <c r="B6450" s="2" t="str">
        <f>"764914210"</f>
        <v>764914210</v>
      </c>
      <c r="C6450" s="2" t="str">
        <f>"764914210"</f>
        <v>764914210</v>
      </c>
      <c r="D6450" s="2" t="s">
        <v>4660</v>
      </c>
      <c r="E6450" s="4">
        <v>3000</v>
      </c>
    </row>
    <row r="6451" spans="1:5" ht="26.25" x14ac:dyDescent="0.25">
      <c r="A6451" s="2" t="s">
        <v>1590</v>
      </c>
      <c r="B6451" s="2" t="str">
        <f>"34681413"</f>
        <v>34681413</v>
      </c>
      <c r="C6451" s="2" t="str">
        <f>"34681413"</f>
        <v>34681413</v>
      </c>
      <c r="D6451" s="2" t="s">
        <v>4661</v>
      </c>
      <c r="E6451" s="4">
        <v>3000</v>
      </c>
    </row>
    <row r="6452" spans="1:5" ht="26.25" x14ac:dyDescent="0.25">
      <c r="A6452" s="2" t="s">
        <v>1590</v>
      </c>
      <c r="B6452" s="2" t="str">
        <f>"76571413"</f>
        <v>76571413</v>
      </c>
      <c r="C6452" s="2" t="str">
        <f>"76571413"</f>
        <v>76571413</v>
      </c>
      <c r="D6452" s="2" t="s">
        <v>4661</v>
      </c>
      <c r="E6452" s="4">
        <v>4000</v>
      </c>
    </row>
    <row r="6453" spans="1:5" ht="26.25" x14ac:dyDescent="0.25">
      <c r="A6453" s="2" t="s">
        <v>1590</v>
      </c>
      <c r="B6453" s="2" t="str">
        <f>"76471431"</f>
        <v>76471431</v>
      </c>
      <c r="C6453" s="2" t="str">
        <f>"76471431"</f>
        <v>76471431</v>
      </c>
      <c r="D6453" s="2" t="s">
        <v>4662</v>
      </c>
      <c r="E6453" s="4">
        <v>3000</v>
      </c>
    </row>
    <row r="6454" spans="1:5" ht="26.25" x14ac:dyDescent="0.25">
      <c r="A6454" s="2" t="s">
        <v>1590</v>
      </c>
      <c r="B6454" s="2" t="str">
        <f>"110565654"</f>
        <v>110565654</v>
      </c>
      <c r="C6454" s="2" t="str">
        <f>"110565654"</f>
        <v>110565654</v>
      </c>
      <c r="D6454" s="2" t="s">
        <v>4662</v>
      </c>
      <c r="E6454" s="4">
        <v>3000</v>
      </c>
    </row>
    <row r="6455" spans="1:5" ht="26.25" x14ac:dyDescent="0.25">
      <c r="A6455" s="2" t="s">
        <v>1590</v>
      </c>
      <c r="B6455" s="2" t="str">
        <f>"34681455"</f>
        <v>34681455</v>
      </c>
      <c r="C6455" s="2" t="str">
        <f>"34681455"</f>
        <v>34681455</v>
      </c>
      <c r="D6455" s="2" t="s">
        <v>4663</v>
      </c>
      <c r="E6455" s="4">
        <v>3000</v>
      </c>
    </row>
    <row r="6456" spans="1:5" ht="26.25" x14ac:dyDescent="0.25">
      <c r="A6456" s="2" t="s">
        <v>1590</v>
      </c>
      <c r="B6456" s="2" t="str">
        <f>"76571425"</f>
        <v>76571425</v>
      </c>
      <c r="C6456" s="2" t="str">
        <f>"76571425"</f>
        <v>76571425</v>
      </c>
      <c r="D6456" s="2" t="s">
        <v>4663</v>
      </c>
      <c r="E6456" s="4">
        <v>4000</v>
      </c>
    </row>
    <row r="6457" spans="1:5" ht="26.25" x14ac:dyDescent="0.25">
      <c r="A6457" s="2" t="s">
        <v>1590</v>
      </c>
      <c r="B6457" s="2" t="str">
        <f>"76571455"</f>
        <v>76571455</v>
      </c>
      <c r="C6457" s="2" t="str">
        <f>"76571455"</f>
        <v>76571455</v>
      </c>
      <c r="D6457" s="2" t="s">
        <v>4663</v>
      </c>
      <c r="E6457" s="4">
        <v>4000</v>
      </c>
    </row>
    <row r="6458" spans="1:5" ht="26.25" x14ac:dyDescent="0.25">
      <c r="A6458" s="2" t="s">
        <v>1590</v>
      </c>
      <c r="B6458" s="2" t="str">
        <f>"76681425"</f>
        <v>76681425</v>
      </c>
      <c r="C6458" s="2" t="str">
        <f>"76681425"</f>
        <v>76681425</v>
      </c>
      <c r="D6458" s="2" t="s">
        <v>4663</v>
      </c>
      <c r="E6458" s="4">
        <v>3000</v>
      </c>
    </row>
    <row r="6459" spans="1:5" ht="26.25" x14ac:dyDescent="0.25">
      <c r="A6459" s="2" t="s">
        <v>1590</v>
      </c>
      <c r="B6459" s="2" t="str">
        <f>"76681455"</f>
        <v>76681455</v>
      </c>
      <c r="C6459" s="2" t="str">
        <f>"76681455"</f>
        <v>76681455</v>
      </c>
      <c r="D6459" s="2" t="s">
        <v>4663</v>
      </c>
      <c r="E6459" s="4">
        <v>3000</v>
      </c>
    </row>
    <row r="6460" spans="1:5" ht="26.25" x14ac:dyDescent="0.25">
      <c r="A6460" s="2" t="s">
        <v>1590</v>
      </c>
      <c r="B6460" s="2" t="str">
        <f>"76571428"</f>
        <v>76571428</v>
      </c>
      <c r="C6460" s="2" t="str">
        <f>"76571428"</f>
        <v>76571428</v>
      </c>
      <c r="D6460" s="2" t="s">
        <v>4664</v>
      </c>
      <c r="E6460" s="4">
        <v>4000</v>
      </c>
    </row>
    <row r="6461" spans="1:5" ht="26.25" x14ac:dyDescent="0.25">
      <c r="A6461" s="2" t="s">
        <v>1590</v>
      </c>
      <c r="B6461" s="2" t="str">
        <f>"76561427"</f>
        <v>76561427</v>
      </c>
      <c r="C6461" s="2" t="str">
        <f>"76561427"</f>
        <v>76561427</v>
      </c>
      <c r="D6461" s="2" t="s">
        <v>4665</v>
      </c>
      <c r="E6461" s="4">
        <v>4000</v>
      </c>
    </row>
    <row r="6462" spans="1:5" ht="26.25" x14ac:dyDescent="0.25">
      <c r="A6462" s="2" t="s">
        <v>1590</v>
      </c>
      <c r="B6462" s="2" t="str">
        <f>"34681430"</f>
        <v>34681430</v>
      </c>
      <c r="C6462" s="2" t="str">
        <f>"34681430"</f>
        <v>34681430</v>
      </c>
      <c r="D6462" s="2" t="s">
        <v>4666</v>
      </c>
      <c r="E6462" s="4">
        <v>3000</v>
      </c>
    </row>
    <row r="6463" spans="1:5" ht="26.25" x14ac:dyDescent="0.25">
      <c r="A6463" s="2" t="s">
        <v>1590</v>
      </c>
      <c r="B6463" s="2" t="str">
        <f>"34681480"</f>
        <v>34681480</v>
      </c>
      <c r="C6463" s="2" t="str">
        <f>"34681480"</f>
        <v>34681480</v>
      </c>
      <c r="D6463" s="2" t="s">
        <v>4667</v>
      </c>
      <c r="E6463" s="4">
        <v>3000</v>
      </c>
    </row>
    <row r="6464" spans="1:5" ht="26.25" x14ac:dyDescent="0.25">
      <c r="A6464" s="2" t="s">
        <v>1590</v>
      </c>
      <c r="B6464" s="2" t="str">
        <f>"76461480"</f>
        <v>76461480</v>
      </c>
      <c r="C6464" s="2" t="str">
        <f>"76461480"</f>
        <v>76461480</v>
      </c>
      <c r="D6464" s="2" t="s">
        <v>4668</v>
      </c>
      <c r="E6464" s="4">
        <v>3900</v>
      </c>
    </row>
    <row r="6465" spans="1:5" ht="26.25" x14ac:dyDescent="0.25">
      <c r="A6465" s="2" t="s">
        <v>1590</v>
      </c>
      <c r="B6465" s="2" t="str">
        <f>"76561480"</f>
        <v>76561480</v>
      </c>
      <c r="C6465" s="2" t="str">
        <f>"76561480"</f>
        <v>76561480</v>
      </c>
      <c r="D6465" s="2" t="s">
        <v>4668</v>
      </c>
      <c r="E6465" s="4">
        <v>3500</v>
      </c>
    </row>
    <row r="6466" spans="1:5" ht="26.25" x14ac:dyDescent="0.25">
      <c r="A6466" s="2" t="s">
        <v>1590</v>
      </c>
      <c r="B6466" s="2" t="str">
        <f>"76571480"</f>
        <v>76571480</v>
      </c>
      <c r="C6466" s="2" t="str">
        <f>"76571480"</f>
        <v>76571480</v>
      </c>
      <c r="D6466" s="2" t="s">
        <v>4669</v>
      </c>
      <c r="E6466" s="4">
        <v>4000</v>
      </c>
    </row>
    <row r="6467" spans="1:5" ht="26.25" x14ac:dyDescent="0.25">
      <c r="A6467" s="2" t="s">
        <v>1590</v>
      </c>
      <c r="B6467" s="2" t="str">
        <f>"76571430"</f>
        <v>76571430</v>
      </c>
      <c r="C6467" s="2" t="str">
        <f>"76571430"</f>
        <v>76571430</v>
      </c>
      <c r="D6467" s="2" t="s">
        <v>4670</v>
      </c>
      <c r="E6467" s="4">
        <v>4000</v>
      </c>
    </row>
    <row r="6468" spans="1:5" ht="26.25" x14ac:dyDescent="0.25">
      <c r="A6468" s="2" t="s">
        <v>1590</v>
      </c>
      <c r="B6468" s="2" t="str">
        <f>"76681430"</f>
        <v>76681430</v>
      </c>
      <c r="C6468" s="2" t="str">
        <f>"76681430"</f>
        <v>76681430</v>
      </c>
      <c r="D6468" s="2" t="s">
        <v>4670</v>
      </c>
      <c r="E6468" s="4">
        <v>3000</v>
      </c>
    </row>
    <row r="6469" spans="1:5" ht="26.25" x14ac:dyDescent="0.25">
      <c r="A6469" s="2" t="s">
        <v>1590</v>
      </c>
      <c r="B6469" s="2" t="str">
        <f>"76491430"</f>
        <v>76491430</v>
      </c>
      <c r="C6469" s="2" t="str">
        <f>"76491430"</f>
        <v>76491430</v>
      </c>
      <c r="D6469" s="2" t="s">
        <v>4670</v>
      </c>
      <c r="E6469" s="4">
        <v>3000</v>
      </c>
    </row>
    <row r="6470" spans="1:5" ht="26.25" x14ac:dyDescent="0.25">
      <c r="A6470" s="2" t="s">
        <v>1590</v>
      </c>
      <c r="B6470" s="2" t="str">
        <f>"346814125"</f>
        <v>346814125</v>
      </c>
      <c r="C6470" s="2" t="str">
        <f>"346814125"</f>
        <v>346814125</v>
      </c>
      <c r="D6470" s="2" t="s">
        <v>4671</v>
      </c>
      <c r="E6470" s="4">
        <v>3000</v>
      </c>
    </row>
    <row r="6471" spans="1:5" ht="26.25" x14ac:dyDescent="0.25">
      <c r="A6471" s="2" t="s">
        <v>1590</v>
      </c>
      <c r="B6471" s="2" t="str">
        <f>"76681443"</f>
        <v>76681443</v>
      </c>
      <c r="C6471" s="2" t="str">
        <f>"76681443"</f>
        <v>76681443</v>
      </c>
      <c r="D6471" s="2" t="s">
        <v>4672</v>
      </c>
      <c r="E6471" s="4">
        <v>3000</v>
      </c>
    </row>
    <row r="6472" spans="1:5" ht="26.25" x14ac:dyDescent="0.25">
      <c r="A6472" s="2" t="s">
        <v>1590</v>
      </c>
      <c r="B6472" s="2" t="str">
        <f>"344914125"</f>
        <v>344914125</v>
      </c>
      <c r="C6472" s="2" t="str">
        <f>"344914125"</f>
        <v>344914125</v>
      </c>
      <c r="D6472" s="2" t="s">
        <v>4672</v>
      </c>
      <c r="E6472" s="4">
        <v>3000</v>
      </c>
    </row>
    <row r="6473" spans="1:5" ht="26.25" x14ac:dyDescent="0.25">
      <c r="A6473" s="2" t="s">
        <v>1590</v>
      </c>
      <c r="B6473" s="2" t="str">
        <f>"764614125"</f>
        <v>764614125</v>
      </c>
      <c r="C6473" s="2" t="str">
        <f>"764614125"</f>
        <v>764614125</v>
      </c>
      <c r="D6473" s="2" t="s">
        <v>4672</v>
      </c>
      <c r="E6473" s="4">
        <v>4500</v>
      </c>
    </row>
    <row r="6474" spans="1:5" ht="26.25" x14ac:dyDescent="0.25">
      <c r="A6474" s="2" t="s">
        <v>1590</v>
      </c>
      <c r="B6474" s="2" t="str">
        <f>"414914125"</f>
        <v>414914125</v>
      </c>
      <c r="C6474" s="2" t="str">
        <f>"414914125"</f>
        <v>414914125</v>
      </c>
      <c r="D6474" s="2" t="s">
        <v>4672</v>
      </c>
      <c r="E6474" s="4">
        <v>3000</v>
      </c>
    </row>
    <row r="6475" spans="1:5" ht="26.25" x14ac:dyDescent="0.25">
      <c r="A6475" s="2" t="s">
        <v>1590</v>
      </c>
      <c r="B6475" s="2" t="str">
        <f>"76681492"</f>
        <v>76681492</v>
      </c>
      <c r="C6475" s="2" t="str">
        <f>"76681492"</f>
        <v>76681492</v>
      </c>
      <c r="D6475" s="2" t="s">
        <v>4673</v>
      </c>
      <c r="E6475" s="4">
        <v>3000</v>
      </c>
    </row>
    <row r="6476" spans="1:5" ht="26.25" x14ac:dyDescent="0.25">
      <c r="A6476" s="2" t="s">
        <v>1590</v>
      </c>
      <c r="B6476" s="2" t="str">
        <f>"766814192"</f>
        <v>766814192</v>
      </c>
      <c r="C6476" s="2" t="str">
        <f>"766814192"</f>
        <v>766814192</v>
      </c>
      <c r="D6476" s="2" t="s">
        <v>4673</v>
      </c>
      <c r="E6476" s="4">
        <v>3000</v>
      </c>
    </row>
    <row r="6477" spans="1:5" ht="26.25" x14ac:dyDescent="0.25">
      <c r="A6477" s="2" t="s">
        <v>1590</v>
      </c>
      <c r="B6477" s="2" t="str">
        <f>"346814136"</f>
        <v>346814136</v>
      </c>
      <c r="C6477" s="2" t="str">
        <f>"346814136"</f>
        <v>346814136</v>
      </c>
      <c r="D6477" s="2" t="s">
        <v>4674</v>
      </c>
      <c r="E6477" s="4">
        <v>3000</v>
      </c>
    </row>
    <row r="6478" spans="1:5" ht="26.25" x14ac:dyDescent="0.25">
      <c r="A6478" s="2" t="s">
        <v>1590</v>
      </c>
      <c r="B6478" s="2" t="str">
        <f>"764914136"</f>
        <v>764914136</v>
      </c>
      <c r="C6478" s="2" t="str">
        <f>"764914136"</f>
        <v>764914136</v>
      </c>
      <c r="D6478" s="2" t="s">
        <v>4674</v>
      </c>
      <c r="E6478" s="4">
        <v>3000</v>
      </c>
    </row>
    <row r="6479" spans="1:5" ht="26.25" x14ac:dyDescent="0.25">
      <c r="A6479" s="2" t="s">
        <v>1590</v>
      </c>
      <c r="B6479" s="2" t="str">
        <f>"766814136"</f>
        <v>766814136</v>
      </c>
      <c r="C6479" s="2" t="str">
        <f>"766814136"</f>
        <v>766814136</v>
      </c>
      <c r="D6479" s="2" t="s">
        <v>4674</v>
      </c>
      <c r="E6479" s="4">
        <v>3000</v>
      </c>
    </row>
    <row r="6480" spans="1:5" ht="26.25" x14ac:dyDescent="0.25">
      <c r="A6480" s="2" t="s">
        <v>1590</v>
      </c>
      <c r="B6480" s="2" t="str">
        <f>"764914262"</f>
        <v>764914262</v>
      </c>
      <c r="C6480" s="2" t="str">
        <f>"764914262"</f>
        <v>764914262</v>
      </c>
      <c r="D6480" s="2" t="s">
        <v>4675</v>
      </c>
      <c r="E6480" s="4">
        <v>3000</v>
      </c>
    </row>
    <row r="6481" spans="1:5" ht="26.25" x14ac:dyDescent="0.25">
      <c r="A6481" s="2" t="s">
        <v>1590</v>
      </c>
      <c r="B6481" s="2" t="str">
        <f>"345714283"</f>
        <v>345714283</v>
      </c>
      <c r="C6481" s="2" t="str">
        <f>"345714283"</f>
        <v>345714283</v>
      </c>
      <c r="D6481" s="2" t="s">
        <v>4676</v>
      </c>
      <c r="E6481" s="4">
        <v>4000</v>
      </c>
    </row>
    <row r="6482" spans="1:5" ht="26.25" x14ac:dyDescent="0.25">
      <c r="A6482" s="2" t="s">
        <v>1590</v>
      </c>
      <c r="B6482" s="2" t="str">
        <f>"766814283"</f>
        <v>766814283</v>
      </c>
      <c r="C6482" s="2" t="str">
        <f>"766814283"</f>
        <v>766814283</v>
      </c>
      <c r="D6482" s="2" t="s">
        <v>4676</v>
      </c>
      <c r="E6482" s="4">
        <v>3000</v>
      </c>
    </row>
    <row r="6483" spans="1:5" ht="26.25" x14ac:dyDescent="0.25">
      <c r="A6483" s="2" t="s">
        <v>1590</v>
      </c>
      <c r="B6483" s="2" t="str">
        <f>"764914283"</f>
        <v>764914283</v>
      </c>
      <c r="C6483" s="2" t="str">
        <f>"764914283"</f>
        <v>764914283</v>
      </c>
      <c r="D6483" s="2" t="s">
        <v>4676</v>
      </c>
      <c r="E6483" s="4">
        <v>3000</v>
      </c>
    </row>
    <row r="6484" spans="1:5" ht="26.25" x14ac:dyDescent="0.25">
      <c r="A6484" s="2" t="s">
        <v>1590</v>
      </c>
      <c r="B6484" s="2" t="str">
        <f>"766814131"</f>
        <v>766814131</v>
      </c>
      <c r="C6484" s="2" t="str">
        <f>"766814131"</f>
        <v>766814131</v>
      </c>
      <c r="D6484" s="2" t="s">
        <v>4677</v>
      </c>
      <c r="E6484" s="4">
        <v>3000</v>
      </c>
    </row>
    <row r="6485" spans="1:5" ht="26.25" x14ac:dyDescent="0.25">
      <c r="A6485" s="2" t="s">
        <v>1590</v>
      </c>
      <c r="B6485" s="2" t="str">
        <f>"346814131"</f>
        <v>346814131</v>
      </c>
      <c r="C6485" s="2" t="str">
        <f>"346814131"</f>
        <v>346814131</v>
      </c>
      <c r="D6485" s="2" t="s">
        <v>4677</v>
      </c>
      <c r="E6485" s="4">
        <v>3000</v>
      </c>
    </row>
    <row r="6486" spans="1:5" ht="26.25" x14ac:dyDescent="0.25">
      <c r="A6486" s="2" t="s">
        <v>1590</v>
      </c>
      <c r="B6486" s="2" t="str">
        <f>"766810255"</f>
        <v>766810255</v>
      </c>
      <c r="C6486" s="2" t="str">
        <f>"766810255"</f>
        <v>766810255</v>
      </c>
      <c r="D6486" s="2" t="s">
        <v>4678</v>
      </c>
      <c r="E6486" s="4">
        <v>3000</v>
      </c>
    </row>
    <row r="6487" spans="1:5" ht="26.25" x14ac:dyDescent="0.25">
      <c r="A6487" s="2" t="s">
        <v>1590</v>
      </c>
      <c r="B6487" s="2" t="str">
        <f>"864914255"</f>
        <v>864914255</v>
      </c>
      <c r="C6487" s="2" t="str">
        <f>"864914255"</f>
        <v>864914255</v>
      </c>
      <c r="D6487" s="2" t="s">
        <v>4678</v>
      </c>
      <c r="E6487" s="4">
        <v>3000</v>
      </c>
    </row>
    <row r="6488" spans="1:5" ht="26.25" x14ac:dyDescent="0.25">
      <c r="A6488" s="2" t="s">
        <v>1590</v>
      </c>
      <c r="B6488" s="2" t="str">
        <f>"766814255"</f>
        <v>766814255</v>
      </c>
      <c r="C6488" s="2" t="str">
        <f>"766814255"</f>
        <v>766814255</v>
      </c>
      <c r="D6488" s="2" t="s">
        <v>4678</v>
      </c>
      <c r="E6488" s="4">
        <v>3000</v>
      </c>
    </row>
    <row r="6489" spans="1:5" ht="26.25" x14ac:dyDescent="0.25">
      <c r="A6489" s="2" t="s">
        <v>1590</v>
      </c>
      <c r="B6489" s="2" t="str">
        <f>"614914255"</f>
        <v>614914255</v>
      </c>
      <c r="C6489" s="2" t="str">
        <f>"614914255"</f>
        <v>614914255</v>
      </c>
      <c r="D6489" s="2" t="s">
        <v>4678</v>
      </c>
      <c r="E6489" s="4">
        <v>3000</v>
      </c>
    </row>
    <row r="6490" spans="1:5" ht="26.25" x14ac:dyDescent="0.25">
      <c r="A6490" s="2" t="s">
        <v>1590</v>
      </c>
      <c r="B6490" s="2" t="str">
        <f>"764914255"</f>
        <v>764914255</v>
      </c>
      <c r="C6490" s="2" t="str">
        <f>"764914255"</f>
        <v>764914255</v>
      </c>
      <c r="D6490" s="2" t="s">
        <v>4678</v>
      </c>
      <c r="E6490" s="4">
        <v>3000</v>
      </c>
    </row>
    <row r="6491" spans="1:5" ht="26.25" x14ac:dyDescent="0.25">
      <c r="A6491" s="2" t="s">
        <v>1590</v>
      </c>
      <c r="B6491" s="2" t="str">
        <f>"764914263"</f>
        <v>764914263</v>
      </c>
      <c r="C6491" s="2" t="str">
        <f>"764914263"</f>
        <v>764914263</v>
      </c>
      <c r="D6491" s="2" t="s">
        <v>4679</v>
      </c>
      <c r="E6491" s="4">
        <v>3000</v>
      </c>
    </row>
    <row r="6492" spans="1:5" ht="26.25" x14ac:dyDescent="0.25">
      <c r="A6492" s="2" t="s">
        <v>1590</v>
      </c>
      <c r="B6492" s="2" t="str">
        <f>"34491445"</f>
        <v>34491445</v>
      </c>
      <c r="C6492" s="2" t="str">
        <f>"34491445"</f>
        <v>34491445</v>
      </c>
      <c r="D6492" s="2" t="s">
        <v>4680</v>
      </c>
      <c r="E6492" s="4">
        <v>3000</v>
      </c>
    </row>
    <row r="6493" spans="1:5" ht="26.25" x14ac:dyDescent="0.25">
      <c r="A6493" s="2" t="s">
        <v>1590</v>
      </c>
      <c r="B6493" s="2" t="str">
        <f>"76491445"</f>
        <v>76491445</v>
      </c>
      <c r="C6493" s="2" t="str">
        <f>"76491445"</f>
        <v>76491445</v>
      </c>
      <c r="D6493" s="2" t="s">
        <v>4680</v>
      </c>
      <c r="E6493" s="4">
        <v>3000</v>
      </c>
    </row>
    <row r="6494" spans="1:5" ht="26.25" x14ac:dyDescent="0.25">
      <c r="A6494" s="2" t="s">
        <v>1590</v>
      </c>
      <c r="B6494" s="2" t="str">
        <f>"76681445"</f>
        <v>76681445</v>
      </c>
      <c r="C6494" s="2" t="str">
        <f>"76681445"</f>
        <v>76681445</v>
      </c>
      <c r="D6494" s="2" t="s">
        <v>4680</v>
      </c>
      <c r="E6494" s="4">
        <v>3000</v>
      </c>
    </row>
    <row r="6495" spans="1:5" ht="26.25" x14ac:dyDescent="0.25">
      <c r="A6495" s="2" t="s">
        <v>1590</v>
      </c>
      <c r="B6495" s="2" t="str">
        <f>"76571445"</f>
        <v>76571445</v>
      </c>
      <c r="C6495" s="2" t="str">
        <f>"76571445"</f>
        <v>76571445</v>
      </c>
      <c r="D6495" s="2" t="s">
        <v>4680</v>
      </c>
      <c r="E6495" s="4">
        <v>4000</v>
      </c>
    </row>
    <row r="6496" spans="1:5" ht="26.25" x14ac:dyDescent="0.25">
      <c r="A6496" s="2" t="s">
        <v>1590</v>
      </c>
      <c r="B6496" s="2" t="str">
        <f>"764914270"</f>
        <v>764914270</v>
      </c>
      <c r="C6496" s="2" t="str">
        <f>"764914270"</f>
        <v>764914270</v>
      </c>
      <c r="D6496" s="2" t="s">
        <v>4681</v>
      </c>
      <c r="E6496" s="4">
        <v>3000</v>
      </c>
    </row>
    <row r="6497" spans="1:5" ht="26.25" x14ac:dyDescent="0.25">
      <c r="A6497" s="2" t="s">
        <v>1590</v>
      </c>
      <c r="B6497" s="2" t="str">
        <f>"346814270"</f>
        <v>346814270</v>
      </c>
      <c r="C6497" s="2" t="str">
        <f>"346814270"</f>
        <v>346814270</v>
      </c>
      <c r="D6497" s="2" t="s">
        <v>4681</v>
      </c>
      <c r="E6497" s="4">
        <v>3000</v>
      </c>
    </row>
    <row r="6498" spans="1:5" ht="26.25" x14ac:dyDescent="0.25">
      <c r="A6498" s="2" t="s">
        <v>1590</v>
      </c>
      <c r="B6498" s="2" t="str">
        <f>"766814270"</f>
        <v>766814270</v>
      </c>
      <c r="C6498" s="2" t="str">
        <f>"766814270"</f>
        <v>766814270</v>
      </c>
      <c r="D6498" s="2" t="s">
        <v>4681</v>
      </c>
      <c r="E6498" s="4">
        <v>3000</v>
      </c>
    </row>
    <row r="6499" spans="1:5" ht="26.25" x14ac:dyDescent="0.25">
      <c r="A6499" s="2" t="s">
        <v>1590</v>
      </c>
      <c r="B6499" s="2" t="str">
        <f>"766814128"</f>
        <v>766814128</v>
      </c>
      <c r="C6499" s="2" t="str">
        <f>"766814128"</f>
        <v>766814128</v>
      </c>
      <c r="D6499" s="2" t="s">
        <v>4682</v>
      </c>
      <c r="E6499" s="4">
        <v>3000</v>
      </c>
    </row>
    <row r="6500" spans="1:5" ht="26.25" x14ac:dyDescent="0.25">
      <c r="A6500" s="2" t="s">
        <v>1590</v>
      </c>
      <c r="B6500" s="2" t="str">
        <f>"345714126"</f>
        <v>345714126</v>
      </c>
      <c r="C6500" s="2" t="str">
        <f>"345714126"</f>
        <v>345714126</v>
      </c>
      <c r="D6500" s="2" t="s">
        <v>4683</v>
      </c>
      <c r="E6500" s="4">
        <v>4000</v>
      </c>
    </row>
    <row r="6501" spans="1:5" ht="26.25" x14ac:dyDescent="0.25">
      <c r="A6501" s="2" t="s">
        <v>1590</v>
      </c>
      <c r="B6501" s="2" t="str">
        <f>"864914126"</f>
        <v>864914126</v>
      </c>
      <c r="C6501" s="2" t="str">
        <f>"864914126"</f>
        <v>864914126</v>
      </c>
      <c r="D6501" s="2" t="s">
        <v>4683</v>
      </c>
      <c r="E6501" s="4">
        <v>1000</v>
      </c>
    </row>
    <row r="6502" spans="1:5" ht="26.25" x14ac:dyDescent="0.25">
      <c r="A6502" s="2" t="s">
        <v>1590</v>
      </c>
      <c r="B6502" s="2" t="str">
        <f>"766814126"</f>
        <v>766814126</v>
      </c>
      <c r="C6502" s="2" t="str">
        <f>"766814126"</f>
        <v>766814126</v>
      </c>
      <c r="D6502" s="2" t="s">
        <v>4683</v>
      </c>
      <c r="E6502" s="4">
        <v>3000</v>
      </c>
    </row>
    <row r="6503" spans="1:5" ht="26.25" x14ac:dyDescent="0.25">
      <c r="A6503" s="2" t="s">
        <v>1590</v>
      </c>
      <c r="B6503" s="2" t="str">
        <f>"866814126"</f>
        <v>866814126</v>
      </c>
      <c r="C6503" s="2" t="str">
        <f>"866814126"</f>
        <v>866814126</v>
      </c>
      <c r="D6503" s="2" t="s">
        <v>4683</v>
      </c>
      <c r="E6503" s="4">
        <v>3000</v>
      </c>
    </row>
    <row r="6504" spans="1:5" ht="26.25" x14ac:dyDescent="0.25">
      <c r="A6504" s="2" t="s">
        <v>1590</v>
      </c>
      <c r="B6504" s="2" t="str">
        <f>"764914126"</f>
        <v>764914126</v>
      </c>
      <c r="C6504" s="2" t="str">
        <f>"764914126"</f>
        <v>764914126</v>
      </c>
      <c r="D6504" s="2" t="s">
        <v>4683</v>
      </c>
      <c r="E6504" s="4">
        <v>3000</v>
      </c>
    </row>
    <row r="6505" spans="1:5" ht="26.25" x14ac:dyDescent="0.25">
      <c r="A6505" s="2" t="s">
        <v>1590</v>
      </c>
      <c r="B6505" s="2" t="str">
        <f>"766814217"</f>
        <v>766814217</v>
      </c>
      <c r="C6505" s="2" t="str">
        <f>"766814217"</f>
        <v>766814217</v>
      </c>
      <c r="D6505" s="2" t="s">
        <v>4684</v>
      </c>
      <c r="E6505" s="4">
        <v>3000</v>
      </c>
    </row>
    <row r="6506" spans="1:5" ht="26.25" x14ac:dyDescent="0.25">
      <c r="A6506" s="2" t="s">
        <v>1590</v>
      </c>
      <c r="B6506" s="2" t="str">
        <f>"766814256"</f>
        <v>766814256</v>
      </c>
      <c r="C6506" s="2" t="str">
        <f>"766814256"</f>
        <v>766814256</v>
      </c>
      <c r="D6506" s="2" t="s">
        <v>4685</v>
      </c>
      <c r="E6506" s="4">
        <v>3000</v>
      </c>
    </row>
    <row r="6507" spans="1:5" ht="26.25" x14ac:dyDescent="0.25">
      <c r="A6507" s="2" t="s">
        <v>1590</v>
      </c>
      <c r="B6507" s="2" t="str">
        <f>"864914256"</f>
        <v>864914256</v>
      </c>
      <c r="C6507" s="2" t="str">
        <f>"864914256"</f>
        <v>864914256</v>
      </c>
      <c r="D6507" s="2" t="s">
        <v>4685</v>
      </c>
      <c r="E6507" s="4">
        <v>3000</v>
      </c>
    </row>
    <row r="6508" spans="1:5" ht="26.25" x14ac:dyDescent="0.25">
      <c r="A6508" s="2" t="s">
        <v>1590</v>
      </c>
      <c r="B6508" s="2" t="str">
        <f>"764914256"</f>
        <v>764914256</v>
      </c>
      <c r="C6508" s="2" t="str">
        <f>"764914256"</f>
        <v>764914256</v>
      </c>
      <c r="D6508" s="2" t="s">
        <v>4685</v>
      </c>
      <c r="E6508" s="4">
        <v>3000</v>
      </c>
    </row>
    <row r="6509" spans="1:5" ht="26.25" x14ac:dyDescent="0.25">
      <c r="A6509" s="2" t="s">
        <v>1590</v>
      </c>
      <c r="B6509" s="2" t="str">
        <f>"764914264"</f>
        <v>764914264</v>
      </c>
      <c r="C6509" s="2" t="str">
        <f>"764914264"</f>
        <v>764914264</v>
      </c>
      <c r="D6509" s="2" t="s">
        <v>4686</v>
      </c>
      <c r="E6509" s="4">
        <v>3000</v>
      </c>
    </row>
    <row r="6510" spans="1:5" ht="26.25" x14ac:dyDescent="0.25">
      <c r="A6510" s="2" t="s">
        <v>1590</v>
      </c>
      <c r="B6510" s="2" t="str">
        <f>"34681447"</f>
        <v>34681447</v>
      </c>
      <c r="C6510" s="2" t="str">
        <f>"34681447"</f>
        <v>34681447</v>
      </c>
      <c r="D6510" s="2" t="s">
        <v>4687</v>
      </c>
      <c r="E6510" s="4">
        <v>3000</v>
      </c>
    </row>
    <row r="6511" spans="1:5" ht="26.25" x14ac:dyDescent="0.25">
      <c r="A6511" s="2" t="s">
        <v>1590</v>
      </c>
      <c r="B6511" s="2" t="str">
        <f>"86681447"</f>
        <v>86681447</v>
      </c>
      <c r="C6511" s="2" t="str">
        <f>"86681447"</f>
        <v>86681447</v>
      </c>
      <c r="D6511" s="2" t="s">
        <v>4687</v>
      </c>
      <c r="E6511" s="4">
        <v>1000</v>
      </c>
    </row>
    <row r="6512" spans="1:5" ht="26.25" x14ac:dyDescent="0.25">
      <c r="A6512" s="2" t="s">
        <v>1590</v>
      </c>
      <c r="B6512" s="2" t="str">
        <f>"76461447"</f>
        <v>76461447</v>
      </c>
      <c r="C6512" s="2" t="str">
        <f>"76461447"</f>
        <v>76461447</v>
      </c>
      <c r="D6512" s="2" t="s">
        <v>4687</v>
      </c>
      <c r="E6512" s="4">
        <v>4500</v>
      </c>
    </row>
    <row r="6513" spans="1:5" ht="26.25" x14ac:dyDescent="0.25">
      <c r="A6513" s="2" t="s">
        <v>1590</v>
      </c>
      <c r="B6513" s="2" t="str">
        <f>"76491447"</f>
        <v>76491447</v>
      </c>
      <c r="C6513" s="2" t="str">
        <f>"76491447"</f>
        <v>76491447</v>
      </c>
      <c r="D6513" s="2" t="s">
        <v>4687</v>
      </c>
      <c r="E6513" s="4">
        <v>3000</v>
      </c>
    </row>
    <row r="6514" spans="1:5" ht="26.25" x14ac:dyDescent="0.25">
      <c r="A6514" s="2" t="s">
        <v>1590</v>
      </c>
      <c r="B6514" s="2" t="str">
        <f>"76681447"</f>
        <v>76681447</v>
      </c>
      <c r="C6514" s="2" t="str">
        <f>"76681447"</f>
        <v>76681447</v>
      </c>
      <c r="D6514" s="2" t="s">
        <v>4687</v>
      </c>
      <c r="E6514" s="4">
        <v>3000</v>
      </c>
    </row>
    <row r="6515" spans="1:5" ht="26.25" x14ac:dyDescent="0.25">
      <c r="A6515" s="2" t="s">
        <v>1590</v>
      </c>
      <c r="B6515" s="2" t="str">
        <f>"17681447"</f>
        <v>17681447</v>
      </c>
      <c r="C6515" s="2" t="str">
        <f>"17681447"</f>
        <v>17681447</v>
      </c>
      <c r="D6515" s="2" t="s">
        <v>4687</v>
      </c>
      <c r="E6515" s="4">
        <v>3000</v>
      </c>
    </row>
    <row r="6516" spans="1:5" ht="26.25" x14ac:dyDescent="0.25">
      <c r="A6516" s="2" t="s">
        <v>1590</v>
      </c>
      <c r="B6516" s="2" t="str">
        <f>"766814257"</f>
        <v>766814257</v>
      </c>
      <c r="C6516" s="2" t="str">
        <f>"766814257"</f>
        <v>766814257</v>
      </c>
      <c r="D6516" s="2" t="s">
        <v>4688</v>
      </c>
      <c r="E6516" s="4">
        <v>3000</v>
      </c>
    </row>
    <row r="6517" spans="1:5" ht="26.25" x14ac:dyDescent="0.25">
      <c r="A6517" s="2" t="s">
        <v>1590</v>
      </c>
      <c r="B6517" s="2" t="str">
        <f>"764914257"</f>
        <v>764914257</v>
      </c>
      <c r="C6517" s="2" t="str">
        <f>"764914257"</f>
        <v>764914257</v>
      </c>
      <c r="D6517" s="2" t="s">
        <v>4688</v>
      </c>
      <c r="E6517" s="4">
        <v>3000</v>
      </c>
    </row>
    <row r="6518" spans="1:5" ht="26.25" x14ac:dyDescent="0.25">
      <c r="A6518" s="2" t="s">
        <v>1590</v>
      </c>
      <c r="B6518" s="2" t="str">
        <f>"766814137"</f>
        <v>766814137</v>
      </c>
      <c r="C6518" s="2" t="str">
        <f>"766814137"</f>
        <v>766814137</v>
      </c>
      <c r="D6518" s="2" t="s">
        <v>4689</v>
      </c>
      <c r="E6518" s="4">
        <v>3000</v>
      </c>
    </row>
    <row r="6519" spans="1:5" ht="26.25" x14ac:dyDescent="0.25">
      <c r="A6519" s="2" t="s">
        <v>1590</v>
      </c>
      <c r="B6519" s="2" t="str">
        <f>"764914266"</f>
        <v>764914266</v>
      </c>
      <c r="C6519" s="2" t="str">
        <f>"764914266"</f>
        <v>764914266</v>
      </c>
      <c r="D6519" s="2" t="s">
        <v>4690</v>
      </c>
      <c r="E6519" s="4">
        <v>3000</v>
      </c>
    </row>
    <row r="6520" spans="1:5" ht="26.25" x14ac:dyDescent="0.25">
      <c r="A6520" s="2" t="s">
        <v>1590</v>
      </c>
      <c r="B6520" s="2" t="str">
        <f>"764614266"</f>
        <v>764614266</v>
      </c>
      <c r="C6520" s="2" t="str">
        <f>"764614266"</f>
        <v>764614266</v>
      </c>
      <c r="D6520" s="2" t="s">
        <v>4690</v>
      </c>
      <c r="E6520" s="4">
        <v>3000</v>
      </c>
    </row>
    <row r="6521" spans="1:5" ht="26.25" x14ac:dyDescent="0.25">
      <c r="A6521" s="2" t="s">
        <v>1590</v>
      </c>
      <c r="B6521" s="2" t="str">
        <f>"866814266"</f>
        <v>866814266</v>
      </c>
      <c r="C6521" s="2" t="str">
        <f>"866814266"</f>
        <v>866814266</v>
      </c>
      <c r="D6521" s="2" t="s">
        <v>4690</v>
      </c>
      <c r="E6521" s="4">
        <v>3000</v>
      </c>
    </row>
    <row r="6522" spans="1:5" ht="26.25" x14ac:dyDescent="0.25">
      <c r="A6522" s="2" t="s">
        <v>1590</v>
      </c>
      <c r="B6522" s="2" t="str">
        <f>"766814266"</f>
        <v>766814266</v>
      </c>
      <c r="C6522" s="2" t="str">
        <f>"766814266"</f>
        <v>766814266</v>
      </c>
      <c r="D6522" s="2" t="s">
        <v>4690</v>
      </c>
      <c r="E6522" s="4">
        <v>3000</v>
      </c>
    </row>
    <row r="6523" spans="1:5" ht="26.25" x14ac:dyDescent="0.25">
      <c r="A6523" s="2" t="s">
        <v>1590</v>
      </c>
      <c r="B6523" s="2" t="str">
        <f>"764914129"</f>
        <v>764914129</v>
      </c>
      <c r="C6523" s="2" t="str">
        <f>"764914129"</f>
        <v>764914129</v>
      </c>
      <c r="D6523" s="2" t="s">
        <v>4691</v>
      </c>
      <c r="E6523" s="4">
        <v>3000</v>
      </c>
    </row>
    <row r="6524" spans="1:5" ht="26.25" x14ac:dyDescent="0.25">
      <c r="A6524" s="2" t="s">
        <v>1590</v>
      </c>
      <c r="B6524" s="2" t="str">
        <f>"344914127"</f>
        <v>344914127</v>
      </c>
      <c r="C6524" s="2" t="str">
        <f>"344914127"</f>
        <v>344914127</v>
      </c>
      <c r="D6524" s="2" t="s">
        <v>4692</v>
      </c>
      <c r="E6524" s="4">
        <v>3000</v>
      </c>
    </row>
    <row r="6525" spans="1:5" ht="26.25" x14ac:dyDescent="0.25">
      <c r="A6525" s="2" t="s">
        <v>1590</v>
      </c>
      <c r="B6525" s="2" t="str">
        <f>"764614177"</f>
        <v>764614177</v>
      </c>
      <c r="C6525" s="2" t="str">
        <f>"764614177"</f>
        <v>764614177</v>
      </c>
      <c r="D6525" s="2" t="s">
        <v>4692</v>
      </c>
      <c r="E6525" s="4">
        <v>3900</v>
      </c>
    </row>
    <row r="6526" spans="1:5" ht="26.25" x14ac:dyDescent="0.25">
      <c r="A6526" s="2" t="s">
        <v>1590</v>
      </c>
      <c r="B6526" s="2" t="str">
        <f>"766814127"</f>
        <v>766814127</v>
      </c>
      <c r="C6526" s="2" t="str">
        <f>"766814127"</f>
        <v>766814127</v>
      </c>
      <c r="D6526" s="2" t="s">
        <v>4692</v>
      </c>
      <c r="E6526" s="4">
        <v>3000</v>
      </c>
    </row>
    <row r="6527" spans="1:5" ht="26.25" x14ac:dyDescent="0.25">
      <c r="A6527" s="2" t="s">
        <v>1590</v>
      </c>
      <c r="B6527" s="2" t="str">
        <f>"346814127"</f>
        <v>346814127</v>
      </c>
      <c r="C6527" s="2" t="str">
        <f>"346814127"</f>
        <v>346814127</v>
      </c>
      <c r="D6527" s="2" t="s">
        <v>4692</v>
      </c>
      <c r="E6527" s="4">
        <v>3000</v>
      </c>
    </row>
    <row r="6528" spans="1:5" ht="26.25" x14ac:dyDescent="0.25">
      <c r="A6528" s="2" t="s">
        <v>1590</v>
      </c>
      <c r="B6528" s="2" t="str">
        <f>"766814218"</f>
        <v>766814218</v>
      </c>
      <c r="C6528" s="2" t="str">
        <f>"766814218"</f>
        <v>766814218</v>
      </c>
      <c r="D6528" s="2" t="s">
        <v>4693</v>
      </c>
      <c r="E6528" s="4">
        <v>3000</v>
      </c>
    </row>
    <row r="6529" spans="1:5" ht="26.25" x14ac:dyDescent="0.25">
      <c r="A6529" s="2" t="s">
        <v>1590</v>
      </c>
      <c r="B6529" s="2" t="str">
        <f>"414914218"</f>
        <v>414914218</v>
      </c>
      <c r="C6529" s="2" t="str">
        <f>"414914218"</f>
        <v>414914218</v>
      </c>
      <c r="D6529" s="2" t="s">
        <v>4693</v>
      </c>
      <c r="E6529" s="4">
        <v>3000</v>
      </c>
    </row>
    <row r="6530" spans="1:5" ht="26.25" x14ac:dyDescent="0.25">
      <c r="A6530" s="2" t="s">
        <v>1590</v>
      </c>
      <c r="B6530" s="2" t="str">
        <f>"764914261"</f>
        <v>764914261</v>
      </c>
      <c r="C6530" s="2" t="str">
        <f>"764914261"</f>
        <v>764914261</v>
      </c>
      <c r="D6530" s="2" t="s">
        <v>4694</v>
      </c>
      <c r="E6530" s="4">
        <v>3000</v>
      </c>
    </row>
    <row r="6531" spans="1:5" ht="26.25" x14ac:dyDescent="0.25">
      <c r="A6531" s="2" t="s">
        <v>1590</v>
      </c>
      <c r="B6531" s="2" t="str">
        <f>"614714261"</f>
        <v>614714261</v>
      </c>
      <c r="C6531" s="2" t="str">
        <f>"614714261"</f>
        <v>614714261</v>
      </c>
      <c r="D6531" s="2" t="s">
        <v>4694</v>
      </c>
      <c r="E6531" s="4">
        <v>3000</v>
      </c>
    </row>
    <row r="6532" spans="1:5" ht="26.25" x14ac:dyDescent="0.25">
      <c r="A6532" s="2" t="s">
        <v>1590</v>
      </c>
      <c r="B6532" s="2" t="str">
        <f>"766814208"</f>
        <v>766814208</v>
      </c>
      <c r="C6532" s="2" t="str">
        <f>"766814208"</f>
        <v>766814208</v>
      </c>
      <c r="D6532" s="2" t="s">
        <v>4695</v>
      </c>
      <c r="E6532" s="4">
        <v>3000</v>
      </c>
    </row>
    <row r="6533" spans="1:5" ht="26.25" x14ac:dyDescent="0.25">
      <c r="A6533" s="2" t="s">
        <v>1590</v>
      </c>
      <c r="B6533" s="2" t="str">
        <f>"764914138"</f>
        <v>764914138</v>
      </c>
      <c r="C6533" s="2" t="str">
        <f>"764914138"</f>
        <v>764914138</v>
      </c>
      <c r="D6533" s="2" t="s">
        <v>4695</v>
      </c>
      <c r="E6533" s="4">
        <v>3000</v>
      </c>
    </row>
    <row r="6534" spans="1:5" ht="26.25" x14ac:dyDescent="0.25">
      <c r="A6534" s="2" t="s">
        <v>1590</v>
      </c>
      <c r="B6534" s="2" t="str">
        <f>"346814260"</f>
        <v>346814260</v>
      </c>
      <c r="C6534" s="2" t="str">
        <f>"346814260"</f>
        <v>346814260</v>
      </c>
      <c r="D6534" s="2" t="s">
        <v>4696</v>
      </c>
      <c r="E6534" s="4">
        <v>3000</v>
      </c>
    </row>
    <row r="6535" spans="1:5" ht="26.25" x14ac:dyDescent="0.25">
      <c r="A6535" s="2" t="s">
        <v>1590</v>
      </c>
      <c r="B6535" s="2" t="str">
        <f>"10086111812"</f>
        <v>10086111812</v>
      </c>
      <c r="C6535" s="2" t="str">
        <f>"344910269"</f>
        <v>344910269</v>
      </c>
      <c r="D6535" s="2" t="s">
        <v>4697</v>
      </c>
      <c r="E6535" s="4">
        <v>3000</v>
      </c>
    </row>
    <row r="6536" spans="1:5" ht="26.25" x14ac:dyDescent="0.25">
      <c r="A6536" s="2" t="s">
        <v>1590</v>
      </c>
      <c r="B6536" s="2" t="str">
        <f>"764914269"</f>
        <v>764914269</v>
      </c>
      <c r="C6536" s="2" t="str">
        <f>"764914269"</f>
        <v>764914269</v>
      </c>
      <c r="D6536" s="2" t="s">
        <v>4697</v>
      </c>
      <c r="E6536" s="4">
        <v>3000</v>
      </c>
    </row>
    <row r="6537" spans="1:5" ht="26.25" x14ac:dyDescent="0.25">
      <c r="A6537" s="2" t="s">
        <v>1590</v>
      </c>
      <c r="B6537" s="2" t="str">
        <f>"10086111814"</f>
        <v>10086111814</v>
      </c>
      <c r="C6537" s="2" t="str">
        <f>"344910270"</f>
        <v>344910270</v>
      </c>
      <c r="D6537" s="2" t="s">
        <v>4698</v>
      </c>
      <c r="E6537" s="4">
        <v>3000</v>
      </c>
    </row>
    <row r="6538" spans="1:5" ht="26.25" x14ac:dyDescent="0.25">
      <c r="A6538" s="2" t="s">
        <v>1590</v>
      </c>
      <c r="B6538" s="2" t="str">
        <f>"764914273"</f>
        <v>764914273</v>
      </c>
      <c r="C6538" s="2" t="str">
        <f>"764914273"</f>
        <v>764914273</v>
      </c>
      <c r="D6538" s="2" t="s">
        <v>4699</v>
      </c>
      <c r="E6538" s="4">
        <v>3000</v>
      </c>
    </row>
    <row r="6539" spans="1:5" ht="26.25" x14ac:dyDescent="0.25">
      <c r="A6539" s="2" t="s">
        <v>1590</v>
      </c>
      <c r="B6539" s="2" t="str">
        <f>"110565657"</f>
        <v>110565657</v>
      </c>
      <c r="C6539" s="2" t="str">
        <f>"110565657"</f>
        <v>110565657</v>
      </c>
      <c r="D6539" s="2" t="s">
        <v>4700</v>
      </c>
      <c r="E6539" s="4">
        <v>3000</v>
      </c>
    </row>
    <row r="6540" spans="1:5" ht="26.25" x14ac:dyDescent="0.25">
      <c r="A6540" s="2" t="s">
        <v>10</v>
      </c>
      <c r="B6540" s="2" t="str">
        <f>"110565627"</f>
        <v>110565627</v>
      </c>
      <c r="C6540" s="2" t="str">
        <f>"110565627"</f>
        <v>110565627</v>
      </c>
      <c r="D6540" s="2" t="s">
        <v>4701</v>
      </c>
      <c r="E6540" s="4">
        <v>2000</v>
      </c>
    </row>
    <row r="6541" spans="1:5" ht="26.25" x14ac:dyDescent="0.25">
      <c r="A6541" s="2" t="s">
        <v>1590</v>
      </c>
      <c r="B6541" s="2" t="str">
        <f>"34681486"</f>
        <v>34681486</v>
      </c>
      <c r="C6541" s="2" t="str">
        <f>"34681486"</f>
        <v>34681486</v>
      </c>
      <c r="D6541" s="2" t="s">
        <v>4702</v>
      </c>
      <c r="E6541" s="4">
        <v>3000</v>
      </c>
    </row>
    <row r="6542" spans="1:5" ht="26.25" x14ac:dyDescent="0.25">
      <c r="A6542" s="2" t="s">
        <v>1590</v>
      </c>
      <c r="B6542" s="2" t="str">
        <f>"76491486"</f>
        <v>76491486</v>
      </c>
      <c r="C6542" s="2" t="str">
        <f>"76491486"</f>
        <v>76491486</v>
      </c>
      <c r="D6542" s="2" t="s">
        <v>4702</v>
      </c>
      <c r="E6542" s="4">
        <v>3000</v>
      </c>
    </row>
    <row r="6543" spans="1:5" ht="26.25" x14ac:dyDescent="0.25">
      <c r="A6543" s="2" t="s">
        <v>1590</v>
      </c>
      <c r="B6543" s="2" t="str">
        <f>"76681486"</f>
        <v>76681486</v>
      </c>
      <c r="C6543" s="2" t="str">
        <f>"76681486"</f>
        <v>76681486</v>
      </c>
      <c r="D6543" s="2" t="s">
        <v>4702</v>
      </c>
      <c r="E6543" s="4">
        <v>3000</v>
      </c>
    </row>
    <row r="6544" spans="1:5" ht="26.25" x14ac:dyDescent="0.25">
      <c r="A6544" s="2" t="s">
        <v>1590</v>
      </c>
      <c r="B6544" s="2" t="str">
        <f>"34471454"</f>
        <v>34471454</v>
      </c>
      <c r="C6544" s="2" t="str">
        <f>"34471454"</f>
        <v>34471454</v>
      </c>
      <c r="D6544" s="2" t="s">
        <v>4703</v>
      </c>
      <c r="E6544" s="4">
        <v>3000</v>
      </c>
    </row>
    <row r="6545" spans="1:5" ht="26.25" x14ac:dyDescent="0.25">
      <c r="A6545" s="2" t="s">
        <v>1590</v>
      </c>
      <c r="B6545" s="2" t="str">
        <f>"34681454"</f>
        <v>34681454</v>
      </c>
      <c r="C6545" s="2" t="str">
        <f>"34681454"</f>
        <v>34681454</v>
      </c>
      <c r="D6545" s="2" t="s">
        <v>4703</v>
      </c>
      <c r="E6545" s="4">
        <v>3000</v>
      </c>
    </row>
    <row r="6546" spans="1:5" ht="26.25" x14ac:dyDescent="0.25">
      <c r="A6546" s="2" t="s">
        <v>1590</v>
      </c>
      <c r="B6546" s="2" t="str">
        <f>"764614178"</f>
        <v>764614178</v>
      </c>
      <c r="C6546" s="2" t="str">
        <f>"764614178"</f>
        <v>764614178</v>
      </c>
      <c r="D6546" s="2" t="s">
        <v>4704</v>
      </c>
      <c r="E6546" s="4">
        <v>4500</v>
      </c>
    </row>
    <row r="6547" spans="1:5" ht="26.25" x14ac:dyDescent="0.25">
      <c r="A6547" s="2" t="s">
        <v>1590</v>
      </c>
      <c r="B6547" s="2" t="str">
        <f>"614914178"</f>
        <v>614914178</v>
      </c>
      <c r="C6547" s="2" t="str">
        <f>"614914178"</f>
        <v>614914178</v>
      </c>
      <c r="D6547" s="2" t="s">
        <v>4704</v>
      </c>
      <c r="E6547" s="4">
        <v>3000</v>
      </c>
    </row>
    <row r="6548" spans="1:5" ht="26.25" x14ac:dyDescent="0.25">
      <c r="A6548" s="2" t="s">
        <v>1590</v>
      </c>
      <c r="B6548" s="2" t="str">
        <f>"766814178"</f>
        <v>766814178</v>
      </c>
      <c r="C6548" s="2" t="str">
        <f>"766814178"</f>
        <v>766814178</v>
      </c>
      <c r="D6548" s="2" t="s">
        <v>4704</v>
      </c>
      <c r="E6548" s="4">
        <v>3000</v>
      </c>
    </row>
    <row r="6549" spans="1:5" ht="26.25" x14ac:dyDescent="0.25">
      <c r="A6549" s="2" t="s">
        <v>1590</v>
      </c>
      <c r="B6549" s="2" t="str">
        <f>"764914178"</f>
        <v>764914178</v>
      </c>
      <c r="C6549" s="2" t="str">
        <f>"764914178"</f>
        <v>764914178</v>
      </c>
      <c r="D6549" s="2" t="s">
        <v>4704</v>
      </c>
      <c r="E6549" s="4">
        <v>3000</v>
      </c>
    </row>
    <row r="6550" spans="1:5" ht="26.25" x14ac:dyDescent="0.25">
      <c r="A6550" s="2" t="s">
        <v>1590</v>
      </c>
      <c r="B6550" s="2" t="str">
        <f>"764614191"</f>
        <v>764614191</v>
      </c>
      <c r="C6550" s="2" t="str">
        <f>"764614191"</f>
        <v>764614191</v>
      </c>
      <c r="D6550" s="2" t="s">
        <v>4705</v>
      </c>
      <c r="E6550" s="4">
        <v>3900</v>
      </c>
    </row>
    <row r="6551" spans="1:5" ht="26.25" x14ac:dyDescent="0.25">
      <c r="A6551" s="2" t="s">
        <v>1590</v>
      </c>
      <c r="B6551" s="2" t="str">
        <f>"766814191"</f>
        <v>766814191</v>
      </c>
      <c r="C6551" s="2" t="str">
        <f>"766814191"</f>
        <v>766814191</v>
      </c>
      <c r="D6551" s="2" t="s">
        <v>4705</v>
      </c>
      <c r="E6551" s="4">
        <v>3000</v>
      </c>
    </row>
    <row r="6552" spans="1:5" ht="26.25" x14ac:dyDescent="0.25">
      <c r="A6552" s="2" t="s">
        <v>1590</v>
      </c>
      <c r="B6552" s="2" t="str">
        <f>"766814200"</f>
        <v>766814200</v>
      </c>
      <c r="C6552" s="2" t="str">
        <f>"766814200"</f>
        <v>766814200</v>
      </c>
      <c r="D6552" s="2" t="s">
        <v>4706</v>
      </c>
      <c r="E6552" s="4">
        <v>3000</v>
      </c>
    </row>
    <row r="6553" spans="1:5" ht="26.25" x14ac:dyDescent="0.25">
      <c r="A6553" s="2" t="s">
        <v>1590</v>
      </c>
      <c r="B6553" s="2" t="str">
        <f>"414914200"</f>
        <v>414914200</v>
      </c>
      <c r="C6553" s="2" t="str">
        <f>"414914200"</f>
        <v>414914200</v>
      </c>
      <c r="D6553" s="2" t="s">
        <v>4706</v>
      </c>
      <c r="E6553" s="4">
        <v>3000</v>
      </c>
    </row>
    <row r="6554" spans="1:5" ht="26.25" x14ac:dyDescent="0.25">
      <c r="A6554" s="2" t="s">
        <v>1590</v>
      </c>
      <c r="B6554" s="2" t="str">
        <f>"614914200"</f>
        <v>614914200</v>
      </c>
      <c r="C6554" s="2" t="str">
        <f>"614914200"</f>
        <v>614914200</v>
      </c>
      <c r="D6554" s="2" t="s">
        <v>4706</v>
      </c>
      <c r="E6554" s="4">
        <v>3000</v>
      </c>
    </row>
    <row r="6555" spans="1:5" ht="26.25" x14ac:dyDescent="0.25">
      <c r="A6555" s="2" t="s">
        <v>1590</v>
      </c>
      <c r="B6555" s="2" t="str">
        <f>"2019512588023"</f>
        <v>2019512588023</v>
      </c>
      <c r="C6555" s="2" t="str">
        <f>"344914200"</f>
        <v>344914200</v>
      </c>
      <c r="D6555" s="2" t="s">
        <v>4706</v>
      </c>
      <c r="E6555" s="4">
        <v>3000</v>
      </c>
    </row>
    <row r="6556" spans="1:5" ht="26.25" x14ac:dyDescent="0.25">
      <c r="A6556" s="2" t="s">
        <v>1590</v>
      </c>
      <c r="B6556" s="2" t="str">
        <f>"346814200"</f>
        <v>346814200</v>
      </c>
      <c r="C6556" s="2" t="str">
        <f>"346814200"</f>
        <v>346814200</v>
      </c>
      <c r="D6556" s="2" t="s">
        <v>4706</v>
      </c>
      <c r="E6556" s="4">
        <v>3000</v>
      </c>
    </row>
    <row r="6557" spans="1:5" ht="26.25" x14ac:dyDescent="0.25">
      <c r="A6557" s="2" t="s">
        <v>1590</v>
      </c>
      <c r="B6557" s="2" t="str">
        <f>"766814202"</f>
        <v>766814202</v>
      </c>
      <c r="C6557" s="2" t="str">
        <f>"766814202"</f>
        <v>766814202</v>
      </c>
      <c r="D6557" s="2" t="s">
        <v>4707</v>
      </c>
      <c r="E6557" s="4">
        <v>3000</v>
      </c>
    </row>
    <row r="6558" spans="1:5" ht="26.25" x14ac:dyDescent="0.25">
      <c r="A6558" s="2" t="s">
        <v>1590</v>
      </c>
      <c r="B6558" s="2" t="str">
        <f>"346814201"</f>
        <v>346814201</v>
      </c>
      <c r="C6558" s="2" t="str">
        <f>"346814201"</f>
        <v>346814201</v>
      </c>
      <c r="D6558" s="2" t="s">
        <v>4708</v>
      </c>
      <c r="E6558" s="4">
        <v>3000</v>
      </c>
    </row>
    <row r="6559" spans="1:5" ht="26.25" x14ac:dyDescent="0.25">
      <c r="A6559" s="2" t="s">
        <v>1590</v>
      </c>
      <c r="B6559" s="2" t="str">
        <f>"1908070123409"</f>
        <v>1908070123409</v>
      </c>
      <c r="C6559" s="2" t="str">
        <f>"344914201"</f>
        <v>344914201</v>
      </c>
      <c r="D6559" s="2" t="s">
        <v>4708</v>
      </c>
      <c r="E6559" s="4">
        <v>3000</v>
      </c>
    </row>
    <row r="6560" spans="1:5" ht="26.25" x14ac:dyDescent="0.25">
      <c r="A6560" s="2" t="s">
        <v>1590</v>
      </c>
      <c r="B6560" s="2" t="str">
        <f>"766814203"</f>
        <v>766814203</v>
      </c>
      <c r="C6560" s="2" t="str">
        <f>"766814203"</f>
        <v>766814203</v>
      </c>
      <c r="D6560" s="2" t="s">
        <v>4709</v>
      </c>
      <c r="E6560" s="4">
        <v>3000</v>
      </c>
    </row>
    <row r="6561" spans="1:5" ht="26.25" x14ac:dyDescent="0.25">
      <c r="A6561" s="2" t="s">
        <v>1590</v>
      </c>
      <c r="B6561" s="2" t="str">
        <f>"864914203"</f>
        <v>864914203</v>
      </c>
      <c r="C6561" s="2" t="str">
        <f>"864914203"</f>
        <v>864914203</v>
      </c>
      <c r="D6561" s="2" t="s">
        <v>4709</v>
      </c>
      <c r="E6561" s="4">
        <v>1000</v>
      </c>
    </row>
    <row r="6562" spans="1:5" ht="26.25" x14ac:dyDescent="0.25">
      <c r="A6562" s="2" t="s">
        <v>1590</v>
      </c>
      <c r="B6562" s="2" t="str">
        <f>"766814204"</f>
        <v>766814204</v>
      </c>
      <c r="C6562" s="2" t="str">
        <f>"766814204"</f>
        <v>766814204</v>
      </c>
      <c r="D6562" s="2" t="s">
        <v>4710</v>
      </c>
      <c r="E6562" s="4">
        <v>3000</v>
      </c>
    </row>
    <row r="6563" spans="1:5" ht="26.25" x14ac:dyDescent="0.25">
      <c r="A6563" s="2" t="s">
        <v>1590</v>
      </c>
      <c r="B6563" s="2" t="str">
        <f>"344914126"</f>
        <v>344914126</v>
      </c>
      <c r="C6563" s="2" t="str">
        <f>"344914126"</f>
        <v>344914126</v>
      </c>
      <c r="D6563" s="2" t="s">
        <v>4711</v>
      </c>
      <c r="E6563" s="4">
        <v>3000</v>
      </c>
    </row>
    <row r="6564" spans="1:5" ht="26.25" x14ac:dyDescent="0.25">
      <c r="A6564" s="2" t="s">
        <v>1590</v>
      </c>
      <c r="B6564" s="2" t="str">
        <f>"344914238"</f>
        <v>344914238</v>
      </c>
      <c r="C6564" s="2" t="str">
        <f>"344914238"</f>
        <v>344914238</v>
      </c>
      <c r="D6564" s="2" t="s">
        <v>4711</v>
      </c>
      <c r="E6564" s="4">
        <v>3000</v>
      </c>
    </row>
    <row r="6565" spans="1:5" ht="26.25" x14ac:dyDescent="0.25">
      <c r="A6565" s="2" t="s">
        <v>1590</v>
      </c>
      <c r="B6565" s="2" t="str">
        <f>"34681520"</f>
        <v>34681520</v>
      </c>
      <c r="C6565" s="2" t="str">
        <f>"34681520"</f>
        <v>34681520</v>
      </c>
      <c r="D6565" s="2" t="s">
        <v>4712</v>
      </c>
      <c r="E6565" s="4">
        <v>3000</v>
      </c>
    </row>
    <row r="6566" spans="1:5" ht="26.25" x14ac:dyDescent="0.25">
      <c r="A6566" s="2" t="s">
        <v>1590</v>
      </c>
      <c r="B6566" s="2" t="str">
        <f>"34681504"</f>
        <v>34681504</v>
      </c>
      <c r="C6566" s="2" t="str">
        <f>"34681504"</f>
        <v>34681504</v>
      </c>
      <c r="D6566" s="2" t="s">
        <v>4713</v>
      </c>
      <c r="E6566" s="4">
        <v>3000</v>
      </c>
    </row>
    <row r="6567" spans="1:5" ht="26.25" x14ac:dyDescent="0.25">
      <c r="A6567" s="2" t="s">
        <v>1590</v>
      </c>
      <c r="B6567" s="2" t="str">
        <f>"68681515"</f>
        <v>68681515</v>
      </c>
      <c r="C6567" s="2" t="str">
        <f>"68681515"</f>
        <v>68681515</v>
      </c>
      <c r="D6567" s="2" t="s">
        <v>4714</v>
      </c>
      <c r="E6567" s="4">
        <v>3000</v>
      </c>
    </row>
    <row r="6568" spans="1:5" ht="26.25" x14ac:dyDescent="0.25">
      <c r="A6568" s="2" t="s">
        <v>1590</v>
      </c>
      <c r="B6568" s="2" t="str">
        <f>"766815301"</f>
        <v>766815301</v>
      </c>
      <c r="C6568" s="2" t="str">
        <f>"766815301"</f>
        <v>766815301</v>
      </c>
      <c r="D6568" s="2" t="s">
        <v>4714</v>
      </c>
      <c r="E6568" s="4">
        <v>3000</v>
      </c>
    </row>
    <row r="6569" spans="1:5" ht="26.25" x14ac:dyDescent="0.25">
      <c r="A6569" s="2" t="s">
        <v>1590</v>
      </c>
      <c r="B6569" s="2" t="str">
        <f>"34681509"</f>
        <v>34681509</v>
      </c>
      <c r="C6569" s="2" t="str">
        <f>"34681509"</f>
        <v>34681509</v>
      </c>
      <c r="D6569" s="2" t="s">
        <v>4715</v>
      </c>
      <c r="E6569" s="4">
        <v>3000</v>
      </c>
    </row>
    <row r="6570" spans="1:5" ht="26.25" x14ac:dyDescent="0.25">
      <c r="A6570" s="2" t="s">
        <v>1590</v>
      </c>
      <c r="B6570" s="2" t="str">
        <f>"346815111"</f>
        <v>346815111</v>
      </c>
      <c r="C6570" s="2" t="str">
        <f>"346815111"</f>
        <v>346815111</v>
      </c>
      <c r="D6570" s="2" t="s">
        <v>4716</v>
      </c>
      <c r="E6570" s="4">
        <v>3000</v>
      </c>
    </row>
    <row r="6571" spans="1:5" ht="26.25" x14ac:dyDescent="0.25">
      <c r="A6571" s="2" t="s">
        <v>1590</v>
      </c>
      <c r="B6571" s="2" t="str">
        <f>"766815195"</f>
        <v>766815195</v>
      </c>
      <c r="C6571" s="2" t="str">
        <f>"766815195"</f>
        <v>766815195</v>
      </c>
      <c r="D6571" s="2" t="s">
        <v>4717</v>
      </c>
      <c r="E6571" s="4">
        <v>3000</v>
      </c>
    </row>
    <row r="6572" spans="1:5" ht="26.25" x14ac:dyDescent="0.25">
      <c r="A6572" s="2" t="s">
        <v>1590</v>
      </c>
      <c r="B6572" s="2" t="str">
        <f>"766815272"</f>
        <v>766815272</v>
      </c>
      <c r="C6572" s="2" t="str">
        <f>"766815272"</f>
        <v>766815272</v>
      </c>
      <c r="D6572" s="2" t="s">
        <v>4718</v>
      </c>
      <c r="E6572" s="4">
        <v>3000</v>
      </c>
    </row>
    <row r="6573" spans="1:5" ht="26.25" x14ac:dyDescent="0.25">
      <c r="A6573" s="2" t="s">
        <v>1590</v>
      </c>
      <c r="B6573" s="2" t="str">
        <f>"766815267"</f>
        <v>766815267</v>
      </c>
      <c r="C6573" s="2" t="str">
        <f>"766815267"</f>
        <v>766815267</v>
      </c>
      <c r="D6573" s="2" t="s">
        <v>4719</v>
      </c>
      <c r="E6573" s="4">
        <v>3000</v>
      </c>
    </row>
    <row r="6574" spans="1:5" ht="26.25" x14ac:dyDescent="0.25">
      <c r="A6574" s="2" t="s">
        <v>1590</v>
      </c>
      <c r="B6574" s="2" t="str">
        <f>"686815287"</f>
        <v>686815287</v>
      </c>
      <c r="C6574" s="2" t="str">
        <f>"686815287"</f>
        <v>686815287</v>
      </c>
      <c r="D6574" s="2" t="s">
        <v>4720</v>
      </c>
      <c r="E6574" s="4">
        <v>3000</v>
      </c>
    </row>
    <row r="6575" spans="1:5" ht="26.25" x14ac:dyDescent="0.25">
      <c r="A6575" s="2" t="s">
        <v>1590</v>
      </c>
      <c r="B6575" s="2" t="str">
        <f>"766815287"</f>
        <v>766815287</v>
      </c>
      <c r="C6575" s="2" t="str">
        <f>"766815287"</f>
        <v>766815287</v>
      </c>
      <c r="D6575" s="2" t="s">
        <v>4720</v>
      </c>
      <c r="E6575" s="4">
        <v>3000</v>
      </c>
    </row>
    <row r="6576" spans="1:5" ht="26.25" x14ac:dyDescent="0.25">
      <c r="A6576" s="2" t="s">
        <v>1590</v>
      </c>
      <c r="B6576" s="2" t="str">
        <f>"764915287"</f>
        <v>764915287</v>
      </c>
      <c r="C6576" s="2" t="str">
        <f>"764915287"</f>
        <v>764915287</v>
      </c>
      <c r="D6576" s="2" t="s">
        <v>4720</v>
      </c>
      <c r="E6576" s="4">
        <v>3000</v>
      </c>
    </row>
    <row r="6577" spans="1:5" ht="26.25" x14ac:dyDescent="0.25">
      <c r="A6577" s="2" t="s">
        <v>1590</v>
      </c>
      <c r="B6577" s="2" t="str">
        <f>"346815287"</f>
        <v>346815287</v>
      </c>
      <c r="C6577" s="2" t="str">
        <f>"346815287"</f>
        <v>346815287</v>
      </c>
      <c r="D6577" s="2" t="s">
        <v>4720</v>
      </c>
      <c r="E6577" s="4">
        <v>3000</v>
      </c>
    </row>
    <row r="6578" spans="1:5" ht="26.25" x14ac:dyDescent="0.25">
      <c r="A6578" s="2" t="s">
        <v>1590</v>
      </c>
      <c r="B6578" s="2" t="str">
        <f>"336815287"</f>
        <v>336815287</v>
      </c>
      <c r="C6578" s="2" t="str">
        <f>"336815287"</f>
        <v>336815287</v>
      </c>
      <c r="D6578" s="2" t="s">
        <v>4720</v>
      </c>
      <c r="E6578" s="4">
        <v>3000</v>
      </c>
    </row>
    <row r="6579" spans="1:5" ht="26.25" x14ac:dyDescent="0.25">
      <c r="A6579" s="2" t="s">
        <v>1590</v>
      </c>
      <c r="B6579" s="2" t="str">
        <f>"766815271"</f>
        <v>766815271</v>
      </c>
      <c r="C6579" s="2" t="str">
        <f>"766815271"</f>
        <v>766815271</v>
      </c>
      <c r="D6579" s="2" t="s">
        <v>4721</v>
      </c>
      <c r="E6579" s="4">
        <v>3000</v>
      </c>
    </row>
    <row r="6580" spans="1:5" ht="26.25" x14ac:dyDescent="0.25">
      <c r="A6580" s="2" t="s">
        <v>1590</v>
      </c>
      <c r="B6580" s="2" t="str">
        <f>"176815170"</f>
        <v>176815170</v>
      </c>
      <c r="C6580" s="2" t="str">
        <f>"176815170"</f>
        <v>176815170</v>
      </c>
      <c r="D6580" s="2" t="s">
        <v>4722</v>
      </c>
      <c r="E6580" s="4">
        <v>3500</v>
      </c>
    </row>
    <row r="6581" spans="1:5" ht="26.25" x14ac:dyDescent="0.25">
      <c r="A6581" s="2" t="s">
        <v>1590</v>
      </c>
      <c r="B6581" s="2" t="str">
        <f>"34681523"</f>
        <v>34681523</v>
      </c>
      <c r="C6581" s="2" t="str">
        <f>"34681523"</f>
        <v>34681523</v>
      </c>
      <c r="D6581" s="2" t="s">
        <v>4723</v>
      </c>
      <c r="E6581" s="4">
        <v>3000</v>
      </c>
    </row>
    <row r="6582" spans="1:5" ht="26.25" x14ac:dyDescent="0.25">
      <c r="A6582" s="2" t="s">
        <v>1590</v>
      </c>
      <c r="B6582" s="2" t="str">
        <f>"34685133"</f>
        <v>34685133</v>
      </c>
      <c r="C6582" s="2" t="str">
        <f>"34685133"</f>
        <v>34685133</v>
      </c>
      <c r="D6582" s="2" t="s">
        <v>4724</v>
      </c>
      <c r="E6582" s="4">
        <v>3000</v>
      </c>
    </row>
    <row r="6583" spans="1:5" ht="26.25" x14ac:dyDescent="0.25">
      <c r="A6583" s="2" t="s">
        <v>1590</v>
      </c>
      <c r="B6583" s="2" t="str">
        <f>"346815133"</f>
        <v>346815133</v>
      </c>
      <c r="C6583" s="2" t="str">
        <f>"346815133"</f>
        <v>346815133</v>
      </c>
      <c r="D6583" s="2" t="s">
        <v>4724</v>
      </c>
      <c r="E6583" s="4">
        <v>3000</v>
      </c>
    </row>
    <row r="6584" spans="1:5" ht="26.25" x14ac:dyDescent="0.25">
      <c r="A6584" s="2" t="s">
        <v>1590</v>
      </c>
      <c r="B6584" s="2" t="str">
        <f>"766815252"</f>
        <v>766815252</v>
      </c>
      <c r="C6584" s="2" t="str">
        <f>"766815252"</f>
        <v>766815252</v>
      </c>
      <c r="D6584" s="2" t="s">
        <v>4724</v>
      </c>
      <c r="E6584" s="4">
        <v>3000</v>
      </c>
    </row>
    <row r="6585" spans="1:5" ht="26.25" x14ac:dyDescent="0.25">
      <c r="A6585" s="2" t="s">
        <v>1590</v>
      </c>
      <c r="B6585" s="2" t="str">
        <f>"766815176"</f>
        <v>766815176</v>
      </c>
      <c r="C6585" s="2" t="str">
        <f>"766815176"</f>
        <v>766815176</v>
      </c>
      <c r="D6585" s="2" t="s">
        <v>4725</v>
      </c>
      <c r="E6585" s="4">
        <v>3000</v>
      </c>
    </row>
    <row r="6586" spans="1:5" ht="26.25" x14ac:dyDescent="0.25">
      <c r="A6586" s="2" t="s">
        <v>1590</v>
      </c>
      <c r="B6586" s="2" t="str">
        <f>"34680201"</f>
        <v>34680201</v>
      </c>
      <c r="C6586" s="2" t="str">
        <f>"34680201"</f>
        <v>34680201</v>
      </c>
      <c r="D6586" s="2" t="s">
        <v>4726</v>
      </c>
      <c r="E6586" s="4">
        <v>3000</v>
      </c>
    </row>
    <row r="6587" spans="1:5" ht="26.25" x14ac:dyDescent="0.25">
      <c r="A6587" s="2" t="s">
        <v>1590</v>
      </c>
      <c r="B6587" s="2" t="str">
        <f>"13490213"</f>
        <v>13490213</v>
      </c>
      <c r="C6587" s="2" t="str">
        <f>"13490213"</f>
        <v>13490213</v>
      </c>
      <c r="D6587" s="2" t="s">
        <v>4727</v>
      </c>
      <c r="E6587" s="4">
        <v>3000</v>
      </c>
    </row>
    <row r="6588" spans="1:5" ht="26.25" x14ac:dyDescent="0.25">
      <c r="A6588" s="2" t="s">
        <v>1590</v>
      </c>
      <c r="B6588" s="2" t="str">
        <f>"13490214"</f>
        <v>13490214</v>
      </c>
      <c r="C6588" s="2" t="str">
        <f>"13490214"</f>
        <v>13490214</v>
      </c>
      <c r="D6588" s="2" t="s">
        <v>4728</v>
      </c>
      <c r="E6588" s="4">
        <v>3000</v>
      </c>
    </row>
    <row r="6589" spans="1:5" ht="26.25" x14ac:dyDescent="0.25">
      <c r="A6589" s="2" t="s">
        <v>1590</v>
      </c>
      <c r="B6589" s="2" t="str">
        <f>"76390202"</f>
        <v>76390202</v>
      </c>
      <c r="C6589" s="2" t="str">
        <f>"76390202"</f>
        <v>76390202</v>
      </c>
      <c r="D6589" s="2" t="s">
        <v>4729</v>
      </c>
      <c r="E6589" s="4">
        <v>3000</v>
      </c>
    </row>
    <row r="6590" spans="1:5" ht="26.25" x14ac:dyDescent="0.25">
      <c r="A6590" s="2" t="s">
        <v>1590</v>
      </c>
      <c r="B6590" s="2" t="str">
        <f>"13490219"</f>
        <v>13490219</v>
      </c>
      <c r="C6590" s="2" t="str">
        <f>"13490219"</f>
        <v>13490219</v>
      </c>
      <c r="D6590" s="2" t="s">
        <v>4730</v>
      </c>
      <c r="E6590" s="4">
        <v>3000</v>
      </c>
    </row>
    <row r="6591" spans="1:5" ht="26.25" x14ac:dyDescent="0.25">
      <c r="A6591" s="2" t="s">
        <v>1590</v>
      </c>
      <c r="B6591" s="2" t="str">
        <f>"346818133"</f>
        <v>346818133</v>
      </c>
      <c r="C6591" s="2" t="str">
        <f>"346818133"</f>
        <v>346818133</v>
      </c>
      <c r="D6591" s="2" t="s">
        <v>4731</v>
      </c>
      <c r="E6591" s="4">
        <v>3000</v>
      </c>
    </row>
    <row r="6592" spans="1:5" ht="26.25" x14ac:dyDescent="0.25">
      <c r="A6592" s="2" t="s">
        <v>49</v>
      </c>
      <c r="B6592" s="2" t="str">
        <f>"6686996300733"</f>
        <v>6686996300733</v>
      </c>
      <c r="C6592" s="2" t="str">
        <f>"549330073"</f>
        <v>549330073</v>
      </c>
      <c r="D6592" s="2" t="s">
        <v>4732</v>
      </c>
      <c r="E6592" s="4">
        <v>4990</v>
      </c>
    </row>
    <row r="6593" spans="1:5" ht="26.25" x14ac:dyDescent="0.25">
      <c r="A6593" s="2" t="s">
        <v>49</v>
      </c>
      <c r="B6593" s="2" t="str">
        <f>"10003936"</f>
        <v>10003936</v>
      </c>
      <c r="C6593" s="2" t="str">
        <f>"10003936"</f>
        <v>10003936</v>
      </c>
      <c r="D6593" s="2" t="s">
        <v>4733</v>
      </c>
      <c r="E6593" s="4">
        <v>5990</v>
      </c>
    </row>
    <row r="6594" spans="1:5" ht="26.25" x14ac:dyDescent="0.25">
      <c r="A6594" s="2" t="s">
        <v>2655</v>
      </c>
      <c r="B6594" s="2" t="str">
        <f>"25362716"</f>
        <v>25362716</v>
      </c>
      <c r="C6594" s="2" t="str">
        <f>"25362716"</f>
        <v>25362716</v>
      </c>
      <c r="D6594" s="2" t="s">
        <v>4734</v>
      </c>
      <c r="E6594" s="4">
        <v>10500</v>
      </c>
    </row>
    <row r="6595" spans="1:5" ht="26.25" x14ac:dyDescent="0.25">
      <c r="A6595" s="2" t="s">
        <v>2655</v>
      </c>
      <c r="B6595" s="2" t="str">
        <f>"25363508"</f>
        <v>25363508</v>
      </c>
      <c r="C6595" s="2" t="str">
        <f>"25363508"</f>
        <v>25363508</v>
      </c>
      <c r="D6595" s="2" t="s">
        <v>4735</v>
      </c>
      <c r="E6595" s="4">
        <v>8500</v>
      </c>
    </row>
    <row r="6596" spans="1:5" ht="26.25" x14ac:dyDescent="0.25">
      <c r="A6596" s="2" t="s">
        <v>2655</v>
      </c>
      <c r="B6596" s="2" t="str">
        <f>"25363532"</f>
        <v>25363532</v>
      </c>
      <c r="C6596" s="2" t="str">
        <f>"25363532"</f>
        <v>25363532</v>
      </c>
      <c r="D6596" s="2" t="s">
        <v>4736</v>
      </c>
      <c r="E6596" s="4">
        <v>19900</v>
      </c>
    </row>
    <row r="6597" spans="1:5" ht="26.25" x14ac:dyDescent="0.25">
      <c r="A6597" s="2" t="s">
        <v>2655</v>
      </c>
      <c r="B6597" s="2" t="str">
        <f>"10102398"</f>
        <v>10102398</v>
      </c>
      <c r="C6597" s="2" t="str">
        <f>"10102398"</f>
        <v>10102398</v>
      </c>
      <c r="D6597" s="2" t="s">
        <v>4737</v>
      </c>
      <c r="E6597" s="4">
        <v>3000</v>
      </c>
    </row>
    <row r="6598" spans="1:5" x14ac:dyDescent="0.25">
      <c r="A6598" s="2" t="s">
        <v>2037</v>
      </c>
      <c r="B6598" s="2" t="str">
        <f>"1495836193010"</f>
        <v>1495836193010</v>
      </c>
      <c r="C6598" s="2" t="str">
        <f>"1234"</f>
        <v>1234</v>
      </c>
      <c r="D6598" s="2" t="s">
        <v>4738</v>
      </c>
      <c r="E6598" s="4">
        <v>11900</v>
      </c>
    </row>
    <row r="6599" spans="1:5" ht="26.25" x14ac:dyDescent="0.25">
      <c r="A6599" s="2" t="s">
        <v>2742</v>
      </c>
      <c r="B6599" s="2" t="str">
        <f>"7796941038280"</f>
        <v>7796941038280</v>
      </c>
      <c r="C6599" s="2" t="str">
        <f>"42110100"</f>
        <v>42110100</v>
      </c>
      <c r="D6599" s="2" t="s">
        <v>4739</v>
      </c>
      <c r="E6599" s="4">
        <v>5900</v>
      </c>
    </row>
    <row r="6600" spans="1:5" ht="26.25" x14ac:dyDescent="0.25">
      <c r="A6600" s="2" t="s">
        <v>2742</v>
      </c>
      <c r="B6600" s="2" t="str">
        <f>"7796941038297"</f>
        <v>7796941038297</v>
      </c>
      <c r="C6600" s="2" t="str">
        <f>"42110201"</f>
        <v>42110201</v>
      </c>
      <c r="D6600" s="2" t="s">
        <v>4740</v>
      </c>
      <c r="E6600" s="4">
        <v>7990</v>
      </c>
    </row>
    <row r="6601" spans="1:5" ht="26.25" x14ac:dyDescent="0.25">
      <c r="A6601" s="2" t="s">
        <v>2742</v>
      </c>
      <c r="B6601" s="2" t="str">
        <f>"7796941037986"</f>
        <v>7796941037986</v>
      </c>
      <c r="C6601" s="2" t="str">
        <f>"42110400"</f>
        <v>42110400</v>
      </c>
      <c r="D6601" s="2" t="s">
        <v>4741</v>
      </c>
      <c r="E6601" s="4">
        <v>18500</v>
      </c>
    </row>
    <row r="6602" spans="1:5" ht="26.25" x14ac:dyDescent="0.25">
      <c r="A6602" s="2" t="s">
        <v>2742</v>
      </c>
      <c r="B6602" s="2" t="str">
        <f>"10821538"</f>
        <v>10821538</v>
      </c>
      <c r="C6602" s="2" t="str">
        <f>"10821538"</f>
        <v>10821538</v>
      </c>
      <c r="D6602" s="2" t="s">
        <v>4742</v>
      </c>
      <c r="E6602" s="4">
        <v>5900</v>
      </c>
    </row>
    <row r="6603" spans="1:5" ht="26.25" x14ac:dyDescent="0.25">
      <c r="A6603" s="2" t="s">
        <v>2742</v>
      </c>
      <c r="B6603" s="2" t="str">
        <f>"4710268255574"</f>
        <v>4710268255574</v>
      </c>
      <c r="C6603" s="2" t="str">
        <f>"92110100"</f>
        <v>92110100</v>
      </c>
      <c r="D6603" s="2" t="s">
        <v>4743</v>
      </c>
      <c r="E6603" s="4">
        <v>10990</v>
      </c>
    </row>
    <row r="6604" spans="1:5" ht="26.25" x14ac:dyDescent="0.25">
      <c r="A6604" s="2" t="s">
        <v>2742</v>
      </c>
      <c r="B6604" s="2" t="str">
        <f>"4710268255611"</f>
        <v>4710268255611</v>
      </c>
      <c r="C6604" s="2" t="str">
        <f>"92110102"</f>
        <v>92110102</v>
      </c>
      <c r="D6604" s="2" t="s">
        <v>4744</v>
      </c>
      <c r="E6604" s="4">
        <v>11990</v>
      </c>
    </row>
    <row r="6605" spans="1:5" ht="26.25" x14ac:dyDescent="0.25">
      <c r="A6605" s="2" t="s">
        <v>2742</v>
      </c>
      <c r="B6605" s="2" t="str">
        <f>"4710268257349"</f>
        <v>4710268257349</v>
      </c>
      <c r="C6605" s="2" t="str">
        <f>"92500116"</f>
        <v>92500116</v>
      </c>
      <c r="D6605" s="2" t="s">
        <v>4745</v>
      </c>
      <c r="E6605" s="4">
        <v>11990</v>
      </c>
    </row>
    <row r="6606" spans="1:5" ht="26.25" x14ac:dyDescent="0.25">
      <c r="A6606" s="2" t="s">
        <v>2742</v>
      </c>
      <c r="B6606" s="2" t="str">
        <f>"091163251408"</f>
        <v>091163251408</v>
      </c>
      <c r="C6606" s="2" t="str">
        <f>"29GENKB125"</f>
        <v>29GENKB125</v>
      </c>
      <c r="D6606" s="2" t="s">
        <v>4746</v>
      </c>
      <c r="E6606" s="4">
        <v>10990</v>
      </c>
    </row>
    <row r="6607" spans="1:5" ht="26.25" x14ac:dyDescent="0.25">
      <c r="A6607" s="2" t="s">
        <v>2742</v>
      </c>
      <c r="B6607" s="2" t="str">
        <f>"091163256175"</f>
        <v>091163256175</v>
      </c>
      <c r="C6607" s="2" t="str">
        <f>"29GENKM160"</f>
        <v>29GENKM160</v>
      </c>
      <c r="D6607" s="2" t="s">
        <v>4747</v>
      </c>
      <c r="E6607" s="4">
        <v>14990</v>
      </c>
    </row>
    <row r="6608" spans="1:5" ht="26.25" x14ac:dyDescent="0.25">
      <c r="A6608" s="2" t="s">
        <v>2742</v>
      </c>
      <c r="B6608" s="2" t="str">
        <f>"091163251422"</f>
        <v>091163251422</v>
      </c>
      <c r="C6608" s="2" t="str">
        <f>"29GENLUXEM"</f>
        <v>29GENLUXEM</v>
      </c>
      <c r="D6608" s="2" t="s">
        <v>4748</v>
      </c>
      <c r="E6608" s="4">
        <v>10990</v>
      </c>
    </row>
    <row r="6609" spans="1:5" ht="26.25" x14ac:dyDescent="0.25">
      <c r="A6609" s="2" t="s">
        <v>2742</v>
      </c>
      <c r="B6609" s="2" t="str">
        <f>"4710268251422"</f>
        <v>4710268251422</v>
      </c>
      <c r="C6609" s="2" t="str">
        <f>"92500100"</f>
        <v>92500100</v>
      </c>
      <c r="D6609" s="2" t="s">
        <v>4748</v>
      </c>
      <c r="E6609" s="4">
        <v>10990</v>
      </c>
    </row>
    <row r="6610" spans="1:5" ht="26.25" x14ac:dyDescent="0.25">
      <c r="A6610" s="2" t="s">
        <v>2742</v>
      </c>
      <c r="B6610" s="2" t="str">
        <f>"4710268257943"</f>
        <v>4710268257943</v>
      </c>
      <c r="C6610" s="2" t="str">
        <f>"92500126"</f>
        <v>92500126</v>
      </c>
      <c r="D6610" s="2" t="s">
        <v>4749</v>
      </c>
      <c r="E6610" s="4">
        <v>13990</v>
      </c>
    </row>
    <row r="6611" spans="1:5" ht="26.25" x14ac:dyDescent="0.25">
      <c r="A6611" s="2" t="s">
        <v>2742</v>
      </c>
      <c r="B6611" s="2" t="str">
        <f>"091163257561"</f>
        <v>091163257561</v>
      </c>
      <c r="C6611" s="2" t="str">
        <f>"29GEN0230N"</f>
        <v>29GEN0230N</v>
      </c>
      <c r="D6611" s="2" t="s">
        <v>4750</v>
      </c>
      <c r="E6611" s="4">
        <v>11990</v>
      </c>
    </row>
    <row r="6612" spans="1:5" ht="26.25" x14ac:dyDescent="0.25">
      <c r="A6612" s="2" t="s">
        <v>2742</v>
      </c>
      <c r="B6612" s="2" t="str">
        <f>"4710268255598"</f>
        <v>4710268255598</v>
      </c>
      <c r="C6612" s="2" t="str">
        <f>"92110101"</f>
        <v>92110101</v>
      </c>
      <c r="D6612" s="2" t="s">
        <v>4751</v>
      </c>
      <c r="E6612" s="4">
        <v>11990</v>
      </c>
    </row>
    <row r="6613" spans="1:5" ht="26.25" x14ac:dyDescent="0.25">
      <c r="A6613" s="2" t="s">
        <v>2742</v>
      </c>
      <c r="B6613" s="2" t="str">
        <f>"6912330586281"</f>
        <v>6912330586281</v>
      </c>
      <c r="C6613" s="2" t="str">
        <f>"40500123"</f>
        <v>40500123</v>
      </c>
      <c r="D6613" s="2" t="s">
        <v>4752</v>
      </c>
      <c r="E6613" s="4">
        <v>7990</v>
      </c>
    </row>
    <row r="6614" spans="1:5" ht="26.25" x14ac:dyDescent="0.25">
      <c r="A6614" s="2" t="s">
        <v>2742</v>
      </c>
      <c r="B6614" s="2" t="str">
        <f>"798302180680"</f>
        <v>798302180680</v>
      </c>
      <c r="C6614" s="2" t="str">
        <f>"92500550"</f>
        <v>92500550</v>
      </c>
      <c r="D6614" s="2" t="s">
        <v>4753</v>
      </c>
      <c r="E6614" s="4">
        <v>8990</v>
      </c>
    </row>
    <row r="6615" spans="1:5" ht="26.25" x14ac:dyDescent="0.25">
      <c r="A6615" s="2" t="s">
        <v>2742</v>
      </c>
      <c r="B6615" s="2" t="str">
        <f>"6927900010202"</f>
        <v>6927900010202</v>
      </c>
      <c r="C6615" s="2" t="str">
        <f>"25500009"</f>
        <v>25500009</v>
      </c>
      <c r="D6615" s="2" t="s">
        <v>4754</v>
      </c>
      <c r="E6615" s="4">
        <v>44990</v>
      </c>
    </row>
    <row r="6616" spans="1:5" ht="26.25" x14ac:dyDescent="0.25">
      <c r="A6616" s="2" t="s">
        <v>2742</v>
      </c>
      <c r="B6616" s="2" t="str">
        <f>"798303071222"</f>
        <v>798303071222</v>
      </c>
      <c r="C6616" s="2" t="str">
        <f>"98500100"</f>
        <v>98500100</v>
      </c>
      <c r="D6616" s="2" t="s">
        <v>4755</v>
      </c>
      <c r="E6616" s="4">
        <v>12990</v>
      </c>
    </row>
    <row r="6617" spans="1:5" ht="26.25" x14ac:dyDescent="0.25">
      <c r="A6617" s="2" t="s">
        <v>2742</v>
      </c>
      <c r="B6617" s="2" t="str">
        <f>"7168297165888"</f>
        <v>7168297165888</v>
      </c>
      <c r="C6617" s="2" t="str">
        <f>"98501000"</f>
        <v>98501000</v>
      </c>
      <c r="D6617" s="2" t="s">
        <v>4756</v>
      </c>
      <c r="E6617" s="4">
        <v>6990</v>
      </c>
    </row>
    <row r="6618" spans="1:5" ht="26.25" x14ac:dyDescent="0.25">
      <c r="A6618" s="2" t="s">
        <v>2742</v>
      </c>
      <c r="B6618" s="2" t="str">
        <f>"798302162181"</f>
        <v>798302162181</v>
      </c>
      <c r="C6618" s="2" t="str">
        <f>"92110160"</f>
        <v>92110160</v>
      </c>
      <c r="D6618" s="2" t="s">
        <v>4757</v>
      </c>
      <c r="E6618" s="4">
        <v>7490</v>
      </c>
    </row>
    <row r="6619" spans="1:5" ht="26.25" x14ac:dyDescent="0.25">
      <c r="A6619" s="2" t="s">
        <v>2742</v>
      </c>
      <c r="B6619" s="2" t="str">
        <f>"42110005"</f>
        <v>42110005</v>
      </c>
      <c r="C6619" s="2" t="str">
        <f>"42110005"</f>
        <v>42110005</v>
      </c>
      <c r="D6619" s="2" t="s">
        <v>4758</v>
      </c>
      <c r="E6619" s="4">
        <v>28500</v>
      </c>
    </row>
    <row r="6620" spans="1:5" ht="26.25" x14ac:dyDescent="0.25">
      <c r="A6620" s="2" t="s">
        <v>2742</v>
      </c>
      <c r="B6620" s="2" t="str">
        <f>"7804625561648"</f>
        <v>7804625561648</v>
      </c>
      <c r="C6620" s="2" t="str">
        <f>"42110450"</f>
        <v>42110450</v>
      </c>
      <c r="D6620" s="2" t="s">
        <v>4759</v>
      </c>
      <c r="E6620" s="4">
        <v>11990</v>
      </c>
    </row>
    <row r="6621" spans="1:5" ht="26.25" x14ac:dyDescent="0.25">
      <c r="A6621" s="2" t="s">
        <v>2742</v>
      </c>
      <c r="B6621" s="2" t="str">
        <f>"023942975373"</f>
        <v>023942975373</v>
      </c>
      <c r="C6621" s="2" t="str">
        <f>"98505373"</f>
        <v>98505373</v>
      </c>
      <c r="D6621" s="2" t="s">
        <v>4760</v>
      </c>
      <c r="E6621" s="4">
        <v>14990</v>
      </c>
    </row>
    <row r="6622" spans="1:5" ht="26.25" x14ac:dyDescent="0.25">
      <c r="A6622" s="2" t="s">
        <v>2742</v>
      </c>
      <c r="B6622" s="2" t="str">
        <f>"7796941037962"</f>
        <v>7796941037962</v>
      </c>
      <c r="C6622" s="2" t="str">
        <f>"42110150"</f>
        <v>42110150</v>
      </c>
      <c r="D6622" s="2" t="s">
        <v>4761</v>
      </c>
      <c r="E6622" s="4">
        <v>5900</v>
      </c>
    </row>
    <row r="6623" spans="1:5" ht="26.25" x14ac:dyDescent="0.25">
      <c r="A6623" s="2" t="s">
        <v>2742</v>
      </c>
      <c r="B6623" s="2" t="str">
        <f>"7895623049061"</f>
        <v>7895623049061</v>
      </c>
      <c r="C6623" s="2" t="str">
        <f>"66504906"</f>
        <v>66504906</v>
      </c>
      <c r="D6623" s="2" t="s">
        <v>4762</v>
      </c>
      <c r="E6623" s="4">
        <v>43990</v>
      </c>
    </row>
    <row r="6624" spans="1:5" ht="26.25" x14ac:dyDescent="0.25">
      <c r="A6624" s="2" t="s">
        <v>2742</v>
      </c>
      <c r="B6624" s="2" t="str">
        <f>"7895623050333"</f>
        <v>7895623050333</v>
      </c>
      <c r="C6624" s="2" t="str">
        <f>"66505033"</f>
        <v>66505033</v>
      </c>
      <c r="D6624" s="2" t="s">
        <v>4763</v>
      </c>
      <c r="E6624" s="4">
        <v>17990</v>
      </c>
    </row>
    <row r="6625" spans="1:5" ht="26.25" x14ac:dyDescent="0.25">
      <c r="A6625" s="2" t="s">
        <v>2742</v>
      </c>
      <c r="B6625" s="2" t="str">
        <f>"4710268251446"</f>
        <v>4710268251446</v>
      </c>
      <c r="C6625" s="2" t="str">
        <f>"98110215"</f>
        <v>98110215</v>
      </c>
      <c r="D6625" s="2" t="s">
        <v>4764</v>
      </c>
      <c r="E6625" s="4">
        <v>15990</v>
      </c>
    </row>
    <row r="6626" spans="1:5" ht="26.25" x14ac:dyDescent="0.25">
      <c r="A6626" s="2" t="s">
        <v>2742</v>
      </c>
      <c r="B6626" s="2" t="str">
        <f>"4710268251453"</f>
        <v>4710268251453</v>
      </c>
      <c r="C6626" s="2" t="str">
        <f>"92110220"</f>
        <v>92110220</v>
      </c>
      <c r="D6626" s="2" t="s">
        <v>4765</v>
      </c>
      <c r="E6626" s="4">
        <v>11990</v>
      </c>
    </row>
    <row r="6627" spans="1:5" ht="26.25" x14ac:dyDescent="0.25">
      <c r="A6627" s="2" t="s">
        <v>2742</v>
      </c>
      <c r="B6627" s="2" t="str">
        <f>"7893590161021"</f>
        <v>7893590161021</v>
      </c>
      <c r="C6627" s="2" t="str">
        <f>"40500008"</f>
        <v>40500008</v>
      </c>
      <c r="D6627" s="2" t="s">
        <v>4766</v>
      </c>
      <c r="E6627" s="4">
        <v>19990</v>
      </c>
    </row>
    <row r="6628" spans="1:5" ht="26.25" x14ac:dyDescent="0.25">
      <c r="A6628" s="2" t="s">
        <v>2742</v>
      </c>
      <c r="B6628" s="2" t="str">
        <f>"6818770048955"</f>
        <v>6818770048955</v>
      </c>
      <c r="C6628" s="2" t="str">
        <f>"85500900"</f>
        <v>85500900</v>
      </c>
      <c r="D6628" s="2" t="s">
        <v>4767</v>
      </c>
      <c r="E6628" s="4">
        <v>14990</v>
      </c>
    </row>
    <row r="6629" spans="1:5" ht="26.25" x14ac:dyDescent="0.25">
      <c r="A6629" s="2" t="s">
        <v>2742</v>
      </c>
      <c r="B6629" s="2" t="str">
        <f>"39500030"</f>
        <v>39500030</v>
      </c>
      <c r="C6629" s="2" t="str">
        <f>"39500030"</f>
        <v>39500030</v>
      </c>
      <c r="D6629" s="2" t="s">
        <v>4768</v>
      </c>
      <c r="E6629" s="4">
        <v>34990</v>
      </c>
    </row>
    <row r="6630" spans="1:5" ht="26.25" x14ac:dyDescent="0.25">
      <c r="A6630" s="2" t="s">
        <v>2742</v>
      </c>
      <c r="B6630" s="2" t="str">
        <f>"8713439222791"</f>
        <v>8713439222791</v>
      </c>
      <c r="C6630" s="2" t="str">
        <f>"92500830"</f>
        <v>92500830</v>
      </c>
      <c r="D6630" s="2" t="s">
        <v>4769</v>
      </c>
      <c r="E6630" s="4">
        <v>27990</v>
      </c>
    </row>
    <row r="6631" spans="1:5" ht="26.25" x14ac:dyDescent="0.25">
      <c r="A6631" s="2" t="s">
        <v>2742</v>
      </c>
      <c r="B6631" s="2" t="str">
        <f>"6955727790472"</f>
        <v>6955727790472</v>
      </c>
      <c r="C6631" s="2" t="str">
        <f>"40509002"</f>
        <v>40509002</v>
      </c>
      <c r="D6631" s="2" t="s">
        <v>4770</v>
      </c>
      <c r="E6631" s="4">
        <v>16990</v>
      </c>
    </row>
    <row r="6632" spans="1:5" ht="26.25" x14ac:dyDescent="0.25">
      <c r="A6632" s="2" t="s">
        <v>2742</v>
      </c>
      <c r="B6632" s="2" t="str">
        <f>"6917567002139"</f>
        <v>6917567002139</v>
      </c>
      <c r="C6632" s="2" t="str">
        <f>"40305001"</f>
        <v>40305001</v>
      </c>
      <c r="D6632" s="2" t="s">
        <v>4771</v>
      </c>
      <c r="E6632" s="4">
        <v>13990</v>
      </c>
    </row>
    <row r="6633" spans="1:5" ht="39" x14ac:dyDescent="0.25">
      <c r="A6633" s="2" t="s">
        <v>2742</v>
      </c>
      <c r="B6633" s="2" t="str">
        <f>"7168229273827"</f>
        <v>7168229273827</v>
      </c>
      <c r="C6633" s="2" t="str">
        <f>"1594658309238"</f>
        <v>1594658309238</v>
      </c>
      <c r="D6633" s="2" t="s">
        <v>4772</v>
      </c>
      <c r="E6633" s="4">
        <v>15990</v>
      </c>
    </row>
    <row r="6634" spans="1:5" ht="26.25" x14ac:dyDescent="0.25">
      <c r="A6634" s="2" t="s">
        <v>2742</v>
      </c>
      <c r="B6634" s="2" t="str">
        <f>"7804625560986"</f>
        <v>7804625560986</v>
      </c>
      <c r="C6634" s="2" t="str">
        <f>"42800900"</f>
        <v>42800900</v>
      </c>
      <c r="D6634" s="2" t="s">
        <v>4773</v>
      </c>
      <c r="E6634" s="4">
        <v>19990</v>
      </c>
    </row>
    <row r="6635" spans="1:5" ht="26.25" x14ac:dyDescent="0.25">
      <c r="A6635" s="2" t="s">
        <v>2742</v>
      </c>
      <c r="B6635" s="2" t="str">
        <f>"7168297807722"</f>
        <v>7168297807722</v>
      </c>
      <c r="C6635" s="2" t="str">
        <f>"98501111"</f>
        <v>98501111</v>
      </c>
      <c r="D6635" s="2" t="s">
        <v>4774</v>
      </c>
      <c r="E6635" s="4">
        <v>8990</v>
      </c>
    </row>
    <row r="6636" spans="1:5" ht="26.25" x14ac:dyDescent="0.25">
      <c r="A6636" s="2" t="s">
        <v>2742</v>
      </c>
      <c r="B6636" s="2" t="str">
        <f>"10002162"</f>
        <v>10002162</v>
      </c>
      <c r="C6636" s="2" t="str">
        <f>"10002162"</f>
        <v>10002162</v>
      </c>
      <c r="D6636" s="2" t="s">
        <v>4775</v>
      </c>
      <c r="E6636" s="4">
        <v>4900</v>
      </c>
    </row>
    <row r="6637" spans="1:5" ht="26.25" x14ac:dyDescent="0.25">
      <c r="A6637" s="2" t="s">
        <v>2742</v>
      </c>
      <c r="B6637" s="2" t="str">
        <f>"766623178846"</f>
        <v>766623178846</v>
      </c>
      <c r="C6637" s="2" t="str">
        <f>"52508846"</f>
        <v>52508846</v>
      </c>
      <c r="D6637" s="2" t="s">
        <v>4776</v>
      </c>
      <c r="E6637" s="4">
        <v>19990</v>
      </c>
    </row>
    <row r="6638" spans="1:5" ht="26.25" x14ac:dyDescent="0.25">
      <c r="A6638" s="2" t="s">
        <v>2742</v>
      </c>
      <c r="B6638" s="2" t="str">
        <f>"7168297807702"</f>
        <v>7168297807702</v>
      </c>
      <c r="C6638" s="2" t="str">
        <f>"98110200"</f>
        <v>98110200</v>
      </c>
      <c r="D6638" s="2" t="s">
        <v>4777</v>
      </c>
      <c r="E6638" s="4">
        <v>5990</v>
      </c>
    </row>
    <row r="6639" spans="1:5" ht="26.25" x14ac:dyDescent="0.25">
      <c r="A6639" s="2" t="s">
        <v>2742</v>
      </c>
      <c r="B6639" s="2" t="str">
        <f>"6931326001942"</f>
        <v>6931326001942</v>
      </c>
      <c r="C6639" s="2" t="str">
        <f>"40501942"</f>
        <v>40501942</v>
      </c>
      <c r="D6639" s="2" t="s">
        <v>4778</v>
      </c>
      <c r="E6639" s="4">
        <v>9990</v>
      </c>
    </row>
    <row r="6640" spans="1:5" ht="26.25" x14ac:dyDescent="0.25">
      <c r="A6640" s="2" t="s">
        <v>21</v>
      </c>
      <c r="B6640" s="2" t="str">
        <f>"10001351"</f>
        <v>10001351</v>
      </c>
      <c r="C6640" s="2" t="str">
        <f>"10001351"</f>
        <v>10001351</v>
      </c>
      <c r="D6640" s="2" t="s">
        <v>4779</v>
      </c>
      <c r="E6640" s="4">
        <v>10500</v>
      </c>
    </row>
    <row r="6641" spans="1:5" ht="26.25" x14ac:dyDescent="0.25">
      <c r="A6641" s="2" t="s">
        <v>2742</v>
      </c>
      <c r="B6641" s="2" t="str">
        <f>"2015061908163"</f>
        <v>2015061908163</v>
      </c>
      <c r="C6641" s="2" t="str">
        <f>"10001538"</f>
        <v>10001538</v>
      </c>
      <c r="D6641" s="2" t="s">
        <v>4780</v>
      </c>
      <c r="E6641" s="4">
        <v>5900</v>
      </c>
    </row>
    <row r="6642" spans="1:5" ht="26.25" x14ac:dyDescent="0.25">
      <c r="A6642" s="2" t="s">
        <v>2742</v>
      </c>
      <c r="B6642" s="2" t="str">
        <f>"6956822420028"</f>
        <v>6956822420028</v>
      </c>
      <c r="C6642" s="2" t="str">
        <f>"10002123"</f>
        <v>10002123</v>
      </c>
      <c r="D6642" s="2" t="s">
        <v>4781</v>
      </c>
      <c r="E6642" s="4">
        <v>12990</v>
      </c>
    </row>
    <row r="6643" spans="1:5" ht="26.25" x14ac:dyDescent="0.25">
      <c r="A6643" s="2" t="s">
        <v>2742</v>
      </c>
      <c r="B6643" s="2" t="str">
        <f>"4710007715291"</f>
        <v>4710007715291</v>
      </c>
      <c r="C6643" s="2" t="str">
        <f>"65505291"</f>
        <v>65505291</v>
      </c>
      <c r="D6643" s="2" t="s">
        <v>4782</v>
      </c>
      <c r="E6643" s="4">
        <v>8900</v>
      </c>
    </row>
    <row r="6644" spans="1:5" ht="26.25" x14ac:dyDescent="0.25">
      <c r="A6644" s="2" t="s">
        <v>2742</v>
      </c>
      <c r="B6644" s="2" t="str">
        <f>"4710007718407"</f>
        <v>4710007718407</v>
      </c>
      <c r="C6644" s="2" t="str">
        <f>"65508407"</f>
        <v>65508407</v>
      </c>
      <c r="D6644" s="2" t="s">
        <v>4783</v>
      </c>
      <c r="E6644" s="4">
        <v>11900</v>
      </c>
    </row>
    <row r="6645" spans="1:5" ht="26.25" x14ac:dyDescent="0.25">
      <c r="A6645" s="2" t="s">
        <v>2742</v>
      </c>
      <c r="B6645" s="2" t="str">
        <f>"7168299684370"</f>
        <v>7168299684370</v>
      </c>
      <c r="C6645" s="2" t="str">
        <f>"98500050"</f>
        <v>98500050</v>
      </c>
      <c r="D6645" s="2" t="s">
        <v>4784</v>
      </c>
      <c r="E6645" s="4">
        <v>4990</v>
      </c>
    </row>
    <row r="6646" spans="1:5" ht="26.25" x14ac:dyDescent="0.25">
      <c r="A6646" s="2" t="s">
        <v>2742</v>
      </c>
      <c r="B6646" s="2" t="str">
        <f>"92500050"</f>
        <v>92500050</v>
      </c>
      <c r="C6646" s="2" t="str">
        <f>"92500050"</f>
        <v>92500050</v>
      </c>
      <c r="D6646" s="2" t="s">
        <v>4784</v>
      </c>
      <c r="E6646" s="4">
        <v>4990</v>
      </c>
    </row>
    <row r="6647" spans="1:5" ht="26.25" x14ac:dyDescent="0.25">
      <c r="A6647" s="2" t="s">
        <v>2742</v>
      </c>
      <c r="B6647" s="2" t="str">
        <f>"4710268252153"</f>
        <v>4710268252153</v>
      </c>
      <c r="C6647" s="2" t="str">
        <f>"92110130"</f>
        <v>92110130</v>
      </c>
      <c r="D6647" s="2" t="s">
        <v>4785</v>
      </c>
      <c r="E6647" s="4">
        <v>11990</v>
      </c>
    </row>
    <row r="6648" spans="1:5" ht="26.25" x14ac:dyDescent="0.25">
      <c r="A6648" s="2" t="s">
        <v>2742</v>
      </c>
      <c r="B6648" s="2" t="str">
        <f>"4710268256175"</f>
        <v>4710268256175</v>
      </c>
      <c r="C6648" s="2" t="str">
        <f>"92500160"</f>
        <v>92500160</v>
      </c>
      <c r="D6648" s="2" t="s">
        <v>4786</v>
      </c>
      <c r="E6648" s="4">
        <v>15990</v>
      </c>
    </row>
    <row r="6649" spans="1:5" ht="26.25" x14ac:dyDescent="0.25">
      <c r="A6649" s="2" t="s">
        <v>2742</v>
      </c>
      <c r="B6649" s="2" t="str">
        <f>"4710268252023"</f>
        <v>4710268252023</v>
      </c>
      <c r="C6649" s="2" t="str">
        <f>"92500130"</f>
        <v>92500130</v>
      </c>
      <c r="D6649" s="2" t="s">
        <v>4787</v>
      </c>
      <c r="E6649" s="4">
        <v>16990</v>
      </c>
    </row>
    <row r="6650" spans="1:5" ht="26.25" x14ac:dyDescent="0.25">
      <c r="A6650" s="2" t="s">
        <v>2742</v>
      </c>
      <c r="B6650" s="2" t="str">
        <f>"8712581761790"</f>
        <v>8712581761790</v>
      </c>
      <c r="C6650" s="2" t="str">
        <f>"98300234"</f>
        <v>98300234</v>
      </c>
      <c r="D6650" s="2" t="s">
        <v>4788</v>
      </c>
      <c r="E6650" s="4">
        <v>13990</v>
      </c>
    </row>
    <row r="6651" spans="1:5" ht="26.25" x14ac:dyDescent="0.25">
      <c r="A6651" s="2" t="s">
        <v>2742</v>
      </c>
      <c r="B6651" s="2" t="str">
        <f>"798302164451"</f>
        <v>798302164451</v>
      </c>
      <c r="C6651" s="2" t="str">
        <f>"92500301"</f>
        <v>92500301</v>
      </c>
      <c r="D6651" s="2" t="s">
        <v>4789</v>
      </c>
      <c r="E6651" s="4">
        <v>15990</v>
      </c>
    </row>
    <row r="6652" spans="1:5" ht="26.25" x14ac:dyDescent="0.25">
      <c r="A6652" s="2" t="s">
        <v>2742</v>
      </c>
      <c r="B6652" s="2" t="str">
        <f>"8712581763428"</f>
        <v>8712581763428</v>
      </c>
      <c r="C6652" s="2" t="str">
        <f>"98308264"</f>
        <v>98308264</v>
      </c>
      <c r="D6652" s="2" t="s">
        <v>4790</v>
      </c>
      <c r="E6652" s="4">
        <v>34990</v>
      </c>
    </row>
    <row r="6653" spans="1:5" ht="26.25" x14ac:dyDescent="0.25">
      <c r="A6653" s="2" t="s">
        <v>2742</v>
      </c>
      <c r="B6653" s="2" t="str">
        <f>"8713439234824"</f>
        <v>8713439234824</v>
      </c>
      <c r="C6653" s="2" t="str">
        <f>"92500838"</f>
        <v>92500838</v>
      </c>
      <c r="D6653" s="2" t="s">
        <v>4791</v>
      </c>
      <c r="E6653" s="4">
        <v>43990</v>
      </c>
    </row>
    <row r="6654" spans="1:5" ht="26.25" x14ac:dyDescent="0.25">
      <c r="A6654" s="2" t="s">
        <v>2742</v>
      </c>
      <c r="B6654" s="2" t="str">
        <f>"4710268248729"</f>
        <v>4710268248729</v>
      </c>
      <c r="C6654" s="2" t="str">
        <f>"92118000"</f>
        <v>92118000</v>
      </c>
      <c r="D6654" s="2" t="s">
        <v>4792</v>
      </c>
      <c r="E6654" s="4">
        <v>18990</v>
      </c>
    </row>
    <row r="6655" spans="1:5" ht="26.25" x14ac:dyDescent="0.25">
      <c r="A6655" s="2" t="s">
        <v>2742</v>
      </c>
      <c r="B6655" s="2" t="str">
        <f>"4710268255239"</f>
        <v>4710268255239</v>
      </c>
      <c r="C6655" s="2" t="str">
        <f>"92118006"</f>
        <v>92118006</v>
      </c>
      <c r="D6655" s="2" t="s">
        <v>4793</v>
      </c>
      <c r="E6655" s="4">
        <v>14990</v>
      </c>
    </row>
    <row r="6656" spans="1:5" ht="26.25" x14ac:dyDescent="0.25">
      <c r="A6656" s="2" t="s">
        <v>2742</v>
      </c>
      <c r="B6656" s="2" t="str">
        <f>"4710268256250"</f>
        <v>4710268256250</v>
      </c>
      <c r="C6656" s="2" t="str">
        <f>"92502081"</f>
        <v>92502081</v>
      </c>
      <c r="D6656" s="2" t="s">
        <v>4794</v>
      </c>
      <c r="E6656" s="4">
        <v>24990</v>
      </c>
    </row>
    <row r="6657" spans="1:5" ht="26.25" x14ac:dyDescent="0.25">
      <c r="A6657" s="2" t="s">
        <v>2742</v>
      </c>
      <c r="B6657" s="2" t="str">
        <f>"4710268256199"</f>
        <v>4710268256199</v>
      </c>
      <c r="C6657" s="2" t="str">
        <f>"98508200"</f>
        <v>98508200</v>
      </c>
      <c r="D6657" s="2" t="s">
        <v>4795</v>
      </c>
      <c r="E6657" s="4">
        <v>23990</v>
      </c>
    </row>
    <row r="6658" spans="1:5" ht="26.25" x14ac:dyDescent="0.25">
      <c r="A6658" s="2" t="s">
        <v>2742</v>
      </c>
      <c r="B6658" s="2" t="str">
        <f>"8712581757212"</f>
        <v>8712581757212</v>
      </c>
      <c r="C6658" s="2" t="str">
        <f>"10100099"</f>
        <v>10100099</v>
      </c>
      <c r="D6658" s="2" t="s">
        <v>4796</v>
      </c>
      <c r="E6658" s="4">
        <v>14990</v>
      </c>
    </row>
    <row r="6659" spans="1:5" ht="26.25" x14ac:dyDescent="0.25">
      <c r="A6659" s="2" t="s">
        <v>2742</v>
      </c>
      <c r="B6659" s="2" t="str">
        <f>"7802391900005"</f>
        <v>7802391900005</v>
      </c>
      <c r="C6659" s="2" t="str">
        <f>"25700500"</f>
        <v>25700500</v>
      </c>
      <c r="D6659" s="2" t="s">
        <v>4797</v>
      </c>
      <c r="E6659" s="4">
        <v>14990</v>
      </c>
    </row>
    <row r="6660" spans="1:5" ht="26.25" x14ac:dyDescent="0.25">
      <c r="A6660" s="2" t="s">
        <v>2742</v>
      </c>
      <c r="B6660" s="2" t="str">
        <f>"8713439228434"</f>
        <v>8713439228434</v>
      </c>
      <c r="C6660" s="2" t="str">
        <f>"92502034"</f>
        <v>92502034</v>
      </c>
      <c r="D6660" s="2" t="s">
        <v>4798</v>
      </c>
      <c r="E6660" s="4">
        <v>21990</v>
      </c>
    </row>
    <row r="6661" spans="1:5" ht="26.25" x14ac:dyDescent="0.25">
      <c r="A6661" s="2" t="s">
        <v>2742</v>
      </c>
      <c r="B6661" s="2" t="str">
        <f>"8713439220254"</f>
        <v>8713439220254</v>
      </c>
      <c r="C6661" s="2" t="str">
        <f>"92500254"</f>
        <v>92500254</v>
      </c>
      <c r="D6661" s="2" t="s">
        <v>4799</v>
      </c>
      <c r="E6661" s="4">
        <v>21990</v>
      </c>
    </row>
    <row r="6662" spans="1:5" ht="26.25" x14ac:dyDescent="0.25">
      <c r="A6662" s="2" t="s">
        <v>2742</v>
      </c>
      <c r="B6662" s="2" t="str">
        <f>"798460164119"</f>
        <v>798460164119</v>
      </c>
      <c r="C6662" s="2" t="str">
        <f>"92110310"</f>
        <v>92110310</v>
      </c>
      <c r="D6662" s="2" t="s">
        <v>4800</v>
      </c>
      <c r="E6662" s="4">
        <v>21990</v>
      </c>
    </row>
    <row r="6663" spans="1:5" ht="26.25" x14ac:dyDescent="0.25">
      <c r="A6663" s="2" t="s">
        <v>2742</v>
      </c>
      <c r="B6663" s="2" t="str">
        <f>"10000966"</f>
        <v>10000966</v>
      </c>
      <c r="C6663" s="2" t="str">
        <f>"10000966"</f>
        <v>10000966</v>
      </c>
      <c r="D6663" s="2" t="s">
        <v>4801</v>
      </c>
      <c r="E6663" s="4">
        <v>24990</v>
      </c>
    </row>
    <row r="6664" spans="1:5" ht="26.25" x14ac:dyDescent="0.25">
      <c r="A6664" s="2" t="s">
        <v>2742</v>
      </c>
      <c r="B6664" s="2" t="str">
        <f>"10000669"</f>
        <v>10000669</v>
      </c>
      <c r="C6664" s="2" t="str">
        <f>"10000669"</f>
        <v>10000669</v>
      </c>
      <c r="D6664" s="2" t="s">
        <v>4802</v>
      </c>
      <c r="E6664" s="4">
        <v>19990</v>
      </c>
    </row>
    <row r="6665" spans="1:5" ht="26.25" x14ac:dyDescent="0.25">
      <c r="A6665" s="2" t="s">
        <v>2742</v>
      </c>
      <c r="B6665" s="2" t="str">
        <f>"798302161511"</f>
        <v>798302161511</v>
      </c>
      <c r="C6665" s="2" t="str">
        <f>"92110300"</f>
        <v>92110300</v>
      </c>
      <c r="D6665" s="2" t="s">
        <v>4803</v>
      </c>
      <c r="E6665" s="4">
        <v>8990</v>
      </c>
    </row>
    <row r="6666" spans="1:5" ht="39" x14ac:dyDescent="0.25">
      <c r="A6666" s="2" t="s">
        <v>21</v>
      </c>
      <c r="B6666" s="2" t="str">
        <f>"183420003421"</f>
        <v>183420003421</v>
      </c>
      <c r="C6666" s="2" t="str">
        <f>"23MOT700BK"</f>
        <v>23MOT700BK</v>
      </c>
      <c r="D6666" s="2" t="s">
        <v>4804</v>
      </c>
      <c r="E6666" s="4">
        <v>18990</v>
      </c>
    </row>
    <row r="6667" spans="1:5" ht="26.25" x14ac:dyDescent="0.25">
      <c r="A6667" s="2" t="s">
        <v>21</v>
      </c>
      <c r="B6667" s="2" t="str">
        <f>"10001685"</f>
        <v>10001685</v>
      </c>
      <c r="C6667" s="2" t="str">
        <f>"10001685"</f>
        <v>10001685</v>
      </c>
      <c r="D6667" s="2" t="s">
        <v>4805</v>
      </c>
      <c r="E6667" s="4">
        <v>21990</v>
      </c>
    </row>
    <row r="6668" spans="1:5" ht="26.25" x14ac:dyDescent="0.25">
      <c r="A6668" s="2" t="s">
        <v>21</v>
      </c>
      <c r="B6668" s="2" t="str">
        <f>"7858816088995"</f>
        <v>7858816088995</v>
      </c>
      <c r="C6668" s="2" t="str">
        <f>"87528899"</f>
        <v>87528899</v>
      </c>
      <c r="D6668" s="2" t="s">
        <v>4806</v>
      </c>
      <c r="E6668" s="4">
        <v>54990</v>
      </c>
    </row>
    <row r="6669" spans="1:5" ht="26.25" x14ac:dyDescent="0.25">
      <c r="A6669" s="2" t="s">
        <v>21</v>
      </c>
      <c r="B6669" s="2" t="str">
        <f>"7858816076725"</f>
        <v>7858816076725</v>
      </c>
      <c r="C6669" s="2" t="str">
        <f>"87527672"</f>
        <v>87527672</v>
      </c>
      <c r="D6669" s="2" t="s">
        <v>4807</v>
      </c>
      <c r="E6669" s="4">
        <v>34990</v>
      </c>
    </row>
    <row r="6670" spans="1:5" ht="26.25" x14ac:dyDescent="0.25">
      <c r="A6670" s="2" t="s">
        <v>21</v>
      </c>
      <c r="B6670" s="2" t="str">
        <f>"766623351898"</f>
        <v>766623351898</v>
      </c>
      <c r="C6670" s="2" t="str">
        <f>"56521898"</f>
        <v>56521898</v>
      </c>
      <c r="D6670" s="2" t="s">
        <v>4808</v>
      </c>
      <c r="E6670" s="4">
        <v>9990</v>
      </c>
    </row>
    <row r="6671" spans="1:5" ht="26.25" x14ac:dyDescent="0.25">
      <c r="A6671" s="2" t="s">
        <v>21</v>
      </c>
      <c r="B6671" s="2" t="str">
        <f>"10003787"</f>
        <v>10003787</v>
      </c>
      <c r="C6671" s="2" t="str">
        <f>"10003787"</f>
        <v>10003787</v>
      </c>
      <c r="D6671" s="2" t="s">
        <v>4809</v>
      </c>
      <c r="E6671" s="4">
        <v>4850</v>
      </c>
    </row>
    <row r="6672" spans="1:5" ht="26.25" x14ac:dyDescent="0.25">
      <c r="A6672" s="2" t="s">
        <v>14</v>
      </c>
      <c r="B6672" s="2" t="str">
        <f>"76751486"</f>
        <v>76751486</v>
      </c>
      <c r="C6672" s="2" t="str">
        <f>"76751486"</f>
        <v>76751486</v>
      </c>
      <c r="D6672" s="2" t="s">
        <v>4810</v>
      </c>
      <c r="E6672" s="4">
        <v>5500</v>
      </c>
    </row>
    <row r="6673" spans="1:5" ht="26.25" x14ac:dyDescent="0.25">
      <c r="A6673" s="2" t="s">
        <v>147</v>
      </c>
      <c r="B6673" s="2" t="str">
        <f>"7804659300466"</f>
        <v>7804659300466</v>
      </c>
      <c r="C6673" s="2" t="str">
        <f>"47880466"</f>
        <v>47880466</v>
      </c>
      <c r="D6673" s="2" t="s">
        <v>4811</v>
      </c>
      <c r="E6673" s="4">
        <v>3500</v>
      </c>
    </row>
    <row r="6674" spans="1:5" ht="26.25" x14ac:dyDescent="0.25">
      <c r="A6674" s="2" t="s">
        <v>147</v>
      </c>
      <c r="B6674" s="2" t="str">
        <f>"8692730512452"</f>
        <v>8692730512452</v>
      </c>
      <c r="C6674" s="2" t="str">
        <f>"478812452"</f>
        <v>478812452</v>
      </c>
      <c r="D6674" s="2" t="s">
        <v>4812</v>
      </c>
      <c r="E6674" s="4">
        <v>1990</v>
      </c>
    </row>
    <row r="6675" spans="1:5" ht="26.25" x14ac:dyDescent="0.25">
      <c r="A6675" s="2" t="s">
        <v>147</v>
      </c>
      <c r="B6675" s="2" t="str">
        <f>"7806810007337"</f>
        <v>7806810007337</v>
      </c>
      <c r="C6675" s="2" t="str">
        <f>"47887399"</f>
        <v>47887399</v>
      </c>
      <c r="D6675" s="2" t="s">
        <v>4813</v>
      </c>
      <c r="E6675" s="4">
        <v>2990</v>
      </c>
    </row>
    <row r="6676" spans="1:5" ht="26.25" x14ac:dyDescent="0.25">
      <c r="A6676" s="2" t="s">
        <v>147</v>
      </c>
      <c r="B6676" s="2" t="str">
        <f>"7806810007399"</f>
        <v>7806810007399</v>
      </c>
      <c r="C6676" s="2" t="str">
        <f>"47880073"</f>
        <v>47880073</v>
      </c>
      <c r="D6676" s="2" t="s">
        <v>4814</v>
      </c>
      <c r="E6676" s="4">
        <v>2990</v>
      </c>
    </row>
    <row r="6677" spans="1:5" ht="26.25" x14ac:dyDescent="0.25">
      <c r="A6677" s="2" t="s">
        <v>147</v>
      </c>
      <c r="B6677" s="2" t="str">
        <f>"7806500401414"</f>
        <v>7806500401414</v>
      </c>
      <c r="C6677" s="2" t="str">
        <f>"47886488"</f>
        <v>47886488</v>
      </c>
      <c r="D6677" s="2" t="s">
        <v>4815</v>
      </c>
      <c r="E6677" s="2">
        <v>500</v>
      </c>
    </row>
    <row r="6678" spans="1:5" ht="26.25" x14ac:dyDescent="0.25">
      <c r="A6678" s="2" t="s">
        <v>147</v>
      </c>
      <c r="B6678" s="2" t="str">
        <f>"7804520023098"</f>
        <v>7804520023098</v>
      </c>
      <c r="C6678" s="2" t="str">
        <f>"47883098"</f>
        <v>47883098</v>
      </c>
      <c r="D6678" s="2" t="s">
        <v>4816</v>
      </c>
      <c r="E6678" s="4">
        <v>1200</v>
      </c>
    </row>
    <row r="6679" spans="1:5" ht="26.25" x14ac:dyDescent="0.25">
      <c r="A6679" s="2" t="s">
        <v>21</v>
      </c>
      <c r="B6679" s="2" t="str">
        <f>"049538045190"</f>
        <v>049538045190</v>
      </c>
      <c r="C6679" s="2" t="str">
        <f>"10003322"</f>
        <v>10003322</v>
      </c>
      <c r="D6679" s="2" t="s">
        <v>4817</v>
      </c>
      <c r="E6679" s="4">
        <v>8990</v>
      </c>
    </row>
    <row r="6680" spans="1:5" ht="26.25" x14ac:dyDescent="0.25">
      <c r="A6680" s="2" t="s">
        <v>30</v>
      </c>
      <c r="B6680" s="2" t="str">
        <f>"7858816007293"</f>
        <v>7858816007293</v>
      </c>
      <c r="C6680" s="2" t="str">
        <f>"87020729"</f>
        <v>87020729</v>
      </c>
      <c r="D6680" s="2" t="s">
        <v>4818</v>
      </c>
      <c r="E6680" s="4">
        <v>4990</v>
      </c>
    </row>
    <row r="6681" spans="1:5" ht="26.25" x14ac:dyDescent="0.25">
      <c r="A6681" s="2" t="s">
        <v>30</v>
      </c>
      <c r="B6681" s="2" t="str">
        <f>"10002393"</f>
        <v>10002393</v>
      </c>
      <c r="C6681" s="2" t="str">
        <f>"10002393"</f>
        <v>10002393</v>
      </c>
      <c r="D6681" s="2" t="s">
        <v>4819</v>
      </c>
      <c r="E6681" s="4">
        <v>8990</v>
      </c>
    </row>
    <row r="6682" spans="1:5" ht="26.25" x14ac:dyDescent="0.25">
      <c r="A6682" s="2" t="s">
        <v>30</v>
      </c>
      <c r="B6682" s="2" t="str">
        <f>"10002628"</f>
        <v>10002628</v>
      </c>
      <c r="C6682" s="2" t="str">
        <f>"10002628"</f>
        <v>10002628</v>
      </c>
      <c r="D6682" s="2" t="s">
        <v>4820</v>
      </c>
      <c r="E6682" s="4">
        <v>5990</v>
      </c>
    </row>
    <row r="6683" spans="1:5" ht="26.25" x14ac:dyDescent="0.25">
      <c r="A6683" s="2" t="s">
        <v>1602</v>
      </c>
      <c r="B6683" s="2" t="str">
        <f>"7858816060397"</f>
        <v>7858816060397</v>
      </c>
      <c r="C6683" s="2" t="str">
        <f>"87126039"</f>
        <v>87126039</v>
      </c>
      <c r="D6683" s="2" t="s">
        <v>4821</v>
      </c>
      <c r="E6683" s="4">
        <v>7990</v>
      </c>
    </row>
    <row r="6684" spans="1:5" ht="26.25" x14ac:dyDescent="0.25">
      <c r="A6684" s="2" t="s">
        <v>21</v>
      </c>
      <c r="B6684" s="2" t="str">
        <f>"5012345678900"</f>
        <v>5012345678900</v>
      </c>
      <c r="C6684" s="2" t="str">
        <f>"10100660"</f>
        <v>10100660</v>
      </c>
      <c r="D6684" s="2" t="s">
        <v>4822</v>
      </c>
      <c r="E6684" s="4">
        <v>7900</v>
      </c>
    </row>
    <row r="6685" spans="1:5" ht="26.25" x14ac:dyDescent="0.25">
      <c r="A6685" s="2" t="s">
        <v>327</v>
      </c>
      <c r="B6685" s="2" t="str">
        <f>"66000520"</f>
        <v>66000520</v>
      </c>
      <c r="C6685" s="2" t="str">
        <f>"66000520"</f>
        <v>66000520</v>
      </c>
      <c r="D6685" s="2" t="s">
        <v>4823</v>
      </c>
      <c r="E6685" s="4">
        <v>12900</v>
      </c>
    </row>
    <row r="6686" spans="1:5" ht="26.25" x14ac:dyDescent="0.25">
      <c r="A6686" s="2" t="s">
        <v>327</v>
      </c>
      <c r="B6686" s="2" t="str">
        <f>"8669885005221"</f>
        <v>8669885005221</v>
      </c>
      <c r="C6686" s="2" t="str">
        <f>"66000522"</f>
        <v>66000522</v>
      </c>
      <c r="D6686" s="2" t="s">
        <v>4824</v>
      </c>
      <c r="E6686" s="4">
        <v>10400</v>
      </c>
    </row>
    <row r="6687" spans="1:5" ht="26.25" x14ac:dyDescent="0.25">
      <c r="A6687" s="2" t="s">
        <v>327</v>
      </c>
      <c r="B6687" s="2" t="str">
        <f>"98210600"</f>
        <v>98210600</v>
      </c>
      <c r="C6687" s="2" t="str">
        <f>"98210600"</f>
        <v>98210600</v>
      </c>
      <c r="D6687" s="2" t="s">
        <v>4825</v>
      </c>
      <c r="E6687" s="4">
        <v>16990</v>
      </c>
    </row>
    <row r="6688" spans="1:5" ht="26.25" x14ac:dyDescent="0.25">
      <c r="A6688" s="2" t="s">
        <v>949</v>
      </c>
      <c r="B6688" s="2" t="str">
        <f>"7804612211211"</f>
        <v>7804612211211</v>
      </c>
      <c r="C6688" s="2" t="str">
        <f>"79211211"</f>
        <v>79211211</v>
      </c>
      <c r="D6688" s="2" t="s">
        <v>4826</v>
      </c>
      <c r="E6688" s="4">
        <v>5990</v>
      </c>
    </row>
    <row r="6689" spans="1:5" ht="26.25" x14ac:dyDescent="0.25">
      <c r="A6689" s="2" t="s">
        <v>327</v>
      </c>
      <c r="B6689" s="2" t="str">
        <f>"10001094"</f>
        <v>10001094</v>
      </c>
      <c r="C6689" s="2" t="str">
        <f>"10001094"</f>
        <v>10001094</v>
      </c>
      <c r="D6689" s="2" t="s">
        <v>4827</v>
      </c>
      <c r="E6689" s="4">
        <v>9900</v>
      </c>
    </row>
    <row r="6690" spans="1:5" ht="26.25" x14ac:dyDescent="0.25">
      <c r="A6690" s="2" t="s">
        <v>154</v>
      </c>
      <c r="B6690" s="2" t="str">
        <f>"7858816049095"</f>
        <v>7858816049095</v>
      </c>
      <c r="C6690" s="2" t="str">
        <f>"87524909"</f>
        <v>87524909</v>
      </c>
      <c r="D6690" s="2" t="s">
        <v>4828</v>
      </c>
      <c r="E6690" s="4">
        <v>12990</v>
      </c>
    </row>
    <row r="6691" spans="1:5" ht="26.25" x14ac:dyDescent="0.25">
      <c r="A6691" s="2" t="s">
        <v>949</v>
      </c>
      <c r="B6691" s="2" t="str">
        <f>"7858816058295"</f>
        <v>7858816058295</v>
      </c>
      <c r="C6691" s="2" t="str">
        <f>"87525829"</f>
        <v>87525829</v>
      </c>
      <c r="D6691" s="2" t="s">
        <v>4829</v>
      </c>
      <c r="E6691" s="4">
        <v>14990</v>
      </c>
    </row>
    <row r="6692" spans="1:5" ht="26.25" x14ac:dyDescent="0.25">
      <c r="A6692" s="2" t="s">
        <v>949</v>
      </c>
      <c r="B6692" s="2" t="str">
        <f>"7858816058400"</f>
        <v>7858816058400</v>
      </c>
      <c r="C6692" s="2" t="str">
        <f>"87215840"</f>
        <v>87215840</v>
      </c>
      <c r="D6692" s="2" t="s">
        <v>4830</v>
      </c>
      <c r="E6692" s="4">
        <v>6990</v>
      </c>
    </row>
    <row r="6693" spans="1:5" ht="26.25" x14ac:dyDescent="0.25">
      <c r="A6693" s="2" t="s">
        <v>949</v>
      </c>
      <c r="B6693" s="2" t="str">
        <f>"7858816063749"</f>
        <v>7858816063749</v>
      </c>
      <c r="C6693" s="2" t="str">
        <f>"87216374"</f>
        <v>87216374</v>
      </c>
      <c r="D6693" s="2" t="s">
        <v>4831</v>
      </c>
      <c r="E6693" s="4">
        <v>6500</v>
      </c>
    </row>
    <row r="6694" spans="1:5" ht="26.25" x14ac:dyDescent="0.25">
      <c r="A6694" s="2" t="s">
        <v>949</v>
      </c>
      <c r="B6694" s="2" t="str">
        <f>"7858816072932"</f>
        <v>7858816072932</v>
      </c>
      <c r="C6694" s="2" t="str">
        <f>"87217293"</f>
        <v>87217293</v>
      </c>
      <c r="D6694" s="2" t="s">
        <v>4832</v>
      </c>
      <c r="E6694" s="4">
        <v>7490</v>
      </c>
    </row>
    <row r="6695" spans="1:5" ht="26.25" x14ac:dyDescent="0.25">
      <c r="A6695" s="2" t="s">
        <v>21</v>
      </c>
      <c r="B6695" s="2" t="str">
        <f>"10005476"</f>
        <v>10005476</v>
      </c>
      <c r="C6695" s="2" t="str">
        <f>"10005476"</f>
        <v>10005476</v>
      </c>
      <c r="D6695" s="2" t="s">
        <v>4833</v>
      </c>
      <c r="E6695" s="4">
        <v>5900</v>
      </c>
    </row>
    <row r="6696" spans="1:5" ht="26.25" x14ac:dyDescent="0.25">
      <c r="A6696" s="2" t="s">
        <v>949</v>
      </c>
      <c r="B6696" s="2" t="str">
        <f>"7858816031984"</f>
        <v>7858816031984</v>
      </c>
      <c r="C6696" s="2" t="str">
        <f>"87213198"</f>
        <v>87213198</v>
      </c>
      <c r="D6696" s="2" t="s">
        <v>4834</v>
      </c>
      <c r="E6696" s="4">
        <v>7990</v>
      </c>
    </row>
    <row r="6697" spans="1:5" ht="26.25" x14ac:dyDescent="0.25">
      <c r="A6697" s="2" t="s">
        <v>949</v>
      </c>
      <c r="B6697" s="2" t="str">
        <f>"10118139"</f>
        <v>10118139</v>
      </c>
      <c r="C6697" s="2" t="str">
        <f>"10118139"</f>
        <v>10118139</v>
      </c>
      <c r="D6697" s="2" t="s">
        <v>4835</v>
      </c>
      <c r="E6697" s="4">
        <v>9990</v>
      </c>
    </row>
    <row r="6698" spans="1:5" ht="26.25" x14ac:dyDescent="0.25">
      <c r="A6698" s="2" t="s">
        <v>949</v>
      </c>
      <c r="B6698" s="2" t="str">
        <f>"10118205"</f>
        <v>10118205</v>
      </c>
      <c r="C6698" s="2" t="str">
        <f>"10118205"</f>
        <v>10118205</v>
      </c>
      <c r="D6698" s="2" t="s">
        <v>4836</v>
      </c>
      <c r="E6698" s="4">
        <v>8990</v>
      </c>
    </row>
    <row r="6699" spans="1:5" ht="26.25" x14ac:dyDescent="0.25">
      <c r="A6699" s="2" t="s">
        <v>949</v>
      </c>
      <c r="B6699" s="2" t="str">
        <f>"10000037"</f>
        <v>10000037</v>
      </c>
      <c r="C6699" s="2" t="str">
        <f>"10000037"</f>
        <v>10000037</v>
      </c>
      <c r="D6699" s="2" t="s">
        <v>4837</v>
      </c>
      <c r="E6699" s="4">
        <v>8990</v>
      </c>
    </row>
    <row r="6700" spans="1:5" ht="26.25" x14ac:dyDescent="0.25">
      <c r="A6700" s="2" t="s">
        <v>949</v>
      </c>
      <c r="B6700" s="2" t="str">
        <f>"10524217"</f>
        <v>10524217</v>
      </c>
      <c r="C6700" s="2" t="str">
        <f>"10524217"</f>
        <v>10524217</v>
      </c>
      <c r="D6700" s="2" t="s">
        <v>4838</v>
      </c>
      <c r="E6700" s="4">
        <v>10500</v>
      </c>
    </row>
    <row r="6701" spans="1:5" ht="26.25" x14ac:dyDescent="0.25">
      <c r="A6701" s="2" t="s">
        <v>327</v>
      </c>
      <c r="B6701" s="2" t="str">
        <f>"025215488672"</f>
        <v>025215488672</v>
      </c>
      <c r="C6701" s="2" t="str">
        <f>"98210021"</f>
        <v>98210021</v>
      </c>
      <c r="D6701" s="2" t="s">
        <v>4839</v>
      </c>
      <c r="E6701" s="4">
        <v>9990</v>
      </c>
    </row>
    <row r="6702" spans="1:5" ht="26.25" x14ac:dyDescent="0.25">
      <c r="A6702" s="2" t="s">
        <v>949</v>
      </c>
      <c r="B6702" s="2" t="str">
        <f>"6901234530063"</f>
        <v>6901234530063</v>
      </c>
      <c r="C6702" s="2" t="str">
        <f>"98210001"</f>
        <v>98210001</v>
      </c>
      <c r="D6702" s="2" t="s">
        <v>4840</v>
      </c>
      <c r="E6702" s="4">
        <v>17000</v>
      </c>
    </row>
    <row r="6703" spans="1:5" ht="26.25" x14ac:dyDescent="0.25">
      <c r="A6703" s="2" t="s">
        <v>327</v>
      </c>
      <c r="B6703" s="2" t="str">
        <f>"7297932796009"</f>
        <v>7297932796009</v>
      </c>
      <c r="C6703" s="2" t="str">
        <f>"79TFMBT600"</f>
        <v>79TFMBT600</v>
      </c>
      <c r="D6703" s="2" t="s">
        <v>4841</v>
      </c>
      <c r="E6703" s="4">
        <v>11990</v>
      </c>
    </row>
    <row r="6704" spans="1:5" ht="26.25" x14ac:dyDescent="0.25">
      <c r="A6704" s="2" t="s">
        <v>30</v>
      </c>
      <c r="B6704" s="2" t="str">
        <f>"1597305463962"</f>
        <v>1597305463962</v>
      </c>
      <c r="C6704" s="2" t="str">
        <f>"40020011"</f>
        <v>40020011</v>
      </c>
      <c r="D6704" s="2" t="s">
        <v>4842</v>
      </c>
      <c r="E6704" s="4">
        <v>14990</v>
      </c>
    </row>
    <row r="6705" spans="1:5" ht="26.25" x14ac:dyDescent="0.25">
      <c r="A6705" s="2" t="s">
        <v>21</v>
      </c>
      <c r="B6705" s="2" t="str">
        <f>"10117710"</f>
        <v>10117710</v>
      </c>
      <c r="C6705" s="2" t="str">
        <f>"10117710"</f>
        <v>10117710</v>
      </c>
      <c r="D6705" s="2" t="s">
        <v>4843</v>
      </c>
      <c r="E6705" s="4">
        <v>2000</v>
      </c>
    </row>
    <row r="6706" spans="1:5" ht="26.25" x14ac:dyDescent="0.25">
      <c r="A6706" s="2" t="s">
        <v>2388</v>
      </c>
      <c r="B6706" s="2" t="str">
        <f>"40383110"</f>
        <v>40383110</v>
      </c>
      <c r="C6706" s="2" t="str">
        <f>"40383110"</f>
        <v>40383110</v>
      </c>
      <c r="D6706" s="2" t="s">
        <v>4844</v>
      </c>
      <c r="E6706" s="4">
        <v>11990</v>
      </c>
    </row>
    <row r="6707" spans="1:5" ht="26.25" x14ac:dyDescent="0.25">
      <c r="A6707" s="2" t="s">
        <v>2388</v>
      </c>
      <c r="B6707" s="2" t="str">
        <f>"7858816075865"</f>
        <v>7858816075865</v>
      </c>
      <c r="C6707" s="2" t="str">
        <f>"87387586"</f>
        <v>87387586</v>
      </c>
      <c r="D6707" s="2" t="s">
        <v>4845</v>
      </c>
      <c r="E6707" s="4">
        <v>11990</v>
      </c>
    </row>
    <row r="6708" spans="1:5" ht="26.25" x14ac:dyDescent="0.25">
      <c r="A6708" s="2" t="s">
        <v>21</v>
      </c>
      <c r="B6708" s="2" t="str">
        <f>"10000042"</f>
        <v>10000042</v>
      </c>
      <c r="C6708" s="2" t="str">
        <f>"10000042"</f>
        <v>10000042</v>
      </c>
      <c r="D6708" s="2" t="s">
        <v>4846</v>
      </c>
      <c r="E6708" s="4">
        <v>9990</v>
      </c>
    </row>
    <row r="6709" spans="1:5" ht="26.25" x14ac:dyDescent="0.25">
      <c r="A6709" s="2" t="s">
        <v>2388</v>
      </c>
      <c r="B6709" s="2" t="str">
        <f>"4038330A"</f>
        <v>4038330A</v>
      </c>
      <c r="C6709" s="2" t="str">
        <f>"4038330A"</f>
        <v>4038330A</v>
      </c>
      <c r="D6709" s="2" t="s">
        <v>4847</v>
      </c>
      <c r="E6709" s="4">
        <v>16990</v>
      </c>
    </row>
    <row r="6710" spans="1:5" ht="26.25" x14ac:dyDescent="0.25">
      <c r="A6710" s="2" t="s">
        <v>21</v>
      </c>
      <c r="B6710" s="2" t="str">
        <f>"10014815"</f>
        <v>10014815</v>
      </c>
      <c r="C6710" s="2" t="str">
        <f>"10014815"</f>
        <v>10014815</v>
      </c>
      <c r="D6710" s="2" t="s">
        <v>4848</v>
      </c>
      <c r="E6710" s="4">
        <v>17990</v>
      </c>
    </row>
    <row r="6711" spans="1:5" ht="26.25" x14ac:dyDescent="0.25">
      <c r="A6711" s="2" t="s">
        <v>21</v>
      </c>
      <c r="B6711" s="2" t="str">
        <f>"10117886"</f>
        <v>10117886</v>
      </c>
      <c r="C6711" s="2" t="str">
        <f>"10117886"</f>
        <v>10117886</v>
      </c>
      <c r="D6711" s="2" t="s">
        <v>4849</v>
      </c>
      <c r="E6711" s="4">
        <v>9990</v>
      </c>
    </row>
    <row r="6712" spans="1:5" ht="26.25" x14ac:dyDescent="0.25">
      <c r="A6712" s="2" t="s">
        <v>21</v>
      </c>
      <c r="B6712" s="2" t="str">
        <f>"10001346"</f>
        <v>10001346</v>
      </c>
      <c r="C6712" s="2" t="str">
        <f>"10001346"</f>
        <v>10001346</v>
      </c>
      <c r="D6712" s="2" t="s">
        <v>4850</v>
      </c>
      <c r="E6712" s="4">
        <v>9990</v>
      </c>
    </row>
    <row r="6713" spans="1:5" ht="26.25" x14ac:dyDescent="0.25">
      <c r="A6713" s="2" t="s">
        <v>21</v>
      </c>
      <c r="B6713" s="2" t="str">
        <f>"10000629"</f>
        <v>10000629</v>
      </c>
      <c r="C6713" s="2" t="str">
        <f>"10000629"</f>
        <v>10000629</v>
      </c>
      <c r="D6713" s="2" t="s">
        <v>4851</v>
      </c>
      <c r="E6713" s="4">
        <v>12990</v>
      </c>
    </row>
    <row r="6714" spans="1:5" ht="26.25" x14ac:dyDescent="0.25">
      <c r="A6714" s="2" t="s">
        <v>21</v>
      </c>
      <c r="B6714" s="2" t="str">
        <f>"7858816062971"</f>
        <v>7858816062971</v>
      </c>
      <c r="C6714" s="2" t="str">
        <f>"87526297"</f>
        <v>87526297</v>
      </c>
      <c r="D6714" s="2" t="s">
        <v>4852</v>
      </c>
      <c r="E6714" s="4">
        <v>44990</v>
      </c>
    </row>
    <row r="6715" spans="1:5" ht="26.25" x14ac:dyDescent="0.25">
      <c r="A6715" s="2" t="s">
        <v>2388</v>
      </c>
      <c r="B6715" s="2" t="str">
        <f>"7858816062957"</f>
        <v>7858816062957</v>
      </c>
      <c r="C6715" s="2" t="str">
        <f>"87386295"</f>
        <v>87386295</v>
      </c>
      <c r="D6715" s="2" t="s">
        <v>4853</v>
      </c>
      <c r="E6715" s="4">
        <v>18990</v>
      </c>
    </row>
    <row r="6716" spans="1:5" ht="26.25" x14ac:dyDescent="0.25">
      <c r="A6716" s="2" t="s">
        <v>2388</v>
      </c>
      <c r="B6716" s="2" t="str">
        <f>"6933126206220"</f>
        <v>6933126206220</v>
      </c>
      <c r="C6716" s="2" t="str">
        <f>"10116236"</f>
        <v>10116236</v>
      </c>
      <c r="D6716" s="2" t="s">
        <v>4854</v>
      </c>
      <c r="E6716" s="4">
        <v>3000</v>
      </c>
    </row>
    <row r="6717" spans="1:5" ht="26.25" x14ac:dyDescent="0.25">
      <c r="A6717" s="2" t="s">
        <v>2388</v>
      </c>
      <c r="B6717" s="2" t="str">
        <f>"69380831"</f>
        <v>69380831</v>
      </c>
      <c r="C6717" s="2" t="str">
        <f>"69380831"</f>
        <v>69380831</v>
      </c>
      <c r="D6717" s="2" t="s">
        <v>4855</v>
      </c>
      <c r="E6717" s="4">
        <v>5900</v>
      </c>
    </row>
    <row r="6718" spans="1:5" ht="26.25" x14ac:dyDescent="0.25">
      <c r="A6718" s="2" t="s">
        <v>2388</v>
      </c>
      <c r="B6718" s="2" t="str">
        <f>"69380382"</f>
        <v>69380382</v>
      </c>
      <c r="C6718" s="2" t="str">
        <f>"69380382"</f>
        <v>69380382</v>
      </c>
      <c r="D6718" s="2" t="s">
        <v>4856</v>
      </c>
      <c r="E6718" s="4">
        <v>4900</v>
      </c>
    </row>
    <row r="6719" spans="1:5" ht="26.25" x14ac:dyDescent="0.25">
      <c r="A6719" s="2" t="s">
        <v>21</v>
      </c>
      <c r="B6719" s="2" t="str">
        <f>"10002312"</f>
        <v>10002312</v>
      </c>
      <c r="C6719" s="2" t="str">
        <f>"10002312"</f>
        <v>10002312</v>
      </c>
      <c r="D6719" s="2" t="s">
        <v>4857</v>
      </c>
      <c r="E6719" s="4">
        <v>5000</v>
      </c>
    </row>
    <row r="6720" spans="1:5" ht="26.25" x14ac:dyDescent="0.25">
      <c r="A6720" s="2" t="s">
        <v>2388</v>
      </c>
      <c r="B6720" s="2" t="str">
        <f>"10002417"</f>
        <v>10002417</v>
      </c>
      <c r="C6720" s="2" t="str">
        <f>"10002417"</f>
        <v>10002417</v>
      </c>
      <c r="D6720" s="2" t="s">
        <v>4858</v>
      </c>
      <c r="E6720" s="4">
        <v>4500</v>
      </c>
    </row>
    <row r="6721" spans="1:5" ht="26.25" x14ac:dyDescent="0.25">
      <c r="A6721" s="2" t="s">
        <v>21</v>
      </c>
      <c r="B6721" s="2" t="str">
        <f>"1578583566411"</f>
        <v>1578583566411</v>
      </c>
      <c r="C6721" s="2" t="str">
        <f>"100000815"</f>
        <v>100000815</v>
      </c>
      <c r="D6721" s="2" t="s">
        <v>4859</v>
      </c>
      <c r="E6721" s="4">
        <v>16990</v>
      </c>
    </row>
    <row r="6722" spans="1:5" ht="26.25" x14ac:dyDescent="0.25">
      <c r="A6722" s="2" t="s">
        <v>2388</v>
      </c>
      <c r="B6722" s="2" t="str">
        <f>"7895623005494"</f>
        <v>7895623005494</v>
      </c>
      <c r="C6722" s="2" t="str">
        <f>"87380549"</f>
        <v>87380549</v>
      </c>
      <c r="D6722" s="2" t="s">
        <v>4860</v>
      </c>
      <c r="E6722" s="4">
        <v>11950</v>
      </c>
    </row>
    <row r="6723" spans="1:5" ht="26.25" x14ac:dyDescent="0.25">
      <c r="A6723" s="2" t="s">
        <v>21</v>
      </c>
      <c r="B6723" s="2" t="str">
        <f>"7858816076299"</f>
        <v>7858816076299</v>
      </c>
      <c r="C6723" s="2" t="str">
        <f>"87527629"</f>
        <v>87527629</v>
      </c>
      <c r="D6723" s="2" t="s">
        <v>4861</v>
      </c>
      <c r="E6723" s="4">
        <v>13990</v>
      </c>
    </row>
    <row r="6724" spans="1:5" ht="26.25" x14ac:dyDescent="0.25">
      <c r="A6724" s="2" t="s">
        <v>2388</v>
      </c>
      <c r="B6724" s="2" t="str">
        <f>"7858816022685"</f>
        <v>7858816022685</v>
      </c>
      <c r="C6724" s="2" t="str">
        <f>"87385574"</f>
        <v>87385574</v>
      </c>
      <c r="D6724" s="2" t="s">
        <v>4862</v>
      </c>
      <c r="E6724" s="4">
        <v>11990</v>
      </c>
    </row>
    <row r="6725" spans="1:5" ht="26.25" x14ac:dyDescent="0.25">
      <c r="A6725" s="2" t="s">
        <v>21</v>
      </c>
      <c r="B6725" s="2" t="str">
        <f>"7858816022692"</f>
        <v>7858816022692</v>
      </c>
      <c r="C6725" s="2" t="str">
        <f>"87522269"</f>
        <v>87522269</v>
      </c>
      <c r="D6725" s="2" t="s">
        <v>4863</v>
      </c>
      <c r="E6725" s="4">
        <v>14990</v>
      </c>
    </row>
    <row r="6726" spans="1:5" ht="26.25" x14ac:dyDescent="0.25">
      <c r="A6726" s="2" t="s">
        <v>889</v>
      </c>
      <c r="B6726" s="2" t="str">
        <f>"87730012"</f>
        <v>87730012</v>
      </c>
      <c r="C6726" s="2" t="str">
        <f>"87730012"</f>
        <v>87730012</v>
      </c>
      <c r="D6726" s="2" t="s">
        <v>4864</v>
      </c>
      <c r="E6726" s="4">
        <v>17700</v>
      </c>
    </row>
    <row r="6727" spans="1:5" ht="26.25" x14ac:dyDescent="0.25">
      <c r="A6727" s="2" t="s">
        <v>2388</v>
      </c>
      <c r="B6727" s="2" t="str">
        <f>"7895623005548"</f>
        <v>7895623005548</v>
      </c>
      <c r="C6727" s="2" t="str">
        <f>"87380554"</f>
        <v>87380554</v>
      </c>
      <c r="D6727" s="2" t="s">
        <v>4865</v>
      </c>
      <c r="E6727" s="4">
        <v>19990</v>
      </c>
    </row>
    <row r="6728" spans="1:5" ht="26.25" x14ac:dyDescent="0.25">
      <c r="A6728" s="2" t="s">
        <v>2388</v>
      </c>
      <c r="B6728" s="2" t="str">
        <f>"7858816051104"</f>
        <v>7858816051104</v>
      </c>
      <c r="C6728" s="2" t="str">
        <f>"87385110"</f>
        <v>87385110</v>
      </c>
      <c r="D6728" s="2" t="s">
        <v>4866</v>
      </c>
      <c r="E6728" s="4">
        <v>5500</v>
      </c>
    </row>
    <row r="6729" spans="1:5" ht="26.25" x14ac:dyDescent="0.25">
      <c r="A6729" s="2" t="s">
        <v>2388</v>
      </c>
      <c r="B6729" s="2" t="str">
        <f>"7858816065057"</f>
        <v>7858816065057</v>
      </c>
      <c r="C6729" s="2" t="str">
        <f>"87386505"</f>
        <v>87386505</v>
      </c>
      <c r="D6729" s="2" t="s">
        <v>4867</v>
      </c>
      <c r="E6729" s="4">
        <v>5500</v>
      </c>
    </row>
    <row r="6730" spans="1:5" ht="26.25" x14ac:dyDescent="0.25">
      <c r="A6730" s="2" t="s">
        <v>2388</v>
      </c>
      <c r="B6730" s="2" t="str">
        <f>"7858816077166"</f>
        <v>7858816077166</v>
      </c>
      <c r="C6730" s="2" t="str">
        <f>"87387716"</f>
        <v>87387716</v>
      </c>
      <c r="D6730" s="2" t="s">
        <v>4868</v>
      </c>
      <c r="E6730" s="4">
        <v>16990</v>
      </c>
    </row>
    <row r="6731" spans="1:5" ht="26.25" x14ac:dyDescent="0.25">
      <c r="A6731" s="2" t="s">
        <v>2388</v>
      </c>
      <c r="B6731" s="2" t="str">
        <f>"69382574"</f>
        <v>69382574</v>
      </c>
      <c r="C6731" s="2" t="str">
        <f>"69382574"</f>
        <v>69382574</v>
      </c>
      <c r="D6731" s="2" t="s">
        <v>4869</v>
      </c>
      <c r="E6731" s="4">
        <v>4900</v>
      </c>
    </row>
    <row r="6732" spans="1:5" ht="26.25" x14ac:dyDescent="0.25">
      <c r="A6732" s="2" t="s">
        <v>2388</v>
      </c>
      <c r="B6732" s="2" t="str">
        <f>"7858816030963"</f>
        <v>7858816030963</v>
      </c>
      <c r="C6732" s="2" t="str">
        <f>"87383096"</f>
        <v>87383096</v>
      </c>
      <c r="D6732" s="2" t="s">
        <v>4870</v>
      </c>
      <c r="E6732" s="4">
        <v>5000</v>
      </c>
    </row>
    <row r="6733" spans="1:5" ht="26.25" x14ac:dyDescent="0.25">
      <c r="A6733" s="2" t="s">
        <v>2388</v>
      </c>
      <c r="B6733" s="2" t="str">
        <f>"7858816078996"</f>
        <v>7858816078996</v>
      </c>
      <c r="C6733" s="2" t="str">
        <f>"87387988"</f>
        <v>87387988</v>
      </c>
      <c r="D6733" s="2" t="s">
        <v>4871</v>
      </c>
      <c r="E6733" s="4">
        <v>4500</v>
      </c>
    </row>
    <row r="6734" spans="1:5" ht="26.25" x14ac:dyDescent="0.25">
      <c r="A6734" s="2" t="s">
        <v>2388</v>
      </c>
      <c r="B6734" s="2" t="str">
        <f>"6933126206228"</f>
        <v>6933126206228</v>
      </c>
      <c r="C6734" s="2" t="str">
        <f>"40386228"</f>
        <v>40386228</v>
      </c>
      <c r="D6734" s="2" t="s">
        <v>4872</v>
      </c>
      <c r="E6734" s="4">
        <v>4000</v>
      </c>
    </row>
    <row r="6735" spans="1:5" ht="26.25" x14ac:dyDescent="0.25">
      <c r="A6735" s="2" t="s">
        <v>2388</v>
      </c>
      <c r="B6735" s="2" t="str">
        <f>"6686996178240"</f>
        <v>6686996178240</v>
      </c>
      <c r="C6735" s="2" t="str">
        <f>"66386824"</f>
        <v>66386824</v>
      </c>
      <c r="D6735" s="2" t="s">
        <v>4873</v>
      </c>
      <c r="E6735" s="4">
        <v>3500</v>
      </c>
    </row>
    <row r="6736" spans="1:5" ht="26.25" x14ac:dyDescent="0.25">
      <c r="A6736" s="2" t="s">
        <v>2388</v>
      </c>
      <c r="B6736" s="2" t="str">
        <f>"7858816021138"</f>
        <v>7858816021138</v>
      </c>
      <c r="C6736" s="2" t="str">
        <f>"87382113"</f>
        <v>87382113</v>
      </c>
      <c r="D6736" s="2" t="s">
        <v>4874</v>
      </c>
      <c r="E6736" s="4">
        <v>3500</v>
      </c>
    </row>
    <row r="6737" spans="1:5" ht="26.25" x14ac:dyDescent="0.25">
      <c r="A6737" s="2" t="s">
        <v>2388</v>
      </c>
      <c r="B6737" s="2" t="str">
        <f>"9311998645021"</f>
        <v>9311998645021</v>
      </c>
      <c r="C6737" s="2" t="str">
        <f>"40381028"</f>
        <v>40381028</v>
      </c>
      <c r="D6737" s="2" t="s">
        <v>4875</v>
      </c>
      <c r="E6737" s="4">
        <v>3000</v>
      </c>
    </row>
    <row r="6738" spans="1:5" ht="26.25" x14ac:dyDescent="0.25">
      <c r="A6738" s="2" t="s">
        <v>2388</v>
      </c>
      <c r="B6738" s="2" t="str">
        <f>"7858816064135"</f>
        <v>7858816064135</v>
      </c>
      <c r="C6738" s="2" t="str">
        <f>"87386413"</f>
        <v>87386413</v>
      </c>
      <c r="D6738" s="2" t="s">
        <v>4876</v>
      </c>
      <c r="E6738" s="4">
        <v>7990</v>
      </c>
    </row>
    <row r="6739" spans="1:5" ht="26.25" x14ac:dyDescent="0.25">
      <c r="A6739" s="2" t="s">
        <v>2388</v>
      </c>
      <c r="B6739" s="2" t="str">
        <f>"7858816075582"</f>
        <v>7858816075582</v>
      </c>
      <c r="C6739" s="2" t="str">
        <f>"87387558"</f>
        <v>87387558</v>
      </c>
      <c r="D6739" s="2" t="s">
        <v>4877</v>
      </c>
      <c r="E6739" s="4">
        <v>7990</v>
      </c>
    </row>
    <row r="6740" spans="1:5" ht="26.25" x14ac:dyDescent="0.25">
      <c r="A6740" s="2" t="s">
        <v>21</v>
      </c>
      <c r="B6740" s="2" t="str">
        <f>"7820099880368"</f>
        <v>7820099880368</v>
      </c>
      <c r="C6740" s="2" t="str">
        <f>"10002890"</f>
        <v>10002890</v>
      </c>
      <c r="D6740" s="2" t="s">
        <v>4878</v>
      </c>
      <c r="E6740" s="4">
        <v>38990</v>
      </c>
    </row>
    <row r="6741" spans="1:5" ht="26.25" x14ac:dyDescent="0.25">
      <c r="A6741" s="2" t="s">
        <v>21</v>
      </c>
      <c r="B6741" s="2" t="str">
        <f>"7858816072352"</f>
        <v>7858816072352</v>
      </c>
      <c r="C6741" s="2" t="str">
        <f>"87527235"</f>
        <v>87527235</v>
      </c>
      <c r="D6741" s="2" t="s">
        <v>4879</v>
      </c>
      <c r="E6741" s="4">
        <v>49990</v>
      </c>
    </row>
    <row r="6742" spans="1:5" ht="26.25" x14ac:dyDescent="0.25">
      <c r="A6742" s="2" t="s">
        <v>21</v>
      </c>
      <c r="B6742" s="2" t="str">
        <f>"7858816072369"</f>
        <v>7858816072369</v>
      </c>
      <c r="C6742" s="2" t="str">
        <f>"87527236"</f>
        <v>87527236</v>
      </c>
      <c r="D6742" s="2" t="s">
        <v>4880</v>
      </c>
      <c r="E6742" s="4">
        <v>49990</v>
      </c>
    </row>
    <row r="6743" spans="1:5" ht="26.25" x14ac:dyDescent="0.25">
      <c r="A6743" s="2" t="s">
        <v>21</v>
      </c>
      <c r="B6743" s="2" t="str">
        <f>"1792700066668"</f>
        <v>1792700066668</v>
      </c>
      <c r="C6743" s="2" t="str">
        <f>"40526668"</f>
        <v>40526668</v>
      </c>
      <c r="D6743" s="2" t="s">
        <v>4881</v>
      </c>
      <c r="E6743" s="4">
        <v>45990</v>
      </c>
    </row>
    <row r="6744" spans="1:5" ht="26.25" x14ac:dyDescent="0.25">
      <c r="A6744" s="2" t="s">
        <v>21</v>
      </c>
      <c r="B6744" s="2" t="str">
        <f>"1981061335807"</f>
        <v>1981061335807</v>
      </c>
      <c r="C6744" s="2" t="str">
        <f>"40520096"</f>
        <v>40520096</v>
      </c>
      <c r="D6744" s="2" t="s">
        <v>4882</v>
      </c>
      <c r="E6744" s="4">
        <v>64990</v>
      </c>
    </row>
    <row r="6745" spans="1:5" ht="26.25" x14ac:dyDescent="0.25">
      <c r="A6745" s="2" t="s">
        <v>2488</v>
      </c>
      <c r="B6745" s="2" t="str">
        <f>"413107254"</f>
        <v>413107254</v>
      </c>
      <c r="C6745" s="2" t="str">
        <f>"413107254"</f>
        <v>413107254</v>
      </c>
      <c r="D6745" s="2" t="s">
        <v>4883</v>
      </c>
      <c r="E6745" s="4">
        <v>14500</v>
      </c>
    </row>
    <row r="6746" spans="1:5" ht="26.25" x14ac:dyDescent="0.25">
      <c r="A6746" s="2" t="s">
        <v>2488</v>
      </c>
      <c r="B6746" s="2" t="str">
        <f>"413107253"</f>
        <v>413107253</v>
      </c>
      <c r="C6746" s="2" t="str">
        <f>"413107253"</f>
        <v>413107253</v>
      </c>
      <c r="D6746" s="2" t="s">
        <v>4884</v>
      </c>
      <c r="E6746" s="4">
        <v>14500</v>
      </c>
    </row>
    <row r="6747" spans="1:5" ht="39" x14ac:dyDescent="0.25">
      <c r="A6747" s="2" t="s">
        <v>2488</v>
      </c>
      <c r="B6747" s="2" t="str">
        <f>"1908070122341"</f>
        <v>1908070122341</v>
      </c>
      <c r="C6747" s="2" t="str">
        <f>"1908070122341"</f>
        <v>1908070122341</v>
      </c>
      <c r="D6747" s="2" t="s">
        <v>4885</v>
      </c>
      <c r="E6747" s="4">
        <v>6900</v>
      </c>
    </row>
    <row r="6748" spans="1:5" ht="26.25" x14ac:dyDescent="0.25">
      <c r="A6748" s="2" t="s">
        <v>2488</v>
      </c>
      <c r="B6748" s="2" t="str">
        <f>"10340714"</f>
        <v>10340714</v>
      </c>
      <c r="C6748" s="2" t="str">
        <f>"10340714"</f>
        <v>10340714</v>
      </c>
      <c r="D6748" s="2" t="s">
        <v>4886</v>
      </c>
      <c r="E6748" s="4">
        <v>4000</v>
      </c>
    </row>
    <row r="6749" spans="1:5" ht="26.25" x14ac:dyDescent="0.25">
      <c r="A6749" s="2" t="s">
        <v>2488</v>
      </c>
      <c r="B6749" s="2" t="str">
        <f>"103414116"</f>
        <v>103414116</v>
      </c>
      <c r="C6749" s="2" t="str">
        <f>"103414116"</f>
        <v>103414116</v>
      </c>
      <c r="D6749" s="2" t="s">
        <v>4887</v>
      </c>
      <c r="E6749" s="4">
        <v>4000</v>
      </c>
    </row>
    <row r="6750" spans="1:5" ht="26.25" x14ac:dyDescent="0.25">
      <c r="A6750" s="2" t="s">
        <v>21</v>
      </c>
      <c r="B6750" s="2" t="str">
        <f>"8669885024055"</f>
        <v>8669885024055</v>
      </c>
      <c r="C6750" s="2" t="str">
        <f>"66522405"</f>
        <v>66522405</v>
      </c>
      <c r="D6750" s="2" t="s">
        <v>4888</v>
      </c>
      <c r="E6750" s="4">
        <v>2990</v>
      </c>
    </row>
    <row r="6751" spans="1:5" ht="26.25" x14ac:dyDescent="0.25">
      <c r="A6751" s="2" t="s">
        <v>21</v>
      </c>
      <c r="B6751" s="2" t="str">
        <f>"10522938"</f>
        <v>10522938</v>
      </c>
      <c r="C6751" s="2" t="str">
        <f>"10522938"</f>
        <v>10522938</v>
      </c>
      <c r="D6751" s="2" t="s">
        <v>4889</v>
      </c>
      <c r="E6751" s="4">
        <v>5900</v>
      </c>
    </row>
    <row r="6752" spans="1:5" ht="26.25" x14ac:dyDescent="0.25">
      <c r="A6752" s="2" t="s">
        <v>21</v>
      </c>
      <c r="B6752" s="2" t="str">
        <f>"7796941038235"</f>
        <v>7796941038235</v>
      </c>
      <c r="C6752" s="2" t="str">
        <f>"42520022"</f>
        <v>42520022</v>
      </c>
      <c r="D6752" s="2" t="s">
        <v>4890</v>
      </c>
      <c r="E6752" s="4">
        <v>4990</v>
      </c>
    </row>
    <row r="6753" spans="1:5" ht="26.25" x14ac:dyDescent="0.25">
      <c r="A6753" s="2" t="s">
        <v>21</v>
      </c>
      <c r="B6753" s="2" t="str">
        <f>"7796941038242"</f>
        <v>7796941038242</v>
      </c>
      <c r="C6753" s="2" t="str">
        <f>"42522200"</f>
        <v>42522200</v>
      </c>
      <c r="D6753" s="2" t="s">
        <v>4891</v>
      </c>
      <c r="E6753" s="4">
        <v>6900</v>
      </c>
    </row>
    <row r="6754" spans="1:5" ht="26.25" x14ac:dyDescent="0.25">
      <c r="A6754" s="2" t="s">
        <v>49</v>
      </c>
      <c r="B6754" s="2" t="str">
        <f>"7809601110582"</f>
        <v>7809601110582</v>
      </c>
      <c r="C6754" s="2" t="str">
        <f>"92930025"</f>
        <v>92930025</v>
      </c>
      <c r="D6754" s="2" t="s">
        <v>4892</v>
      </c>
      <c r="E6754" s="4">
        <v>14990</v>
      </c>
    </row>
    <row r="6755" spans="1:5" ht="26.25" x14ac:dyDescent="0.25">
      <c r="A6755" s="2" t="s">
        <v>49</v>
      </c>
      <c r="B6755" s="2" t="str">
        <f>"6940578520883"</f>
        <v>6940578520883</v>
      </c>
      <c r="C6755" s="2" t="str">
        <f>"40920883"</f>
        <v>40920883</v>
      </c>
      <c r="D6755" s="2" t="s">
        <v>4893</v>
      </c>
      <c r="E6755" s="4">
        <v>14990</v>
      </c>
    </row>
    <row r="6756" spans="1:5" ht="26.25" x14ac:dyDescent="0.25">
      <c r="A6756" s="2" t="s">
        <v>49</v>
      </c>
      <c r="B6756" s="2" t="str">
        <f>"6900181766402"</f>
        <v>6900181766402</v>
      </c>
      <c r="C6756" s="2" t="str">
        <f>"40920018"</f>
        <v>40920018</v>
      </c>
      <c r="D6756" s="2" t="s">
        <v>4894</v>
      </c>
      <c r="E6756" s="4">
        <v>19990</v>
      </c>
    </row>
    <row r="6757" spans="1:5" ht="26.25" x14ac:dyDescent="0.25">
      <c r="A6757" s="2" t="s">
        <v>154</v>
      </c>
      <c r="B6757" s="2" t="str">
        <f>"740275000427"</f>
        <v>740275000427</v>
      </c>
      <c r="C6757" s="2" t="str">
        <f>"10522457"</f>
        <v>10522457</v>
      </c>
      <c r="D6757" s="2" t="s">
        <v>4895</v>
      </c>
      <c r="E6757" s="4">
        <v>10500</v>
      </c>
    </row>
    <row r="6758" spans="1:5" ht="26.25" x14ac:dyDescent="0.25">
      <c r="A6758" s="2" t="s">
        <v>21</v>
      </c>
      <c r="B6758" s="2" t="str">
        <f>"10002687"</f>
        <v>10002687</v>
      </c>
      <c r="C6758" s="2" t="str">
        <f>"10002687"</f>
        <v>10002687</v>
      </c>
      <c r="D6758" s="2" t="s">
        <v>4896</v>
      </c>
      <c r="E6758" s="4">
        <v>3990</v>
      </c>
    </row>
    <row r="6759" spans="1:5" ht="26.25" x14ac:dyDescent="0.25">
      <c r="A6759" s="2" t="s">
        <v>21</v>
      </c>
      <c r="B6759" s="2" t="str">
        <f>"7298229001202"</f>
        <v>7298229001202</v>
      </c>
      <c r="C6759" s="2" t="str">
        <f>"29UTX00120"</f>
        <v>29UTX00120</v>
      </c>
      <c r="D6759" s="2" t="s">
        <v>4897</v>
      </c>
      <c r="E6759" s="4">
        <v>4000</v>
      </c>
    </row>
    <row r="6760" spans="1:5" ht="26.25" x14ac:dyDescent="0.25">
      <c r="A6760" s="2" t="s">
        <v>21</v>
      </c>
      <c r="B6760" s="2" t="str">
        <f>"10006323"</f>
        <v>10006323</v>
      </c>
      <c r="C6760" s="2" t="str">
        <f>"10006323"</f>
        <v>10006323</v>
      </c>
      <c r="D6760" s="2" t="s">
        <v>4898</v>
      </c>
      <c r="E6760" s="4">
        <v>19990</v>
      </c>
    </row>
    <row r="6761" spans="1:5" ht="26.25" x14ac:dyDescent="0.25">
      <c r="A6761" s="2" t="s">
        <v>21</v>
      </c>
      <c r="B6761" s="2" t="str">
        <f>"40520021"</f>
        <v>40520021</v>
      </c>
      <c r="C6761" s="2" t="str">
        <f>"40520021"</f>
        <v>40520021</v>
      </c>
      <c r="D6761" s="2" t="s">
        <v>4899</v>
      </c>
      <c r="E6761" s="4">
        <v>79990</v>
      </c>
    </row>
    <row r="6762" spans="1:5" ht="26.25" x14ac:dyDescent="0.25">
      <c r="A6762" s="2" t="s">
        <v>2488</v>
      </c>
      <c r="B6762" s="2" t="str">
        <f>"763107253"</f>
        <v>763107253</v>
      </c>
      <c r="C6762" s="2" t="str">
        <f>"763107253"</f>
        <v>763107253</v>
      </c>
      <c r="D6762" s="2" t="s">
        <v>4900</v>
      </c>
      <c r="E6762" s="4">
        <v>6900</v>
      </c>
    </row>
    <row r="6763" spans="1:5" ht="26.25" x14ac:dyDescent="0.25">
      <c r="A6763" s="2" t="s">
        <v>2488</v>
      </c>
      <c r="B6763" s="2" t="str">
        <f>"34311454"</f>
        <v>34311454</v>
      </c>
      <c r="C6763" s="2" t="str">
        <f>"34311454"</f>
        <v>34311454</v>
      </c>
      <c r="D6763" s="2" t="s">
        <v>4901</v>
      </c>
      <c r="E6763" s="4">
        <v>8000</v>
      </c>
    </row>
    <row r="6764" spans="1:5" ht="26.25" x14ac:dyDescent="0.25">
      <c r="A6764" s="2" t="s">
        <v>2488</v>
      </c>
      <c r="B6764" s="2" t="str">
        <f>"763414138"</f>
        <v>763414138</v>
      </c>
      <c r="C6764" s="2" t="str">
        <f>"763414138"</f>
        <v>763414138</v>
      </c>
      <c r="D6764" s="2" t="s">
        <v>4902</v>
      </c>
      <c r="E6764" s="4">
        <v>8490</v>
      </c>
    </row>
    <row r="6765" spans="1:5" ht="26.25" x14ac:dyDescent="0.25">
      <c r="A6765" s="2" t="s">
        <v>2488</v>
      </c>
      <c r="B6765" s="2" t="str">
        <f>"17261454"</f>
        <v>17261454</v>
      </c>
      <c r="C6765" s="2" t="str">
        <f>"17261454"</f>
        <v>17261454</v>
      </c>
      <c r="D6765" s="2" t="s">
        <v>4903</v>
      </c>
      <c r="E6765" s="4">
        <v>6000</v>
      </c>
    </row>
    <row r="6766" spans="1:5" ht="26.25" x14ac:dyDescent="0.25">
      <c r="A6766" s="2" t="s">
        <v>2488</v>
      </c>
      <c r="B6766" s="2" t="str">
        <f>"763114191"</f>
        <v>763114191</v>
      </c>
      <c r="C6766" s="2" t="str">
        <f>"763114191"</f>
        <v>763114191</v>
      </c>
      <c r="D6766" s="2" t="s">
        <v>4904</v>
      </c>
      <c r="E6766" s="4">
        <v>8000</v>
      </c>
    </row>
    <row r="6767" spans="1:5" ht="26.25" x14ac:dyDescent="0.25">
      <c r="A6767" s="2" t="s">
        <v>2488</v>
      </c>
      <c r="B6767" s="2" t="str">
        <f>"172614200"</f>
        <v>172614200</v>
      </c>
      <c r="C6767" s="2" t="str">
        <f>"172614200"</f>
        <v>172614200</v>
      </c>
      <c r="D6767" s="2" t="s">
        <v>4905</v>
      </c>
      <c r="E6767" s="4">
        <v>8490</v>
      </c>
    </row>
    <row r="6768" spans="1:5" ht="26.25" x14ac:dyDescent="0.25">
      <c r="A6768" s="2" t="s">
        <v>2488</v>
      </c>
      <c r="B6768" s="2" t="str">
        <f>"172614201"</f>
        <v>172614201</v>
      </c>
      <c r="C6768" s="2" t="str">
        <f>"172614201"</f>
        <v>172614201</v>
      </c>
      <c r="D6768" s="2" t="s">
        <v>4906</v>
      </c>
      <c r="E6768" s="4">
        <v>8490</v>
      </c>
    </row>
    <row r="6769" spans="1:5" ht="26.25" x14ac:dyDescent="0.25">
      <c r="A6769" s="2" t="s">
        <v>2488</v>
      </c>
      <c r="B6769" s="2" t="str">
        <f>"344205307"</f>
        <v>344205307</v>
      </c>
      <c r="C6769" s="2" t="str">
        <f>"344205307"</f>
        <v>344205307</v>
      </c>
      <c r="D6769" s="2" t="s">
        <v>4907</v>
      </c>
      <c r="E6769" s="4">
        <v>7500</v>
      </c>
    </row>
    <row r="6770" spans="1:5" ht="26.25" x14ac:dyDescent="0.25">
      <c r="A6770" s="2" t="s">
        <v>2488</v>
      </c>
      <c r="B6770" s="2" t="str">
        <f>"1908070124147"</f>
        <v>1908070124147</v>
      </c>
      <c r="C6770" s="2" t="str">
        <f>"344205308"</f>
        <v>344205308</v>
      </c>
      <c r="D6770" s="2" t="s">
        <v>4908</v>
      </c>
      <c r="E6770" s="4">
        <v>7500</v>
      </c>
    </row>
    <row r="6771" spans="1:5" ht="26.25" x14ac:dyDescent="0.25">
      <c r="A6771" s="2" t="s">
        <v>2488</v>
      </c>
      <c r="B6771" s="2" t="str">
        <f>"343105247"</f>
        <v>343105247</v>
      </c>
      <c r="C6771" s="2" t="str">
        <f>"343105247"</f>
        <v>343105247</v>
      </c>
      <c r="D6771" s="2" t="s">
        <v>4909</v>
      </c>
      <c r="E6771" s="4">
        <v>6000</v>
      </c>
    </row>
    <row r="6772" spans="1:5" ht="26.25" x14ac:dyDescent="0.25">
      <c r="A6772" s="2" t="s">
        <v>2488</v>
      </c>
      <c r="B6772" s="2" t="str">
        <f>"344205304"</f>
        <v>344205304</v>
      </c>
      <c r="C6772" s="2" t="str">
        <f>"344205304"</f>
        <v>344205304</v>
      </c>
      <c r="D6772" s="2" t="s">
        <v>4910</v>
      </c>
      <c r="E6772" s="4">
        <v>5500</v>
      </c>
    </row>
    <row r="6773" spans="1:5" ht="26.25" x14ac:dyDescent="0.25">
      <c r="A6773" s="2" t="s">
        <v>2488</v>
      </c>
      <c r="B6773" s="2" t="str">
        <f>"323431661"</f>
        <v>323431661</v>
      </c>
      <c r="C6773" s="2" t="str">
        <f>"323431661"</f>
        <v>323431661</v>
      </c>
      <c r="D6773" s="2" t="s">
        <v>4911</v>
      </c>
      <c r="E6773" s="4">
        <v>4500</v>
      </c>
    </row>
    <row r="6774" spans="1:5" ht="26.25" x14ac:dyDescent="0.25">
      <c r="A6774" s="2" t="s">
        <v>2488</v>
      </c>
      <c r="B6774" s="2" t="str">
        <f>"344231661"</f>
        <v>344231661</v>
      </c>
      <c r="C6774" s="2" t="str">
        <f>"344231661"</f>
        <v>344231661</v>
      </c>
      <c r="D6774" s="2" t="s">
        <v>4911</v>
      </c>
      <c r="E6774" s="4">
        <v>5500</v>
      </c>
    </row>
    <row r="6775" spans="1:5" ht="26.25" x14ac:dyDescent="0.25">
      <c r="A6775" s="2" t="s">
        <v>2488</v>
      </c>
      <c r="B6775" s="2" t="str">
        <f>"344214139"</f>
        <v>344214139</v>
      </c>
      <c r="C6775" s="2" t="str">
        <f>"344214139"</f>
        <v>344214139</v>
      </c>
      <c r="D6775" s="2" t="s">
        <v>4912</v>
      </c>
      <c r="E6775" s="4">
        <v>5500</v>
      </c>
    </row>
    <row r="6776" spans="1:5" ht="26.25" x14ac:dyDescent="0.25">
      <c r="A6776" s="2" t="s">
        <v>2488</v>
      </c>
      <c r="B6776" s="2" t="str">
        <f>"34311445"</f>
        <v>34311445</v>
      </c>
      <c r="C6776" s="2" t="str">
        <f>"34311445"</f>
        <v>34311445</v>
      </c>
      <c r="D6776" s="2" t="s">
        <v>4913</v>
      </c>
      <c r="E6776" s="4">
        <v>6500</v>
      </c>
    </row>
    <row r="6777" spans="1:5" ht="26.25" x14ac:dyDescent="0.25">
      <c r="A6777" s="2" t="s">
        <v>2488</v>
      </c>
      <c r="B6777" s="2" t="str">
        <f>"343114270"</f>
        <v>343114270</v>
      </c>
      <c r="C6777" s="2" t="str">
        <f>"343114270"</f>
        <v>343114270</v>
      </c>
      <c r="D6777" s="2" t="s">
        <v>4914</v>
      </c>
      <c r="E6777" s="4">
        <v>6500</v>
      </c>
    </row>
    <row r="6778" spans="1:5" ht="26.25" x14ac:dyDescent="0.25">
      <c r="A6778" s="2" t="s">
        <v>2488</v>
      </c>
      <c r="B6778" s="2" t="str">
        <f>"343114126"</f>
        <v>343114126</v>
      </c>
      <c r="C6778" s="2" t="str">
        <f>"343114126"</f>
        <v>343114126</v>
      </c>
      <c r="D6778" s="2" t="s">
        <v>4915</v>
      </c>
      <c r="E6778" s="4">
        <v>6500</v>
      </c>
    </row>
    <row r="6779" spans="1:5" ht="26.25" x14ac:dyDescent="0.25">
      <c r="A6779" s="2" t="s">
        <v>2488</v>
      </c>
      <c r="B6779" s="2" t="str">
        <f>"323114256"</f>
        <v>323114256</v>
      </c>
      <c r="C6779" s="2" t="str">
        <f>"323114256"</f>
        <v>323114256</v>
      </c>
      <c r="D6779" s="2" t="s">
        <v>4916</v>
      </c>
      <c r="E6779" s="4">
        <v>5000</v>
      </c>
    </row>
    <row r="6780" spans="1:5" ht="26.25" x14ac:dyDescent="0.25">
      <c r="A6780" s="2" t="s">
        <v>2488</v>
      </c>
      <c r="B6780" s="2" t="str">
        <f>"34311447"</f>
        <v>34311447</v>
      </c>
      <c r="C6780" s="2" t="str">
        <f>"34311447"</f>
        <v>34311447</v>
      </c>
      <c r="D6780" s="2" t="s">
        <v>4917</v>
      </c>
      <c r="E6780" s="4">
        <v>6500</v>
      </c>
    </row>
    <row r="6781" spans="1:5" ht="26.25" x14ac:dyDescent="0.25">
      <c r="A6781" s="2" t="s">
        <v>2488</v>
      </c>
      <c r="B6781" s="2" t="str">
        <f>"343114127"</f>
        <v>343114127</v>
      </c>
      <c r="C6781" s="2" t="str">
        <f>"343114127"</f>
        <v>343114127</v>
      </c>
      <c r="D6781" s="2" t="s">
        <v>4918</v>
      </c>
      <c r="E6781" s="4">
        <v>6500</v>
      </c>
    </row>
    <row r="6782" spans="1:5" ht="26.25" x14ac:dyDescent="0.25">
      <c r="A6782" s="2" t="s">
        <v>2488</v>
      </c>
      <c r="B6782" s="2" t="str">
        <f>"323114261"</f>
        <v>323114261</v>
      </c>
      <c r="C6782" s="2" t="str">
        <f>"323114261"</f>
        <v>323114261</v>
      </c>
      <c r="D6782" s="2" t="s">
        <v>4919</v>
      </c>
      <c r="E6782" s="4">
        <v>5000</v>
      </c>
    </row>
    <row r="6783" spans="1:5" ht="26.25" x14ac:dyDescent="0.25">
      <c r="A6783" s="2" t="s">
        <v>2488</v>
      </c>
      <c r="B6783" s="2" t="str">
        <f>"344214260"</f>
        <v>344214260</v>
      </c>
      <c r="C6783" s="2" t="str">
        <f>"344214260"</f>
        <v>344214260</v>
      </c>
      <c r="D6783" s="2" t="s">
        <v>4920</v>
      </c>
      <c r="E6783" s="4">
        <v>7500</v>
      </c>
    </row>
    <row r="6784" spans="1:5" ht="26.25" x14ac:dyDescent="0.25">
      <c r="A6784" s="2" t="s">
        <v>2488</v>
      </c>
      <c r="B6784" s="2" t="str">
        <f>"172614175"</f>
        <v>172614175</v>
      </c>
      <c r="C6784" s="2" t="str">
        <f>"172614175"</f>
        <v>172614175</v>
      </c>
      <c r="D6784" s="2" t="s">
        <v>4921</v>
      </c>
      <c r="E6784" s="4">
        <v>6000</v>
      </c>
    </row>
    <row r="6785" spans="1:5" ht="26.25" x14ac:dyDescent="0.25">
      <c r="A6785" s="2" t="s">
        <v>2488</v>
      </c>
      <c r="B6785" s="2" t="str">
        <f>"343114191"</f>
        <v>343114191</v>
      </c>
      <c r="C6785" s="2" t="str">
        <f>"343114191"</f>
        <v>343114191</v>
      </c>
      <c r="D6785" s="2" t="s">
        <v>4922</v>
      </c>
      <c r="E6785" s="4">
        <v>8000</v>
      </c>
    </row>
    <row r="6786" spans="1:5" ht="26.25" x14ac:dyDescent="0.25">
      <c r="A6786" s="2" t="s">
        <v>2488</v>
      </c>
      <c r="B6786" s="2" t="str">
        <f>"344214191"</f>
        <v>344214191</v>
      </c>
      <c r="C6786" s="2" t="str">
        <f>"344214191"</f>
        <v>344214191</v>
      </c>
      <c r="D6786" s="2" t="s">
        <v>4922</v>
      </c>
      <c r="E6786" s="4">
        <v>7500</v>
      </c>
    </row>
    <row r="6787" spans="1:5" ht="26.25" x14ac:dyDescent="0.25">
      <c r="A6787" s="2" t="s">
        <v>2488</v>
      </c>
      <c r="B6787" s="2" t="str">
        <f>"344214201"</f>
        <v>344214201</v>
      </c>
      <c r="C6787" s="2" t="str">
        <f>"344214201"</f>
        <v>344214201</v>
      </c>
      <c r="D6787" s="2" t="s">
        <v>4923</v>
      </c>
      <c r="E6787" s="4">
        <v>7500</v>
      </c>
    </row>
    <row r="6788" spans="1:5" ht="26.25" x14ac:dyDescent="0.25">
      <c r="A6788" s="2" t="s">
        <v>2488</v>
      </c>
      <c r="B6788" s="2" t="str">
        <f>"763114201"</f>
        <v>763114201</v>
      </c>
      <c r="C6788" s="2" t="str">
        <f>"763114201"</f>
        <v>763114201</v>
      </c>
      <c r="D6788" s="2" t="s">
        <v>4924</v>
      </c>
      <c r="E6788" s="4">
        <v>8490</v>
      </c>
    </row>
    <row r="6789" spans="1:5" ht="26.25" x14ac:dyDescent="0.25">
      <c r="A6789" s="2" t="s">
        <v>2488</v>
      </c>
      <c r="B6789" s="2" t="str">
        <f>"763414201"</f>
        <v>763414201</v>
      </c>
      <c r="C6789" s="2" t="str">
        <f>"763414201"</f>
        <v>763414201</v>
      </c>
      <c r="D6789" s="2" t="s">
        <v>4925</v>
      </c>
      <c r="E6789" s="4">
        <v>8490</v>
      </c>
    </row>
    <row r="6790" spans="1:5" ht="26.25" x14ac:dyDescent="0.25">
      <c r="A6790" s="2" t="s">
        <v>2488</v>
      </c>
      <c r="B6790" s="2" t="str">
        <f>"344214203"</f>
        <v>344214203</v>
      </c>
      <c r="C6790" s="2" t="str">
        <f>"344214203"</f>
        <v>344214203</v>
      </c>
      <c r="D6790" s="2" t="s">
        <v>4926</v>
      </c>
      <c r="E6790" s="4">
        <v>7500</v>
      </c>
    </row>
    <row r="6791" spans="1:5" ht="26.25" x14ac:dyDescent="0.25">
      <c r="A6791" s="2" t="s">
        <v>2488</v>
      </c>
      <c r="B6791" s="2" t="str">
        <f>"344214204"</f>
        <v>344214204</v>
      </c>
      <c r="C6791" s="2" t="str">
        <f>"344214204"</f>
        <v>344214204</v>
      </c>
      <c r="D6791" s="2" t="s">
        <v>4927</v>
      </c>
      <c r="E6791" s="4">
        <v>7500</v>
      </c>
    </row>
    <row r="6792" spans="1:5" ht="26.25" x14ac:dyDescent="0.25">
      <c r="A6792" s="2" t="s">
        <v>2488</v>
      </c>
      <c r="B6792" s="2" t="str">
        <f>"343405304"</f>
        <v>343405304</v>
      </c>
      <c r="C6792" s="2" t="str">
        <f>"343405304"</f>
        <v>343405304</v>
      </c>
      <c r="D6792" s="2" t="s">
        <v>4928</v>
      </c>
      <c r="E6792" s="4">
        <v>6900</v>
      </c>
    </row>
    <row r="6793" spans="1:5" ht="26.25" x14ac:dyDescent="0.25">
      <c r="A6793" s="2" t="s">
        <v>2488</v>
      </c>
      <c r="B6793" s="2" t="str">
        <f>"1908070123591"</f>
        <v>1908070123591</v>
      </c>
      <c r="C6793" s="2" t="str">
        <f>"34340716"</f>
        <v>34340716</v>
      </c>
      <c r="D6793" s="2" t="s">
        <v>4929</v>
      </c>
      <c r="E6793" s="4">
        <v>6900</v>
      </c>
    </row>
    <row r="6794" spans="1:5" ht="26.25" x14ac:dyDescent="0.25">
      <c r="A6794" s="2" t="s">
        <v>2488</v>
      </c>
      <c r="B6794" s="2" t="str">
        <f>"86340716"</f>
        <v>86340716</v>
      </c>
      <c r="C6794" s="2" t="str">
        <f>"86340716"</f>
        <v>86340716</v>
      </c>
      <c r="D6794" s="2" t="s">
        <v>4930</v>
      </c>
      <c r="E6794" s="4">
        <v>2500</v>
      </c>
    </row>
    <row r="6795" spans="1:5" ht="26.25" x14ac:dyDescent="0.25">
      <c r="A6795" s="2" t="s">
        <v>2488</v>
      </c>
      <c r="B6795" s="2" t="str">
        <f>"86340717"</f>
        <v>86340717</v>
      </c>
      <c r="C6795" s="2" t="str">
        <f>"86340717"</f>
        <v>86340717</v>
      </c>
      <c r="D6795" s="2" t="s">
        <v>4931</v>
      </c>
      <c r="E6795" s="4">
        <v>2500</v>
      </c>
    </row>
    <row r="6796" spans="1:5" ht="26.25" x14ac:dyDescent="0.25">
      <c r="A6796" s="2" t="s">
        <v>2488</v>
      </c>
      <c r="B6796" s="2" t="str">
        <f>"863407253"</f>
        <v>863407253</v>
      </c>
      <c r="C6796" s="2" t="str">
        <f>"863407253"</f>
        <v>863407253</v>
      </c>
      <c r="D6796" s="2" t="s">
        <v>4932</v>
      </c>
      <c r="E6796" s="4">
        <v>2500</v>
      </c>
    </row>
    <row r="6797" spans="1:5" ht="26.25" x14ac:dyDescent="0.25">
      <c r="A6797" s="2" t="s">
        <v>2488</v>
      </c>
      <c r="B6797" s="2" t="str">
        <f>"863407254"</f>
        <v>863407254</v>
      </c>
      <c r="C6797" s="2" t="str">
        <f>"863407254"</f>
        <v>863407254</v>
      </c>
      <c r="D6797" s="2" t="s">
        <v>4933</v>
      </c>
      <c r="E6797" s="4">
        <v>2500</v>
      </c>
    </row>
    <row r="6798" spans="1:5" ht="26.25" x14ac:dyDescent="0.25">
      <c r="A6798" s="2" t="s">
        <v>2488</v>
      </c>
      <c r="B6798" s="2" t="str">
        <f>"863407255"</f>
        <v>863407255</v>
      </c>
      <c r="C6798" s="2" t="str">
        <f>"863407255"</f>
        <v>863407255</v>
      </c>
      <c r="D6798" s="2" t="s">
        <v>4934</v>
      </c>
      <c r="E6798" s="4">
        <v>2500</v>
      </c>
    </row>
    <row r="6799" spans="1:5" ht="26.25" x14ac:dyDescent="0.25">
      <c r="A6799" s="2" t="s">
        <v>2488</v>
      </c>
      <c r="B6799" s="2" t="str">
        <f>"863407256"</f>
        <v>863407256</v>
      </c>
      <c r="C6799" s="2" t="str">
        <f>"863407256"</f>
        <v>863407256</v>
      </c>
      <c r="D6799" s="2" t="s">
        <v>4935</v>
      </c>
      <c r="E6799" s="4">
        <v>2500</v>
      </c>
    </row>
    <row r="6800" spans="1:5" ht="26.25" x14ac:dyDescent="0.25">
      <c r="A6800" s="2" t="s">
        <v>2488</v>
      </c>
      <c r="B6800" s="2" t="str">
        <f>"863407257"</f>
        <v>863407257</v>
      </c>
      <c r="C6800" s="2" t="str">
        <f>"863407257"</f>
        <v>863407257</v>
      </c>
      <c r="D6800" s="2" t="s">
        <v>4936</v>
      </c>
      <c r="E6800" s="4">
        <v>2500</v>
      </c>
    </row>
    <row r="6801" spans="1:5" ht="26.25" x14ac:dyDescent="0.25">
      <c r="A6801" s="2" t="s">
        <v>2488</v>
      </c>
      <c r="B6801" s="2" t="str">
        <f>"343409221"</f>
        <v>343409221</v>
      </c>
      <c r="C6801" s="2" t="str">
        <f>"343409221"</f>
        <v>343409221</v>
      </c>
      <c r="D6801" s="2" t="s">
        <v>4937</v>
      </c>
      <c r="E6801" s="4">
        <v>5500</v>
      </c>
    </row>
    <row r="6802" spans="1:5" ht="26.25" x14ac:dyDescent="0.25">
      <c r="A6802" s="2" t="s">
        <v>2488</v>
      </c>
      <c r="B6802" s="2" t="str">
        <f>"863414270"</f>
        <v>863414270</v>
      </c>
      <c r="C6802" s="2" t="str">
        <f>"863414270"</f>
        <v>863414270</v>
      </c>
      <c r="D6802" s="2" t="s">
        <v>4938</v>
      </c>
      <c r="E6802" s="4">
        <v>2500</v>
      </c>
    </row>
    <row r="6803" spans="1:5" ht="26.25" x14ac:dyDescent="0.25">
      <c r="A6803" s="2" t="s">
        <v>2488</v>
      </c>
      <c r="B6803" s="2" t="str">
        <f>"863414128"</f>
        <v>863414128</v>
      </c>
      <c r="C6803" s="2" t="str">
        <f>"863414128"</f>
        <v>863414128</v>
      </c>
      <c r="D6803" s="2" t="s">
        <v>4939</v>
      </c>
      <c r="E6803" s="4">
        <v>2500</v>
      </c>
    </row>
    <row r="6804" spans="1:5" ht="26.25" x14ac:dyDescent="0.25">
      <c r="A6804" s="2" t="s">
        <v>2488</v>
      </c>
      <c r="B6804" s="2" t="str">
        <f>"863414137"</f>
        <v>863414137</v>
      </c>
      <c r="C6804" s="2" t="str">
        <f>"863414137"</f>
        <v>863414137</v>
      </c>
      <c r="D6804" s="2" t="s">
        <v>4940</v>
      </c>
      <c r="E6804" s="4">
        <v>2500</v>
      </c>
    </row>
    <row r="6805" spans="1:5" ht="26.25" x14ac:dyDescent="0.25">
      <c r="A6805" s="2" t="s">
        <v>2488</v>
      </c>
      <c r="B6805" s="2" t="str">
        <f>"863414266"</f>
        <v>863414266</v>
      </c>
      <c r="C6805" s="2" t="str">
        <f>"863414266"</f>
        <v>863414266</v>
      </c>
      <c r="D6805" s="2" t="s">
        <v>4941</v>
      </c>
      <c r="E6805" s="4">
        <v>2500</v>
      </c>
    </row>
    <row r="6806" spans="1:5" ht="26.25" x14ac:dyDescent="0.25">
      <c r="A6806" s="2" t="s">
        <v>2488</v>
      </c>
      <c r="B6806" s="2" t="str">
        <f>"1908070123126"</f>
        <v>1908070123126</v>
      </c>
      <c r="C6806" s="2" t="str">
        <f>"343414266"</f>
        <v>343414266</v>
      </c>
      <c r="D6806" s="2" t="s">
        <v>4942</v>
      </c>
      <c r="E6806" s="4">
        <v>6900</v>
      </c>
    </row>
    <row r="6807" spans="1:5" ht="26.25" x14ac:dyDescent="0.25">
      <c r="A6807" s="2" t="s">
        <v>2488</v>
      </c>
      <c r="B6807" s="2" t="str">
        <f>"863414129"</f>
        <v>863414129</v>
      </c>
      <c r="C6807" s="2" t="str">
        <f>"863414129"</f>
        <v>863414129</v>
      </c>
      <c r="D6807" s="2" t="s">
        <v>4943</v>
      </c>
      <c r="E6807" s="4">
        <v>2500</v>
      </c>
    </row>
    <row r="6808" spans="1:5" ht="26.25" x14ac:dyDescent="0.25">
      <c r="A6808" s="2" t="s">
        <v>2488</v>
      </c>
      <c r="B6808" s="2" t="str">
        <f>"863414127"</f>
        <v>863414127</v>
      </c>
      <c r="C6808" s="2" t="str">
        <f>"863414127"</f>
        <v>863414127</v>
      </c>
      <c r="D6808" s="2" t="s">
        <v>4944</v>
      </c>
      <c r="E6808" s="4">
        <v>2500</v>
      </c>
    </row>
    <row r="6809" spans="1:5" ht="26.25" x14ac:dyDescent="0.25">
      <c r="A6809" s="2" t="s">
        <v>2488</v>
      </c>
      <c r="B6809" s="2" t="str">
        <f>"343314138"</f>
        <v>343314138</v>
      </c>
      <c r="C6809" s="2" t="str">
        <f>"343314138"</f>
        <v>343314138</v>
      </c>
      <c r="D6809" s="2" t="s">
        <v>4945</v>
      </c>
      <c r="E6809" s="4">
        <v>6900</v>
      </c>
    </row>
    <row r="6810" spans="1:5" ht="26.25" x14ac:dyDescent="0.25">
      <c r="A6810" s="2" t="s">
        <v>2488</v>
      </c>
      <c r="B6810" s="2" t="str">
        <f>"34341454"</f>
        <v>34341454</v>
      </c>
      <c r="C6810" s="2" t="str">
        <f>"34341454"</f>
        <v>34341454</v>
      </c>
      <c r="D6810" s="2" t="s">
        <v>4946</v>
      </c>
      <c r="E6810" s="4">
        <v>6900</v>
      </c>
    </row>
    <row r="6811" spans="1:5" ht="26.25" x14ac:dyDescent="0.25">
      <c r="A6811" s="2" t="s">
        <v>2488</v>
      </c>
      <c r="B6811" s="2" t="str">
        <f>"343414191"</f>
        <v>343414191</v>
      </c>
      <c r="C6811" s="2" t="str">
        <f>"343414191"</f>
        <v>343414191</v>
      </c>
      <c r="D6811" s="2" t="s">
        <v>4947</v>
      </c>
      <c r="E6811" s="4">
        <v>6900</v>
      </c>
    </row>
    <row r="6812" spans="1:5" ht="26.25" x14ac:dyDescent="0.25">
      <c r="A6812" s="2" t="s">
        <v>2488</v>
      </c>
      <c r="B6812" s="2" t="str">
        <f>"323114260"</f>
        <v>323114260</v>
      </c>
      <c r="C6812" s="2" t="str">
        <f>"323114260"</f>
        <v>323114260</v>
      </c>
      <c r="D6812" s="2" t="s">
        <v>4948</v>
      </c>
      <c r="E6812" s="4">
        <v>8490</v>
      </c>
    </row>
    <row r="6813" spans="1:5" ht="26.25" x14ac:dyDescent="0.25">
      <c r="A6813" s="2" t="s">
        <v>2488</v>
      </c>
      <c r="B6813" s="2" t="str">
        <f>"613405321"</f>
        <v>613405321</v>
      </c>
      <c r="C6813" s="2" t="str">
        <f>"613405321"</f>
        <v>613405321</v>
      </c>
      <c r="D6813" s="2" t="s">
        <v>4949</v>
      </c>
      <c r="E6813" s="4">
        <v>5000</v>
      </c>
    </row>
    <row r="6814" spans="1:5" ht="26.25" x14ac:dyDescent="0.25">
      <c r="A6814" s="2" t="s">
        <v>2488</v>
      </c>
      <c r="B6814" s="2" t="str">
        <f>"1908070123515"</f>
        <v>1908070123515</v>
      </c>
      <c r="C6814" s="2" t="str">
        <f>"342505321"</f>
        <v>342505321</v>
      </c>
      <c r="D6814" s="2" t="s">
        <v>4950</v>
      </c>
      <c r="E6814" s="4">
        <v>5500</v>
      </c>
    </row>
    <row r="6815" spans="1:5" ht="26.25" x14ac:dyDescent="0.25">
      <c r="A6815" s="2" t="s">
        <v>2488</v>
      </c>
      <c r="B6815" s="2" t="str">
        <f>"1000001003986"</f>
        <v>1000001003986</v>
      </c>
      <c r="C6815" s="2" t="str">
        <f>"76250533"</f>
        <v>76250533</v>
      </c>
      <c r="D6815" s="2" t="s">
        <v>4951</v>
      </c>
      <c r="E6815" s="4">
        <v>5000</v>
      </c>
    </row>
    <row r="6816" spans="1:5" ht="26.25" x14ac:dyDescent="0.25">
      <c r="A6816" s="2" t="s">
        <v>2488</v>
      </c>
      <c r="B6816" s="2" t="str">
        <f>"1000001004488"</f>
        <v>1000001004488</v>
      </c>
      <c r="C6816" s="2" t="str">
        <f>"762505307"</f>
        <v>762505307</v>
      </c>
      <c r="D6816" s="2" t="s">
        <v>4952</v>
      </c>
      <c r="E6816" s="4">
        <v>5000</v>
      </c>
    </row>
    <row r="6817" spans="1:5" ht="26.25" x14ac:dyDescent="0.25">
      <c r="A6817" s="2" t="s">
        <v>2488</v>
      </c>
      <c r="B6817" s="2" t="str">
        <f>"1908070123492"</f>
        <v>1908070123492</v>
      </c>
      <c r="C6817" s="2" t="str">
        <f>"793405307"</f>
        <v>793405307</v>
      </c>
      <c r="D6817" s="2" t="s">
        <v>4952</v>
      </c>
      <c r="E6817" s="4">
        <v>5000</v>
      </c>
    </row>
    <row r="6818" spans="1:5" ht="26.25" x14ac:dyDescent="0.25">
      <c r="A6818" s="2" t="s">
        <v>2488</v>
      </c>
      <c r="B6818" s="2" t="str">
        <f>"1908070127315"</f>
        <v>1908070127315</v>
      </c>
      <c r="C6818" s="2" t="str">
        <f>"342505307"</f>
        <v>342505307</v>
      </c>
      <c r="D6818" s="2" t="s">
        <v>4953</v>
      </c>
      <c r="E6818" s="4">
        <v>5000</v>
      </c>
    </row>
    <row r="6819" spans="1:5" ht="26.25" x14ac:dyDescent="0.25">
      <c r="A6819" s="2" t="s">
        <v>2488</v>
      </c>
      <c r="B6819" s="2" t="str">
        <f>"1000001004587"</f>
        <v>1000001004587</v>
      </c>
      <c r="C6819" s="2" t="str">
        <f>"793405322"</f>
        <v>793405322</v>
      </c>
      <c r="D6819" s="2" t="s">
        <v>4954</v>
      </c>
      <c r="E6819" s="4">
        <v>5000</v>
      </c>
    </row>
    <row r="6820" spans="1:5" ht="26.25" x14ac:dyDescent="0.25">
      <c r="A6820" s="2" t="s">
        <v>2488</v>
      </c>
      <c r="B6820" s="2" t="str">
        <f>"343105304"</f>
        <v>343105304</v>
      </c>
      <c r="C6820" s="2" t="str">
        <f>"343105304"</f>
        <v>343105304</v>
      </c>
      <c r="D6820" s="2" t="s">
        <v>4955</v>
      </c>
      <c r="E6820" s="4">
        <v>7500</v>
      </c>
    </row>
    <row r="6821" spans="1:5" ht="26.25" x14ac:dyDescent="0.25">
      <c r="A6821" s="2" t="s">
        <v>2488</v>
      </c>
      <c r="B6821" s="2" t="str">
        <f>"613405295"</f>
        <v>613405295</v>
      </c>
      <c r="C6821" s="2" t="str">
        <f>"613405295"</f>
        <v>613405295</v>
      </c>
      <c r="D6821" s="2" t="s">
        <v>4955</v>
      </c>
      <c r="E6821" s="4">
        <v>6500</v>
      </c>
    </row>
    <row r="6822" spans="1:5" ht="26.25" x14ac:dyDescent="0.25">
      <c r="A6822" s="2" t="s">
        <v>2488</v>
      </c>
      <c r="B6822" s="2" t="str">
        <f>"613405304"</f>
        <v>613405304</v>
      </c>
      <c r="C6822" s="2" t="str">
        <f>"613405304"</f>
        <v>613405304</v>
      </c>
      <c r="D6822" s="2" t="s">
        <v>4955</v>
      </c>
      <c r="E6822" s="4">
        <v>6500</v>
      </c>
    </row>
    <row r="6823" spans="1:5" ht="26.25" x14ac:dyDescent="0.25">
      <c r="A6823" s="2" t="s">
        <v>2488</v>
      </c>
      <c r="B6823" s="2" t="str">
        <f>"1908070127797"</f>
        <v>1908070127797</v>
      </c>
      <c r="C6823" s="2" t="str">
        <f>"343105321"</f>
        <v>343105321</v>
      </c>
      <c r="D6823" s="2" t="s">
        <v>4956</v>
      </c>
      <c r="E6823" s="4">
        <v>5000</v>
      </c>
    </row>
    <row r="6824" spans="1:5" ht="26.25" x14ac:dyDescent="0.25">
      <c r="A6824" s="2" t="s">
        <v>2488</v>
      </c>
      <c r="B6824" s="2" t="str">
        <f>"613405333"</f>
        <v>613405333</v>
      </c>
      <c r="C6824" s="2" t="str">
        <f>"613405333"</f>
        <v>613405333</v>
      </c>
      <c r="D6824" s="2" t="s">
        <v>4957</v>
      </c>
      <c r="E6824" s="4">
        <v>5000</v>
      </c>
    </row>
    <row r="6825" spans="1:5" ht="26.25" x14ac:dyDescent="0.25">
      <c r="A6825" s="2" t="s">
        <v>2488</v>
      </c>
      <c r="B6825" s="2" t="str">
        <f>"1000001003931"</f>
        <v>1000001003931</v>
      </c>
      <c r="C6825" s="2" t="str">
        <f>"763405300"</f>
        <v>763405300</v>
      </c>
      <c r="D6825" s="2" t="s">
        <v>4958</v>
      </c>
      <c r="E6825" s="4">
        <v>6500</v>
      </c>
    </row>
    <row r="6826" spans="1:5" ht="26.25" x14ac:dyDescent="0.25">
      <c r="A6826" s="2" t="s">
        <v>2488</v>
      </c>
      <c r="B6826" s="2" t="str">
        <f>"1908070123508"</f>
        <v>1908070123508</v>
      </c>
      <c r="C6826" s="2" t="str">
        <f>"343105303"</f>
        <v>343105303</v>
      </c>
      <c r="D6826" s="2" t="s">
        <v>4959</v>
      </c>
      <c r="E6826" s="4">
        <v>7500</v>
      </c>
    </row>
    <row r="6827" spans="1:5" ht="26.25" x14ac:dyDescent="0.25">
      <c r="A6827" s="2" t="s">
        <v>2488</v>
      </c>
      <c r="B6827" s="2" t="str">
        <f>"862505303"</f>
        <v>862505303</v>
      </c>
      <c r="C6827" s="2" t="str">
        <f>"862505303"</f>
        <v>862505303</v>
      </c>
      <c r="D6827" s="2" t="s">
        <v>4959</v>
      </c>
      <c r="E6827" s="4">
        <v>8490</v>
      </c>
    </row>
    <row r="6828" spans="1:5" ht="26.25" x14ac:dyDescent="0.25">
      <c r="A6828" s="2" t="s">
        <v>2488</v>
      </c>
      <c r="B6828" s="2" t="str">
        <f>"413405303"</f>
        <v>413405303</v>
      </c>
      <c r="C6828" s="2" t="str">
        <f>"413405303"</f>
        <v>413405303</v>
      </c>
      <c r="D6828" s="2" t="s">
        <v>4959</v>
      </c>
      <c r="E6828" s="4">
        <v>5000</v>
      </c>
    </row>
    <row r="6829" spans="1:5" ht="26.25" x14ac:dyDescent="0.25">
      <c r="A6829" s="2" t="s">
        <v>2488</v>
      </c>
      <c r="B6829" s="2" t="str">
        <f>"342505303"</f>
        <v>342505303</v>
      </c>
      <c r="C6829" s="2" t="str">
        <f>"342505303"</f>
        <v>342505303</v>
      </c>
      <c r="D6829" s="2" t="s">
        <v>4959</v>
      </c>
      <c r="E6829" s="4">
        <v>7500</v>
      </c>
    </row>
    <row r="6830" spans="1:5" ht="26.25" x14ac:dyDescent="0.25">
      <c r="A6830" s="2" t="s">
        <v>2488</v>
      </c>
      <c r="B6830" s="2" t="str">
        <f>"323105303"</f>
        <v>323105303</v>
      </c>
      <c r="C6830" s="2" t="str">
        <f>"323105303"</f>
        <v>323105303</v>
      </c>
      <c r="D6830" s="2" t="s">
        <v>4959</v>
      </c>
      <c r="E6830" s="4">
        <v>5000</v>
      </c>
    </row>
    <row r="6831" spans="1:5" ht="26.25" x14ac:dyDescent="0.25">
      <c r="A6831" s="2" t="s">
        <v>2488</v>
      </c>
      <c r="B6831" s="2" t="str">
        <f>"763405303"</f>
        <v>763405303</v>
      </c>
      <c r="C6831" s="2" t="str">
        <f>"763405303"</f>
        <v>763405303</v>
      </c>
      <c r="D6831" s="2" t="s">
        <v>4960</v>
      </c>
      <c r="E6831" s="4">
        <v>7500</v>
      </c>
    </row>
    <row r="6832" spans="1:5" ht="26.25" x14ac:dyDescent="0.25">
      <c r="A6832" s="2" t="s">
        <v>2488</v>
      </c>
      <c r="B6832" s="2" t="str">
        <f>"1000001003948"</f>
        <v>1000001003948</v>
      </c>
      <c r="C6832" s="2" t="str">
        <f>"763105303"</f>
        <v>763105303</v>
      </c>
      <c r="D6832" s="2" t="s">
        <v>4960</v>
      </c>
      <c r="E6832" s="4">
        <v>2000</v>
      </c>
    </row>
    <row r="6833" spans="1:5" ht="26.25" x14ac:dyDescent="0.25">
      <c r="A6833" s="2" t="s">
        <v>2488</v>
      </c>
      <c r="B6833" s="2" t="str">
        <f>"1908070124857"</f>
        <v>1908070124857</v>
      </c>
      <c r="C6833" s="2" t="str">
        <f>"344205303"</f>
        <v>344205303</v>
      </c>
      <c r="D6833" s="2" t="s">
        <v>4960</v>
      </c>
      <c r="E6833" s="4">
        <v>5000</v>
      </c>
    </row>
    <row r="6834" spans="1:5" ht="26.25" x14ac:dyDescent="0.25">
      <c r="A6834" s="2" t="s">
        <v>2488</v>
      </c>
      <c r="B6834" s="2" t="str">
        <f>"1908070124871"</f>
        <v>1908070124871</v>
      </c>
      <c r="C6834" s="2" t="str">
        <f>"343405314"</f>
        <v>343405314</v>
      </c>
      <c r="D6834" s="2" t="s">
        <v>4961</v>
      </c>
      <c r="E6834" s="4">
        <v>4500</v>
      </c>
    </row>
    <row r="6835" spans="1:5" ht="26.25" x14ac:dyDescent="0.25">
      <c r="A6835" s="2" t="s">
        <v>2488</v>
      </c>
      <c r="B6835" s="2" t="str">
        <f>"1000001004907"</f>
        <v>1000001004907</v>
      </c>
      <c r="C6835" s="2" t="str">
        <f>"763105314"</f>
        <v>763105314</v>
      </c>
      <c r="D6835" s="2" t="s">
        <v>4961</v>
      </c>
      <c r="E6835" s="4">
        <v>5500</v>
      </c>
    </row>
    <row r="6836" spans="1:5" ht="26.25" x14ac:dyDescent="0.25">
      <c r="A6836" s="2" t="s">
        <v>2488</v>
      </c>
      <c r="B6836" s="2" t="str">
        <f>"1578155300213"</f>
        <v>1578155300213</v>
      </c>
      <c r="C6836" s="2" t="str">
        <f>"61310530"</f>
        <v>61310530</v>
      </c>
      <c r="D6836" s="2" t="s">
        <v>4962</v>
      </c>
      <c r="E6836" s="4">
        <v>4500</v>
      </c>
    </row>
    <row r="6837" spans="1:5" ht="26.25" x14ac:dyDescent="0.25">
      <c r="A6837" s="2" t="s">
        <v>2488</v>
      </c>
      <c r="B6837" s="2" t="str">
        <f>"1000001002491"</f>
        <v>1000001002491</v>
      </c>
      <c r="C6837" s="2" t="str">
        <f>"763105316"</f>
        <v>763105316</v>
      </c>
      <c r="D6837" s="2" t="s">
        <v>4963</v>
      </c>
      <c r="E6837" s="4">
        <v>4500</v>
      </c>
    </row>
    <row r="6838" spans="1:5" ht="26.25" x14ac:dyDescent="0.25">
      <c r="A6838" s="2" t="s">
        <v>2488</v>
      </c>
      <c r="B6838" s="2" t="str">
        <f>"1908070128206"</f>
        <v>1908070128206</v>
      </c>
      <c r="C6838" s="2" t="str">
        <f>"343405316"</f>
        <v>343405316</v>
      </c>
      <c r="D6838" s="2" t="s">
        <v>4963</v>
      </c>
      <c r="E6838" s="4">
        <v>5000</v>
      </c>
    </row>
    <row r="6839" spans="1:5" ht="26.25" x14ac:dyDescent="0.25">
      <c r="A6839" s="2" t="s">
        <v>2488</v>
      </c>
      <c r="B6839" s="2" t="str">
        <f>"1000001004785"</f>
        <v>1000001004785</v>
      </c>
      <c r="C6839" s="2" t="str">
        <f>"793405316"</f>
        <v>793405316</v>
      </c>
      <c r="D6839" s="2" t="s">
        <v>4963</v>
      </c>
      <c r="E6839" s="4">
        <v>5000</v>
      </c>
    </row>
    <row r="6840" spans="1:5" ht="26.25" x14ac:dyDescent="0.25">
      <c r="A6840" s="2" t="s">
        <v>2488</v>
      </c>
      <c r="B6840" s="2" t="str">
        <f>"2020060902128"</f>
        <v>2020060902128</v>
      </c>
      <c r="C6840" s="2" t="str">
        <f>"183105328"</f>
        <v>183105328</v>
      </c>
      <c r="D6840" s="2" t="s">
        <v>4964</v>
      </c>
      <c r="E6840" s="4">
        <v>5000</v>
      </c>
    </row>
    <row r="6841" spans="1:5" ht="26.25" x14ac:dyDescent="0.25">
      <c r="A6841" s="2" t="s">
        <v>2488</v>
      </c>
      <c r="B6841" s="2" t="str">
        <f>"1578154925693"</f>
        <v>1578154925693</v>
      </c>
      <c r="C6841" s="2" t="str">
        <f>"61310523"</f>
        <v>61310523</v>
      </c>
      <c r="D6841" s="2" t="s">
        <v>4964</v>
      </c>
      <c r="E6841" s="4">
        <v>4500</v>
      </c>
    </row>
    <row r="6842" spans="1:5" ht="26.25" x14ac:dyDescent="0.25">
      <c r="A6842" s="2" t="s">
        <v>2488</v>
      </c>
      <c r="B6842" s="2" t="str">
        <f>"613405328"</f>
        <v>613405328</v>
      </c>
      <c r="C6842" s="2" t="str">
        <f>"613405328"</f>
        <v>613405328</v>
      </c>
      <c r="D6842" s="2" t="s">
        <v>4964</v>
      </c>
      <c r="E6842" s="4">
        <v>5000</v>
      </c>
    </row>
    <row r="6843" spans="1:5" ht="26.25" x14ac:dyDescent="0.25">
      <c r="A6843" s="2" t="s">
        <v>2488</v>
      </c>
      <c r="B6843" s="2" t="str">
        <f>"1908070124239"</f>
        <v>1908070124239</v>
      </c>
      <c r="C6843" s="2" t="str">
        <f>"34310716"</f>
        <v>34310716</v>
      </c>
      <c r="D6843" s="2" t="s">
        <v>4965</v>
      </c>
      <c r="E6843" s="4">
        <v>5000</v>
      </c>
    </row>
    <row r="6844" spans="1:5" ht="26.25" x14ac:dyDescent="0.25">
      <c r="A6844" s="2" t="s">
        <v>2488</v>
      </c>
      <c r="B6844" s="2" t="str">
        <f>"1908070129012"</f>
        <v>1908070129012</v>
      </c>
      <c r="C6844" s="2" t="str">
        <f>"343105326"</f>
        <v>343105326</v>
      </c>
      <c r="D6844" s="2" t="s">
        <v>4966</v>
      </c>
      <c r="E6844" s="4">
        <v>7500</v>
      </c>
    </row>
    <row r="6845" spans="1:5" ht="26.25" x14ac:dyDescent="0.25">
      <c r="A6845" s="2" t="s">
        <v>2488</v>
      </c>
      <c r="B6845" s="2" t="str">
        <f>"1908070126165"</f>
        <v>1908070126165</v>
      </c>
      <c r="C6845" s="2" t="str">
        <f>"342505313"</f>
        <v>342505313</v>
      </c>
      <c r="D6845" s="2" t="s">
        <v>4967</v>
      </c>
      <c r="E6845" s="4">
        <v>4500</v>
      </c>
    </row>
    <row r="6846" spans="1:5" ht="26.25" x14ac:dyDescent="0.25">
      <c r="A6846" s="2" t="s">
        <v>2488</v>
      </c>
      <c r="B6846" s="2" t="str">
        <f>"683405313"</f>
        <v>683405313</v>
      </c>
      <c r="C6846" s="2" t="str">
        <f>"793405313"</f>
        <v>793405313</v>
      </c>
      <c r="D6846" s="2" t="s">
        <v>4967</v>
      </c>
      <c r="E6846" s="4">
        <v>5000</v>
      </c>
    </row>
    <row r="6847" spans="1:5" ht="26.25" x14ac:dyDescent="0.25">
      <c r="A6847" s="2" t="s">
        <v>2488</v>
      </c>
      <c r="B6847" s="2" t="str">
        <f>"1000001004655"</f>
        <v>1000001004655</v>
      </c>
      <c r="C6847" s="2" t="str">
        <f>"762505313"</f>
        <v>762505313</v>
      </c>
      <c r="D6847" s="2" t="s">
        <v>4968</v>
      </c>
      <c r="E6847" s="4">
        <v>5000</v>
      </c>
    </row>
    <row r="6848" spans="1:5" ht="26.25" x14ac:dyDescent="0.25">
      <c r="A6848" s="2" t="s">
        <v>2488</v>
      </c>
      <c r="B6848" s="2" t="str">
        <f>"2020030200209"</f>
        <v>2020030200209</v>
      </c>
      <c r="C6848" s="2" t="str">
        <f>"183105332"</f>
        <v>183105332</v>
      </c>
      <c r="D6848" s="2" t="s">
        <v>4969</v>
      </c>
      <c r="E6848" s="4">
        <v>5000</v>
      </c>
    </row>
    <row r="6849" spans="1:5" ht="26.25" x14ac:dyDescent="0.25">
      <c r="A6849" s="2" t="s">
        <v>2488</v>
      </c>
      <c r="B6849" s="2" t="str">
        <f>"1908070125328"</f>
        <v>1908070125328</v>
      </c>
      <c r="C6849" s="2" t="str">
        <f>"343405315"</f>
        <v>343405315</v>
      </c>
      <c r="D6849" s="2" t="s">
        <v>4969</v>
      </c>
      <c r="E6849" s="4">
        <v>4500</v>
      </c>
    </row>
    <row r="6850" spans="1:5" ht="26.25" x14ac:dyDescent="0.25">
      <c r="A6850" s="2" t="s">
        <v>2488</v>
      </c>
      <c r="B6850" s="2" t="str">
        <f>"1578155264465"</f>
        <v>1578155264465</v>
      </c>
      <c r="C6850" s="2" t="str">
        <f>"61310529"</f>
        <v>61310529</v>
      </c>
      <c r="D6850" s="2" t="s">
        <v>4969</v>
      </c>
      <c r="E6850" s="4">
        <v>4500</v>
      </c>
    </row>
    <row r="6851" spans="1:5" ht="26.25" x14ac:dyDescent="0.25">
      <c r="A6851" s="2" t="s">
        <v>2488</v>
      </c>
      <c r="B6851" s="2" t="str">
        <f>"1000001004600"</f>
        <v>1000001004600</v>
      </c>
      <c r="C6851" s="2" t="str">
        <f>"763105315"</f>
        <v>763105315</v>
      </c>
      <c r="D6851" s="2" t="s">
        <v>4970</v>
      </c>
      <c r="E6851" s="4">
        <v>5000</v>
      </c>
    </row>
    <row r="6852" spans="1:5" ht="26.25" x14ac:dyDescent="0.25">
      <c r="A6852" s="2" t="s">
        <v>2488</v>
      </c>
      <c r="B6852" s="2" t="str">
        <f>"1000001003894"</f>
        <v>1000001003894</v>
      </c>
      <c r="C6852" s="2" t="str">
        <f>"763405315"</f>
        <v>763405315</v>
      </c>
      <c r="D6852" s="2" t="s">
        <v>4970</v>
      </c>
      <c r="E6852" s="4">
        <v>4500</v>
      </c>
    </row>
    <row r="6853" spans="1:5" ht="26.25" x14ac:dyDescent="0.25">
      <c r="A6853" s="2" t="s">
        <v>2488</v>
      </c>
      <c r="B6853" s="2" t="str">
        <f>"413105315"</f>
        <v>413105315</v>
      </c>
      <c r="C6853" s="2" t="str">
        <f>"413105315"</f>
        <v>413105315</v>
      </c>
      <c r="D6853" s="2" t="s">
        <v>4970</v>
      </c>
      <c r="E6853" s="4">
        <v>4500</v>
      </c>
    </row>
    <row r="6854" spans="1:5" ht="26.25" x14ac:dyDescent="0.25">
      <c r="A6854" s="2" t="s">
        <v>2488</v>
      </c>
      <c r="B6854" s="2" t="str">
        <f>"613405282"</f>
        <v>613405282</v>
      </c>
      <c r="C6854" s="2" t="str">
        <f>"793405317"</f>
        <v>793405317</v>
      </c>
      <c r="D6854" s="2" t="s">
        <v>4971</v>
      </c>
      <c r="E6854" s="4">
        <v>5000</v>
      </c>
    </row>
    <row r="6855" spans="1:5" ht="26.25" x14ac:dyDescent="0.25">
      <c r="A6855" s="2" t="s">
        <v>2488</v>
      </c>
      <c r="B6855" s="2" t="str">
        <f>"1000001003870"</f>
        <v>1000001003870</v>
      </c>
      <c r="C6855" s="2" t="str">
        <f>"763405282"</f>
        <v>763405282</v>
      </c>
      <c r="D6855" s="2" t="s">
        <v>4971</v>
      </c>
      <c r="E6855" s="4">
        <v>6500</v>
      </c>
    </row>
    <row r="6856" spans="1:5" ht="26.25" x14ac:dyDescent="0.25">
      <c r="A6856" s="2" t="s">
        <v>2488</v>
      </c>
      <c r="B6856" s="2" t="str">
        <f>"2020060902074"</f>
        <v>2020060902074</v>
      </c>
      <c r="C6856" s="2" t="str">
        <f>"183105329"</f>
        <v>183105329</v>
      </c>
      <c r="D6856" s="2" t="s">
        <v>4972</v>
      </c>
      <c r="E6856" s="4">
        <v>5000</v>
      </c>
    </row>
    <row r="6857" spans="1:5" ht="26.25" x14ac:dyDescent="0.25">
      <c r="A6857" s="2" t="s">
        <v>2488</v>
      </c>
      <c r="B6857" s="2" t="str">
        <f>"1908070125311"</f>
        <v>1908070125311</v>
      </c>
      <c r="C6857" s="2" t="str">
        <f>"342505317"</f>
        <v>342505317</v>
      </c>
      <c r="D6857" s="2" t="s">
        <v>4972</v>
      </c>
      <c r="E6857" s="4">
        <v>4500</v>
      </c>
    </row>
    <row r="6858" spans="1:5" ht="26.25" x14ac:dyDescent="0.25">
      <c r="A6858" s="2" t="s">
        <v>2488</v>
      </c>
      <c r="B6858" s="2" t="str">
        <f>"1578155130794"</f>
        <v>1578155130794</v>
      </c>
      <c r="C6858" s="2" t="str">
        <f>"61310526"</f>
        <v>61310526</v>
      </c>
      <c r="D6858" s="2" t="s">
        <v>4972</v>
      </c>
      <c r="E6858" s="4">
        <v>4500</v>
      </c>
    </row>
    <row r="6859" spans="1:5" ht="26.25" x14ac:dyDescent="0.25">
      <c r="A6859" s="2" t="s">
        <v>2488</v>
      </c>
      <c r="B6859" s="2" t="str">
        <f>"1000001004617"</f>
        <v>1000001004617</v>
      </c>
      <c r="C6859" s="2" t="str">
        <f>"763105317"</f>
        <v>763105317</v>
      </c>
      <c r="D6859" s="2" t="s">
        <v>4973</v>
      </c>
      <c r="E6859" s="4">
        <v>4500</v>
      </c>
    </row>
    <row r="6860" spans="1:5" ht="26.25" x14ac:dyDescent="0.25">
      <c r="A6860" s="2" t="s">
        <v>2488</v>
      </c>
      <c r="B6860" s="2" t="str">
        <f>"413105317"</f>
        <v>413105317</v>
      </c>
      <c r="C6860" s="2" t="str">
        <f>"413105317"</f>
        <v>413105317</v>
      </c>
      <c r="D6860" s="2" t="s">
        <v>4973</v>
      </c>
      <c r="E6860" s="4">
        <v>4500</v>
      </c>
    </row>
    <row r="6861" spans="1:5" ht="26.25" x14ac:dyDescent="0.25">
      <c r="A6861" s="2" t="s">
        <v>2488</v>
      </c>
      <c r="B6861" s="2" t="str">
        <f>"2020030200223"</f>
        <v>2020030200223</v>
      </c>
      <c r="C6861" s="2" t="str">
        <f>"183105330"</f>
        <v>183105330</v>
      </c>
      <c r="D6861" s="2" t="s">
        <v>4974</v>
      </c>
      <c r="E6861" s="4">
        <v>5000</v>
      </c>
    </row>
    <row r="6862" spans="1:5" ht="26.25" x14ac:dyDescent="0.25">
      <c r="A6862" s="2" t="s">
        <v>2488</v>
      </c>
      <c r="B6862" s="2" t="str">
        <f>"1908070125458"</f>
        <v>1908070125458</v>
      </c>
      <c r="C6862" s="2" t="str">
        <f>"343105318"</f>
        <v>343105318</v>
      </c>
      <c r="D6862" s="2" t="s">
        <v>4974</v>
      </c>
      <c r="E6862" s="4">
        <v>7500</v>
      </c>
    </row>
    <row r="6863" spans="1:5" ht="26.25" x14ac:dyDescent="0.25">
      <c r="A6863" s="2" t="s">
        <v>2488</v>
      </c>
      <c r="B6863" s="2" t="str">
        <f>"613405162"</f>
        <v>613405162</v>
      </c>
      <c r="C6863" s="2" t="str">
        <f>"793405315"</f>
        <v>793405315</v>
      </c>
      <c r="D6863" s="2" t="s">
        <v>4975</v>
      </c>
      <c r="E6863" s="4">
        <v>5000</v>
      </c>
    </row>
    <row r="6864" spans="1:5" ht="26.25" x14ac:dyDescent="0.25">
      <c r="A6864" s="2" t="s">
        <v>2488</v>
      </c>
      <c r="B6864" s="2" t="str">
        <f>"1908070122099"</f>
        <v>1908070122099</v>
      </c>
      <c r="C6864" s="2" t="str">
        <f>"343405162"</f>
        <v>343405162</v>
      </c>
      <c r="D6864" s="2" t="s">
        <v>4976</v>
      </c>
      <c r="E6864" s="4">
        <v>5500</v>
      </c>
    </row>
    <row r="6865" spans="1:5" ht="26.25" x14ac:dyDescent="0.25">
      <c r="A6865" s="2" t="s">
        <v>2488</v>
      </c>
      <c r="B6865" s="2" t="str">
        <f>"2020060902067"</f>
        <v>2020060902067</v>
      </c>
      <c r="C6865" s="2" t="str">
        <f>"183105331"</f>
        <v>183105331</v>
      </c>
      <c r="D6865" s="2" t="s">
        <v>4977</v>
      </c>
      <c r="E6865" s="4">
        <v>5000</v>
      </c>
    </row>
    <row r="6866" spans="1:5" ht="26.25" x14ac:dyDescent="0.25">
      <c r="A6866" s="2" t="s">
        <v>2488</v>
      </c>
      <c r="B6866" s="2" t="str">
        <f>"1908070122075"</f>
        <v>1908070122075</v>
      </c>
      <c r="C6866" s="2" t="str">
        <f>"343405303"</f>
        <v>343405303</v>
      </c>
      <c r="D6866" s="2" t="s">
        <v>4978</v>
      </c>
      <c r="E6866" s="4">
        <v>8490</v>
      </c>
    </row>
    <row r="6867" spans="1:5" ht="26.25" x14ac:dyDescent="0.25">
      <c r="A6867" s="2" t="s">
        <v>2488</v>
      </c>
      <c r="B6867" s="2" t="str">
        <f>"343105161"</f>
        <v>343105161</v>
      </c>
      <c r="C6867" s="2" t="str">
        <f>"343105161"</f>
        <v>343105161</v>
      </c>
      <c r="D6867" s="2" t="s">
        <v>4979</v>
      </c>
      <c r="E6867" s="4">
        <v>5500</v>
      </c>
    </row>
    <row r="6868" spans="1:5" ht="26.25" x14ac:dyDescent="0.25">
      <c r="A6868" s="2" t="s">
        <v>2488</v>
      </c>
      <c r="B6868" s="2" t="str">
        <f>"1000001003863"</f>
        <v>1000001003863</v>
      </c>
      <c r="C6868" s="2" t="str">
        <f>"763405161"</f>
        <v>763405161</v>
      </c>
      <c r="D6868" s="2" t="s">
        <v>4979</v>
      </c>
      <c r="E6868" s="4">
        <v>5500</v>
      </c>
    </row>
    <row r="6869" spans="1:5" ht="26.25" x14ac:dyDescent="0.25">
      <c r="A6869" s="2" t="s">
        <v>2488</v>
      </c>
      <c r="B6869" s="2" t="str">
        <f>"1908070126158"</f>
        <v>1908070126158</v>
      </c>
      <c r="C6869" s="2" t="str">
        <f>"343105310"</f>
        <v>343105310</v>
      </c>
      <c r="D6869" s="2" t="s">
        <v>4980</v>
      </c>
      <c r="E6869" s="4">
        <v>4500</v>
      </c>
    </row>
    <row r="6870" spans="1:5" ht="26.25" x14ac:dyDescent="0.25">
      <c r="A6870" s="2" t="s">
        <v>2488</v>
      </c>
      <c r="B6870" s="2" t="str">
        <f>"1578155169316"</f>
        <v>1578155169316</v>
      </c>
      <c r="C6870" s="2" t="str">
        <f>"61310527"</f>
        <v>61310527</v>
      </c>
      <c r="D6870" s="2" t="s">
        <v>4980</v>
      </c>
      <c r="E6870" s="4">
        <v>4500</v>
      </c>
    </row>
    <row r="6871" spans="1:5" ht="26.25" x14ac:dyDescent="0.25">
      <c r="A6871" s="2" t="s">
        <v>2488</v>
      </c>
      <c r="B6871" s="2" t="str">
        <f>"1000001004549"</f>
        <v>1000001004549</v>
      </c>
      <c r="C6871" s="2" t="str">
        <f>"793405310"</f>
        <v>793405310</v>
      </c>
      <c r="D6871" s="2" t="s">
        <v>4981</v>
      </c>
      <c r="E6871" s="4">
        <v>5000</v>
      </c>
    </row>
    <row r="6872" spans="1:5" ht="26.25" x14ac:dyDescent="0.25">
      <c r="A6872" s="2" t="s">
        <v>2488</v>
      </c>
      <c r="B6872" s="2" t="str">
        <f>"613405319"</f>
        <v>613405319</v>
      </c>
      <c r="C6872" s="2" t="str">
        <f>"613405319"</f>
        <v>613405319</v>
      </c>
      <c r="D6872" s="2" t="s">
        <v>4982</v>
      </c>
      <c r="E6872" s="4">
        <v>5000</v>
      </c>
    </row>
    <row r="6873" spans="1:5" ht="26.25" x14ac:dyDescent="0.25">
      <c r="A6873" s="2" t="s">
        <v>2488</v>
      </c>
      <c r="B6873" s="2" t="str">
        <f>"763105319"</f>
        <v>763105319</v>
      </c>
      <c r="C6873" s="2" t="str">
        <f>"793405319"</f>
        <v>793405319</v>
      </c>
      <c r="D6873" s="2" t="s">
        <v>4983</v>
      </c>
      <c r="E6873" s="4">
        <v>5000</v>
      </c>
    </row>
    <row r="6874" spans="1:5" ht="26.25" x14ac:dyDescent="0.25">
      <c r="A6874" s="2" t="s">
        <v>2488</v>
      </c>
      <c r="B6874" s="2" t="str">
        <f>"763105320"</f>
        <v>763105320</v>
      </c>
      <c r="C6874" s="2" t="str">
        <f>"763105320"</f>
        <v>763105320</v>
      </c>
      <c r="D6874" s="2" t="s">
        <v>4984</v>
      </c>
      <c r="E6874" s="4">
        <v>4500</v>
      </c>
    </row>
    <row r="6875" spans="1:5" ht="26.25" x14ac:dyDescent="0.25">
      <c r="A6875" s="2" t="s">
        <v>2488</v>
      </c>
      <c r="B6875" s="2" t="str">
        <f>"613405320"</f>
        <v>613405320</v>
      </c>
      <c r="C6875" s="2" t="str">
        <f>"613405320"</f>
        <v>613405320</v>
      </c>
      <c r="D6875" s="2" t="s">
        <v>4984</v>
      </c>
      <c r="E6875" s="4">
        <v>5000</v>
      </c>
    </row>
    <row r="6876" spans="1:5" ht="26.25" x14ac:dyDescent="0.25">
      <c r="A6876" s="2" t="s">
        <v>2488</v>
      </c>
      <c r="B6876" s="2" t="str">
        <f>"2020030200230"</f>
        <v>2020030200230</v>
      </c>
      <c r="C6876" s="2" t="str">
        <f>"183105320"</f>
        <v>183105320</v>
      </c>
      <c r="D6876" s="2" t="s">
        <v>4984</v>
      </c>
      <c r="E6876" s="4">
        <v>5000</v>
      </c>
    </row>
    <row r="6877" spans="1:5" ht="26.25" x14ac:dyDescent="0.25">
      <c r="A6877" s="2" t="s">
        <v>2488</v>
      </c>
      <c r="B6877" s="2" t="str">
        <f>"1000001004501"</f>
        <v>1000001004501</v>
      </c>
      <c r="C6877" s="2" t="str">
        <f>"793405320"</f>
        <v>793405320</v>
      </c>
      <c r="D6877" s="2" t="s">
        <v>4985</v>
      </c>
      <c r="E6877" s="4">
        <v>5000</v>
      </c>
    </row>
    <row r="6878" spans="1:5" ht="26.25" x14ac:dyDescent="0.25">
      <c r="A6878" s="2" t="s">
        <v>2488</v>
      </c>
      <c r="B6878" s="2" t="str">
        <f>"1908070124185"</f>
        <v>1908070124185</v>
      </c>
      <c r="C6878" s="2" t="str">
        <f>"343107259"</f>
        <v>343107259</v>
      </c>
      <c r="D6878" s="2" t="s">
        <v>4985</v>
      </c>
      <c r="E6878" s="4">
        <v>5000</v>
      </c>
    </row>
    <row r="6879" spans="1:5" ht="26.25" x14ac:dyDescent="0.25">
      <c r="A6879" s="2" t="s">
        <v>2488</v>
      </c>
      <c r="B6879" s="2" t="str">
        <f>"1908070128374"</f>
        <v>1908070128374</v>
      </c>
      <c r="C6879" s="2" t="str">
        <f>"343105320"</f>
        <v>343105320</v>
      </c>
      <c r="D6879" s="2" t="s">
        <v>4985</v>
      </c>
      <c r="E6879" s="4">
        <v>5000</v>
      </c>
    </row>
    <row r="6880" spans="1:5" ht="26.25" x14ac:dyDescent="0.25">
      <c r="A6880" s="2" t="s">
        <v>2488</v>
      </c>
      <c r="B6880" s="2" t="str">
        <f>"613407601"</f>
        <v>613407601</v>
      </c>
      <c r="C6880" s="2" t="str">
        <f>"613407601"</f>
        <v>613407601</v>
      </c>
      <c r="D6880" s="2" t="s">
        <v>4986</v>
      </c>
      <c r="E6880" s="4">
        <v>5000</v>
      </c>
    </row>
    <row r="6881" spans="1:5" ht="26.25" x14ac:dyDescent="0.25">
      <c r="A6881" s="2" t="s">
        <v>2488</v>
      </c>
      <c r="B6881" s="2" t="str">
        <f>"393407601"</f>
        <v>393407601</v>
      </c>
      <c r="C6881" s="2" t="str">
        <f>"393407601"</f>
        <v>393407601</v>
      </c>
      <c r="D6881" s="2" t="s">
        <v>4986</v>
      </c>
      <c r="E6881" s="4">
        <v>5000</v>
      </c>
    </row>
    <row r="6882" spans="1:5" ht="26.25" x14ac:dyDescent="0.25">
      <c r="A6882" s="2" t="s">
        <v>2488</v>
      </c>
      <c r="B6882" s="2" t="str">
        <f>"133107601"</f>
        <v>133107601</v>
      </c>
      <c r="C6882" s="2" t="str">
        <f>"133107601"</f>
        <v>133107601</v>
      </c>
      <c r="D6882" s="2" t="s">
        <v>4986</v>
      </c>
      <c r="E6882" s="4">
        <v>5000</v>
      </c>
    </row>
    <row r="6883" spans="1:5" ht="26.25" x14ac:dyDescent="0.25">
      <c r="A6883" s="2" t="s">
        <v>2488</v>
      </c>
      <c r="B6883" s="2" t="str">
        <f>"683407601"</f>
        <v>683407601</v>
      </c>
      <c r="C6883" s="2" t="str">
        <f>"683407601"</f>
        <v>683407601</v>
      </c>
      <c r="D6883" s="2" t="s">
        <v>4986</v>
      </c>
      <c r="E6883" s="4">
        <v>4500</v>
      </c>
    </row>
    <row r="6884" spans="1:5" ht="26.25" x14ac:dyDescent="0.25">
      <c r="A6884" s="2" t="s">
        <v>2488</v>
      </c>
      <c r="B6884" s="2" t="str">
        <f>"413107601"</f>
        <v>413107601</v>
      </c>
      <c r="C6884" s="2" t="str">
        <f>"413107601"</f>
        <v>413107601</v>
      </c>
      <c r="D6884" s="2" t="s">
        <v>4986</v>
      </c>
      <c r="E6884" s="4">
        <v>4500</v>
      </c>
    </row>
    <row r="6885" spans="1:5" ht="26.25" x14ac:dyDescent="0.25">
      <c r="A6885" s="2" t="s">
        <v>2488</v>
      </c>
      <c r="B6885" s="2" t="str">
        <f>"1908070127117"</f>
        <v>1908070127117</v>
      </c>
      <c r="C6885" s="2" t="str">
        <f>"343107601"</f>
        <v>343107601</v>
      </c>
      <c r="D6885" s="2" t="s">
        <v>4986</v>
      </c>
      <c r="E6885" s="4">
        <v>5000</v>
      </c>
    </row>
    <row r="6886" spans="1:5" ht="26.25" x14ac:dyDescent="0.25">
      <c r="A6886" s="2" t="s">
        <v>2488</v>
      </c>
      <c r="B6886" s="2" t="str">
        <f>"1908070124161"</f>
        <v>1908070124161</v>
      </c>
      <c r="C6886" s="2" t="str">
        <f>"343107257"</f>
        <v>343107257</v>
      </c>
      <c r="D6886" s="2" t="s">
        <v>4987</v>
      </c>
      <c r="E6886" s="4">
        <v>5000</v>
      </c>
    </row>
    <row r="6887" spans="1:5" ht="26.25" x14ac:dyDescent="0.25">
      <c r="A6887" s="2" t="s">
        <v>2488</v>
      </c>
      <c r="B6887" s="2" t="str">
        <f>"763107602"</f>
        <v>763107602</v>
      </c>
      <c r="C6887" s="2" t="str">
        <f>"763107602"</f>
        <v>763107602</v>
      </c>
      <c r="D6887" s="2" t="s">
        <v>4988</v>
      </c>
      <c r="E6887" s="4">
        <v>5000</v>
      </c>
    </row>
    <row r="6888" spans="1:5" ht="26.25" x14ac:dyDescent="0.25">
      <c r="A6888" s="2" t="s">
        <v>2488</v>
      </c>
      <c r="B6888" s="2" t="str">
        <f>"46051480"</f>
        <v>46051480</v>
      </c>
      <c r="C6888" s="2" t="str">
        <f>"46051480"</f>
        <v>46051480</v>
      </c>
      <c r="D6888" s="2" t="s">
        <v>4988</v>
      </c>
      <c r="E6888" s="4">
        <v>10500</v>
      </c>
    </row>
    <row r="6889" spans="1:5" ht="26.25" x14ac:dyDescent="0.25">
      <c r="A6889" s="2" t="s">
        <v>2488</v>
      </c>
      <c r="B6889" s="2" t="str">
        <f>"413107602"</f>
        <v>413107602</v>
      </c>
      <c r="C6889" s="2" t="str">
        <f>"413107602"</f>
        <v>413107602</v>
      </c>
      <c r="D6889" s="2" t="s">
        <v>4989</v>
      </c>
      <c r="E6889" s="4">
        <v>4500</v>
      </c>
    </row>
    <row r="6890" spans="1:5" ht="26.25" x14ac:dyDescent="0.25">
      <c r="A6890" s="2" t="s">
        <v>2488</v>
      </c>
      <c r="B6890" s="2" t="str">
        <f>"763107603"</f>
        <v>763107603</v>
      </c>
      <c r="C6890" s="2" t="str">
        <f>"763107603"</f>
        <v>763107603</v>
      </c>
      <c r="D6890" s="2" t="s">
        <v>4990</v>
      </c>
      <c r="E6890" s="4">
        <v>5000</v>
      </c>
    </row>
    <row r="6891" spans="1:5" ht="26.25" x14ac:dyDescent="0.25">
      <c r="A6891" s="2" t="s">
        <v>2488</v>
      </c>
      <c r="B6891" s="2" t="str">
        <f>"1908070127131"</f>
        <v>1908070127131</v>
      </c>
      <c r="C6891" s="2" t="str">
        <f>"343107603"</f>
        <v>343107603</v>
      </c>
      <c r="D6891" s="2" t="s">
        <v>4991</v>
      </c>
      <c r="E6891" s="4">
        <v>5000</v>
      </c>
    </row>
    <row r="6892" spans="1:5" ht="26.25" x14ac:dyDescent="0.25">
      <c r="A6892" s="2" t="s">
        <v>2488</v>
      </c>
      <c r="B6892" s="2" t="str">
        <f>"793407605"</f>
        <v>793407605</v>
      </c>
      <c r="C6892" s="2" t="str">
        <f>"793407605"</f>
        <v>793407605</v>
      </c>
      <c r="D6892" s="2" t="s">
        <v>4992</v>
      </c>
      <c r="E6892" s="4">
        <v>5000</v>
      </c>
    </row>
    <row r="6893" spans="1:5" ht="26.25" x14ac:dyDescent="0.25">
      <c r="A6893" s="2" t="s">
        <v>2488</v>
      </c>
      <c r="B6893" s="2" t="str">
        <f>"133107605"</f>
        <v>133107605</v>
      </c>
      <c r="C6893" s="2" t="str">
        <f>"133107605"</f>
        <v>133107605</v>
      </c>
      <c r="D6893" s="2" t="s">
        <v>4992</v>
      </c>
      <c r="E6893" s="4">
        <v>5000</v>
      </c>
    </row>
    <row r="6894" spans="1:5" ht="26.25" x14ac:dyDescent="0.25">
      <c r="A6894" s="2" t="s">
        <v>2488</v>
      </c>
      <c r="B6894" s="2" t="str">
        <f>"793407606"</f>
        <v>793407606</v>
      </c>
      <c r="C6894" s="2" t="str">
        <f>"793407606"</f>
        <v>793407606</v>
      </c>
      <c r="D6894" s="2" t="s">
        <v>4993</v>
      </c>
      <c r="E6894" s="4">
        <v>5000</v>
      </c>
    </row>
    <row r="6895" spans="1:5" ht="26.25" x14ac:dyDescent="0.25">
      <c r="A6895" s="2" t="s">
        <v>2488</v>
      </c>
      <c r="B6895" s="2" t="str">
        <f>"793407607"</f>
        <v>793407607</v>
      </c>
      <c r="C6895" s="2" t="str">
        <f>"793407607"</f>
        <v>793407607</v>
      </c>
      <c r="D6895" s="2" t="s">
        <v>4994</v>
      </c>
      <c r="E6895" s="4">
        <v>5000</v>
      </c>
    </row>
    <row r="6896" spans="1:5" ht="26.25" x14ac:dyDescent="0.25">
      <c r="A6896" s="2" t="s">
        <v>2488</v>
      </c>
      <c r="B6896" s="2" t="str">
        <f>"793407608"</f>
        <v>793407608</v>
      </c>
      <c r="C6896" s="2" t="str">
        <f>"793407608"</f>
        <v>793407608</v>
      </c>
      <c r="D6896" s="2" t="s">
        <v>4995</v>
      </c>
      <c r="E6896" s="4">
        <v>5000</v>
      </c>
    </row>
    <row r="6897" spans="1:5" ht="26.25" x14ac:dyDescent="0.25">
      <c r="A6897" s="2" t="s">
        <v>2488</v>
      </c>
      <c r="B6897" s="2" t="str">
        <f>"32310716"</f>
        <v>32310716</v>
      </c>
      <c r="C6897" s="2" t="str">
        <f>"32310716"</f>
        <v>32310716</v>
      </c>
      <c r="D6897" s="2" t="s">
        <v>4996</v>
      </c>
      <c r="E6897" s="4">
        <v>5000</v>
      </c>
    </row>
    <row r="6898" spans="1:5" ht="26.25" x14ac:dyDescent="0.25">
      <c r="A6898" s="2" t="s">
        <v>2488</v>
      </c>
      <c r="B6898" s="2" t="str">
        <f>"1908070124222"</f>
        <v>1908070124222</v>
      </c>
      <c r="C6898" s="2" t="str">
        <f>"34420716"</f>
        <v>34420716</v>
      </c>
      <c r="D6898" s="2" t="s">
        <v>4996</v>
      </c>
      <c r="E6898" s="4">
        <v>4500</v>
      </c>
    </row>
    <row r="6899" spans="1:5" ht="26.25" x14ac:dyDescent="0.25">
      <c r="A6899" s="2" t="s">
        <v>2488</v>
      </c>
      <c r="B6899" s="2" t="str">
        <f>"76340716"</f>
        <v>76340716</v>
      </c>
      <c r="C6899" s="2" t="str">
        <f>"76340716"</f>
        <v>76340716</v>
      </c>
      <c r="D6899" s="2" t="s">
        <v>4997</v>
      </c>
      <c r="E6899" s="4">
        <v>5000</v>
      </c>
    </row>
    <row r="6900" spans="1:5" ht="26.25" x14ac:dyDescent="0.25">
      <c r="A6900" s="2" t="s">
        <v>2488</v>
      </c>
      <c r="B6900" s="2" t="str">
        <f>"79340716"</f>
        <v>79340716</v>
      </c>
      <c r="C6900" s="2" t="str">
        <f>"79340716"</f>
        <v>79340716</v>
      </c>
      <c r="D6900" s="2" t="s">
        <v>4997</v>
      </c>
      <c r="E6900" s="4">
        <v>5000</v>
      </c>
    </row>
    <row r="6901" spans="1:5" ht="26.25" x14ac:dyDescent="0.25">
      <c r="A6901" s="2" t="s">
        <v>2488</v>
      </c>
      <c r="B6901" s="2" t="str">
        <f>"1908070124253"</f>
        <v>1908070124253</v>
      </c>
      <c r="C6901" s="2" t="str">
        <f>"34290717"</f>
        <v>34290717</v>
      </c>
      <c r="D6901" s="2" t="s">
        <v>4998</v>
      </c>
      <c r="E6901" s="4">
        <v>4500</v>
      </c>
    </row>
    <row r="6902" spans="1:5" ht="26.25" x14ac:dyDescent="0.25">
      <c r="A6902" s="2" t="s">
        <v>2488</v>
      </c>
      <c r="B6902" s="2" t="str">
        <f>"13310717"</f>
        <v>13310717</v>
      </c>
      <c r="C6902" s="2" t="str">
        <f>"13310717"</f>
        <v>13310717</v>
      </c>
      <c r="D6902" s="2" t="s">
        <v>4998</v>
      </c>
      <c r="E6902" s="4">
        <v>5000</v>
      </c>
    </row>
    <row r="6903" spans="1:5" ht="39" x14ac:dyDescent="0.25">
      <c r="A6903" s="2" t="s">
        <v>2488</v>
      </c>
      <c r="B6903" s="2" t="str">
        <f>"1908070122303"</f>
        <v>1908070122303</v>
      </c>
      <c r="C6903" s="2" t="str">
        <f>"1908070123607"</f>
        <v>1908070123607</v>
      </c>
      <c r="D6903" s="2" t="s">
        <v>4999</v>
      </c>
      <c r="E6903" s="4">
        <v>5000</v>
      </c>
    </row>
    <row r="6904" spans="1:5" ht="26.25" x14ac:dyDescent="0.25">
      <c r="A6904" s="2" t="s">
        <v>2488</v>
      </c>
      <c r="B6904" s="2" t="str">
        <f>"1908070124246"</f>
        <v>1908070124246</v>
      </c>
      <c r="C6904" s="2" t="str">
        <f>"34340717"</f>
        <v>34340717</v>
      </c>
      <c r="D6904" s="2" t="s">
        <v>4999</v>
      </c>
      <c r="E6904" s="4">
        <v>4500</v>
      </c>
    </row>
    <row r="6905" spans="1:5" ht="26.25" x14ac:dyDescent="0.25">
      <c r="A6905" s="2" t="s">
        <v>2488</v>
      </c>
      <c r="B6905" s="2" t="str">
        <f>"2019120200021"</f>
        <v>2019120200021</v>
      </c>
      <c r="C6905" s="2" t="str">
        <f>"183107253"</f>
        <v>183107253</v>
      </c>
      <c r="D6905" s="2" t="s">
        <v>5000</v>
      </c>
      <c r="E6905" s="4">
        <v>5000</v>
      </c>
    </row>
    <row r="6906" spans="1:5" ht="26.25" x14ac:dyDescent="0.25">
      <c r="A6906" s="2" t="s">
        <v>2488</v>
      </c>
      <c r="B6906" s="2" t="str">
        <f>"613407253"</f>
        <v>613407253</v>
      </c>
      <c r="C6906" s="2" t="str">
        <f>"613407253"</f>
        <v>613407253</v>
      </c>
      <c r="D6906" s="2" t="s">
        <v>5000</v>
      </c>
      <c r="E6906" s="4">
        <v>5000</v>
      </c>
    </row>
    <row r="6907" spans="1:5" ht="26.25" x14ac:dyDescent="0.25">
      <c r="A6907" s="2" t="s">
        <v>2488</v>
      </c>
      <c r="B6907" s="2" t="str">
        <f>"133407253"</f>
        <v>133407253</v>
      </c>
      <c r="C6907" s="2" t="str">
        <f>"133407253"</f>
        <v>133407253</v>
      </c>
      <c r="D6907" s="2" t="s">
        <v>5000</v>
      </c>
      <c r="E6907" s="4">
        <v>5000</v>
      </c>
    </row>
    <row r="6908" spans="1:5" ht="26.25" x14ac:dyDescent="0.25">
      <c r="A6908" s="2" t="s">
        <v>2488</v>
      </c>
      <c r="B6908" s="2" t="str">
        <f>"1908070124277"</f>
        <v>1908070124277</v>
      </c>
      <c r="C6908" s="2" t="str">
        <f>"344207253"</f>
        <v>344207253</v>
      </c>
      <c r="D6908" s="2" t="s">
        <v>5000</v>
      </c>
      <c r="E6908" s="4">
        <v>5000</v>
      </c>
    </row>
    <row r="6909" spans="1:5" ht="26.25" x14ac:dyDescent="0.25">
      <c r="A6909" s="2" t="s">
        <v>2488</v>
      </c>
      <c r="B6909" s="2" t="str">
        <f>"763407253"</f>
        <v>763407253</v>
      </c>
      <c r="C6909" s="2" t="str">
        <f>"763407253"</f>
        <v>763407253</v>
      </c>
      <c r="D6909" s="2" t="s">
        <v>5001</v>
      </c>
      <c r="E6909" s="4">
        <v>6000</v>
      </c>
    </row>
    <row r="6910" spans="1:5" ht="26.25" x14ac:dyDescent="0.25">
      <c r="A6910" s="2" t="s">
        <v>2488</v>
      </c>
      <c r="B6910" s="2" t="str">
        <f>"793407253"</f>
        <v>793407253</v>
      </c>
      <c r="C6910" s="2" t="str">
        <f>"793407253"</f>
        <v>793407253</v>
      </c>
      <c r="D6910" s="2" t="s">
        <v>5001</v>
      </c>
      <c r="E6910" s="4">
        <v>5000</v>
      </c>
    </row>
    <row r="6911" spans="1:5" ht="26.25" x14ac:dyDescent="0.25">
      <c r="A6911" s="2" t="s">
        <v>2488</v>
      </c>
      <c r="B6911" s="2" t="str">
        <f>"1000001003917"</f>
        <v>1000001003917</v>
      </c>
      <c r="C6911" s="2" t="str">
        <f>"762507253"</f>
        <v>762507253</v>
      </c>
      <c r="D6911" s="2" t="s">
        <v>5001</v>
      </c>
      <c r="E6911" s="4">
        <v>5000</v>
      </c>
    </row>
    <row r="6912" spans="1:5" ht="26.25" x14ac:dyDescent="0.25">
      <c r="A6912" s="2" t="s">
        <v>2488</v>
      </c>
      <c r="B6912" s="2" t="str">
        <f>"1908070124260"</f>
        <v>1908070124260</v>
      </c>
      <c r="C6912" s="2" t="str">
        <f>"343107253"</f>
        <v>343107253</v>
      </c>
      <c r="D6912" s="2" t="s">
        <v>5001</v>
      </c>
      <c r="E6912" s="4">
        <v>5000</v>
      </c>
    </row>
    <row r="6913" spans="1:5" ht="26.25" x14ac:dyDescent="0.25">
      <c r="A6913" s="2" t="s">
        <v>2488</v>
      </c>
      <c r="B6913" s="2" t="str">
        <f>"1908070124291"</f>
        <v>1908070124291</v>
      </c>
      <c r="C6913" s="2" t="str">
        <f>"342507254"</f>
        <v>342507254</v>
      </c>
      <c r="D6913" s="2" t="s">
        <v>5002</v>
      </c>
      <c r="E6913" s="4">
        <v>5000</v>
      </c>
    </row>
    <row r="6914" spans="1:5" ht="26.25" x14ac:dyDescent="0.25">
      <c r="A6914" s="2" t="s">
        <v>2488</v>
      </c>
      <c r="B6914" s="2" t="str">
        <f>"613407254"</f>
        <v>613407254</v>
      </c>
      <c r="C6914" s="2" t="str">
        <f>"613407254"</f>
        <v>613407254</v>
      </c>
      <c r="D6914" s="2" t="s">
        <v>5002</v>
      </c>
      <c r="E6914" s="4">
        <v>5000</v>
      </c>
    </row>
    <row r="6915" spans="1:5" ht="26.25" x14ac:dyDescent="0.25">
      <c r="A6915" s="2" t="s">
        <v>2488</v>
      </c>
      <c r="B6915" s="2" t="str">
        <f>"1578155035933"</f>
        <v>1578155035933</v>
      </c>
      <c r="C6915" s="2" t="str">
        <f>"61310524"</f>
        <v>61310524</v>
      </c>
      <c r="D6915" s="2" t="s">
        <v>5002</v>
      </c>
      <c r="E6915" s="4">
        <v>4500</v>
      </c>
    </row>
    <row r="6916" spans="1:5" ht="26.25" x14ac:dyDescent="0.25">
      <c r="A6916" s="2" t="s">
        <v>2488</v>
      </c>
      <c r="B6916" s="2" t="str">
        <f>"1908070124284"</f>
        <v>1908070124284</v>
      </c>
      <c r="C6916" s="2" t="str">
        <f>"793407254"</f>
        <v>793407254</v>
      </c>
      <c r="D6916" s="2" t="s">
        <v>5003</v>
      </c>
      <c r="E6916" s="4">
        <v>5000</v>
      </c>
    </row>
    <row r="6917" spans="1:5" ht="26.25" x14ac:dyDescent="0.25">
      <c r="A6917" s="2" t="s">
        <v>2488</v>
      </c>
      <c r="B6917" s="2" t="str">
        <f>"763407254"</f>
        <v>763407254</v>
      </c>
      <c r="C6917" s="2" t="str">
        <f>"763407254"</f>
        <v>763407254</v>
      </c>
      <c r="D6917" s="2" t="s">
        <v>5003</v>
      </c>
      <c r="E6917" s="4">
        <v>6000</v>
      </c>
    </row>
    <row r="6918" spans="1:5" ht="26.25" x14ac:dyDescent="0.25">
      <c r="A6918" s="2" t="s">
        <v>2488</v>
      </c>
      <c r="B6918" s="2" t="str">
        <f>"693407254"</f>
        <v>693407254</v>
      </c>
      <c r="C6918" s="2" t="str">
        <f>"693407254"</f>
        <v>693407254</v>
      </c>
      <c r="D6918" s="2" t="s">
        <v>5003</v>
      </c>
      <c r="E6918" s="4">
        <v>6900</v>
      </c>
    </row>
    <row r="6919" spans="1:5" ht="26.25" x14ac:dyDescent="0.25">
      <c r="A6919" s="2" t="s">
        <v>2488</v>
      </c>
      <c r="B6919" s="2" t="str">
        <f>"1578154803324"</f>
        <v>1578154803324</v>
      </c>
      <c r="C6919" s="2" t="str">
        <f>"61310521"</f>
        <v>61310521</v>
      </c>
      <c r="D6919" s="2" t="s">
        <v>5004</v>
      </c>
      <c r="E6919" s="4">
        <v>4500</v>
      </c>
    </row>
    <row r="6920" spans="1:5" ht="26.25" x14ac:dyDescent="0.25">
      <c r="A6920" s="2" t="s">
        <v>2488</v>
      </c>
      <c r="B6920" s="2" t="str">
        <f>"763407256"</f>
        <v>763407256</v>
      </c>
      <c r="C6920" s="2" t="str">
        <f>"763407256"</f>
        <v>763407256</v>
      </c>
      <c r="D6920" s="2" t="s">
        <v>5005</v>
      </c>
      <c r="E6920" s="4">
        <v>6900</v>
      </c>
    </row>
    <row r="6921" spans="1:5" ht="26.25" x14ac:dyDescent="0.25">
      <c r="A6921" s="2" t="s">
        <v>2488</v>
      </c>
      <c r="B6921" s="2" t="str">
        <f>"1908070128831"</f>
        <v>1908070128831</v>
      </c>
      <c r="C6921" s="2" t="str">
        <f>"343407604"</f>
        <v>343407604</v>
      </c>
      <c r="D6921" s="2" t="s">
        <v>5006</v>
      </c>
      <c r="E6921" s="4">
        <v>5000</v>
      </c>
    </row>
    <row r="6922" spans="1:5" ht="26.25" x14ac:dyDescent="0.25">
      <c r="A6922" s="2" t="s">
        <v>2488</v>
      </c>
      <c r="B6922" s="2" t="str">
        <f>"863107255"</f>
        <v>863107255</v>
      </c>
      <c r="C6922" s="2" t="str">
        <f>"863107255"</f>
        <v>863107255</v>
      </c>
      <c r="D6922" s="2" t="s">
        <v>5006</v>
      </c>
      <c r="E6922" s="4">
        <v>7000</v>
      </c>
    </row>
    <row r="6923" spans="1:5" ht="26.25" x14ac:dyDescent="0.25">
      <c r="A6923" s="2" t="s">
        <v>2488</v>
      </c>
      <c r="B6923" s="2" t="str">
        <f>"413407257"</f>
        <v>413407257</v>
      </c>
      <c r="C6923" s="2" t="str">
        <f>"413407257"</f>
        <v>413407257</v>
      </c>
      <c r="D6923" s="2" t="s">
        <v>5007</v>
      </c>
      <c r="E6923" s="4">
        <v>5000</v>
      </c>
    </row>
    <row r="6924" spans="1:5" ht="26.25" x14ac:dyDescent="0.25">
      <c r="A6924" s="2" t="s">
        <v>2488</v>
      </c>
      <c r="B6924" s="2" t="str">
        <f>"863107257"</f>
        <v>863107257</v>
      </c>
      <c r="C6924" s="2" t="str">
        <f>"863107257"</f>
        <v>863107257</v>
      </c>
      <c r="D6924" s="2" t="s">
        <v>5008</v>
      </c>
      <c r="E6924" s="4">
        <v>7000</v>
      </c>
    </row>
    <row r="6925" spans="1:5" ht="26.25" x14ac:dyDescent="0.25">
      <c r="A6925" s="2" t="s">
        <v>2488</v>
      </c>
      <c r="B6925" s="2" t="str">
        <f>"1000001003955"</f>
        <v>1000001003955</v>
      </c>
      <c r="C6925" s="2" t="str">
        <f>"793407257"</f>
        <v>793407257</v>
      </c>
      <c r="D6925" s="2" t="s">
        <v>5008</v>
      </c>
      <c r="E6925" s="4">
        <v>5000</v>
      </c>
    </row>
    <row r="6926" spans="1:5" ht="26.25" x14ac:dyDescent="0.25">
      <c r="A6926" s="2" t="s">
        <v>2488</v>
      </c>
      <c r="B6926" s="2" t="str">
        <f>"1578154872790"</f>
        <v>1578154872790</v>
      </c>
      <c r="C6926" s="2" t="str">
        <f>"793407259"</f>
        <v>793407259</v>
      </c>
      <c r="D6926" s="2" t="s">
        <v>5009</v>
      </c>
      <c r="E6926" s="4">
        <v>5000</v>
      </c>
    </row>
    <row r="6927" spans="1:5" ht="26.25" x14ac:dyDescent="0.25">
      <c r="A6927" s="2" t="s">
        <v>2488</v>
      </c>
      <c r="B6927" s="2" t="str">
        <f>"1908070124208"</f>
        <v>1908070124208</v>
      </c>
      <c r="C6927" s="2" t="str">
        <f>"343107600"</f>
        <v>343107600</v>
      </c>
      <c r="D6927" s="2" t="s">
        <v>5010</v>
      </c>
      <c r="E6927" s="4">
        <v>5000</v>
      </c>
    </row>
    <row r="6928" spans="1:5" ht="26.25" x14ac:dyDescent="0.25">
      <c r="A6928" s="2" t="s">
        <v>2488</v>
      </c>
      <c r="B6928" s="2" t="str">
        <f>"1000001004563"</f>
        <v>1000001004563</v>
      </c>
      <c r="C6928" s="2" t="str">
        <f>"762507600"</f>
        <v>762507600</v>
      </c>
      <c r="D6928" s="2" t="s">
        <v>5010</v>
      </c>
      <c r="E6928" s="4">
        <v>5000</v>
      </c>
    </row>
    <row r="6929" spans="1:5" ht="26.25" x14ac:dyDescent="0.25">
      <c r="A6929" s="2" t="s">
        <v>2488</v>
      </c>
      <c r="B6929" s="2" t="str">
        <f>"613409335"</f>
        <v>613409335</v>
      </c>
      <c r="C6929" s="2" t="str">
        <f>"613409335"</f>
        <v>613409335</v>
      </c>
      <c r="D6929" s="2" t="s">
        <v>5011</v>
      </c>
      <c r="E6929" s="4">
        <v>5000</v>
      </c>
    </row>
    <row r="6930" spans="1:5" ht="26.25" x14ac:dyDescent="0.25">
      <c r="A6930" s="2" t="s">
        <v>2488</v>
      </c>
      <c r="B6930" s="2" t="str">
        <f>"613409336"</f>
        <v>613409336</v>
      </c>
      <c r="C6930" s="2" t="str">
        <f>"613409336"</f>
        <v>613409336</v>
      </c>
      <c r="D6930" s="2" t="s">
        <v>5012</v>
      </c>
      <c r="E6930" s="4">
        <v>5000</v>
      </c>
    </row>
    <row r="6931" spans="1:5" ht="26.25" x14ac:dyDescent="0.25">
      <c r="A6931" s="2" t="s">
        <v>2488</v>
      </c>
      <c r="B6931" s="2" t="str">
        <f>"343409292"</f>
        <v>343409292</v>
      </c>
      <c r="C6931" s="2" t="str">
        <f>"343409292"</f>
        <v>343409292</v>
      </c>
      <c r="D6931" s="2" t="s">
        <v>5013</v>
      </c>
      <c r="E6931" s="4">
        <v>6000</v>
      </c>
    </row>
    <row r="6932" spans="1:5" ht="26.25" x14ac:dyDescent="0.25">
      <c r="A6932" s="2" t="s">
        <v>2488</v>
      </c>
      <c r="B6932" s="2" t="str">
        <f>"613409333"</f>
        <v>613409333</v>
      </c>
      <c r="C6932" s="2" t="str">
        <f>"613409333"</f>
        <v>613409333</v>
      </c>
      <c r="D6932" s="2" t="s">
        <v>5013</v>
      </c>
      <c r="E6932" s="4">
        <v>5000</v>
      </c>
    </row>
    <row r="6933" spans="1:5" ht="26.25" x14ac:dyDescent="0.25">
      <c r="A6933" s="2" t="s">
        <v>2488</v>
      </c>
      <c r="B6933" s="2" t="str">
        <f>"1908070129050"</f>
        <v>1908070129050</v>
      </c>
      <c r="C6933" s="2" t="str">
        <f>"342509333"</f>
        <v>342509333</v>
      </c>
      <c r="D6933" s="2" t="s">
        <v>5014</v>
      </c>
      <c r="E6933" s="4">
        <v>5000</v>
      </c>
    </row>
    <row r="6934" spans="1:5" ht="26.25" x14ac:dyDescent="0.25">
      <c r="A6934" s="2" t="s">
        <v>2488</v>
      </c>
      <c r="B6934" s="2" t="str">
        <f>"763109333"</f>
        <v>763109333</v>
      </c>
      <c r="C6934" s="2" t="str">
        <f>"763109333"</f>
        <v>763109333</v>
      </c>
      <c r="D6934" s="2" t="s">
        <v>5015</v>
      </c>
      <c r="E6934" s="4">
        <v>4500</v>
      </c>
    </row>
    <row r="6935" spans="1:5" ht="26.25" x14ac:dyDescent="0.25">
      <c r="A6935" s="2" t="s">
        <v>2488</v>
      </c>
      <c r="B6935" s="2" t="str">
        <f>"1908070128466"</f>
        <v>1908070128466</v>
      </c>
      <c r="C6935" s="2" t="str">
        <f>"342609221"</f>
        <v>342609221</v>
      </c>
      <c r="D6935" s="2" t="s">
        <v>5016</v>
      </c>
      <c r="E6935" s="4">
        <v>5000</v>
      </c>
    </row>
    <row r="6936" spans="1:5" ht="26.25" x14ac:dyDescent="0.25">
      <c r="A6936" s="2" t="s">
        <v>2488</v>
      </c>
      <c r="B6936" s="2" t="str">
        <f>"613409334"</f>
        <v>613409334</v>
      </c>
      <c r="C6936" s="2" t="str">
        <f>"613409334"</f>
        <v>613409334</v>
      </c>
      <c r="D6936" s="2" t="s">
        <v>5017</v>
      </c>
      <c r="E6936" s="4">
        <v>5000</v>
      </c>
    </row>
    <row r="6937" spans="1:5" ht="26.25" x14ac:dyDescent="0.25">
      <c r="A6937" s="2" t="s">
        <v>2488</v>
      </c>
      <c r="B6937" s="2" t="str">
        <f>"1908070128848"</f>
        <v>1908070128848</v>
      </c>
      <c r="C6937" s="2" t="str">
        <f>"793410323"</f>
        <v>793410323</v>
      </c>
      <c r="D6937" s="2" t="s">
        <v>5018</v>
      </c>
      <c r="E6937" s="4">
        <v>5000</v>
      </c>
    </row>
    <row r="6938" spans="1:5" ht="26.25" x14ac:dyDescent="0.25">
      <c r="A6938" s="2" t="s">
        <v>2488</v>
      </c>
      <c r="B6938" s="2" t="str">
        <f>"793410325"</f>
        <v>793410325</v>
      </c>
      <c r="C6938" s="2" t="str">
        <f>"793410325"</f>
        <v>793410325</v>
      </c>
      <c r="D6938" s="2" t="s">
        <v>5019</v>
      </c>
      <c r="E6938" s="4">
        <v>5000</v>
      </c>
    </row>
    <row r="6939" spans="1:5" ht="26.25" x14ac:dyDescent="0.25">
      <c r="A6939" s="2" t="s">
        <v>2488</v>
      </c>
      <c r="B6939" s="2" t="str">
        <f>"133110330"</f>
        <v>133110330</v>
      </c>
      <c r="C6939" s="2" t="str">
        <f>"133110330"</f>
        <v>133110330</v>
      </c>
      <c r="D6939" s="2" t="s">
        <v>5020</v>
      </c>
      <c r="E6939" s="4">
        <v>5000</v>
      </c>
    </row>
    <row r="6940" spans="1:5" ht="26.25" x14ac:dyDescent="0.25">
      <c r="A6940" s="2" t="s">
        <v>2488</v>
      </c>
      <c r="B6940" s="2" t="str">
        <f>"793410314"</f>
        <v>793410314</v>
      </c>
      <c r="C6940" s="2" t="str">
        <f>"793410314"</f>
        <v>793410314</v>
      </c>
      <c r="D6940" s="2" t="s">
        <v>5021</v>
      </c>
      <c r="E6940" s="4">
        <v>5000</v>
      </c>
    </row>
    <row r="6941" spans="1:5" ht="26.25" x14ac:dyDescent="0.25">
      <c r="A6941" s="2" t="s">
        <v>2488</v>
      </c>
      <c r="B6941" s="2" t="str">
        <f>"793410315"</f>
        <v>793410315</v>
      </c>
      <c r="C6941" s="2" t="str">
        <f>"793410315"</f>
        <v>793410315</v>
      </c>
      <c r="D6941" s="2" t="s">
        <v>5022</v>
      </c>
      <c r="E6941" s="4">
        <v>5000</v>
      </c>
    </row>
    <row r="6942" spans="1:5" ht="26.25" x14ac:dyDescent="0.25">
      <c r="A6942" s="2" t="s">
        <v>2488</v>
      </c>
      <c r="B6942" s="2" t="str">
        <f>"767505321"</f>
        <v>767505321</v>
      </c>
      <c r="C6942" s="2" t="str">
        <f>"767505321"</f>
        <v>767505321</v>
      </c>
      <c r="D6942" s="2" t="s">
        <v>5023</v>
      </c>
      <c r="E6942" s="4">
        <v>4500</v>
      </c>
    </row>
    <row r="6943" spans="1:5" ht="26.25" x14ac:dyDescent="0.25">
      <c r="A6943" s="2" t="s">
        <v>2488</v>
      </c>
      <c r="B6943" s="2" t="str">
        <f>"767705321"</f>
        <v>767705321</v>
      </c>
      <c r="C6943" s="2" t="str">
        <f>"767705321"</f>
        <v>767705321</v>
      </c>
      <c r="D6943" s="2" t="s">
        <v>5023</v>
      </c>
      <c r="E6943" s="4">
        <v>5000</v>
      </c>
    </row>
    <row r="6944" spans="1:5" ht="26.25" x14ac:dyDescent="0.25">
      <c r="A6944" s="2" t="s">
        <v>2488</v>
      </c>
      <c r="B6944" s="2" t="str">
        <f>"175105321"</f>
        <v>175105321</v>
      </c>
      <c r="C6944" s="2" t="str">
        <f>"175105321"</f>
        <v>175105321</v>
      </c>
      <c r="D6944" s="2" t="s">
        <v>5023</v>
      </c>
      <c r="E6944" s="4">
        <v>4500</v>
      </c>
    </row>
    <row r="6945" spans="1:5" ht="26.25" x14ac:dyDescent="0.25">
      <c r="A6945" s="2" t="s">
        <v>2488</v>
      </c>
      <c r="B6945" s="2" t="str">
        <f>"174805321"</f>
        <v>174805321</v>
      </c>
      <c r="C6945" s="2" t="str">
        <f>"174805321"</f>
        <v>174805321</v>
      </c>
      <c r="D6945" s="2" t="s">
        <v>5023</v>
      </c>
      <c r="E6945" s="4">
        <v>3500</v>
      </c>
    </row>
    <row r="6946" spans="1:5" ht="26.25" x14ac:dyDescent="0.25">
      <c r="A6946" s="2" t="s">
        <v>2488</v>
      </c>
      <c r="B6946" s="2" t="str">
        <f>"765905321"</f>
        <v>765905321</v>
      </c>
      <c r="C6946" s="2" t="str">
        <f>"765905321"</f>
        <v>765905321</v>
      </c>
      <c r="D6946" s="2" t="s">
        <v>5023</v>
      </c>
      <c r="E6946" s="4">
        <v>4500</v>
      </c>
    </row>
    <row r="6947" spans="1:5" ht="26.25" x14ac:dyDescent="0.25">
      <c r="A6947" s="2" t="s">
        <v>2488</v>
      </c>
      <c r="B6947" s="2" t="str">
        <f>"763905321"</f>
        <v>763905321</v>
      </c>
      <c r="C6947" s="2" t="str">
        <f>"763905321"</f>
        <v>763905321</v>
      </c>
      <c r="D6947" s="2" t="s">
        <v>5023</v>
      </c>
      <c r="E6947" s="4">
        <v>4500</v>
      </c>
    </row>
    <row r="6948" spans="1:5" ht="26.25" x14ac:dyDescent="0.25">
      <c r="A6948" s="2" t="s">
        <v>2488</v>
      </c>
      <c r="B6948" s="2" t="str">
        <f>"763110321"</f>
        <v>763110321</v>
      </c>
      <c r="C6948" s="2" t="str">
        <f>"763110321"</f>
        <v>763110321</v>
      </c>
      <c r="D6948" s="2" t="s">
        <v>5023</v>
      </c>
      <c r="E6948" s="4">
        <v>5000</v>
      </c>
    </row>
    <row r="6949" spans="1:5" ht="26.25" x14ac:dyDescent="0.25">
      <c r="A6949" s="2" t="s">
        <v>2488</v>
      </c>
      <c r="B6949" s="2" t="str">
        <f>"769905321"</f>
        <v>769905321</v>
      </c>
      <c r="C6949" s="2" t="str">
        <f>"769905321"</f>
        <v>769905321</v>
      </c>
      <c r="D6949" s="2" t="s">
        <v>5023</v>
      </c>
      <c r="E6949" s="4">
        <v>6500</v>
      </c>
    </row>
    <row r="6950" spans="1:5" ht="26.25" x14ac:dyDescent="0.25">
      <c r="A6950" s="2" t="s">
        <v>2488</v>
      </c>
      <c r="B6950" s="2" t="str">
        <f>"864805321"</f>
        <v>864805321</v>
      </c>
      <c r="C6950" s="2" t="str">
        <f>"864805321"</f>
        <v>864805321</v>
      </c>
      <c r="D6950" s="2" t="s">
        <v>5023</v>
      </c>
      <c r="E6950" s="4">
        <v>7500</v>
      </c>
    </row>
    <row r="6951" spans="1:5" ht="26.25" x14ac:dyDescent="0.25">
      <c r="A6951" s="2" t="s">
        <v>2488</v>
      </c>
      <c r="B6951" s="2" t="str">
        <f>"695105321"</f>
        <v>695105321</v>
      </c>
      <c r="C6951" s="2" t="str">
        <f>"695105321"</f>
        <v>695105321</v>
      </c>
      <c r="D6951" s="2" t="s">
        <v>5023</v>
      </c>
      <c r="E6951" s="4">
        <v>4500</v>
      </c>
    </row>
    <row r="6952" spans="1:5" ht="26.25" x14ac:dyDescent="0.25">
      <c r="A6952" s="2" t="s">
        <v>2488</v>
      </c>
      <c r="B6952" s="2" t="str">
        <f>"866405321"</f>
        <v>866405321</v>
      </c>
      <c r="C6952" s="2" t="str">
        <f>"866405321"</f>
        <v>866405321</v>
      </c>
      <c r="D6952" s="2" t="s">
        <v>5023</v>
      </c>
      <c r="E6952" s="4">
        <v>6500</v>
      </c>
    </row>
    <row r="6953" spans="1:5" ht="26.25" x14ac:dyDescent="0.25">
      <c r="A6953" s="2" t="s">
        <v>2488</v>
      </c>
      <c r="B6953" s="2" t="str">
        <f>"349905321"</f>
        <v>349905321</v>
      </c>
      <c r="C6953" s="2" t="str">
        <f>"349905321"</f>
        <v>349905321</v>
      </c>
      <c r="D6953" s="2" t="s">
        <v>5023</v>
      </c>
      <c r="E6953" s="4">
        <v>7000</v>
      </c>
    </row>
    <row r="6954" spans="1:5" ht="26.25" x14ac:dyDescent="0.25">
      <c r="A6954" s="2" t="s">
        <v>2488</v>
      </c>
      <c r="B6954" s="2" t="str">
        <f>"685105321"</f>
        <v>685105321</v>
      </c>
      <c r="C6954" s="2" t="str">
        <f>"685105321"</f>
        <v>685105321</v>
      </c>
      <c r="D6954" s="2" t="s">
        <v>5023</v>
      </c>
      <c r="E6954" s="4">
        <v>3500</v>
      </c>
    </row>
    <row r="6955" spans="1:5" ht="26.25" x14ac:dyDescent="0.25">
      <c r="A6955" s="2" t="s">
        <v>2488</v>
      </c>
      <c r="B6955" s="2" t="str">
        <f>"345105321"</f>
        <v>345105321</v>
      </c>
      <c r="C6955" s="2" t="str">
        <f>"345105321"</f>
        <v>345105321</v>
      </c>
      <c r="D6955" s="2" t="s">
        <v>5023</v>
      </c>
      <c r="E6955" s="4">
        <v>4000</v>
      </c>
    </row>
    <row r="6956" spans="1:5" ht="26.25" x14ac:dyDescent="0.25">
      <c r="A6956" s="2" t="s">
        <v>2488</v>
      </c>
      <c r="B6956" s="2" t="str">
        <f>"1908070128855"</f>
        <v>1908070128855</v>
      </c>
      <c r="C6956" s="2" t="str">
        <f>"343410322"</f>
        <v>343410322</v>
      </c>
      <c r="D6956" s="2" t="s">
        <v>5024</v>
      </c>
      <c r="E6956" s="4">
        <v>5000</v>
      </c>
    </row>
    <row r="6957" spans="1:5" ht="26.25" x14ac:dyDescent="0.25">
      <c r="A6957" s="2" t="s">
        <v>2488</v>
      </c>
      <c r="B6957" s="2" t="str">
        <f>"793410326"</f>
        <v>793410326</v>
      </c>
      <c r="C6957" s="2" t="str">
        <f>"793410326"</f>
        <v>793410326</v>
      </c>
      <c r="D6957" s="2" t="s">
        <v>5025</v>
      </c>
      <c r="E6957" s="4">
        <v>5000</v>
      </c>
    </row>
    <row r="6958" spans="1:5" ht="26.25" x14ac:dyDescent="0.25">
      <c r="A6958" s="2" t="s">
        <v>2488</v>
      </c>
      <c r="B6958" s="2" t="str">
        <f>"613410329"</f>
        <v>613410329</v>
      </c>
      <c r="C6958" s="2" t="str">
        <f>"613410329"</f>
        <v>613410329</v>
      </c>
      <c r="D6958" s="2" t="s">
        <v>5026</v>
      </c>
      <c r="E6958" s="4">
        <v>5000</v>
      </c>
    </row>
    <row r="6959" spans="1:5" ht="26.25" x14ac:dyDescent="0.25">
      <c r="A6959" s="2" t="s">
        <v>2488</v>
      </c>
      <c r="B6959" s="2" t="str">
        <f>"793410327"</f>
        <v>793410327</v>
      </c>
      <c r="C6959" s="2" t="str">
        <f>"793410327"</f>
        <v>793410327</v>
      </c>
      <c r="D6959" s="2" t="s">
        <v>5027</v>
      </c>
      <c r="E6959" s="4">
        <v>5000</v>
      </c>
    </row>
    <row r="6960" spans="1:5" ht="26.25" x14ac:dyDescent="0.25">
      <c r="A6960" s="2" t="s">
        <v>2488</v>
      </c>
      <c r="B6960" s="2" t="str">
        <f>"1000001004594"</f>
        <v>1000001004594</v>
      </c>
      <c r="C6960" s="2" t="str">
        <f>"763110313"</f>
        <v>763110313</v>
      </c>
      <c r="D6960" s="2" t="s">
        <v>5028</v>
      </c>
      <c r="E6960" s="4">
        <v>4500</v>
      </c>
    </row>
    <row r="6961" spans="1:5" ht="26.25" x14ac:dyDescent="0.25">
      <c r="A6961" s="2" t="s">
        <v>2488</v>
      </c>
      <c r="B6961" s="2" t="str">
        <f>"613410328"</f>
        <v>613410328</v>
      </c>
      <c r="C6961" s="2" t="str">
        <f>"613410328"</f>
        <v>613410328</v>
      </c>
      <c r="D6961" s="2" t="s">
        <v>5029</v>
      </c>
      <c r="E6961" s="4">
        <v>5000</v>
      </c>
    </row>
    <row r="6962" spans="1:5" ht="26.25" x14ac:dyDescent="0.25">
      <c r="A6962" s="2" t="s">
        <v>2488</v>
      </c>
      <c r="B6962" s="2" t="str">
        <f>"763431632"</f>
        <v>763431632</v>
      </c>
      <c r="C6962" s="2" t="str">
        <f>"763431632"</f>
        <v>763431632</v>
      </c>
      <c r="D6962" s="2" t="s">
        <v>5030</v>
      </c>
      <c r="E6962" s="4">
        <v>5000</v>
      </c>
    </row>
    <row r="6963" spans="1:5" ht="26.25" x14ac:dyDescent="0.25">
      <c r="A6963" s="2" t="s">
        <v>2488</v>
      </c>
      <c r="B6963" s="2" t="str">
        <f>"2019120200106"</f>
        <v>2019120200106</v>
      </c>
      <c r="C6963" s="2" t="str">
        <f>"183114289"</f>
        <v>183114289</v>
      </c>
      <c r="D6963" s="2" t="s">
        <v>5031</v>
      </c>
      <c r="E6963" s="4">
        <v>5000</v>
      </c>
    </row>
    <row r="6964" spans="1:5" ht="26.25" x14ac:dyDescent="0.25">
      <c r="A6964" s="2" t="s">
        <v>2488</v>
      </c>
      <c r="B6964" s="2" t="str">
        <f>"133414289"</f>
        <v>133414289</v>
      </c>
      <c r="C6964" s="2" t="str">
        <f>"133414289"</f>
        <v>133414289</v>
      </c>
      <c r="D6964" s="2" t="s">
        <v>5031</v>
      </c>
      <c r="E6964" s="4">
        <v>5000</v>
      </c>
    </row>
    <row r="6965" spans="1:5" ht="26.25" x14ac:dyDescent="0.25">
      <c r="A6965" s="2" t="s">
        <v>2488</v>
      </c>
      <c r="B6965" s="2" t="str">
        <f>"1908070129531"</f>
        <v>1908070129531</v>
      </c>
      <c r="C6965" s="2" t="str">
        <f>"343114303"</f>
        <v>343114303</v>
      </c>
      <c r="D6965" s="2" t="s">
        <v>5032</v>
      </c>
      <c r="E6965" s="4">
        <v>5000</v>
      </c>
    </row>
    <row r="6966" spans="1:5" ht="26.25" x14ac:dyDescent="0.25">
      <c r="A6966" s="2" t="s">
        <v>2488</v>
      </c>
      <c r="B6966" s="2" t="str">
        <f>"763414309"</f>
        <v>763414309</v>
      </c>
      <c r="C6966" s="2" t="str">
        <f>"763414309"</f>
        <v>763414309</v>
      </c>
      <c r="D6966" s="2" t="s">
        <v>5032</v>
      </c>
      <c r="E6966" s="4">
        <v>5000</v>
      </c>
    </row>
    <row r="6967" spans="1:5" ht="26.25" x14ac:dyDescent="0.25">
      <c r="A6967" s="2" t="s">
        <v>2488</v>
      </c>
      <c r="B6967" s="2" t="str">
        <f>"133114309"</f>
        <v>133114309</v>
      </c>
      <c r="C6967" s="2" t="str">
        <f>"133114309"</f>
        <v>133114309</v>
      </c>
      <c r="D6967" s="2" t="s">
        <v>5032</v>
      </c>
      <c r="E6967" s="4">
        <v>5000</v>
      </c>
    </row>
    <row r="6968" spans="1:5" ht="26.25" x14ac:dyDescent="0.25">
      <c r="A6968" s="2" t="s">
        <v>2488</v>
      </c>
      <c r="B6968" s="2" t="str">
        <f>"793414279"</f>
        <v>793414279</v>
      </c>
      <c r="C6968" s="2" t="str">
        <f>"793414279"</f>
        <v>793414279</v>
      </c>
      <c r="D6968" s="2" t="s">
        <v>5033</v>
      </c>
      <c r="E6968" s="4">
        <v>5000</v>
      </c>
    </row>
    <row r="6969" spans="1:5" ht="26.25" x14ac:dyDescent="0.25">
      <c r="A6969" s="2" t="s">
        <v>2488</v>
      </c>
      <c r="B6969" s="2" t="str">
        <f>"1908070126028"</f>
        <v>1908070126028</v>
      </c>
      <c r="C6969" s="2" t="str">
        <f>"343114279"</f>
        <v>343114279</v>
      </c>
      <c r="D6969" s="2" t="s">
        <v>5033</v>
      </c>
      <c r="E6969" s="4">
        <v>5000</v>
      </c>
    </row>
    <row r="6970" spans="1:5" ht="26.25" x14ac:dyDescent="0.25">
      <c r="A6970" s="2" t="s">
        <v>2488</v>
      </c>
      <c r="B6970" s="2" t="str">
        <f>"1000001014067"</f>
        <v>1000001014067</v>
      </c>
      <c r="C6970" s="2" t="str">
        <f>"762514279"</f>
        <v>762514279</v>
      </c>
      <c r="D6970" s="2" t="s">
        <v>5034</v>
      </c>
      <c r="E6970" s="4">
        <v>5000</v>
      </c>
    </row>
    <row r="6971" spans="1:5" ht="26.25" x14ac:dyDescent="0.25">
      <c r="A6971" s="2" t="s">
        <v>2488</v>
      </c>
      <c r="B6971" s="2" t="str">
        <f>"762514284"</f>
        <v>762514284</v>
      </c>
      <c r="C6971" s="2" t="str">
        <f>"762514284"</f>
        <v>762514284</v>
      </c>
      <c r="D6971" s="2" t="s">
        <v>5035</v>
      </c>
      <c r="E6971" s="4">
        <v>5000</v>
      </c>
    </row>
    <row r="6972" spans="1:5" ht="26.25" x14ac:dyDescent="0.25">
      <c r="A6972" s="2" t="s">
        <v>2488</v>
      </c>
      <c r="B6972" s="2" t="str">
        <f>"793414284"</f>
        <v>793414284</v>
      </c>
      <c r="C6972" s="2" t="str">
        <f>"793414284"</f>
        <v>793414284</v>
      </c>
      <c r="D6972" s="2" t="s">
        <v>5035</v>
      </c>
      <c r="E6972" s="4">
        <v>5000</v>
      </c>
    </row>
    <row r="6973" spans="1:5" ht="26.25" x14ac:dyDescent="0.25">
      <c r="A6973" s="2" t="s">
        <v>2488</v>
      </c>
      <c r="B6973" s="2" t="str">
        <f>"763114284"</f>
        <v>763114284</v>
      </c>
      <c r="C6973" s="2" t="str">
        <f>"763114284"</f>
        <v>763114284</v>
      </c>
      <c r="D6973" s="2" t="s">
        <v>5035</v>
      </c>
      <c r="E6973" s="4">
        <v>4500</v>
      </c>
    </row>
    <row r="6974" spans="1:5" ht="26.25" x14ac:dyDescent="0.25">
      <c r="A6974" s="2" t="s">
        <v>2488</v>
      </c>
      <c r="B6974" s="2" t="str">
        <f>"133414284"</f>
        <v>133414284</v>
      </c>
      <c r="C6974" s="2" t="str">
        <f>"133414284"</f>
        <v>133414284</v>
      </c>
      <c r="D6974" s="2" t="s">
        <v>5035</v>
      </c>
      <c r="E6974" s="4">
        <v>5000</v>
      </c>
    </row>
    <row r="6975" spans="1:5" ht="26.25" x14ac:dyDescent="0.25">
      <c r="A6975" s="2" t="s">
        <v>2488</v>
      </c>
      <c r="B6975" s="2" t="str">
        <f>"133114284"</f>
        <v>133114284</v>
      </c>
      <c r="C6975" s="2" t="str">
        <f>"133114284"</f>
        <v>133114284</v>
      </c>
      <c r="D6975" s="2" t="s">
        <v>5035</v>
      </c>
      <c r="E6975" s="4">
        <v>5000</v>
      </c>
    </row>
    <row r="6976" spans="1:5" ht="26.25" x14ac:dyDescent="0.25">
      <c r="A6976" s="2" t="s">
        <v>2488</v>
      </c>
      <c r="B6976" s="2" t="str">
        <f>"1908070127285"</f>
        <v>1908070127285</v>
      </c>
      <c r="C6976" s="2" t="str">
        <f>"343114284"</f>
        <v>343114284</v>
      </c>
      <c r="D6976" s="2" t="s">
        <v>5036</v>
      </c>
      <c r="E6976" s="4">
        <v>5000</v>
      </c>
    </row>
    <row r="6977" spans="1:5" ht="26.25" x14ac:dyDescent="0.25">
      <c r="A6977" s="2" t="s">
        <v>2488</v>
      </c>
      <c r="B6977" s="2" t="str">
        <f>"793414287"</f>
        <v>793414287</v>
      </c>
      <c r="C6977" s="2" t="str">
        <f>"793414287"</f>
        <v>793414287</v>
      </c>
      <c r="D6977" s="2" t="s">
        <v>5037</v>
      </c>
      <c r="E6977" s="4">
        <v>5000</v>
      </c>
    </row>
    <row r="6978" spans="1:5" ht="26.25" x14ac:dyDescent="0.25">
      <c r="A6978" s="2" t="s">
        <v>2488</v>
      </c>
      <c r="B6978" s="2" t="str">
        <f>"763114300"</f>
        <v>763114300</v>
      </c>
      <c r="C6978" s="2" t="str">
        <f>"763114300"</f>
        <v>763114300</v>
      </c>
      <c r="D6978" s="2" t="s">
        <v>5038</v>
      </c>
      <c r="E6978" s="4">
        <v>5000</v>
      </c>
    </row>
    <row r="6979" spans="1:5" ht="26.25" x14ac:dyDescent="0.25">
      <c r="A6979" s="2" t="s">
        <v>2488</v>
      </c>
      <c r="B6979" s="2" t="str">
        <f>"1908070129685"</f>
        <v>1908070129685</v>
      </c>
      <c r="C6979" s="2" t="str">
        <f>"343114301"</f>
        <v>343114301</v>
      </c>
      <c r="D6979" s="2" t="s">
        <v>5038</v>
      </c>
      <c r="E6979" s="4">
        <v>5000</v>
      </c>
    </row>
    <row r="6980" spans="1:5" ht="26.25" x14ac:dyDescent="0.25">
      <c r="A6980" s="2" t="s">
        <v>2488</v>
      </c>
      <c r="B6980" s="2" t="str">
        <f>"1908070129692"</f>
        <v>1908070129692</v>
      </c>
      <c r="C6980" s="2" t="str">
        <f>"343114300"</f>
        <v>343114300</v>
      </c>
      <c r="D6980" s="2" t="s">
        <v>5038</v>
      </c>
      <c r="E6980" s="4">
        <v>5000</v>
      </c>
    </row>
    <row r="6981" spans="1:5" ht="26.25" x14ac:dyDescent="0.25">
      <c r="A6981" s="2" t="s">
        <v>2488</v>
      </c>
      <c r="B6981" s="2" t="str">
        <f>"133414300"</f>
        <v>133414300</v>
      </c>
      <c r="C6981" s="2" t="str">
        <f>"133414300"</f>
        <v>133414300</v>
      </c>
      <c r="D6981" s="2" t="s">
        <v>5038</v>
      </c>
      <c r="E6981" s="4">
        <v>5000</v>
      </c>
    </row>
    <row r="6982" spans="1:5" ht="26.25" x14ac:dyDescent="0.25">
      <c r="A6982" s="2" t="s">
        <v>2488</v>
      </c>
      <c r="B6982" s="2" t="str">
        <f>"1000001014029"</f>
        <v>1000001014029</v>
      </c>
      <c r="C6982" s="2" t="str">
        <f>"793114281"</f>
        <v>793114281</v>
      </c>
      <c r="D6982" s="2" t="s">
        <v>5039</v>
      </c>
      <c r="E6982" s="4">
        <v>4500</v>
      </c>
    </row>
    <row r="6983" spans="1:5" ht="26.25" x14ac:dyDescent="0.25">
      <c r="A6983" s="2" t="s">
        <v>2488</v>
      </c>
      <c r="B6983" s="2" t="str">
        <f>"1908070125809"</f>
        <v>1908070125809</v>
      </c>
      <c r="C6983" s="2" t="str">
        <f>"343114281"</f>
        <v>343114281</v>
      </c>
      <c r="D6983" s="2" t="s">
        <v>5039</v>
      </c>
      <c r="E6983" s="4">
        <v>5000</v>
      </c>
    </row>
    <row r="6984" spans="1:5" ht="26.25" x14ac:dyDescent="0.25">
      <c r="A6984" s="2" t="s">
        <v>2488</v>
      </c>
      <c r="B6984" s="2" t="str">
        <f>"133414285"</f>
        <v>133414285</v>
      </c>
      <c r="C6984" s="2" t="str">
        <f>"133414285"</f>
        <v>133414285</v>
      </c>
      <c r="D6984" s="2" t="s">
        <v>5040</v>
      </c>
      <c r="E6984" s="4">
        <v>5000</v>
      </c>
    </row>
    <row r="6985" spans="1:5" ht="26.25" x14ac:dyDescent="0.25">
      <c r="A6985" s="2" t="s">
        <v>2488</v>
      </c>
      <c r="B6985" s="2" t="str">
        <f>"133114285"</f>
        <v>133114285</v>
      </c>
      <c r="C6985" s="2" t="str">
        <f>"133114285"</f>
        <v>133114285</v>
      </c>
      <c r="D6985" s="2" t="s">
        <v>5040</v>
      </c>
      <c r="E6985" s="4">
        <v>5000</v>
      </c>
    </row>
    <row r="6986" spans="1:5" ht="26.25" x14ac:dyDescent="0.25">
      <c r="A6986" s="2" t="s">
        <v>2488</v>
      </c>
      <c r="B6986" s="2" t="str">
        <f>"762514285"</f>
        <v>762514285</v>
      </c>
      <c r="C6986" s="2" t="str">
        <f>"792514285"</f>
        <v>792514285</v>
      </c>
      <c r="D6986" s="2" t="s">
        <v>5041</v>
      </c>
      <c r="E6986" s="4">
        <v>5000</v>
      </c>
    </row>
    <row r="6987" spans="1:5" ht="26.25" x14ac:dyDescent="0.25">
      <c r="A6987" s="2" t="s">
        <v>2488</v>
      </c>
      <c r="B6987" s="2" t="str">
        <f>"1908070127292"</f>
        <v>1908070127292</v>
      </c>
      <c r="C6987" s="2" t="str">
        <f>"343114285"</f>
        <v>343114285</v>
      </c>
      <c r="D6987" s="2" t="s">
        <v>5041</v>
      </c>
      <c r="E6987" s="4">
        <v>5000</v>
      </c>
    </row>
    <row r="6988" spans="1:5" ht="26.25" x14ac:dyDescent="0.25">
      <c r="A6988" s="2" t="s">
        <v>2488</v>
      </c>
      <c r="B6988" s="2" t="str">
        <f>"133414293"</f>
        <v>133414293</v>
      </c>
      <c r="C6988" s="2" t="str">
        <f>"133414293"</f>
        <v>133414293</v>
      </c>
      <c r="D6988" s="2" t="s">
        <v>5042</v>
      </c>
      <c r="E6988" s="4">
        <v>5000</v>
      </c>
    </row>
    <row r="6989" spans="1:5" ht="26.25" x14ac:dyDescent="0.25">
      <c r="A6989" s="2" t="s">
        <v>2488</v>
      </c>
      <c r="B6989" s="2" t="str">
        <f>"1908070129029"</f>
        <v>1908070129029</v>
      </c>
      <c r="C6989" s="2" t="str">
        <f>"793414293"</f>
        <v>793414293</v>
      </c>
      <c r="D6989" s="2" t="s">
        <v>5043</v>
      </c>
      <c r="E6989" s="4">
        <v>5000</v>
      </c>
    </row>
    <row r="6990" spans="1:5" ht="26.25" x14ac:dyDescent="0.25">
      <c r="A6990" s="2" t="s">
        <v>2488</v>
      </c>
      <c r="B6990" s="2" t="str">
        <f>"2019029900695"</f>
        <v>2019029900695</v>
      </c>
      <c r="C6990" s="2" t="str">
        <f>"183114274"</f>
        <v>183114274</v>
      </c>
      <c r="D6990" s="2" t="s">
        <v>5044</v>
      </c>
      <c r="E6990" s="4">
        <v>5000</v>
      </c>
    </row>
    <row r="6991" spans="1:5" ht="26.25" x14ac:dyDescent="0.25">
      <c r="A6991" s="2" t="s">
        <v>2488</v>
      </c>
      <c r="B6991" s="2" t="str">
        <f>"1908070125366"</f>
        <v>1908070125366</v>
      </c>
      <c r="C6991" s="2" t="str">
        <f>"343414275"</f>
        <v>343414275</v>
      </c>
      <c r="D6991" s="2" t="s">
        <v>5045</v>
      </c>
      <c r="E6991" s="4">
        <v>5000</v>
      </c>
    </row>
    <row r="6992" spans="1:5" ht="26.25" x14ac:dyDescent="0.25">
      <c r="A6992" s="2" t="s">
        <v>2488</v>
      </c>
      <c r="B6992" s="2" t="str">
        <f>"1000001004839"</f>
        <v>1000001004839</v>
      </c>
      <c r="C6992" s="2" t="str">
        <f>"762514274"</f>
        <v>762514274</v>
      </c>
      <c r="D6992" s="2" t="s">
        <v>5045</v>
      </c>
      <c r="E6992" s="4">
        <v>5000</v>
      </c>
    </row>
    <row r="6993" spans="1:5" ht="26.25" x14ac:dyDescent="0.25">
      <c r="A6993" s="2" t="s">
        <v>2488</v>
      </c>
      <c r="B6993" s="2" t="str">
        <f>"793414286"</f>
        <v>793414286</v>
      </c>
      <c r="C6993" s="2" t="str">
        <f>"793414286"</f>
        <v>793414286</v>
      </c>
      <c r="D6993" s="2" t="s">
        <v>5046</v>
      </c>
      <c r="E6993" s="4">
        <v>5000</v>
      </c>
    </row>
    <row r="6994" spans="1:5" ht="26.25" x14ac:dyDescent="0.25">
      <c r="A6994" s="2" t="s">
        <v>2488</v>
      </c>
      <c r="B6994" s="2" t="str">
        <f>"1908070127308"</f>
        <v>1908070127308</v>
      </c>
      <c r="C6994" s="2" t="str">
        <f>"343114286"</f>
        <v>343114286</v>
      </c>
      <c r="D6994" s="2" t="s">
        <v>5047</v>
      </c>
      <c r="E6994" s="4">
        <v>5000</v>
      </c>
    </row>
    <row r="6995" spans="1:5" ht="26.25" x14ac:dyDescent="0.25">
      <c r="A6995" s="2" t="s">
        <v>2488</v>
      </c>
      <c r="B6995" s="2" t="str">
        <f>"762514286"</f>
        <v>762514286</v>
      </c>
      <c r="C6995" s="2" t="str">
        <f>"762514286"</f>
        <v>762514286</v>
      </c>
      <c r="D6995" s="2" t="s">
        <v>5047</v>
      </c>
      <c r="E6995" s="4">
        <v>5000</v>
      </c>
    </row>
    <row r="6996" spans="1:5" ht="26.25" x14ac:dyDescent="0.25">
      <c r="A6996" s="2" t="s">
        <v>2488</v>
      </c>
      <c r="B6996" s="2" t="str">
        <f>"133414294"</f>
        <v>133414294</v>
      </c>
      <c r="C6996" s="2" t="str">
        <f>"133414294"</f>
        <v>133414294</v>
      </c>
      <c r="D6996" s="2" t="s">
        <v>5048</v>
      </c>
      <c r="E6996" s="4">
        <v>5000</v>
      </c>
    </row>
    <row r="6997" spans="1:5" ht="26.25" x14ac:dyDescent="0.25">
      <c r="A6997" s="2" t="s">
        <v>2488</v>
      </c>
      <c r="B6997" s="2" t="str">
        <f>"763414294"</f>
        <v>763414294</v>
      </c>
      <c r="C6997" s="2" t="str">
        <f>"763414294"</f>
        <v>763414294</v>
      </c>
      <c r="D6997" s="2" t="s">
        <v>5049</v>
      </c>
      <c r="E6997" s="4">
        <v>5000</v>
      </c>
    </row>
    <row r="6998" spans="1:5" ht="26.25" x14ac:dyDescent="0.25">
      <c r="A6998" s="2" t="s">
        <v>2488</v>
      </c>
      <c r="B6998" s="2" t="str">
        <f>"793414294"</f>
        <v>793414294</v>
      </c>
      <c r="C6998" s="2" t="str">
        <f>"793414294"</f>
        <v>793414294</v>
      </c>
      <c r="D6998" s="2" t="s">
        <v>5049</v>
      </c>
      <c r="E6998" s="4">
        <v>5000</v>
      </c>
    </row>
    <row r="6999" spans="1:5" ht="26.25" x14ac:dyDescent="0.25">
      <c r="A6999" s="2" t="s">
        <v>2488</v>
      </c>
      <c r="B6999" s="2" t="str">
        <f>"133414304"</f>
        <v>133414304</v>
      </c>
      <c r="C6999" s="2" t="str">
        <f>"133414304"</f>
        <v>133414304</v>
      </c>
      <c r="D6999" s="2" t="s">
        <v>5050</v>
      </c>
      <c r="E6999" s="4">
        <v>5000</v>
      </c>
    </row>
    <row r="7000" spans="1:5" ht="26.25" x14ac:dyDescent="0.25">
      <c r="A7000" s="2" t="s">
        <v>2488</v>
      </c>
      <c r="B7000" s="2" t="str">
        <f>"763414304"</f>
        <v>763414304</v>
      </c>
      <c r="C7000" s="2" t="str">
        <f>"763414304"</f>
        <v>763414304</v>
      </c>
      <c r="D7000" s="2" t="s">
        <v>5050</v>
      </c>
      <c r="E7000" s="4">
        <v>5000</v>
      </c>
    </row>
    <row r="7001" spans="1:5" ht="26.25" x14ac:dyDescent="0.25">
      <c r="A7001" s="2" t="s">
        <v>2488</v>
      </c>
      <c r="B7001" s="2" t="str">
        <f>"133114304"</f>
        <v>133114304</v>
      </c>
      <c r="C7001" s="2" t="str">
        <f>"133114304"</f>
        <v>133114304</v>
      </c>
      <c r="D7001" s="2" t="s">
        <v>5051</v>
      </c>
      <c r="E7001" s="4">
        <v>5000</v>
      </c>
    </row>
    <row r="7002" spans="1:5" ht="26.25" x14ac:dyDescent="0.25">
      <c r="A7002" s="2" t="s">
        <v>2488</v>
      </c>
      <c r="B7002" s="2" t="str">
        <f>"613414275"</f>
        <v>613414275</v>
      </c>
      <c r="C7002" s="2" t="str">
        <f>"613414275"</f>
        <v>613414275</v>
      </c>
      <c r="D7002" s="2" t="s">
        <v>5052</v>
      </c>
      <c r="E7002" s="4">
        <v>5000</v>
      </c>
    </row>
    <row r="7003" spans="1:5" ht="26.25" x14ac:dyDescent="0.25">
      <c r="A7003" s="2" t="s">
        <v>2488</v>
      </c>
      <c r="B7003" s="2" t="str">
        <f>"133114275"</f>
        <v>133114275</v>
      </c>
      <c r="C7003" s="2" t="str">
        <f>"133114275"</f>
        <v>133114275</v>
      </c>
      <c r="D7003" s="2" t="s">
        <v>5052</v>
      </c>
      <c r="E7003" s="4">
        <v>5000</v>
      </c>
    </row>
    <row r="7004" spans="1:5" ht="26.25" x14ac:dyDescent="0.25">
      <c r="A7004" s="2" t="s">
        <v>2488</v>
      </c>
      <c r="B7004" s="2" t="str">
        <f>"793414275"</f>
        <v>793414275</v>
      </c>
      <c r="C7004" s="2" t="str">
        <f>"793414275"</f>
        <v>793414275</v>
      </c>
      <c r="D7004" s="2" t="s">
        <v>5053</v>
      </c>
      <c r="E7004" s="4">
        <v>5000</v>
      </c>
    </row>
    <row r="7005" spans="1:5" ht="26.25" x14ac:dyDescent="0.25">
      <c r="A7005" s="2" t="s">
        <v>2488</v>
      </c>
      <c r="B7005" s="2" t="str">
        <f>"613414288"</f>
        <v>613414288</v>
      </c>
      <c r="C7005" s="2" t="str">
        <f>"613414288"</f>
        <v>613414288</v>
      </c>
      <c r="D7005" s="2" t="s">
        <v>5054</v>
      </c>
      <c r="E7005" s="4">
        <v>5000</v>
      </c>
    </row>
    <row r="7006" spans="1:5" ht="26.25" x14ac:dyDescent="0.25">
      <c r="A7006" s="2" t="s">
        <v>2488</v>
      </c>
      <c r="B7006" s="2" t="str">
        <f>"133414288"</f>
        <v>133414288</v>
      </c>
      <c r="C7006" s="2" t="str">
        <f>"133414288"</f>
        <v>133414288</v>
      </c>
      <c r="D7006" s="2" t="s">
        <v>5054</v>
      </c>
      <c r="E7006" s="4">
        <v>5000</v>
      </c>
    </row>
    <row r="7007" spans="1:5" ht="26.25" x14ac:dyDescent="0.25">
      <c r="A7007" s="2" t="s">
        <v>2488</v>
      </c>
      <c r="B7007" s="2" t="str">
        <f>"1908070128251"</f>
        <v>1908070128251</v>
      </c>
      <c r="C7007" s="2" t="str">
        <f>"793414288"</f>
        <v>793414288</v>
      </c>
      <c r="D7007" s="2" t="s">
        <v>5055</v>
      </c>
      <c r="E7007" s="4">
        <v>5000</v>
      </c>
    </row>
    <row r="7008" spans="1:5" ht="26.25" x14ac:dyDescent="0.25">
      <c r="A7008" s="2" t="s">
        <v>2488</v>
      </c>
      <c r="B7008" s="2" t="str">
        <f>"763414307"</f>
        <v>763414307</v>
      </c>
      <c r="C7008" s="2" t="str">
        <f>"763414307"</f>
        <v>763414307</v>
      </c>
      <c r="D7008" s="2" t="s">
        <v>5056</v>
      </c>
      <c r="E7008" s="4">
        <v>5000</v>
      </c>
    </row>
    <row r="7009" spans="1:5" ht="26.25" x14ac:dyDescent="0.25">
      <c r="A7009" s="2" t="s">
        <v>2488</v>
      </c>
      <c r="B7009" s="2" t="str">
        <f>"763314265"</f>
        <v>763314265</v>
      </c>
      <c r="C7009" s="2" t="str">
        <f>"763314265"</f>
        <v>763314265</v>
      </c>
      <c r="D7009" s="2" t="s">
        <v>5057</v>
      </c>
      <c r="E7009" s="4">
        <v>3000</v>
      </c>
    </row>
    <row r="7010" spans="1:5" ht="26.25" x14ac:dyDescent="0.25">
      <c r="A7010" s="2" t="s">
        <v>2488</v>
      </c>
      <c r="B7010" s="2" t="str">
        <f>"793414265"</f>
        <v>793414265</v>
      </c>
      <c r="C7010" s="2" t="str">
        <f>"793414265"</f>
        <v>793414265</v>
      </c>
      <c r="D7010" s="2" t="s">
        <v>5057</v>
      </c>
      <c r="E7010" s="4">
        <v>5000</v>
      </c>
    </row>
    <row r="7011" spans="1:5" ht="26.25" x14ac:dyDescent="0.25">
      <c r="A7011" s="2" t="s">
        <v>2488</v>
      </c>
      <c r="B7011" s="2" t="str">
        <f>"1000001002170"</f>
        <v>1000001002170</v>
      </c>
      <c r="C7011" s="2" t="str">
        <f>"762514277"</f>
        <v>762514277</v>
      </c>
      <c r="D7011" s="2" t="s">
        <v>5058</v>
      </c>
      <c r="E7011" s="4">
        <v>5000</v>
      </c>
    </row>
    <row r="7012" spans="1:5" ht="26.25" x14ac:dyDescent="0.25">
      <c r="A7012" s="2" t="s">
        <v>2488</v>
      </c>
      <c r="B7012" s="2" t="str">
        <f>"1908070125816"</f>
        <v>1908070125816</v>
      </c>
      <c r="C7012" s="2" t="str">
        <f>"343114277"</f>
        <v>343114277</v>
      </c>
      <c r="D7012" s="2" t="s">
        <v>5058</v>
      </c>
      <c r="E7012" s="4">
        <v>5000</v>
      </c>
    </row>
    <row r="7013" spans="1:5" ht="26.25" x14ac:dyDescent="0.25">
      <c r="A7013" s="2" t="s">
        <v>2488</v>
      </c>
      <c r="B7013" s="2" t="str">
        <f>"342514139"</f>
        <v>342514139</v>
      </c>
      <c r="C7013" s="2" t="str">
        <f>"342514139"</f>
        <v>342514139</v>
      </c>
      <c r="D7013" s="2" t="s">
        <v>5059</v>
      </c>
      <c r="E7013" s="4">
        <v>8490</v>
      </c>
    </row>
    <row r="7014" spans="1:5" ht="26.25" x14ac:dyDescent="0.25">
      <c r="A7014" s="2" t="s">
        <v>2488</v>
      </c>
      <c r="B7014" s="2" t="str">
        <f>"793414290"</f>
        <v>793414290</v>
      </c>
      <c r="C7014" s="2" t="str">
        <f>"793414290"</f>
        <v>793414290</v>
      </c>
      <c r="D7014" s="2" t="s">
        <v>5060</v>
      </c>
      <c r="E7014" s="4">
        <v>5000</v>
      </c>
    </row>
    <row r="7015" spans="1:5" ht="26.25" x14ac:dyDescent="0.25">
      <c r="A7015" s="2" t="s">
        <v>2488</v>
      </c>
      <c r="B7015" s="2" t="str">
        <f>"763414308"</f>
        <v>763414308</v>
      </c>
      <c r="C7015" s="2" t="str">
        <f>"763414308"</f>
        <v>763414308</v>
      </c>
      <c r="D7015" s="2" t="s">
        <v>5061</v>
      </c>
      <c r="E7015" s="4">
        <v>5000</v>
      </c>
    </row>
    <row r="7016" spans="1:5" ht="26.25" x14ac:dyDescent="0.25">
      <c r="A7016" s="2" t="s">
        <v>2488</v>
      </c>
      <c r="B7016" s="2" t="str">
        <f>"1000001004020"</f>
        <v>1000001004020</v>
      </c>
      <c r="C7016" s="2" t="str">
        <f>"763114138"</f>
        <v>763114138</v>
      </c>
      <c r="D7016" s="2" t="s">
        <v>5062</v>
      </c>
      <c r="E7016" s="4">
        <v>5500</v>
      </c>
    </row>
    <row r="7017" spans="1:5" ht="26.25" x14ac:dyDescent="0.25">
      <c r="A7017" s="2" t="s">
        <v>2488</v>
      </c>
      <c r="B7017" s="2" t="str">
        <f>"343114168"</f>
        <v>343114168</v>
      </c>
      <c r="C7017" s="2" t="str">
        <f>"343114168"</f>
        <v>343114168</v>
      </c>
      <c r="D7017" s="2" t="s">
        <v>5063</v>
      </c>
      <c r="E7017" s="4">
        <v>8490</v>
      </c>
    </row>
    <row r="7018" spans="1:5" ht="26.25" x14ac:dyDescent="0.25">
      <c r="A7018" s="2" t="s">
        <v>2488</v>
      </c>
      <c r="B7018" s="2" t="str">
        <f>"613414282"</f>
        <v>613414282</v>
      </c>
      <c r="C7018" s="2" t="str">
        <f>"613414282"</f>
        <v>613414282</v>
      </c>
      <c r="D7018" s="2" t="s">
        <v>5064</v>
      </c>
      <c r="E7018" s="4">
        <v>5000</v>
      </c>
    </row>
    <row r="7019" spans="1:5" ht="26.25" x14ac:dyDescent="0.25">
      <c r="A7019" s="2" t="s">
        <v>2488</v>
      </c>
      <c r="B7019" s="2" t="str">
        <f>"1000001004419"</f>
        <v>1000001004419</v>
      </c>
      <c r="C7019" s="2" t="str">
        <f>"763114255"</f>
        <v>763114255</v>
      </c>
      <c r="D7019" s="2" t="s">
        <v>5065</v>
      </c>
      <c r="E7019" s="4">
        <v>5500</v>
      </c>
    </row>
    <row r="7020" spans="1:5" ht="26.25" x14ac:dyDescent="0.25">
      <c r="A7020" s="2" t="s">
        <v>2488</v>
      </c>
      <c r="B7020" s="2" t="str">
        <f>"343114255"</f>
        <v>343114255</v>
      </c>
      <c r="C7020" s="2" t="str">
        <f>"343114255"</f>
        <v>343114255</v>
      </c>
      <c r="D7020" s="2" t="s">
        <v>5065</v>
      </c>
      <c r="E7020" s="4">
        <v>4500</v>
      </c>
    </row>
    <row r="7021" spans="1:5" ht="26.25" x14ac:dyDescent="0.25">
      <c r="A7021" s="2" t="s">
        <v>2488</v>
      </c>
      <c r="B7021" s="2" t="str">
        <f>"1000001004426"</f>
        <v>1000001004426</v>
      </c>
      <c r="C7021" s="2" t="str">
        <f>"763114256"</f>
        <v>763114256</v>
      </c>
      <c r="D7021" s="2" t="s">
        <v>5066</v>
      </c>
      <c r="E7021" s="4">
        <v>5500</v>
      </c>
    </row>
    <row r="7022" spans="1:5" ht="26.25" x14ac:dyDescent="0.25">
      <c r="A7022" s="2" t="s">
        <v>2488</v>
      </c>
      <c r="B7022" s="2" t="str">
        <f>"343114256"</f>
        <v>343114256</v>
      </c>
      <c r="C7022" s="2" t="str">
        <f>"343114256"</f>
        <v>343114256</v>
      </c>
      <c r="D7022" s="2" t="s">
        <v>5066</v>
      </c>
      <c r="E7022" s="4">
        <v>4500</v>
      </c>
    </row>
    <row r="7023" spans="1:5" ht="26.25" x14ac:dyDescent="0.25">
      <c r="A7023" s="2" t="s">
        <v>2488</v>
      </c>
      <c r="B7023" s="2" t="str">
        <f>"343114264"</f>
        <v>343114264</v>
      </c>
      <c r="C7023" s="2" t="str">
        <f>"343114264"</f>
        <v>343114264</v>
      </c>
      <c r="D7023" s="2" t="s">
        <v>5067</v>
      </c>
      <c r="E7023" s="4">
        <v>4500</v>
      </c>
    </row>
    <row r="7024" spans="1:5" ht="26.25" x14ac:dyDescent="0.25">
      <c r="A7024" s="2" t="s">
        <v>2488</v>
      </c>
      <c r="B7024" s="2" t="str">
        <f>"1000001004525"</f>
        <v>1000001004525</v>
      </c>
      <c r="C7024" s="2" t="str">
        <f>"763114264"</f>
        <v>763114264</v>
      </c>
      <c r="D7024" s="2" t="s">
        <v>5068</v>
      </c>
      <c r="E7024" s="4">
        <v>5500</v>
      </c>
    </row>
    <row r="7025" spans="1:5" ht="26.25" x14ac:dyDescent="0.25">
      <c r="A7025" s="2" t="s">
        <v>2488</v>
      </c>
      <c r="B7025" s="2" t="str">
        <f>"793414137"</f>
        <v>793414137</v>
      </c>
      <c r="C7025" s="2" t="str">
        <f>"793414137"</f>
        <v>793414137</v>
      </c>
      <c r="D7025" s="2" t="s">
        <v>5069</v>
      </c>
      <c r="E7025" s="4">
        <v>5000</v>
      </c>
    </row>
    <row r="7026" spans="1:5" ht="26.25" x14ac:dyDescent="0.25">
      <c r="A7026" s="2" t="s">
        <v>2488</v>
      </c>
      <c r="B7026" s="2" t="str">
        <f>"613414266"</f>
        <v>613414266</v>
      </c>
      <c r="C7026" s="2" t="str">
        <f>"613414266"</f>
        <v>613414266</v>
      </c>
      <c r="D7026" s="2" t="s">
        <v>5070</v>
      </c>
      <c r="E7026" s="4">
        <v>6500</v>
      </c>
    </row>
    <row r="7027" spans="1:5" ht="26.25" x14ac:dyDescent="0.25">
      <c r="A7027" s="2" t="s">
        <v>2488</v>
      </c>
      <c r="B7027" s="2" t="str">
        <f>"763414266"</f>
        <v>763414266</v>
      </c>
      <c r="C7027" s="2" t="str">
        <f>"763414266"</f>
        <v>763414266</v>
      </c>
      <c r="D7027" s="2" t="s">
        <v>5070</v>
      </c>
      <c r="E7027" s="4">
        <v>6500</v>
      </c>
    </row>
    <row r="7028" spans="1:5" ht="26.25" x14ac:dyDescent="0.25">
      <c r="A7028" s="2" t="s">
        <v>2488</v>
      </c>
      <c r="B7028" s="2" t="str">
        <f>"343114261"</f>
        <v>343114261</v>
      </c>
      <c r="C7028" s="2" t="str">
        <f>"343114261"</f>
        <v>343114261</v>
      </c>
      <c r="D7028" s="2" t="s">
        <v>5071</v>
      </c>
      <c r="E7028" s="4">
        <v>5500</v>
      </c>
    </row>
    <row r="7029" spans="1:5" ht="26.25" x14ac:dyDescent="0.25">
      <c r="A7029" s="2" t="s">
        <v>2488</v>
      </c>
      <c r="B7029" s="2" t="str">
        <f>"793414261"</f>
        <v>793414261</v>
      </c>
      <c r="C7029" s="2" t="str">
        <f>"793414261"</f>
        <v>793414261</v>
      </c>
      <c r="D7029" s="2" t="s">
        <v>5072</v>
      </c>
      <c r="E7029" s="4">
        <v>5000</v>
      </c>
    </row>
    <row r="7030" spans="1:5" ht="26.25" x14ac:dyDescent="0.25">
      <c r="A7030" s="2" t="s">
        <v>2488</v>
      </c>
      <c r="B7030" s="2" t="str">
        <f>"1000001004471"</f>
        <v>1000001004471</v>
      </c>
      <c r="C7030" s="2" t="str">
        <f>"762514261"</f>
        <v>762514261</v>
      </c>
      <c r="D7030" s="2" t="s">
        <v>5072</v>
      </c>
      <c r="E7030" s="4">
        <v>5000</v>
      </c>
    </row>
    <row r="7031" spans="1:5" ht="26.25" x14ac:dyDescent="0.25">
      <c r="A7031" s="2" t="s">
        <v>2488</v>
      </c>
      <c r="B7031" s="2" t="str">
        <f>"793414298"</f>
        <v>793414298</v>
      </c>
      <c r="C7031" s="2" t="str">
        <f>"793414298"</f>
        <v>793414298</v>
      </c>
      <c r="D7031" s="2" t="s">
        <v>5073</v>
      </c>
      <c r="E7031" s="4">
        <v>5000</v>
      </c>
    </row>
    <row r="7032" spans="1:5" ht="26.25" x14ac:dyDescent="0.25">
      <c r="A7032" s="2" t="s">
        <v>2488</v>
      </c>
      <c r="B7032" s="2" t="str">
        <f>"1908070122952"</f>
        <v>1908070122952</v>
      </c>
      <c r="C7032" s="2" t="str">
        <f>"343114260"</f>
        <v>343114260</v>
      </c>
      <c r="D7032" s="2" t="s">
        <v>5074</v>
      </c>
      <c r="E7032" s="4">
        <v>7500</v>
      </c>
    </row>
    <row r="7033" spans="1:5" ht="26.25" x14ac:dyDescent="0.25">
      <c r="A7033" s="2" t="s">
        <v>2488</v>
      </c>
      <c r="B7033" s="2" t="str">
        <f>"1908070122877"</f>
        <v>1908070122877</v>
      </c>
      <c r="C7033" s="2" t="str">
        <f>"313414260"</f>
        <v>313414260</v>
      </c>
      <c r="D7033" s="2" t="s">
        <v>5074</v>
      </c>
      <c r="E7033" s="4">
        <v>8490</v>
      </c>
    </row>
    <row r="7034" spans="1:5" ht="26.25" x14ac:dyDescent="0.25">
      <c r="A7034" s="2" t="s">
        <v>2488</v>
      </c>
      <c r="B7034" s="2" t="str">
        <f>"342514260"</f>
        <v>342514260</v>
      </c>
      <c r="C7034" s="2" t="str">
        <f>"342514260"</f>
        <v>342514260</v>
      </c>
      <c r="D7034" s="2" t="s">
        <v>5074</v>
      </c>
      <c r="E7034" s="4">
        <v>8700</v>
      </c>
    </row>
    <row r="7035" spans="1:5" ht="26.25" x14ac:dyDescent="0.25">
      <c r="A7035" s="2" t="s">
        <v>2488</v>
      </c>
      <c r="B7035" s="2" t="str">
        <f>"1000001004761"</f>
        <v>1000001004761</v>
      </c>
      <c r="C7035" s="2" t="str">
        <f>"763114269"</f>
        <v>763114269</v>
      </c>
      <c r="D7035" s="2" t="s">
        <v>5075</v>
      </c>
      <c r="E7035" s="4">
        <v>4500</v>
      </c>
    </row>
    <row r="7036" spans="1:5" ht="26.25" x14ac:dyDescent="0.25">
      <c r="A7036" s="2" t="s">
        <v>2488</v>
      </c>
      <c r="B7036" s="2" t="str">
        <f>"1908070126172"</f>
        <v>1908070126172</v>
      </c>
      <c r="C7036" s="2" t="str">
        <f>"343114269"</f>
        <v>343114269</v>
      </c>
      <c r="D7036" s="2" t="s">
        <v>5076</v>
      </c>
      <c r="E7036" s="4">
        <v>9990</v>
      </c>
    </row>
    <row r="7037" spans="1:5" ht="26.25" x14ac:dyDescent="0.25">
      <c r="A7037" s="2" t="s">
        <v>2488</v>
      </c>
      <c r="B7037" s="2" t="str">
        <f>"1908070124963"</f>
        <v>1908070124963</v>
      </c>
      <c r="C7037" s="2" t="str">
        <f>"343414274"</f>
        <v>343414274</v>
      </c>
      <c r="D7037" s="2" t="s">
        <v>5077</v>
      </c>
      <c r="E7037" s="4">
        <v>4500</v>
      </c>
    </row>
    <row r="7038" spans="1:5" ht="26.25" x14ac:dyDescent="0.25">
      <c r="A7038" s="2" t="s">
        <v>2488</v>
      </c>
      <c r="B7038" s="2" t="str">
        <f>"1000001004983"</f>
        <v>1000001004983</v>
      </c>
      <c r="C7038" s="2" t="str">
        <f>"762514272"</f>
        <v>762514272</v>
      </c>
      <c r="D7038" s="2" t="s">
        <v>5077</v>
      </c>
      <c r="E7038" s="4">
        <v>5000</v>
      </c>
    </row>
    <row r="7039" spans="1:5" ht="26.25" x14ac:dyDescent="0.25">
      <c r="A7039" s="2" t="s">
        <v>2488</v>
      </c>
      <c r="B7039" s="2" t="str">
        <f>"793414272"</f>
        <v>793414272</v>
      </c>
      <c r="C7039" s="2" t="str">
        <f>"793414272"</f>
        <v>793414272</v>
      </c>
      <c r="D7039" s="2" t="s">
        <v>5078</v>
      </c>
      <c r="E7039" s="4">
        <v>5000</v>
      </c>
    </row>
    <row r="7040" spans="1:5" ht="26.25" x14ac:dyDescent="0.25">
      <c r="A7040" s="2" t="s">
        <v>2488</v>
      </c>
      <c r="B7040" s="2" t="str">
        <f>"613414272"</f>
        <v>613414272</v>
      </c>
      <c r="C7040" s="2" t="str">
        <f>"613414272"</f>
        <v>613414272</v>
      </c>
      <c r="D7040" s="2" t="s">
        <v>5078</v>
      </c>
      <c r="E7040" s="4">
        <v>5000</v>
      </c>
    </row>
    <row r="7041" spans="1:5" ht="26.25" x14ac:dyDescent="0.25">
      <c r="A7041" s="2" t="s">
        <v>2488</v>
      </c>
      <c r="B7041" s="2" t="str">
        <f>"1000001004778"</f>
        <v>1000001004778</v>
      </c>
      <c r="C7041" s="2" t="str">
        <f>"763114273"</f>
        <v>763114273</v>
      </c>
      <c r="D7041" s="2" t="s">
        <v>5079</v>
      </c>
      <c r="E7041" s="4">
        <v>4500</v>
      </c>
    </row>
    <row r="7042" spans="1:5" ht="26.25" x14ac:dyDescent="0.25">
      <c r="A7042" s="2" t="s">
        <v>2488</v>
      </c>
      <c r="B7042" s="2" t="str">
        <f>"1908070124956"</f>
        <v>1908070124956</v>
      </c>
      <c r="C7042" s="2" t="str">
        <f>"343414273"</f>
        <v>343414273</v>
      </c>
      <c r="D7042" s="2" t="s">
        <v>5080</v>
      </c>
      <c r="E7042" s="4">
        <v>9990</v>
      </c>
    </row>
    <row r="7043" spans="1:5" ht="26.25" x14ac:dyDescent="0.25">
      <c r="A7043" s="2" t="s">
        <v>2488</v>
      </c>
      <c r="B7043" s="2" t="str">
        <f>"1908070128213"</f>
        <v>1908070128213</v>
      </c>
      <c r="C7043" s="2" t="str">
        <f>"343114291"</f>
        <v>343114291</v>
      </c>
      <c r="D7043" s="2" t="s">
        <v>5081</v>
      </c>
      <c r="E7043" s="4">
        <v>9990</v>
      </c>
    </row>
    <row r="7044" spans="1:5" ht="26.25" x14ac:dyDescent="0.25">
      <c r="A7044" s="2" t="s">
        <v>2488</v>
      </c>
      <c r="B7044" s="2" t="str">
        <f>"1908070128220"</f>
        <v>1908070128220</v>
      </c>
      <c r="C7044" s="2" t="str">
        <f>"343114292"</f>
        <v>343114292</v>
      </c>
      <c r="D7044" s="2" t="s">
        <v>5082</v>
      </c>
      <c r="E7044" s="4">
        <v>9990</v>
      </c>
    </row>
    <row r="7045" spans="1:5" ht="26.25" x14ac:dyDescent="0.25">
      <c r="A7045" s="2" t="s">
        <v>2488</v>
      </c>
      <c r="B7045" s="2" t="str">
        <f>"613414299"</f>
        <v>613414299</v>
      </c>
      <c r="C7045" s="2" t="str">
        <f>"613414299"</f>
        <v>613414299</v>
      </c>
      <c r="D7045" s="2" t="s">
        <v>5083</v>
      </c>
      <c r="E7045" s="4">
        <v>5000</v>
      </c>
    </row>
    <row r="7046" spans="1:5" ht="26.25" x14ac:dyDescent="0.25">
      <c r="A7046" s="2" t="s">
        <v>2488</v>
      </c>
      <c r="B7046" s="2" t="str">
        <f>"86291454"</f>
        <v>86291454</v>
      </c>
      <c r="C7046" s="2" t="str">
        <f>"86291454"</f>
        <v>86291454</v>
      </c>
      <c r="D7046" s="2" t="s">
        <v>5084</v>
      </c>
      <c r="E7046" s="4">
        <v>2210</v>
      </c>
    </row>
    <row r="7047" spans="1:5" ht="26.25" x14ac:dyDescent="0.25">
      <c r="A7047" s="2" t="s">
        <v>2488</v>
      </c>
      <c r="B7047" s="2" t="str">
        <f>"1908070123744"</f>
        <v>1908070123744</v>
      </c>
      <c r="C7047" s="2" t="str">
        <f>"343114178"</f>
        <v>343114178</v>
      </c>
      <c r="D7047" s="2" t="s">
        <v>5085</v>
      </c>
      <c r="E7047" s="4">
        <v>7500</v>
      </c>
    </row>
    <row r="7048" spans="1:5" ht="26.25" x14ac:dyDescent="0.25">
      <c r="A7048" s="2" t="s">
        <v>2488</v>
      </c>
      <c r="B7048" s="2" t="str">
        <f>"323114191"</f>
        <v>323114191</v>
      </c>
      <c r="C7048" s="2" t="str">
        <f>"323114191"</f>
        <v>323114191</v>
      </c>
      <c r="D7048" s="2" t="s">
        <v>5086</v>
      </c>
      <c r="E7048" s="4">
        <v>8490</v>
      </c>
    </row>
    <row r="7049" spans="1:5" ht="26.25" x14ac:dyDescent="0.25">
      <c r="A7049" s="2" t="s">
        <v>2488</v>
      </c>
      <c r="B7049" s="2" t="str">
        <f>"613414191"</f>
        <v>613414191</v>
      </c>
      <c r="C7049" s="2" t="str">
        <f>"613414191"</f>
        <v>613414191</v>
      </c>
      <c r="D7049" s="2" t="s">
        <v>5087</v>
      </c>
      <c r="E7049" s="4">
        <v>7500</v>
      </c>
    </row>
    <row r="7050" spans="1:5" ht="26.25" x14ac:dyDescent="0.25">
      <c r="A7050" s="2" t="s">
        <v>2488</v>
      </c>
      <c r="B7050" s="2" t="str">
        <f>"343114200"</f>
        <v>343114200</v>
      </c>
      <c r="C7050" s="2" t="str">
        <f>"343114200"</f>
        <v>343114200</v>
      </c>
      <c r="D7050" s="2" t="s">
        <v>5088</v>
      </c>
      <c r="E7050" s="4">
        <v>8490</v>
      </c>
    </row>
    <row r="7051" spans="1:5" ht="26.25" x14ac:dyDescent="0.25">
      <c r="A7051" s="2" t="s">
        <v>2488</v>
      </c>
      <c r="B7051" s="2" t="str">
        <f>"762514200"</f>
        <v>762514200</v>
      </c>
      <c r="C7051" s="2" t="str">
        <f>"762514200"</f>
        <v>762514200</v>
      </c>
      <c r="D7051" s="2" t="s">
        <v>5089</v>
      </c>
      <c r="E7051" s="4">
        <v>5000</v>
      </c>
    </row>
    <row r="7052" spans="1:5" ht="26.25" x14ac:dyDescent="0.25">
      <c r="A7052" s="2" t="s">
        <v>2488</v>
      </c>
      <c r="B7052" s="2" t="str">
        <f>"2019047700086"</f>
        <v>2019047700086</v>
      </c>
      <c r="C7052" s="2" t="str">
        <f>"183114200"</f>
        <v>183114200</v>
      </c>
      <c r="D7052" s="2" t="s">
        <v>5089</v>
      </c>
      <c r="E7052" s="4">
        <v>7500</v>
      </c>
    </row>
    <row r="7053" spans="1:5" ht="26.25" x14ac:dyDescent="0.25">
      <c r="A7053" s="2" t="s">
        <v>2488</v>
      </c>
      <c r="B7053" s="2" t="str">
        <f>"1000001001463"</f>
        <v>1000001001463</v>
      </c>
      <c r="C7053" s="2" t="str">
        <f>"763414200"</f>
        <v>763414200</v>
      </c>
      <c r="D7053" s="2" t="s">
        <v>5089</v>
      </c>
      <c r="E7053" s="4">
        <v>5000</v>
      </c>
    </row>
    <row r="7054" spans="1:5" ht="26.25" x14ac:dyDescent="0.25">
      <c r="A7054" s="2" t="s">
        <v>2488</v>
      </c>
      <c r="B7054" s="2" t="str">
        <f>"1908070124048"</f>
        <v>1908070124048</v>
      </c>
      <c r="C7054" s="2" t="str">
        <f>"344214200"</f>
        <v>344214200</v>
      </c>
      <c r="D7054" s="2" t="s">
        <v>5089</v>
      </c>
      <c r="E7054" s="4">
        <v>7500</v>
      </c>
    </row>
    <row r="7055" spans="1:5" ht="26.25" x14ac:dyDescent="0.25">
      <c r="A7055" s="2" t="s">
        <v>2488</v>
      </c>
      <c r="B7055" s="2" t="str">
        <f>"1908070123577"</f>
        <v>1908070123577</v>
      </c>
      <c r="C7055" s="2" t="str">
        <f>"343414200"</f>
        <v>343414200</v>
      </c>
      <c r="D7055" s="2" t="s">
        <v>5090</v>
      </c>
      <c r="E7055" s="4">
        <v>7500</v>
      </c>
    </row>
    <row r="7056" spans="1:5" ht="26.25" x14ac:dyDescent="0.25">
      <c r="A7056" s="2" t="s">
        <v>2488</v>
      </c>
      <c r="B7056" s="2" t="str">
        <f>"1908070122181"</f>
        <v>1908070122181</v>
      </c>
      <c r="C7056" s="2" t="str">
        <f>"342514200"</f>
        <v>342514200</v>
      </c>
      <c r="D7056" s="2" t="s">
        <v>5090</v>
      </c>
      <c r="E7056" s="4">
        <v>7500</v>
      </c>
    </row>
    <row r="7057" spans="1:5" ht="26.25" x14ac:dyDescent="0.25">
      <c r="A7057" s="2" t="s">
        <v>2488</v>
      </c>
      <c r="B7057" s="2" t="str">
        <f>"862914200"</f>
        <v>862914200</v>
      </c>
      <c r="C7057" s="2" t="str">
        <f>"862914200"</f>
        <v>862914200</v>
      </c>
      <c r="D7057" s="2" t="s">
        <v>5091</v>
      </c>
      <c r="E7057" s="4">
        <v>7000</v>
      </c>
    </row>
    <row r="7058" spans="1:5" ht="26.25" x14ac:dyDescent="0.25">
      <c r="A7058" s="2" t="s">
        <v>2488</v>
      </c>
      <c r="B7058" s="2" t="str">
        <f>"2019052010095"</f>
        <v>2019052010095</v>
      </c>
      <c r="C7058" s="2" t="str">
        <f>"183114201"</f>
        <v>183114201</v>
      </c>
      <c r="D7058" s="2" t="s">
        <v>5092</v>
      </c>
      <c r="E7058" s="4">
        <v>7500</v>
      </c>
    </row>
    <row r="7059" spans="1:5" ht="26.25" x14ac:dyDescent="0.25">
      <c r="A7059" s="2" t="s">
        <v>2488</v>
      </c>
      <c r="B7059" s="2" t="str">
        <f>"1000001003818"</f>
        <v>1000001003818</v>
      </c>
      <c r="C7059" s="2" t="str">
        <f>"762514201"</f>
        <v>762514201</v>
      </c>
      <c r="D7059" s="2" t="s">
        <v>5093</v>
      </c>
      <c r="E7059" s="4">
        <v>8990</v>
      </c>
    </row>
    <row r="7060" spans="1:5" ht="26.25" x14ac:dyDescent="0.25">
      <c r="A7060" s="2" t="s">
        <v>2488</v>
      </c>
      <c r="B7060" s="2" t="str">
        <f>"1908070124024"</f>
        <v>1908070124024</v>
      </c>
      <c r="C7060" s="2" t="str">
        <f>"342514201"</f>
        <v>342514201</v>
      </c>
      <c r="D7060" s="2" t="s">
        <v>5093</v>
      </c>
      <c r="E7060" s="4">
        <v>7500</v>
      </c>
    </row>
    <row r="7061" spans="1:5" ht="26.25" x14ac:dyDescent="0.25">
      <c r="A7061" s="2" t="s">
        <v>2488</v>
      </c>
      <c r="B7061" s="2" t="str">
        <f>"343414201"</f>
        <v>343414201</v>
      </c>
      <c r="C7061" s="2" t="str">
        <f>"343414201"</f>
        <v>343414201</v>
      </c>
      <c r="D7061" s="2" t="s">
        <v>5094</v>
      </c>
      <c r="E7061" s="4">
        <v>7500</v>
      </c>
    </row>
    <row r="7062" spans="1:5" ht="26.25" x14ac:dyDescent="0.25">
      <c r="A7062" s="2" t="s">
        <v>2488</v>
      </c>
      <c r="B7062" s="2" t="str">
        <f>"1908070123584"</f>
        <v>1908070123584</v>
      </c>
      <c r="C7062" s="2" t="str">
        <f>"343114201"</f>
        <v>343114201</v>
      </c>
      <c r="D7062" s="2" t="s">
        <v>5094</v>
      </c>
      <c r="E7062" s="4">
        <v>8490</v>
      </c>
    </row>
    <row r="7063" spans="1:5" ht="26.25" x14ac:dyDescent="0.25">
      <c r="A7063" s="2" t="s">
        <v>2488</v>
      </c>
      <c r="B7063" s="2" t="str">
        <f>"862914201"</f>
        <v>862914201</v>
      </c>
      <c r="C7063" s="2" t="str">
        <f>"862914201"</f>
        <v>862914201</v>
      </c>
      <c r="D7063" s="2" t="s">
        <v>5095</v>
      </c>
      <c r="E7063" s="4">
        <v>5990</v>
      </c>
    </row>
    <row r="7064" spans="1:5" ht="26.25" x14ac:dyDescent="0.25">
      <c r="A7064" s="2" t="s">
        <v>2488</v>
      </c>
      <c r="B7064" s="2" t="str">
        <f>"343114203"</f>
        <v>343114203</v>
      </c>
      <c r="C7064" s="2" t="str">
        <f>"343114203"</f>
        <v>343114203</v>
      </c>
      <c r="D7064" s="2" t="s">
        <v>5096</v>
      </c>
      <c r="E7064" s="4">
        <v>8490</v>
      </c>
    </row>
    <row r="7065" spans="1:5" ht="26.25" x14ac:dyDescent="0.25">
      <c r="A7065" s="2" t="s">
        <v>2488</v>
      </c>
      <c r="B7065" s="2" t="str">
        <f>"2019052010101"</f>
        <v>2019052010101</v>
      </c>
      <c r="C7065" s="2" t="str">
        <f>"183114203"</f>
        <v>183114203</v>
      </c>
      <c r="D7065" s="2" t="s">
        <v>5096</v>
      </c>
      <c r="E7065" s="4">
        <v>7500</v>
      </c>
    </row>
    <row r="7066" spans="1:5" ht="26.25" x14ac:dyDescent="0.25">
      <c r="A7066" s="2" t="s">
        <v>2488</v>
      </c>
      <c r="B7066" s="2" t="str">
        <f>"1908070124062"</f>
        <v>1908070124062</v>
      </c>
      <c r="C7066" s="2" t="str">
        <f>"343414203"</f>
        <v>343414203</v>
      </c>
      <c r="D7066" s="2" t="s">
        <v>5097</v>
      </c>
      <c r="E7066" s="4">
        <v>7500</v>
      </c>
    </row>
    <row r="7067" spans="1:5" ht="26.25" x14ac:dyDescent="0.25">
      <c r="A7067" s="2" t="s">
        <v>2488</v>
      </c>
      <c r="B7067" s="2" t="str">
        <f>"763114203"</f>
        <v>763114203</v>
      </c>
      <c r="C7067" s="2" t="str">
        <f>"763114203"</f>
        <v>763114203</v>
      </c>
      <c r="D7067" s="2" t="s">
        <v>5097</v>
      </c>
      <c r="E7067" s="4">
        <v>7500</v>
      </c>
    </row>
    <row r="7068" spans="1:5" ht="26.25" x14ac:dyDescent="0.25">
      <c r="A7068" s="2" t="s">
        <v>2488</v>
      </c>
      <c r="B7068" s="2" t="str">
        <f>"2019047700109"</f>
        <v>2019047700109</v>
      </c>
      <c r="C7068" s="2" t="str">
        <f>"183114204"</f>
        <v>183114204</v>
      </c>
      <c r="D7068" s="2" t="s">
        <v>5098</v>
      </c>
      <c r="E7068" s="4">
        <v>7500</v>
      </c>
    </row>
    <row r="7069" spans="1:5" ht="26.25" x14ac:dyDescent="0.25">
      <c r="A7069" s="2" t="s">
        <v>2488</v>
      </c>
      <c r="B7069" s="2" t="str">
        <f>"763414204"</f>
        <v>763414204</v>
      </c>
      <c r="C7069" s="2" t="str">
        <f>"763414204"</f>
        <v>763414204</v>
      </c>
      <c r="D7069" s="2" t="s">
        <v>5098</v>
      </c>
      <c r="E7069" s="4">
        <v>8490</v>
      </c>
    </row>
    <row r="7070" spans="1:5" ht="26.25" x14ac:dyDescent="0.25">
      <c r="A7070" s="2" t="s">
        <v>2488</v>
      </c>
      <c r="B7070" s="2" t="str">
        <f>"413414204"</f>
        <v>413414204</v>
      </c>
      <c r="C7070" s="2" t="str">
        <f>"413414204"</f>
        <v>413414204</v>
      </c>
      <c r="D7070" s="2" t="s">
        <v>5098</v>
      </c>
      <c r="E7070" s="4">
        <v>8490</v>
      </c>
    </row>
    <row r="7071" spans="1:5" ht="26.25" x14ac:dyDescent="0.25">
      <c r="A7071" s="2" t="s">
        <v>2488</v>
      </c>
      <c r="B7071" s="2" t="str">
        <f>"413514203"</f>
        <v>413514203</v>
      </c>
      <c r="C7071" s="2" t="str">
        <f>"413514203"</f>
        <v>413514203</v>
      </c>
      <c r="D7071" s="2" t="s">
        <v>5098</v>
      </c>
      <c r="E7071" s="4">
        <v>8490</v>
      </c>
    </row>
    <row r="7072" spans="1:5" ht="26.25" x14ac:dyDescent="0.25">
      <c r="A7072" s="2" t="s">
        <v>2488</v>
      </c>
      <c r="B7072" s="2" t="str">
        <f>"1908070124086"</f>
        <v>1908070124086</v>
      </c>
      <c r="C7072" s="2" t="str">
        <f>"343414204"</f>
        <v>343414204</v>
      </c>
      <c r="D7072" s="2" t="s">
        <v>5098</v>
      </c>
      <c r="E7072" s="4">
        <v>7500</v>
      </c>
    </row>
    <row r="7073" spans="1:5" ht="26.25" x14ac:dyDescent="0.25">
      <c r="A7073" s="2" t="s">
        <v>2488</v>
      </c>
      <c r="B7073" s="2" t="str">
        <f>"1000001003825"</f>
        <v>1000001003825</v>
      </c>
      <c r="C7073" s="2" t="str">
        <f>"762514203"</f>
        <v>762514203</v>
      </c>
      <c r="D7073" s="2" t="s">
        <v>5098</v>
      </c>
      <c r="E7073" s="4">
        <v>8990</v>
      </c>
    </row>
    <row r="7074" spans="1:5" ht="26.25" x14ac:dyDescent="0.25">
      <c r="A7074" s="2" t="s">
        <v>2488</v>
      </c>
      <c r="B7074" s="2" t="str">
        <f>"762514204"</f>
        <v>762514204</v>
      </c>
      <c r="C7074" s="2" t="str">
        <f>"762514204"</f>
        <v>762514204</v>
      </c>
      <c r="D7074" s="2" t="s">
        <v>5098</v>
      </c>
      <c r="E7074" s="4">
        <v>8990</v>
      </c>
    </row>
    <row r="7075" spans="1:5" ht="26.25" x14ac:dyDescent="0.25">
      <c r="A7075" s="2" t="s">
        <v>2488</v>
      </c>
      <c r="B7075" s="2" t="str">
        <f>"1908070123690"</f>
        <v>1908070123690</v>
      </c>
      <c r="C7075" s="2" t="str">
        <f>"343114204"</f>
        <v>343114204</v>
      </c>
      <c r="D7075" s="2" t="s">
        <v>5099</v>
      </c>
      <c r="E7075" s="4">
        <v>8490</v>
      </c>
    </row>
    <row r="7076" spans="1:5" ht="26.25" x14ac:dyDescent="0.25">
      <c r="A7076" s="2" t="s">
        <v>2488</v>
      </c>
      <c r="B7076" s="2" t="str">
        <f>"862914204"</f>
        <v>862914204</v>
      </c>
      <c r="C7076" s="2" t="str">
        <f>"862914204"</f>
        <v>862914204</v>
      </c>
      <c r="D7076" s="2" t="s">
        <v>5100</v>
      </c>
      <c r="E7076" s="4">
        <v>5990</v>
      </c>
    </row>
    <row r="7077" spans="1:5" ht="26.25" x14ac:dyDescent="0.25">
      <c r="A7077" s="2" t="s">
        <v>2488</v>
      </c>
      <c r="B7077" s="2" t="str">
        <f>"862914203"</f>
        <v>862914203</v>
      </c>
      <c r="C7077" s="2" t="str">
        <f>"862914203"</f>
        <v>862914203</v>
      </c>
      <c r="D7077" s="2" t="s">
        <v>5100</v>
      </c>
      <c r="E7077" s="4">
        <v>5990</v>
      </c>
    </row>
    <row r="7078" spans="1:5" ht="26.25" x14ac:dyDescent="0.25">
      <c r="A7078" s="2" t="s">
        <v>2488</v>
      </c>
      <c r="B7078" s="2" t="str">
        <f>"1908070122433"</f>
        <v>1908070122433</v>
      </c>
      <c r="C7078" s="2" t="str">
        <f>"343415270"</f>
        <v>343415270</v>
      </c>
      <c r="D7078" s="2" t="s">
        <v>5101</v>
      </c>
      <c r="E7078" s="4">
        <v>7500</v>
      </c>
    </row>
    <row r="7079" spans="1:5" ht="26.25" x14ac:dyDescent="0.25">
      <c r="A7079" s="2" t="s">
        <v>2488</v>
      </c>
      <c r="B7079" s="2" t="str">
        <f>"613415268"</f>
        <v>613415268</v>
      </c>
      <c r="C7079" s="2" t="str">
        <f>"613415268"</f>
        <v>613415268</v>
      </c>
      <c r="D7079" s="2" t="s">
        <v>5102</v>
      </c>
      <c r="E7079" s="4">
        <v>6000</v>
      </c>
    </row>
    <row r="7080" spans="1:5" ht="26.25" x14ac:dyDescent="0.25">
      <c r="A7080" s="2" t="s">
        <v>2488</v>
      </c>
      <c r="B7080" s="2" t="str">
        <f>"61340218"</f>
        <v>61340218</v>
      </c>
      <c r="C7080" s="2" t="str">
        <f>"61340218"</f>
        <v>61340218</v>
      </c>
      <c r="D7080" s="2" t="s">
        <v>5103</v>
      </c>
      <c r="E7080" s="4">
        <v>5000</v>
      </c>
    </row>
    <row r="7081" spans="1:5" ht="26.25" x14ac:dyDescent="0.25">
      <c r="A7081" s="2" t="s">
        <v>2488</v>
      </c>
      <c r="B7081" s="2" t="str">
        <f>"34310201"</f>
        <v>34310201</v>
      </c>
      <c r="C7081" s="2" t="str">
        <f>"34310201"</f>
        <v>34310201</v>
      </c>
      <c r="D7081" s="2" t="s">
        <v>5104</v>
      </c>
      <c r="E7081" s="4">
        <v>6000</v>
      </c>
    </row>
    <row r="7082" spans="1:5" ht="26.25" x14ac:dyDescent="0.25">
      <c r="A7082" s="2" t="s">
        <v>2488</v>
      </c>
      <c r="B7082" s="2" t="str">
        <f>"61340220"</f>
        <v>61340220</v>
      </c>
      <c r="C7082" s="2" t="str">
        <f>"61340220"</f>
        <v>61340220</v>
      </c>
      <c r="D7082" s="2" t="s">
        <v>5105</v>
      </c>
      <c r="E7082" s="4">
        <v>5000</v>
      </c>
    </row>
    <row r="7083" spans="1:5" ht="26.25" x14ac:dyDescent="0.25">
      <c r="A7083" s="2" t="s">
        <v>2488</v>
      </c>
      <c r="B7083" s="2" t="str">
        <f>"61340215"</f>
        <v>61340215</v>
      </c>
      <c r="C7083" s="2" t="str">
        <f>"61340215"</f>
        <v>61340215</v>
      </c>
      <c r="D7083" s="2" t="s">
        <v>5106</v>
      </c>
      <c r="E7083" s="4">
        <v>5000</v>
      </c>
    </row>
    <row r="7084" spans="1:5" ht="26.25" x14ac:dyDescent="0.25">
      <c r="A7084" s="2" t="s">
        <v>2488</v>
      </c>
      <c r="B7084" s="2" t="str">
        <f>"61340219"</f>
        <v>61340219</v>
      </c>
      <c r="C7084" s="2" t="str">
        <f>"61340219"</f>
        <v>61340219</v>
      </c>
      <c r="D7084" s="2" t="s">
        <v>5107</v>
      </c>
      <c r="E7084" s="4">
        <v>5000</v>
      </c>
    </row>
    <row r="7085" spans="1:5" ht="26.25" x14ac:dyDescent="0.25">
      <c r="A7085" s="2" t="s">
        <v>2488</v>
      </c>
      <c r="B7085" s="2" t="str">
        <f>"1908070129753"</f>
        <v>1908070129753</v>
      </c>
      <c r="C7085" s="2" t="str">
        <f>"34310219"</f>
        <v>34310219</v>
      </c>
      <c r="D7085" s="2" t="s">
        <v>5107</v>
      </c>
      <c r="E7085" s="4">
        <v>5000</v>
      </c>
    </row>
    <row r="7086" spans="1:5" ht="26.25" x14ac:dyDescent="0.25">
      <c r="A7086" s="2" t="s">
        <v>2488</v>
      </c>
      <c r="B7086" s="2" t="str">
        <f>"61340216"</f>
        <v>61340216</v>
      </c>
      <c r="C7086" s="2" t="str">
        <f>"61340216"</f>
        <v>61340216</v>
      </c>
      <c r="D7086" s="2" t="s">
        <v>5108</v>
      </c>
      <c r="E7086" s="4">
        <v>5000</v>
      </c>
    </row>
    <row r="7087" spans="1:5" ht="26.25" x14ac:dyDescent="0.25">
      <c r="A7087" s="2" t="s">
        <v>2488</v>
      </c>
      <c r="B7087" s="2" t="str">
        <f>"1908070129333"</f>
        <v>1908070129333</v>
      </c>
      <c r="C7087" s="2" t="str">
        <f>"34310221"</f>
        <v>34310221</v>
      </c>
      <c r="D7087" s="2" t="s">
        <v>5108</v>
      </c>
      <c r="E7087" s="4">
        <v>5000</v>
      </c>
    </row>
    <row r="7088" spans="1:5" ht="26.25" x14ac:dyDescent="0.25">
      <c r="A7088" s="2" t="s">
        <v>2488</v>
      </c>
      <c r="B7088" s="2" t="str">
        <f>"61340217"</f>
        <v>61340217</v>
      </c>
      <c r="C7088" s="2" t="str">
        <f>"61340217"</f>
        <v>61340217</v>
      </c>
      <c r="D7088" s="2" t="s">
        <v>5109</v>
      </c>
      <c r="E7088" s="4">
        <v>5000</v>
      </c>
    </row>
    <row r="7089" spans="1:5" ht="26.25" x14ac:dyDescent="0.25">
      <c r="A7089" s="2" t="s">
        <v>2488</v>
      </c>
      <c r="B7089" s="2" t="str">
        <f>"13310213"</f>
        <v>13310213</v>
      </c>
      <c r="C7089" s="2" t="str">
        <f>"13310213"</f>
        <v>13310213</v>
      </c>
      <c r="D7089" s="2" t="s">
        <v>5110</v>
      </c>
      <c r="E7089" s="4">
        <v>5000</v>
      </c>
    </row>
    <row r="7090" spans="1:5" ht="26.25" x14ac:dyDescent="0.25">
      <c r="A7090" s="2" t="s">
        <v>2488</v>
      </c>
      <c r="B7090" s="2" t="str">
        <f>"76340214"</f>
        <v>76340214</v>
      </c>
      <c r="C7090" s="2" t="str">
        <f>"76340214"</f>
        <v>76340214</v>
      </c>
      <c r="D7090" s="2" t="s">
        <v>5111</v>
      </c>
      <c r="E7090" s="4">
        <v>5000</v>
      </c>
    </row>
    <row r="7091" spans="1:5" ht="26.25" x14ac:dyDescent="0.25">
      <c r="A7091" s="2" t="s">
        <v>2488</v>
      </c>
      <c r="B7091" s="2" t="str">
        <f>"76340213"</f>
        <v>76340213</v>
      </c>
      <c r="C7091" s="2" t="str">
        <f>"76340213"</f>
        <v>76340213</v>
      </c>
      <c r="D7091" s="2" t="s">
        <v>5112</v>
      </c>
      <c r="E7091" s="4">
        <v>5000</v>
      </c>
    </row>
    <row r="7092" spans="1:5" ht="26.25" x14ac:dyDescent="0.25">
      <c r="A7092" s="2" t="s">
        <v>2488</v>
      </c>
      <c r="B7092" s="2" t="str">
        <f>"13310223"</f>
        <v>13310223</v>
      </c>
      <c r="C7092" s="2" t="str">
        <f>"13310223"</f>
        <v>13310223</v>
      </c>
      <c r="D7092" s="2" t="s">
        <v>5113</v>
      </c>
      <c r="E7092" s="4">
        <v>5000</v>
      </c>
    </row>
    <row r="7093" spans="1:5" ht="26.25" x14ac:dyDescent="0.25">
      <c r="A7093" s="2" t="s">
        <v>2488</v>
      </c>
      <c r="B7093" s="2" t="str">
        <f>"76310716"</f>
        <v>76310716</v>
      </c>
      <c r="C7093" s="2" t="str">
        <f>"76310716"</f>
        <v>76310716</v>
      </c>
      <c r="D7093" s="2" t="s">
        <v>5114</v>
      </c>
      <c r="E7093" s="4">
        <v>6900</v>
      </c>
    </row>
    <row r="7094" spans="1:5" ht="26.25" x14ac:dyDescent="0.25">
      <c r="A7094" s="2" t="s">
        <v>2488</v>
      </c>
      <c r="B7094" s="2" t="str">
        <f>"342614208"</f>
        <v>342614208</v>
      </c>
      <c r="C7094" s="2" t="str">
        <f>"342614208"</f>
        <v>342614208</v>
      </c>
      <c r="D7094" s="2" t="s">
        <v>5115</v>
      </c>
      <c r="E7094" s="4">
        <v>7000</v>
      </c>
    </row>
    <row r="7095" spans="1:5" ht="26.25" x14ac:dyDescent="0.25">
      <c r="A7095" s="2" t="s">
        <v>2488</v>
      </c>
      <c r="B7095" s="2" t="str">
        <f>"342614178"</f>
        <v>342614178</v>
      </c>
      <c r="C7095" s="2" t="str">
        <f>"342614178"</f>
        <v>342614178</v>
      </c>
      <c r="D7095" s="2" t="s">
        <v>5116</v>
      </c>
      <c r="E7095" s="4">
        <v>6000</v>
      </c>
    </row>
    <row r="7096" spans="1:5" ht="26.25" x14ac:dyDescent="0.25">
      <c r="A7096" s="2" t="s">
        <v>2488</v>
      </c>
      <c r="B7096" s="2" t="str">
        <f>"342614191"</f>
        <v>342614191</v>
      </c>
      <c r="C7096" s="2" t="str">
        <f>"342614191"</f>
        <v>342614191</v>
      </c>
      <c r="D7096" s="2" t="s">
        <v>5117</v>
      </c>
      <c r="E7096" s="4">
        <v>6000</v>
      </c>
    </row>
    <row r="7097" spans="1:5" ht="26.25" x14ac:dyDescent="0.25">
      <c r="A7097" s="2" t="s">
        <v>2488</v>
      </c>
      <c r="B7097" s="2" t="str">
        <f>"342614200"</f>
        <v>342614200</v>
      </c>
      <c r="C7097" s="2" t="str">
        <f>"342614200"</f>
        <v>342614200</v>
      </c>
      <c r="D7097" s="2" t="s">
        <v>5118</v>
      </c>
      <c r="E7097" s="4">
        <v>6000</v>
      </c>
    </row>
    <row r="7098" spans="1:5" ht="26.25" x14ac:dyDescent="0.25">
      <c r="A7098" s="2" t="s">
        <v>2488</v>
      </c>
      <c r="B7098" s="2" t="str">
        <f>"342614201"</f>
        <v>342614201</v>
      </c>
      <c r="C7098" s="2" t="str">
        <f>"342614201"</f>
        <v>342614201</v>
      </c>
      <c r="D7098" s="2" t="s">
        <v>5119</v>
      </c>
      <c r="E7098" s="4">
        <v>6000</v>
      </c>
    </row>
    <row r="7099" spans="1:5" ht="26.25" x14ac:dyDescent="0.25">
      <c r="A7099" s="2" t="s">
        <v>13</v>
      </c>
      <c r="B7099" s="2" t="str">
        <f>"17530111"</f>
        <v>17530111</v>
      </c>
      <c r="C7099" s="2" t="str">
        <f>"17530111"</f>
        <v>17530111</v>
      </c>
      <c r="D7099" s="2" t="s">
        <v>5120</v>
      </c>
      <c r="E7099" s="4">
        <v>3000</v>
      </c>
    </row>
    <row r="7100" spans="1:5" ht="26.25" x14ac:dyDescent="0.25">
      <c r="A7100" s="2" t="s">
        <v>13</v>
      </c>
      <c r="B7100" s="2" t="str">
        <f>"765301115"</f>
        <v>765301115</v>
      </c>
      <c r="C7100" s="2" t="str">
        <f>"765301115"</f>
        <v>765301115</v>
      </c>
      <c r="D7100" s="2" t="s">
        <v>5121</v>
      </c>
      <c r="E7100" s="4">
        <v>3000</v>
      </c>
    </row>
    <row r="7101" spans="1:5" ht="26.25" x14ac:dyDescent="0.25">
      <c r="A7101" s="2" t="s">
        <v>13</v>
      </c>
      <c r="B7101" s="2" t="str">
        <f>"765301251"</f>
        <v>765301251</v>
      </c>
      <c r="C7101" s="2" t="str">
        <f>"765301251"</f>
        <v>765301251</v>
      </c>
      <c r="D7101" s="2" t="s">
        <v>5122</v>
      </c>
      <c r="E7101" s="4">
        <v>3000</v>
      </c>
    </row>
    <row r="7102" spans="1:5" ht="26.25" x14ac:dyDescent="0.25">
      <c r="A7102" s="2" t="s">
        <v>13</v>
      </c>
      <c r="B7102" s="2" t="str">
        <f>"17530105"</f>
        <v>17530105</v>
      </c>
      <c r="C7102" s="2" t="str">
        <f>"17530105"</f>
        <v>17530105</v>
      </c>
      <c r="D7102" s="2" t="s">
        <v>5123</v>
      </c>
      <c r="E7102" s="4">
        <v>3000</v>
      </c>
    </row>
    <row r="7103" spans="1:5" ht="26.25" x14ac:dyDescent="0.25">
      <c r="A7103" s="2" t="s">
        <v>13</v>
      </c>
      <c r="B7103" s="2" t="str">
        <f>"34530105"</f>
        <v>34530105</v>
      </c>
      <c r="C7103" s="2" t="str">
        <f>"34530105"</f>
        <v>34530105</v>
      </c>
      <c r="D7103" s="2" t="s">
        <v>5123</v>
      </c>
      <c r="E7103" s="4">
        <v>3000</v>
      </c>
    </row>
    <row r="7104" spans="1:5" ht="26.25" x14ac:dyDescent="0.25">
      <c r="A7104" s="2" t="s">
        <v>13</v>
      </c>
      <c r="B7104" s="2" t="str">
        <f>"345301105"</f>
        <v>345301105</v>
      </c>
      <c r="C7104" s="2" t="str">
        <f>"345301105"</f>
        <v>345301105</v>
      </c>
      <c r="D7104" s="2" t="s">
        <v>5123</v>
      </c>
      <c r="E7104" s="4">
        <v>3000</v>
      </c>
    </row>
    <row r="7105" spans="1:5" ht="26.25" x14ac:dyDescent="0.25">
      <c r="A7105" s="2" t="s">
        <v>13</v>
      </c>
      <c r="B7105" s="2" t="str">
        <f>"175301105"</f>
        <v>175301105</v>
      </c>
      <c r="C7105" s="2" t="str">
        <f>"175301105"</f>
        <v>175301105</v>
      </c>
      <c r="D7105" s="2" t="s">
        <v>5123</v>
      </c>
      <c r="E7105" s="4">
        <v>3000</v>
      </c>
    </row>
    <row r="7106" spans="1:5" ht="26.25" x14ac:dyDescent="0.25">
      <c r="A7106" s="2" t="s">
        <v>13</v>
      </c>
      <c r="B7106" s="2" t="str">
        <f>"765301105"</f>
        <v>765301105</v>
      </c>
      <c r="C7106" s="2" t="str">
        <f>"765301105"</f>
        <v>765301105</v>
      </c>
      <c r="D7106" s="2" t="s">
        <v>5123</v>
      </c>
      <c r="E7106" s="4">
        <v>3000</v>
      </c>
    </row>
    <row r="7107" spans="1:5" ht="26.25" x14ac:dyDescent="0.25">
      <c r="A7107" s="2" t="s">
        <v>13</v>
      </c>
      <c r="B7107" s="2" t="str">
        <f>"765301201"</f>
        <v>765301201</v>
      </c>
      <c r="C7107" s="2" t="str">
        <f>"765301201"</f>
        <v>765301201</v>
      </c>
      <c r="D7107" s="2" t="s">
        <v>5124</v>
      </c>
      <c r="E7107" s="4">
        <v>3000</v>
      </c>
    </row>
    <row r="7108" spans="1:5" ht="26.25" x14ac:dyDescent="0.25">
      <c r="A7108" s="2" t="s">
        <v>13</v>
      </c>
      <c r="B7108" s="2" t="str">
        <f>"76530105"</f>
        <v>76530105</v>
      </c>
      <c r="C7108" s="2" t="str">
        <f>"76530105"</f>
        <v>76530105</v>
      </c>
      <c r="D7108" s="2" t="s">
        <v>5125</v>
      </c>
      <c r="E7108" s="4">
        <v>3000</v>
      </c>
    </row>
    <row r="7109" spans="1:5" ht="26.25" x14ac:dyDescent="0.25">
      <c r="A7109" s="2" t="s">
        <v>13</v>
      </c>
      <c r="B7109" s="2" t="str">
        <f>"34530111"</f>
        <v>34530111</v>
      </c>
      <c r="C7109" s="2" t="str">
        <f>"34530111"</f>
        <v>34530111</v>
      </c>
      <c r="D7109" s="2" t="s">
        <v>5126</v>
      </c>
      <c r="E7109" s="4">
        <v>3000</v>
      </c>
    </row>
    <row r="7110" spans="1:5" ht="26.25" x14ac:dyDescent="0.25">
      <c r="A7110" s="2" t="s">
        <v>13</v>
      </c>
      <c r="B7110" s="2" t="str">
        <f>"76530200"</f>
        <v>76530200</v>
      </c>
      <c r="C7110" s="2" t="str">
        <f>"76530200"</f>
        <v>76530200</v>
      </c>
      <c r="D7110" s="2" t="s">
        <v>5126</v>
      </c>
      <c r="E7110" s="4">
        <v>3000</v>
      </c>
    </row>
    <row r="7111" spans="1:5" ht="26.25" x14ac:dyDescent="0.25">
      <c r="A7111" s="2" t="s">
        <v>13</v>
      </c>
      <c r="B7111" s="2" t="str">
        <f>"174800111"</f>
        <v>174800111</v>
      </c>
      <c r="C7111" s="2" t="str">
        <f>"174800111"</f>
        <v>174800111</v>
      </c>
      <c r="D7111" s="2" t="s">
        <v>5126</v>
      </c>
      <c r="E7111" s="4">
        <v>3000</v>
      </c>
    </row>
    <row r="7112" spans="1:5" ht="26.25" x14ac:dyDescent="0.25">
      <c r="A7112" s="2" t="s">
        <v>13</v>
      </c>
      <c r="B7112" s="2" t="str">
        <f>"765310111"</f>
        <v>765310111</v>
      </c>
      <c r="C7112" s="2" t="str">
        <f>"765310111"</f>
        <v>765310111</v>
      </c>
      <c r="D7112" s="2" t="s">
        <v>5126</v>
      </c>
      <c r="E7112" s="4">
        <v>3000</v>
      </c>
    </row>
    <row r="7113" spans="1:5" ht="26.25" x14ac:dyDescent="0.25">
      <c r="A7113" s="2" t="s">
        <v>13</v>
      </c>
      <c r="B7113" s="2" t="str">
        <f>"76330111"</f>
        <v>76330111</v>
      </c>
      <c r="C7113" s="2" t="str">
        <f>"76330111"</f>
        <v>76330111</v>
      </c>
      <c r="D7113" s="2" t="s">
        <v>5126</v>
      </c>
      <c r="E7113" s="4">
        <v>3000</v>
      </c>
    </row>
    <row r="7114" spans="1:5" ht="26.25" x14ac:dyDescent="0.25">
      <c r="A7114" s="2" t="s">
        <v>13</v>
      </c>
      <c r="B7114" s="2" t="str">
        <f>"76530111"</f>
        <v>76530111</v>
      </c>
      <c r="C7114" s="2" t="str">
        <f>"76530111"</f>
        <v>76530111</v>
      </c>
      <c r="D7114" s="2" t="s">
        <v>5126</v>
      </c>
      <c r="E7114" s="4">
        <v>3000</v>
      </c>
    </row>
    <row r="7115" spans="1:5" ht="26.25" x14ac:dyDescent="0.25">
      <c r="A7115" s="2" t="s">
        <v>13</v>
      </c>
      <c r="B7115" s="2" t="str">
        <f>"345301200"</f>
        <v>345301200</v>
      </c>
      <c r="C7115" s="2" t="str">
        <f>"345301200"</f>
        <v>345301200</v>
      </c>
      <c r="D7115" s="2" t="s">
        <v>5126</v>
      </c>
      <c r="E7115" s="4">
        <v>3000</v>
      </c>
    </row>
    <row r="7116" spans="1:5" ht="26.25" x14ac:dyDescent="0.25">
      <c r="A7116" s="2" t="s">
        <v>13</v>
      </c>
      <c r="B7116" s="2" t="str">
        <f>"765301200"</f>
        <v>765301200</v>
      </c>
      <c r="C7116" s="2" t="str">
        <f>"765301200"</f>
        <v>765301200</v>
      </c>
      <c r="D7116" s="2" t="s">
        <v>5126</v>
      </c>
      <c r="E7116" s="4">
        <v>3000</v>
      </c>
    </row>
    <row r="7117" spans="1:5" ht="26.25" x14ac:dyDescent="0.25">
      <c r="A7117" s="2" t="s">
        <v>13</v>
      </c>
      <c r="B7117" s="2" t="str">
        <f>"34530112"</f>
        <v>34530112</v>
      </c>
      <c r="C7117" s="2" t="str">
        <f>"34530112"</f>
        <v>34530112</v>
      </c>
      <c r="D7117" s="2" t="s">
        <v>5127</v>
      </c>
      <c r="E7117" s="4">
        <v>3000</v>
      </c>
    </row>
    <row r="7118" spans="1:5" ht="26.25" x14ac:dyDescent="0.25">
      <c r="A7118" s="2" t="s">
        <v>13</v>
      </c>
      <c r="B7118" s="2" t="str">
        <f>"76530112"</f>
        <v>76530112</v>
      </c>
      <c r="C7118" s="2" t="str">
        <f>"76530112"</f>
        <v>76530112</v>
      </c>
      <c r="D7118" s="2" t="s">
        <v>5127</v>
      </c>
      <c r="E7118" s="4">
        <v>3000</v>
      </c>
    </row>
    <row r="7119" spans="1:5" ht="26.25" x14ac:dyDescent="0.25">
      <c r="A7119" s="2" t="s">
        <v>13</v>
      </c>
      <c r="B7119" s="2" t="str">
        <f>"76330112"</f>
        <v>76330112</v>
      </c>
      <c r="C7119" s="2" t="str">
        <f>"76330112"</f>
        <v>76330112</v>
      </c>
      <c r="D7119" s="2" t="s">
        <v>5127</v>
      </c>
      <c r="E7119" s="4">
        <v>3000</v>
      </c>
    </row>
    <row r="7120" spans="1:5" ht="26.25" x14ac:dyDescent="0.25">
      <c r="A7120" s="2" t="s">
        <v>13</v>
      </c>
      <c r="B7120" s="2" t="str">
        <f>"17330178"</f>
        <v>17330178</v>
      </c>
      <c r="C7120" s="2" t="str">
        <f>"17330178"</f>
        <v>17330178</v>
      </c>
      <c r="D7120" s="2" t="s">
        <v>5128</v>
      </c>
      <c r="E7120" s="4">
        <v>3000</v>
      </c>
    </row>
    <row r="7121" spans="1:5" ht="26.25" x14ac:dyDescent="0.25">
      <c r="A7121" s="2" t="s">
        <v>13</v>
      </c>
      <c r="B7121" s="2" t="str">
        <f>"17530178"</f>
        <v>17530178</v>
      </c>
      <c r="C7121" s="2" t="str">
        <f>"17530178"</f>
        <v>17530178</v>
      </c>
      <c r="D7121" s="2" t="s">
        <v>5128</v>
      </c>
      <c r="E7121" s="4">
        <v>3000</v>
      </c>
    </row>
    <row r="7122" spans="1:5" ht="26.25" x14ac:dyDescent="0.25">
      <c r="A7122" s="2" t="s">
        <v>13</v>
      </c>
      <c r="B7122" s="2" t="str">
        <f>"34530178"</f>
        <v>34530178</v>
      </c>
      <c r="C7122" s="2" t="str">
        <f>"34530178"</f>
        <v>34530178</v>
      </c>
      <c r="D7122" s="2" t="s">
        <v>5128</v>
      </c>
      <c r="E7122" s="4">
        <v>3000</v>
      </c>
    </row>
    <row r="7123" spans="1:5" ht="26.25" x14ac:dyDescent="0.25">
      <c r="A7123" s="2" t="s">
        <v>13</v>
      </c>
      <c r="B7123" s="2" t="str">
        <f>"345301112"</f>
        <v>345301112</v>
      </c>
      <c r="C7123" s="2" t="str">
        <f>"345301112"</f>
        <v>345301112</v>
      </c>
      <c r="D7123" s="2" t="s">
        <v>5129</v>
      </c>
      <c r="E7123" s="4">
        <v>3000</v>
      </c>
    </row>
    <row r="7124" spans="1:5" ht="26.25" x14ac:dyDescent="0.25">
      <c r="A7124" s="2" t="s">
        <v>13</v>
      </c>
      <c r="B7124" s="2" t="str">
        <f>"173301108"</f>
        <v>173301108</v>
      </c>
      <c r="C7124" s="2" t="str">
        <f>"173301108"</f>
        <v>173301108</v>
      </c>
      <c r="D7124" s="2" t="s">
        <v>5130</v>
      </c>
      <c r="E7124" s="4">
        <v>3000</v>
      </c>
    </row>
    <row r="7125" spans="1:5" ht="26.25" x14ac:dyDescent="0.25">
      <c r="A7125" s="2" t="s">
        <v>13</v>
      </c>
      <c r="B7125" s="2" t="str">
        <f>"345301108"</f>
        <v>345301108</v>
      </c>
      <c r="C7125" s="2" t="str">
        <f>"345301108"</f>
        <v>345301108</v>
      </c>
      <c r="D7125" s="2" t="s">
        <v>5131</v>
      </c>
      <c r="E7125" s="4">
        <v>3000</v>
      </c>
    </row>
    <row r="7126" spans="1:5" ht="26.25" x14ac:dyDescent="0.25">
      <c r="A7126" s="2" t="s">
        <v>13</v>
      </c>
      <c r="B7126" s="2" t="str">
        <f>"765301108"</f>
        <v>765301108</v>
      </c>
      <c r="C7126" s="2" t="str">
        <f>"765301108"</f>
        <v>765301108</v>
      </c>
      <c r="D7126" s="2" t="s">
        <v>5131</v>
      </c>
      <c r="E7126" s="4">
        <v>3000</v>
      </c>
    </row>
    <row r="7127" spans="1:5" ht="26.25" x14ac:dyDescent="0.25">
      <c r="A7127" s="2" t="s">
        <v>13</v>
      </c>
      <c r="B7127" s="2" t="str">
        <f>"345301115"</f>
        <v>345301115</v>
      </c>
      <c r="C7127" s="2" t="str">
        <f>"345301115"</f>
        <v>345301115</v>
      </c>
      <c r="D7127" s="2" t="s">
        <v>5121</v>
      </c>
      <c r="E7127" s="4">
        <v>3000</v>
      </c>
    </row>
    <row r="7128" spans="1:5" ht="26.25" x14ac:dyDescent="0.25">
      <c r="A7128" s="2" t="s">
        <v>13</v>
      </c>
      <c r="B7128" s="2" t="str">
        <f>"173301112"</f>
        <v>173301112</v>
      </c>
      <c r="C7128" s="2" t="str">
        <f>"173301112"</f>
        <v>173301112</v>
      </c>
      <c r="D7128" s="2" t="s">
        <v>5129</v>
      </c>
      <c r="E7128" s="4">
        <v>3000</v>
      </c>
    </row>
    <row r="7129" spans="1:5" ht="26.25" x14ac:dyDescent="0.25">
      <c r="A7129" s="2" t="s">
        <v>13</v>
      </c>
      <c r="B7129" s="2" t="str">
        <f>"345301290"</f>
        <v>345301290</v>
      </c>
      <c r="C7129" s="2" t="str">
        <f>"345301290"</f>
        <v>345301290</v>
      </c>
      <c r="D7129" s="2" t="s">
        <v>5132</v>
      </c>
      <c r="E7129" s="4">
        <v>3000</v>
      </c>
    </row>
    <row r="7130" spans="1:5" ht="26.25" x14ac:dyDescent="0.25">
      <c r="A7130" s="2" t="s">
        <v>13</v>
      </c>
      <c r="B7130" s="2" t="str">
        <f>"343301290"</f>
        <v>343301290</v>
      </c>
      <c r="C7130" s="2" t="str">
        <f>"343301290"</f>
        <v>343301290</v>
      </c>
      <c r="D7130" s="2" t="s">
        <v>5132</v>
      </c>
      <c r="E7130" s="4">
        <v>3000</v>
      </c>
    </row>
    <row r="7131" spans="1:5" ht="26.25" x14ac:dyDescent="0.25">
      <c r="A7131" s="2" t="s">
        <v>13</v>
      </c>
      <c r="B7131" s="2" t="str">
        <f>"183301290"</f>
        <v>183301290</v>
      </c>
      <c r="C7131" s="2" t="str">
        <f>"183301290"</f>
        <v>183301290</v>
      </c>
      <c r="D7131" s="2" t="s">
        <v>5132</v>
      </c>
      <c r="E7131" s="4">
        <v>3000</v>
      </c>
    </row>
    <row r="7132" spans="1:5" ht="26.25" x14ac:dyDescent="0.25">
      <c r="A7132" s="2" t="s">
        <v>13</v>
      </c>
      <c r="B7132" s="2" t="str">
        <f>"763301290"</f>
        <v>763301290</v>
      </c>
      <c r="C7132" s="2" t="str">
        <f>"763301290"</f>
        <v>763301290</v>
      </c>
      <c r="D7132" s="2" t="s">
        <v>5132</v>
      </c>
      <c r="E7132" s="4">
        <v>3000</v>
      </c>
    </row>
    <row r="7133" spans="1:5" ht="26.25" x14ac:dyDescent="0.25">
      <c r="A7133" s="2" t="s">
        <v>13</v>
      </c>
      <c r="B7133" s="2" t="str">
        <f>"76530192"</f>
        <v>76530192</v>
      </c>
      <c r="C7133" s="2" t="str">
        <f>"76530192"</f>
        <v>76530192</v>
      </c>
      <c r="D7133" s="2" t="s">
        <v>5133</v>
      </c>
      <c r="E7133" s="4">
        <v>3000</v>
      </c>
    </row>
    <row r="7134" spans="1:5" ht="26.25" x14ac:dyDescent="0.25">
      <c r="A7134" s="2" t="s">
        <v>13</v>
      </c>
      <c r="B7134" s="2" t="str">
        <f>"175301115"</f>
        <v>175301115</v>
      </c>
      <c r="C7134" s="2" t="str">
        <f>"175301115"</f>
        <v>175301115</v>
      </c>
      <c r="D7134" s="2" t="s">
        <v>5133</v>
      </c>
      <c r="E7134" s="4">
        <v>3000</v>
      </c>
    </row>
    <row r="7135" spans="1:5" ht="26.25" x14ac:dyDescent="0.25">
      <c r="A7135" s="2" t="s">
        <v>13</v>
      </c>
      <c r="B7135" s="2" t="str">
        <f>"175301124"</f>
        <v>175301124</v>
      </c>
      <c r="C7135" s="2" t="str">
        <f>"175301124"</f>
        <v>175301124</v>
      </c>
      <c r="D7135" s="2" t="s">
        <v>5134</v>
      </c>
      <c r="E7135" s="4">
        <v>3000</v>
      </c>
    </row>
    <row r="7136" spans="1:5" ht="26.25" x14ac:dyDescent="0.25">
      <c r="A7136" s="2" t="s">
        <v>13</v>
      </c>
      <c r="B7136" s="2" t="str">
        <f>"345301124"</f>
        <v>345301124</v>
      </c>
      <c r="C7136" s="2" t="str">
        <f>"345301124"</f>
        <v>345301124</v>
      </c>
      <c r="D7136" s="2" t="s">
        <v>5134</v>
      </c>
      <c r="E7136" s="4">
        <v>3000</v>
      </c>
    </row>
    <row r="7137" spans="1:5" ht="26.25" x14ac:dyDescent="0.25">
      <c r="A7137" s="2" t="s">
        <v>13</v>
      </c>
      <c r="B7137" s="2" t="str">
        <f>"765301124"</f>
        <v>765301124</v>
      </c>
      <c r="C7137" s="2" t="str">
        <f>"765301124"</f>
        <v>765301124</v>
      </c>
      <c r="D7137" s="2" t="s">
        <v>5135</v>
      </c>
      <c r="E7137" s="4">
        <v>3000</v>
      </c>
    </row>
    <row r="7138" spans="1:5" ht="26.25" x14ac:dyDescent="0.25">
      <c r="A7138" s="2" t="s">
        <v>13</v>
      </c>
      <c r="B7138" s="2" t="str">
        <f>"345201129"</f>
        <v>345201129</v>
      </c>
      <c r="C7138" s="2" t="str">
        <f>"345201129"</f>
        <v>345201129</v>
      </c>
      <c r="D7138" s="2" t="s">
        <v>5136</v>
      </c>
      <c r="E7138" s="4">
        <v>3000</v>
      </c>
    </row>
    <row r="7139" spans="1:5" ht="26.25" x14ac:dyDescent="0.25">
      <c r="A7139" s="2" t="s">
        <v>13</v>
      </c>
      <c r="B7139" s="2" t="str">
        <f>"763301129"</f>
        <v>763301129</v>
      </c>
      <c r="C7139" s="2" t="str">
        <f>"763301129"</f>
        <v>763301129</v>
      </c>
      <c r="D7139" s="2" t="s">
        <v>5137</v>
      </c>
      <c r="E7139" s="4">
        <v>3000</v>
      </c>
    </row>
    <row r="7140" spans="1:5" ht="26.25" x14ac:dyDescent="0.25">
      <c r="A7140" s="2" t="s">
        <v>13</v>
      </c>
      <c r="B7140" s="2" t="str">
        <f>"763301134"</f>
        <v>763301134</v>
      </c>
      <c r="C7140" s="2" t="str">
        <f>"763301134"</f>
        <v>763301134</v>
      </c>
      <c r="D7140" s="2" t="s">
        <v>5138</v>
      </c>
      <c r="E7140" s="4">
        <v>3000</v>
      </c>
    </row>
    <row r="7141" spans="1:5" ht="26.25" x14ac:dyDescent="0.25">
      <c r="A7141" s="2" t="s">
        <v>13</v>
      </c>
      <c r="B7141" s="2" t="str">
        <f>"763301128"</f>
        <v>763301128</v>
      </c>
      <c r="C7141" s="2" t="str">
        <f>"763301128"</f>
        <v>763301128</v>
      </c>
      <c r="D7141" s="2" t="s">
        <v>5139</v>
      </c>
      <c r="E7141" s="4">
        <v>3000</v>
      </c>
    </row>
    <row r="7142" spans="1:5" ht="26.25" x14ac:dyDescent="0.25">
      <c r="A7142" s="2" t="s">
        <v>13</v>
      </c>
      <c r="B7142" s="2" t="str">
        <f>"343301211"</f>
        <v>343301211</v>
      </c>
      <c r="C7142" s="2" t="str">
        <f>"343301211"</f>
        <v>343301211</v>
      </c>
      <c r="D7142" s="2" t="s">
        <v>5140</v>
      </c>
      <c r="E7142" s="4">
        <v>3000</v>
      </c>
    </row>
    <row r="7143" spans="1:5" ht="26.25" x14ac:dyDescent="0.25">
      <c r="A7143" s="2" t="s">
        <v>13</v>
      </c>
      <c r="B7143" s="2" t="str">
        <f>"345301211"</f>
        <v>345301211</v>
      </c>
      <c r="C7143" s="2" t="str">
        <f>"345301211"</f>
        <v>345301211</v>
      </c>
      <c r="D7143" s="2" t="s">
        <v>5140</v>
      </c>
      <c r="E7143" s="4">
        <v>3000</v>
      </c>
    </row>
    <row r="7144" spans="1:5" ht="26.25" x14ac:dyDescent="0.25">
      <c r="A7144" s="2" t="s">
        <v>13</v>
      </c>
      <c r="B7144" s="2" t="str">
        <f>"765301211"</f>
        <v>765301211</v>
      </c>
      <c r="C7144" s="2" t="str">
        <f>"765301211"</f>
        <v>765301211</v>
      </c>
      <c r="D7144" s="2" t="s">
        <v>5140</v>
      </c>
      <c r="E7144" s="4">
        <v>3000</v>
      </c>
    </row>
    <row r="7145" spans="1:5" ht="26.25" x14ac:dyDescent="0.25">
      <c r="A7145" s="2" t="s">
        <v>13</v>
      </c>
      <c r="B7145" s="2" t="str">
        <f>"183301211"</f>
        <v>183301211</v>
      </c>
      <c r="C7145" s="2" t="str">
        <f>"183301211"</f>
        <v>183301211</v>
      </c>
      <c r="D7145" s="2" t="s">
        <v>5140</v>
      </c>
      <c r="E7145" s="4">
        <v>3000</v>
      </c>
    </row>
    <row r="7146" spans="1:5" ht="26.25" x14ac:dyDescent="0.25">
      <c r="A7146" s="2" t="s">
        <v>13</v>
      </c>
      <c r="B7146" s="2" t="str">
        <f>"343301129"</f>
        <v>343301129</v>
      </c>
      <c r="C7146" s="2" t="str">
        <f>"343301129"</f>
        <v>343301129</v>
      </c>
      <c r="D7146" s="2" t="s">
        <v>5137</v>
      </c>
      <c r="E7146" s="4">
        <v>3000</v>
      </c>
    </row>
    <row r="7147" spans="1:5" ht="26.25" x14ac:dyDescent="0.25">
      <c r="A7147" s="2" t="s">
        <v>13</v>
      </c>
      <c r="B7147" s="2" t="str">
        <f>"765301129"</f>
        <v>765301129</v>
      </c>
      <c r="C7147" s="2" t="str">
        <f>"765301129"</f>
        <v>765301129</v>
      </c>
      <c r="D7147" s="2" t="s">
        <v>5137</v>
      </c>
      <c r="E7147" s="4">
        <v>3000</v>
      </c>
    </row>
    <row r="7148" spans="1:5" ht="26.25" x14ac:dyDescent="0.25">
      <c r="A7148" s="2" t="s">
        <v>13</v>
      </c>
      <c r="B7148" s="2" t="str">
        <f>"34530185"</f>
        <v>34530185</v>
      </c>
      <c r="C7148" s="2" t="str">
        <f>"34530185"</f>
        <v>34530185</v>
      </c>
      <c r="D7148" s="2" t="s">
        <v>5141</v>
      </c>
      <c r="E7148" s="4">
        <v>3000</v>
      </c>
    </row>
    <row r="7149" spans="1:5" ht="26.25" x14ac:dyDescent="0.25">
      <c r="A7149" s="2" t="s">
        <v>13</v>
      </c>
      <c r="B7149" s="2" t="str">
        <f>"343301209"</f>
        <v>343301209</v>
      </c>
      <c r="C7149" s="2" t="str">
        <f>"343301209"</f>
        <v>343301209</v>
      </c>
      <c r="D7149" s="2" t="s">
        <v>5142</v>
      </c>
      <c r="E7149" s="4">
        <v>3000</v>
      </c>
    </row>
    <row r="7150" spans="1:5" ht="26.25" x14ac:dyDescent="0.25">
      <c r="A7150" s="2" t="s">
        <v>13</v>
      </c>
      <c r="B7150" s="2" t="str">
        <f>"8002015001356"</f>
        <v>8002015001356</v>
      </c>
      <c r="C7150" s="2" t="str">
        <f>"183301209"</f>
        <v>183301209</v>
      </c>
      <c r="D7150" s="2" t="s">
        <v>5142</v>
      </c>
      <c r="E7150" s="4">
        <v>3000</v>
      </c>
    </row>
    <row r="7151" spans="1:5" ht="26.25" x14ac:dyDescent="0.25">
      <c r="A7151" s="2" t="s">
        <v>13</v>
      </c>
      <c r="B7151" s="2" t="str">
        <f>"763301209"</f>
        <v>763301209</v>
      </c>
      <c r="C7151" s="2" t="str">
        <f>"763301209"</f>
        <v>763301209</v>
      </c>
      <c r="D7151" s="2" t="s">
        <v>5142</v>
      </c>
      <c r="E7151" s="4">
        <v>3000</v>
      </c>
    </row>
    <row r="7152" spans="1:5" ht="26.25" x14ac:dyDescent="0.25">
      <c r="A7152" s="2" t="s">
        <v>13</v>
      </c>
      <c r="B7152" s="2" t="str">
        <f>"345301236"</f>
        <v>345301236</v>
      </c>
      <c r="C7152" s="2" t="str">
        <f>"345301236"</f>
        <v>345301236</v>
      </c>
      <c r="D7152" s="2" t="s">
        <v>5143</v>
      </c>
      <c r="E7152" s="4">
        <v>3000</v>
      </c>
    </row>
    <row r="7153" spans="1:5" ht="26.25" x14ac:dyDescent="0.25">
      <c r="A7153" s="2" t="s">
        <v>13</v>
      </c>
      <c r="B7153" s="2" t="str">
        <f>"173301135"</f>
        <v>173301135</v>
      </c>
      <c r="C7153" s="2" t="str">
        <f>"173301135"</f>
        <v>173301135</v>
      </c>
      <c r="D7153" s="2" t="s">
        <v>5144</v>
      </c>
      <c r="E7153" s="4">
        <v>3000</v>
      </c>
    </row>
    <row r="7154" spans="1:5" ht="26.25" x14ac:dyDescent="0.25">
      <c r="A7154" s="2" t="s">
        <v>13</v>
      </c>
      <c r="B7154" s="2" t="str">
        <f>"325301135"</f>
        <v>325301135</v>
      </c>
      <c r="C7154" s="2" t="str">
        <f>"325301135"</f>
        <v>325301135</v>
      </c>
      <c r="D7154" s="2" t="s">
        <v>5144</v>
      </c>
      <c r="E7154" s="4">
        <v>3000</v>
      </c>
    </row>
    <row r="7155" spans="1:5" ht="26.25" x14ac:dyDescent="0.25">
      <c r="A7155" s="2" t="s">
        <v>13</v>
      </c>
      <c r="B7155" s="2" t="str">
        <f>"765301135"</f>
        <v>765301135</v>
      </c>
      <c r="C7155" s="2" t="str">
        <f>"765301135"</f>
        <v>765301135</v>
      </c>
      <c r="D7155" s="2" t="s">
        <v>5144</v>
      </c>
      <c r="E7155" s="4">
        <v>3000</v>
      </c>
    </row>
    <row r="7156" spans="1:5" ht="26.25" x14ac:dyDescent="0.25">
      <c r="A7156" s="2" t="s">
        <v>13</v>
      </c>
      <c r="B7156" s="2" t="str">
        <f>"763301136"</f>
        <v>763301136</v>
      </c>
      <c r="C7156" s="2" t="str">
        <f>"763301136"</f>
        <v>763301136</v>
      </c>
      <c r="D7156" s="2" t="s">
        <v>5145</v>
      </c>
      <c r="E7156" s="4">
        <v>3000</v>
      </c>
    </row>
    <row r="7157" spans="1:5" ht="26.25" x14ac:dyDescent="0.25">
      <c r="A7157" s="2" t="s">
        <v>13</v>
      </c>
      <c r="B7157" s="2" t="str">
        <f>"345301240"</f>
        <v>345301240</v>
      </c>
      <c r="C7157" s="2" t="str">
        <f>"345301240"</f>
        <v>345301240</v>
      </c>
      <c r="D7157" s="2" t="s">
        <v>5146</v>
      </c>
      <c r="E7157" s="4">
        <v>3000</v>
      </c>
    </row>
    <row r="7158" spans="1:5" ht="26.25" x14ac:dyDescent="0.25">
      <c r="A7158" s="2" t="s">
        <v>13</v>
      </c>
      <c r="B7158" s="2" t="str">
        <f>"763301240"</f>
        <v>763301240</v>
      </c>
      <c r="C7158" s="2" t="str">
        <f>"763301240"</f>
        <v>763301240</v>
      </c>
      <c r="D7158" s="2" t="s">
        <v>5146</v>
      </c>
      <c r="E7158" s="4">
        <v>3000</v>
      </c>
    </row>
    <row r="7159" spans="1:5" ht="26.25" x14ac:dyDescent="0.25">
      <c r="A7159" s="2" t="s">
        <v>13</v>
      </c>
      <c r="B7159" s="2" t="str">
        <f>"933301240"</f>
        <v>933301240</v>
      </c>
      <c r="C7159" s="2" t="str">
        <f>"933301240"</f>
        <v>933301240</v>
      </c>
      <c r="D7159" s="2" t="s">
        <v>5146</v>
      </c>
      <c r="E7159" s="4">
        <v>3000</v>
      </c>
    </row>
    <row r="7160" spans="1:5" ht="26.25" x14ac:dyDescent="0.25">
      <c r="A7160" s="2" t="s">
        <v>13</v>
      </c>
      <c r="B7160" s="2" t="str">
        <f>"183301240"</f>
        <v>183301240</v>
      </c>
      <c r="C7160" s="2" t="str">
        <f>"183301240"</f>
        <v>183301240</v>
      </c>
      <c r="D7160" s="2" t="s">
        <v>5146</v>
      </c>
      <c r="E7160" s="4">
        <v>3000</v>
      </c>
    </row>
    <row r="7161" spans="1:5" ht="26.25" x14ac:dyDescent="0.25">
      <c r="A7161" s="2" t="s">
        <v>13</v>
      </c>
      <c r="B7161" s="2" t="str">
        <f>"173301240"</f>
        <v>173301240</v>
      </c>
      <c r="C7161" s="2" t="str">
        <f>"173301240"</f>
        <v>173301240</v>
      </c>
      <c r="D7161" s="2" t="s">
        <v>5146</v>
      </c>
      <c r="E7161" s="4">
        <v>3000</v>
      </c>
    </row>
    <row r="7162" spans="1:5" ht="26.25" x14ac:dyDescent="0.25">
      <c r="A7162" s="2" t="s">
        <v>13</v>
      </c>
      <c r="B7162" s="2" t="str">
        <f>"765301236"</f>
        <v>765301236</v>
      </c>
      <c r="C7162" s="2" t="str">
        <f>"765301236"</f>
        <v>765301236</v>
      </c>
      <c r="D7162" s="2" t="s">
        <v>5147</v>
      </c>
      <c r="E7162" s="4">
        <v>3000</v>
      </c>
    </row>
    <row r="7163" spans="1:5" ht="26.25" x14ac:dyDescent="0.25">
      <c r="A7163" s="2" t="s">
        <v>13</v>
      </c>
      <c r="B7163" s="2" t="str">
        <f>"173301236"</f>
        <v>173301236</v>
      </c>
      <c r="C7163" s="2" t="str">
        <f>"173301236"</f>
        <v>173301236</v>
      </c>
      <c r="D7163" s="2" t="s">
        <v>5148</v>
      </c>
      <c r="E7163" s="4">
        <v>3000</v>
      </c>
    </row>
    <row r="7164" spans="1:5" ht="26.25" x14ac:dyDescent="0.25">
      <c r="A7164" s="2" t="s">
        <v>13</v>
      </c>
      <c r="B7164" s="2" t="str">
        <f>"34530191"</f>
        <v>34530191</v>
      </c>
      <c r="C7164" s="2" t="str">
        <f>"34530191"</f>
        <v>34530191</v>
      </c>
      <c r="D7164" s="2" t="s">
        <v>5149</v>
      </c>
      <c r="E7164" s="4">
        <v>3000</v>
      </c>
    </row>
    <row r="7165" spans="1:5" ht="26.25" x14ac:dyDescent="0.25">
      <c r="A7165" s="2" t="s">
        <v>13</v>
      </c>
      <c r="B7165" s="2" t="str">
        <f>"765301240"</f>
        <v>765301240</v>
      </c>
      <c r="C7165" s="2" t="str">
        <f>"765301240"</f>
        <v>765301240</v>
      </c>
      <c r="D7165" s="2" t="s">
        <v>5150</v>
      </c>
      <c r="E7165" s="4">
        <v>3000</v>
      </c>
    </row>
    <row r="7166" spans="1:5" ht="26.25" x14ac:dyDescent="0.25">
      <c r="A7166" s="2" t="s">
        <v>13</v>
      </c>
      <c r="B7166" s="2" t="str">
        <f>"765301241"</f>
        <v>765301241</v>
      </c>
      <c r="C7166" s="2" t="str">
        <f>"765301241"</f>
        <v>765301241</v>
      </c>
      <c r="D7166" s="2" t="s">
        <v>5151</v>
      </c>
      <c r="E7166" s="4">
        <v>3000</v>
      </c>
    </row>
    <row r="7167" spans="1:5" ht="26.25" x14ac:dyDescent="0.25">
      <c r="A7167" s="2" t="s">
        <v>13</v>
      </c>
      <c r="B7167" s="2" t="str">
        <f>"765301162"</f>
        <v>765301162</v>
      </c>
      <c r="C7167" s="2" t="str">
        <f>"765301162"</f>
        <v>765301162</v>
      </c>
      <c r="D7167" s="2" t="s">
        <v>5152</v>
      </c>
      <c r="E7167" s="4">
        <v>3000</v>
      </c>
    </row>
    <row r="7168" spans="1:5" ht="26.25" x14ac:dyDescent="0.25">
      <c r="A7168" s="2" t="s">
        <v>13</v>
      </c>
      <c r="B7168" s="2" t="str">
        <f>"765301198"</f>
        <v>765301198</v>
      </c>
      <c r="C7168" s="2" t="str">
        <f>"765301198"</f>
        <v>765301198</v>
      </c>
      <c r="D7168" s="2" t="s">
        <v>5152</v>
      </c>
      <c r="E7168" s="4">
        <v>3000</v>
      </c>
    </row>
    <row r="7169" spans="1:5" ht="26.25" x14ac:dyDescent="0.25">
      <c r="A7169" s="2" t="s">
        <v>13</v>
      </c>
      <c r="B7169" s="2" t="str">
        <f>"175301198"</f>
        <v>175301198</v>
      </c>
      <c r="C7169" s="2" t="str">
        <f>"175301198"</f>
        <v>175301198</v>
      </c>
      <c r="D7169" s="2" t="s">
        <v>5153</v>
      </c>
      <c r="E7169" s="4">
        <v>3000</v>
      </c>
    </row>
    <row r="7170" spans="1:5" ht="26.25" x14ac:dyDescent="0.25">
      <c r="A7170" s="2" t="s">
        <v>13</v>
      </c>
      <c r="B7170" s="2" t="str">
        <f>"345301222"</f>
        <v>345301222</v>
      </c>
      <c r="C7170" s="2" t="str">
        <f>"345301222"</f>
        <v>345301222</v>
      </c>
      <c r="D7170" s="2" t="s">
        <v>5154</v>
      </c>
      <c r="E7170" s="4">
        <v>3000</v>
      </c>
    </row>
    <row r="7171" spans="1:5" ht="26.25" x14ac:dyDescent="0.25">
      <c r="A7171" s="2" t="s">
        <v>13</v>
      </c>
      <c r="B7171" s="2" t="str">
        <f>"765301222"</f>
        <v>765301222</v>
      </c>
      <c r="C7171" s="2" t="str">
        <f>"765301222"</f>
        <v>765301222</v>
      </c>
      <c r="D7171" s="2" t="s">
        <v>5154</v>
      </c>
      <c r="E7171" s="4">
        <v>3000</v>
      </c>
    </row>
    <row r="7172" spans="1:5" ht="26.25" x14ac:dyDescent="0.25">
      <c r="A7172" s="2" t="s">
        <v>13</v>
      </c>
      <c r="B7172" s="2" t="str">
        <f>"765301111"</f>
        <v>765301111</v>
      </c>
      <c r="C7172" s="2" t="str">
        <f>"765301111"</f>
        <v>765301111</v>
      </c>
      <c r="D7172" s="2" t="s">
        <v>5155</v>
      </c>
      <c r="E7172" s="4">
        <v>3000</v>
      </c>
    </row>
    <row r="7173" spans="1:5" ht="26.25" x14ac:dyDescent="0.25">
      <c r="A7173" s="2" t="s">
        <v>13</v>
      </c>
      <c r="B7173" s="2" t="str">
        <f>"345301212"</f>
        <v>345301212</v>
      </c>
      <c r="C7173" s="2" t="str">
        <f>"345301212"</f>
        <v>345301212</v>
      </c>
      <c r="D7173" s="2" t="s">
        <v>5156</v>
      </c>
      <c r="E7173" s="4">
        <v>3000</v>
      </c>
    </row>
    <row r="7174" spans="1:5" ht="26.25" x14ac:dyDescent="0.25">
      <c r="A7174" s="2" t="s">
        <v>13</v>
      </c>
      <c r="B7174" s="2" t="str">
        <f>"763301212"</f>
        <v>763301212</v>
      </c>
      <c r="C7174" s="2" t="str">
        <f>"763301212"</f>
        <v>763301212</v>
      </c>
      <c r="D7174" s="2" t="s">
        <v>5157</v>
      </c>
      <c r="E7174" s="4">
        <v>3000</v>
      </c>
    </row>
    <row r="7175" spans="1:5" ht="26.25" x14ac:dyDescent="0.25">
      <c r="A7175" s="2" t="s">
        <v>13</v>
      </c>
      <c r="B7175" s="2" t="str">
        <f>"173301244"</f>
        <v>173301244</v>
      </c>
      <c r="C7175" s="2" t="str">
        <f>"173301244"</f>
        <v>173301244</v>
      </c>
      <c r="D7175" s="2" t="s">
        <v>5158</v>
      </c>
      <c r="E7175" s="4">
        <v>3000</v>
      </c>
    </row>
    <row r="7176" spans="1:5" ht="26.25" x14ac:dyDescent="0.25">
      <c r="A7176" s="2" t="s">
        <v>13</v>
      </c>
      <c r="B7176" s="2" t="str">
        <f>"343301244"</f>
        <v>343301244</v>
      </c>
      <c r="C7176" s="2" t="str">
        <f>"343301244"</f>
        <v>343301244</v>
      </c>
      <c r="D7176" s="2" t="s">
        <v>5158</v>
      </c>
      <c r="E7176" s="4">
        <v>3000</v>
      </c>
    </row>
    <row r="7177" spans="1:5" ht="26.25" x14ac:dyDescent="0.25">
      <c r="A7177" s="2" t="s">
        <v>13</v>
      </c>
      <c r="B7177" s="2" t="str">
        <f>"763301244"</f>
        <v>763301244</v>
      </c>
      <c r="C7177" s="2" t="str">
        <f>"763301244"</f>
        <v>763301244</v>
      </c>
      <c r="D7177" s="2" t="s">
        <v>5158</v>
      </c>
      <c r="E7177" s="4">
        <v>3000</v>
      </c>
    </row>
    <row r="7178" spans="1:5" ht="26.25" x14ac:dyDescent="0.25">
      <c r="A7178" s="2" t="s">
        <v>13</v>
      </c>
      <c r="B7178" s="2" t="str">
        <f>"765301244"</f>
        <v>765301244</v>
      </c>
      <c r="C7178" s="2" t="str">
        <f>"765301244"</f>
        <v>765301244</v>
      </c>
      <c r="D7178" s="2" t="s">
        <v>5158</v>
      </c>
      <c r="E7178" s="4">
        <v>3000</v>
      </c>
    </row>
    <row r="7179" spans="1:5" ht="26.25" x14ac:dyDescent="0.25">
      <c r="A7179" s="2" t="s">
        <v>13</v>
      </c>
      <c r="B7179" s="2" t="str">
        <f>"345301244"</f>
        <v>345301244</v>
      </c>
      <c r="C7179" s="2" t="str">
        <f>"345301244"</f>
        <v>345301244</v>
      </c>
      <c r="D7179" s="2" t="s">
        <v>5158</v>
      </c>
      <c r="E7179" s="4">
        <v>3000</v>
      </c>
    </row>
    <row r="7180" spans="1:5" ht="26.25" x14ac:dyDescent="0.25">
      <c r="A7180" s="2" t="s">
        <v>13</v>
      </c>
      <c r="B7180" s="2" t="str">
        <f>"345301228"</f>
        <v>345301228</v>
      </c>
      <c r="C7180" s="2" t="str">
        <f>"345301228"</f>
        <v>345301228</v>
      </c>
      <c r="D7180" s="2" t="s">
        <v>5159</v>
      </c>
      <c r="E7180" s="4">
        <v>3000</v>
      </c>
    </row>
    <row r="7181" spans="1:5" ht="26.25" x14ac:dyDescent="0.25">
      <c r="A7181" s="2" t="s">
        <v>13</v>
      </c>
      <c r="B7181" s="2" t="str">
        <f>"345301237"</f>
        <v>345301237</v>
      </c>
      <c r="C7181" s="2" t="str">
        <f>"345301237"</f>
        <v>345301237</v>
      </c>
      <c r="D7181" s="2" t="s">
        <v>5159</v>
      </c>
      <c r="E7181" s="4">
        <v>3000</v>
      </c>
    </row>
    <row r="7182" spans="1:5" ht="26.25" x14ac:dyDescent="0.25">
      <c r="A7182" s="2" t="s">
        <v>13</v>
      </c>
      <c r="B7182" s="2" t="str">
        <f>"765323188"</f>
        <v>765323188</v>
      </c>
      <c r="C7182" s="2" t="str">
        <f>"765323188"</f>
        <v>765323188</v>
      </c>
      <c r="D7182" s="2" t="s">
        <v>5160</v>
      </c>
      <c r="E7182" s="4">
        <v>3000</v>
      </c>
    </row>
    <row r="7183" spans="1:5" ht="26.25" x14ac:dyDescent="0.25">
      <c r="A7183" s="2" t="s">
        <v>13</v>
      </c>
      <c r="B7183" s="2" t="str">
        <f>"765323116"</f>
        <v>765323116</v>
      </c>
      <c r="C7183" s="2" t="str">
        <f>"765323116"</f>
        <v>765323116</v>
      </c>
      <c r="D7183" s="2" t="s">
        <v>5161</v>
      </c>
      <c r="E7183" s="4">
        <v>3000</v>
      </c>
    </row>
    <row r="7184" spans="1:5" ht="26.25" x14ac:dyDescent="0.25">
      <c r="A7184" s="2" t="s">
        <v>13</v>
      </c>
      <c r="B7184" s="2" t="str">
        <f>"765323140"</f>
        <v>765323140</v>
      </c>
      <c r="C7184" s="2" t="str">
        <f>"765323140"</f>
        <v>765323140</v>
      </c>
      <c r="D7184" s="2" t="s">
        <v>5162</v>
      </c>
      <c r="E7184" s="4">
        <v>3000</v>
      </c>
    </row>
    <row r="7185" spans="1:5" ht="26.25" x14ac:dyDescent="0.25">
      <c r="A7185" s="2" t="s">
        <v>13</v>
      </c>
      <c r="B7185" s="2" t="str">
        <f>"345323218"</f>
        <v>345323218</v>
      </c>
      <c r="C7185" s="2" t="str">
        <f>"345323218"</f>
        <v>345323218</v>
      </c>
      <c r="D7185" s="2" t="s">
        <v>5163</v>
      </c>
      <c r="E7185" s="4">
        <v>3000</v>
      </c>
    </row>
    <row r="7186" spans="1:5" ht="26.25" x14ac:dyDescent="0.25">
      <c r="A7186" s="2" t="s">
        <v>13</v>
      </c>
      <c r="B7186" s="2" t="str">
        <f>"765323218"</f>
        <v>765323218</v>
      </c>
      <c r="C7186" s="2" t="str">
        <f>"765323218"</f>
        <v>765323218</v>
      </c>
      <c r="D7186" s="2" t="s">
        <v>5163</v>
      </c>
      <c r="E7186" s="4">
        <v>3000</v>
      </c>
    </row>
    <row r="7187" spans="1:5" ht="26.25" x14ac:dyDescent="0.25">
      <c r="A7187" s="2" t="s">
        <v>13</v>
      </c>
      <c r="B7187" s="2" t="str">
        <f>"343323132"</f>
        <v>343323132</v>
      </c>
      <c r="C7187" s="2" t="str">
        <f>"343323132"</f>
        <v>343323132</v>
      </c>
      <c r="D7187" s="2" t="s">
        <v>5164</v>
      </c>
      <c r="E7187" s="4">
        <v>3000</v>
      </c>
    </row>
    <row r="7188" spans="1:5" ht="26.25" x14ac:dyDescent="0.25">
      <c r="A7188" s="2" t="s">
        <v>13</v>
      </c>
      <c r="B7188" s="2" t="str">
        <f>"345323132"</f>
        <v>345323132</v>
      </c>
      <c r="C7188" s="2" t="str">
        <f>"345323132"</f>
        <v>345323132</v>
      </c>
      <c r="D7188" s="2" t="s">
        <v>5164</v>
      </c>
      <c r="E7188" s="4">
        <v>3000</v>
      </c>
    </row>
    <row r="7189" spans="1:5" ht="26.25" x14ac:dyDescent="0.25">
      <c r="A7189" s="2" t="s">
        <v>13</v>
      </c>
      <c r="B7189" s="2" t="str">
        <f>"765323132"</f>
        <v>765323132</v>
      </c>
      <c r="C7189" s="2" t="str">
        <f>"765323132"</f>
        <v>765323132</v>
      </c>
      <c r="D7189" s="2" t="s">
        <v>5164</v>
      </c>
      <c r="E7189" s="4">
        <v>3000</v>
      </c>
    </row>
    <row r="7190" spans="1:5" ht="26.25" x14ac:dyDescent="0.25">
      <c r="A7190" s="2" t="s">
        <v>13</v>
      </c>
      <c r="B7190" s="2" t="str">
        <f>"765323246"</f>
        <v>765323246</v>
      </c>
      <c r="C7190" s="2" t="str">
        <f>"765323246"</f>
        <v>765323246</v>
      </c>
      <c r="D7190" s="2" t="s">
        <v>5165</v>
      </c>
      <c r="E7190" s="4">
        <v>3000</v>
      </c>
    </row>
    <row r="7191" spans="1:5" ht="26.25" x14ac:dyDescent="0.25">
      <c r="A7191" s="2" t="s">
        <v>13</v>
      </c>
      <c r="B7191" s="2" t="str">
        <f>"345323232"</f>
        <v>345323232</v>
      </c>
      <c r="C7191" s="2" t="str">
        <f>"345323232"</f>
        <v>345323232</v>
      </c>
      <c r="D7191" s="2" t="s">
        <v>5166</v>
      </c>
      <c r="E7191" s="4">
        <v>3000</v>
      </c>
    </row>
    <row r="7192" spans="1:5" ht="26.25" x14ac:dyDescent="0.25">
      <c r="A7192" s="2" t="s">
        <v>13</v>
      </c>
      <c r="B7192" s="2" t="str">
        <f>"763323232"</f>
        <v>763323232</v>
      </c>
      <c r="C7192" s="2" t="str">
        <f>"763323232"</f>
        <v>763323232</v>
      </c>
      <c r="D7192" s="2" t="s">
        <v>5167</v>
      </c>
      <c r="E7192" s="4">
        <v>3000</v>
      </c>
    </row>
    <row r="7193" spans="1:5" ht="26.25" x14ac:dyDescent="0.25">
      <c r="A7193" s="2" t="s">
        <v>13</v>
      </c>
      <c r="B7193" s="2" t="str">
        <f>"765323232"</f>
        <v>765323232</v>
      </c>
      <c r="C7193" s="2" t="str">
        <f>"765323232"</f>
        <v>765323232</v>
      </c>
      <c r="D7193" s="2" t="s">
        <v>5167</v>
      </c>
      <c r="E7193" s="4">
        <v>3000</v>
      </c>
    </row>
    <row r="7194" spans="1:5" ht="26.25" x14ac:dyDescent="0.25">
      <c r="A7194" s="2" t="s">
        <v>13</v>
      </c>
      <c r="B7194" s="2" t="str">
        <f>"345323267"</f>
        <v>345323267</v>
      </c>
      <c r="C7194" s="2" t="str">
        <f>"345323267"</f>
        <v>345323267</v>
      </c>
      <c r="D7194" s="2" t="s">
        <v>5168</v>
      </c>
      <c r="E7194" s="4">
        <v>3000</v>
      </c>
    </row>
    <row r="7195" spans="1:5" ht="26.25" x14ac:dyDescent="0.25">
      <c r="A7195" s="2" t="s">
        <v>13</v>
      </c>
      <c r="B7195" s="2" t="str">
        <f>"3345321255"</f>
        <v>3345321255</v>
      </c>
      <c r="C7195" s="2" t="str">
        <f>"3345321255"</f>
        <v>3345321255</v>
      </c>
      <c r="D7195" s="2" t="s">
        <v>5169</v>
      </c>
      <c r="E7195" s="4">
        <v>3000</v>
      </c>
    </row>
    <row r="7196" spans="1:5" ht="26.25" x14ac:dyDescent="0.25">
      <c r="A7196" s="2" t="s">
        <v>13</v>
      </c>
      <c r="B7196" s="2" t="str">
        <f>"175321160"</f>
        <v>175321160</v>
      </c>
      <c r="C7196" s="2" t="str">
        <f>"175321160"</f>
        <v>175321160</v>
      </c>
      <c r="D7196" s="2" t="s">
        <v>5170</v>
      </c>
      <c r="E7196" s="4">
        <v>3000</v>
      </c>
    </row>
    <row r="7197" spans="1:5" ht="26.25" x14ac:dyDescent="0.25">
      <c r="A7197" s="2" t="s">
        <v>13</v>
      </c>
      <c r="B7197" s="2" t="str">
        <f>"765321160"</f>
        <v>765321160</v>
      </c>
      <c r="C7197" s="2" t="str">
        <f>"765321160"</f>
        <v>765321160</v>
      </c>
      <c r="D7197" s="2" t="s">
        <v>5170</v>
      </c>
      <c r="E7197" s="4">
        <v>3000</v>
      </c>
    </row>
    <row r="7198" spans="1:5" ht="26.25" x14ac:dyDescent="0.25">
      <c r="A7198" s="2" t="s">
        <v>13</v>
      </c>
      <c r="B7198" s="2" t="str">
        <f>"343321160"</f>
        <v>343321160</v>
      </c>
      <c r="C7198" s="2" t="str">
        <f>"343321160"</f>
        <v>343321160</v>
      </c>
      <c r="D7198" s="2" t="s">
        <v>5170</v>
      </c>
      <c r="E7198" s="4">
        <v>3000</v>
      </c>
    </row>
    <row r="7199" spans="1:5" ht="26.25" x14ac:dyDescent="0.25">
      <c r="A7199" s="2" t="s">
        <v>13</v>
      </c>
      <c r="B7199" s="2" t="str">
        <f>"345321160"</f>
        <v>345321160</v>
      </c>
      <c r="C7199" s="2" t="str">
        <f>"345321160"</f>
        <v>345321160</v>
      </c>
      <c r="D7199" s="2" t="s">
        <v>5170</v>
      </c>
      <c r="E7199" s="4">
        <v>3000</v>
      </c>
    </row>
    <row r="7200" spans="1:5" ht="26.25" x14ac:dyDescent="0.25">
      <c r="A7200" s="2" t="s">
        <v>13</v>
      </c>
      <c r="B7200" s="2" t="str">
        <f>"345321203"</f>
        <v>345321203</v>
      </c>
      <c r="C7200" s="2" t="str">
        <f>"345321203"</f>
        <v>345321203</v>
      </c>
      <c r="D7200" s="2" t="s">
        <v>5171</v>
      </c>
      <c r="E7200" s="4">
        <v>3000</v>
      </c>
    </row>
    <row r="7201" spans="1:5" ht="26.25" x14ac:dyDescent="0.25">
      <c r="A7201" s="2" t="s">
        <v>13</v>
      </c>
      <c r="B7201" s="2" t="str">
        <f>"345321255"</f>
        <v>345321255</v>
      </c>
      <c r="C7201" s="2" t="str">
        <f>"345321255"</f>
        <v>345321255</v>
      </c>
      <c r="D7201" s="2" t="s">
        <v>5172</v>
      </c>
      <c r="E7201" s="4">
        <v>3000</v>
      </c>
    </row>
    <row r="7202" spans="1:5" ht="26.25" x14ac:dyDescent="0.25">
      <c r="A7202" s="2" t="s">
        <v>13</v>
      </c>
      <c r="B7202" s="2" t="str">
        <f>"345321120"</f>
        <v>345321120</v>
      </c>
      <c r="C7202" s="2" t="str">
        <f>"345321120"</f>
        <v>345321120</v>
      </c>
      <c r="D7202" s="2" t="s">
        <v>5173</v>
      </c>
      <c r="E7202" s="4">
        <v>3000</v>
      </c>
    </row>
    <row r="7203" spans="1:5" ht="26.25" x14ac:dyDescent="0.25">
      <c r="A7203" s="2" t="s">
        <v>13</v>
      </c>
      <c r="B7203" s="2" t="str">
        <f>"765321122"</f>
        <v>765321122</v>
      </c>
      <c r="C7203" s="2" t="str">
        <f>"765321122"</f>
        <v>765321122</v>
      </c>
      <c r="D7203" s="2" t="s">
        <v>5174</v>
      </c>
      <c r="E7203" s="4">
        <v>3000</v>
      </c>
    </row>
    <row r="7204" spans="1:5" ht="26.25" x14ac:dyDescent="0.25">
      <c r="A7204" s="2" t="s">
        <v>13</v>
      </c>
      <c r="B7204" s="2" t="str">
        <f>"175321126"</f>
        <v>175321126</v>
      </c>
      <c r="C7204" s="2" t="str">
        <f>"175321126"</f>
        <v>175321126</v>
      </c>
      <c r="D7204" s="2" t="s">
        <v>5175</v>
      </c>
      <c r="E7204" s="4">
        <v>3000</v>
      </c>
    </row>
    <row r="7205" spans="1:5" ht="26.25" x14ac:dyDescent="0.25">
      <c r="A7205" s="2" t="s">
        <v>13</v>
      </c>
      <c r="B7205" s="2" t="str">
        <f>"345321243"</f>
        <v>345321243</v>
      </c>
      <c r="C7205" s="2" t="str">
        <f>"345321243"</f>
        <v>345321243</v>
      </c>
      <c r="D7205" s="2" t="s">
        <v>5175</v>
      </c>
      <c r="E7205" s="4">
        <v>3000</v>
      </c>
    </row>
    <row r="7206" spans="1:5" ht="26.25" x14ac:dyDescent="0.25">
      <c r="A7206" s="2" t="s">
        <v>13</v>
      </c>
      <c r="B7206" s="2" t="str">
        <f>"765321243"</f>
        <v>765321243</v>
      </c>
      <c r="C7206" s="2" t="str">
        <f>"765321243"</f>
        <v>765321243</v>
      </c>
      <c r="D7206" s="2" t="s">
        <v>5175</v>
      </c>
      <c r="E7206" s="4">
        <v>3000</v>
      </c>
    </row>
    <row r="7207" spans="1:5" ht="26.25" x14ac:dyDescent="0.25">
      <c r="A7207" s="2" t="s">
        <v>13</v>
      </c>
      <c r="B7207" s="2" t="str">
        <f>"345321267"</f>
        <v>345321267</v>
      </c>
      <c r="C7207" s="2" t="str">
        <f>"345321267"</f>
        <v>345321267</v>
      </c>
      <c r="D7207" s="2" t="s">
        <v>5176</v>
      </c>
      <c r="E7207" s="4">
        <v>3000</v>
      </c>
    </row>
    <row r="7208" spans="1:5" ht="26.25" x14ac:dyDescent="0.25">
      <c r="A7208" s="2" t="s">
        <v>13</v>
      </c>
      <c r="B7208" s="2" t="str">
        <f>"345305157"</f>
        <v>345305157</v>
      </c>
      <c r="C7208" s="2" t="str">
        <f>"345305157"</f>
        <v>345305157</v>
      </c>
      <c r="D7208" s="2" t="s">
        <v>5177</v>
      </c>
      <c r="E7208" s="4">
        <v>3000</v>
      </c>
    </row>
    <row r="7209" spans="1:5" ht="26.25" x14ac:dyDescent="0.25">
      <c r="A7209" s="2" t="s">
        <v>13</v>
      </c>
      <c r="B7209" s="2" t="str">
        <f>"17530568"</f>
        <v>17530568</v>
      </c>
      <c r="C7209" s="2" t="str">
        <f>"17530568"</f>
        <v>17530568</v>
      </c>
      <c r="D7209" s="2" t="s">
        <v>5178</v>
      </c>
      <c r="E7209" s="4">
        <v>3000</v>
      </c>
    </row>
    <row r="7210" spans="1:5" ht="26.25" x14ac:dyDescent="0.25">
      <c r="A7210" s="2" t="s">
        <v>13</v>
      </c>
      <c r="B7210" s="2" t="str">
        <f>"17330568"</f>
        <v>17330568</v>
      </c>
      <c r="C7210" s="2" t="str">
        <f>"17330568"</f>
        <v>17330568</v>
      </c>
      <c r="D7210" s="2" t="s">
        <v>5178</v>
      </c>
      <c r="E7210" s="4">
        <v>3000</v>
      </c>
    </row>
    <row r="7211" spans="1:5" ht="26.25" x14ac:dyDescent="0.25">
      <c r="A7211" s="2" t="s">
        <v>13</v>
      </c>
      <c r="B7211" s="2" t="str">
        <f>"34330568"</f>
        <v>34330568</v>
      </c>
      <c r="C7211" s="2" t="str">
        <f>"34330568"</f>
        <v>34330568</v>
      </c>
      <c r="D7211" s="2" t="s">
        <v>5178</v>
      </c>
      <c r="E7211" s="4">
        <v>3000</v>
      </c>
    </row>
    <row r="7212" spans="1:5" ht="26.25" x14ac:dyDescent="0.25">
      <c r="A7212" s="2" t="s">
        <v>13</v>
      </c>
      <c r="B7212" s="2" t="str">
        <f>"34530568"</f>
        <v>34530568</v>
      </c>
      <c r="C7212" s="2" t="str">
        <f>"34530568"</f>
        <v>34530568</v>
      </c>
      <c r="D7212" s="2" t="s">
        <v>5179</v>
      </c>
      <c r="E7212" s="4">
        <v>3000</v>
      </c>
    </row>
    <row r="7213" spans="1:5" ht="26.25" x14ac:dyDescent="0.25">
      <c r="A7213" s="2" t="s">
        <v>13</v>
      </c>
      <c r="B7213" s="2" t="str">
        <f>"76330568"</f>
        <v>76330568</v>
      </c>
      <c r="C7213" s="2" t="str">
        <f>"76330568"</f>
        <v>76330568</v>
      </c>
      <c r="D7213" s="2" t="s">
        <v>5179</v>
      </c>
      <c r="E7213" s="4">
        <v>3000</v>
      </c>
    </row>
    <row r="7214" spans="1:5" ht="26.25" x14ac:dyDescent="0.25">
      <c r="A7214" s="2" t="s">
        <v>13</v>
      </c>
      <c r="B7214" s="2" t="str">
        <f>"76530568"</f>
        <v>76530568</v>
      </c>
      <c r="C7214" s="2" t="str">
        <f>"76530568"</f>
        <v>76530568</v>
      </c>
      <c r="D7214" s="2" t="s">
        <v>5179</v>
      </c>
      <c r="E7214" s="4">
        <v>3000</v>
      </c>
    </row>
    <row r="7215" spans="1:5" ht="26.25" x14ac:dyDescent="0.25">
      <c r="A7215" s="2" t="s">
        <v>13</v>
      </c>
      <c r="B7215" s="2" t="str">
        <f>"17530569"</f>
        <v>17530569</v>
      </c>
      <c r="C7215" s="2" t="str">
        <f>"17530569"</f>
        <v>17530569</v>
      </c>
      <c r="D7215" s="2" t="s">
        <v>5180</v>
      </c>
      <c r="E7215" s="4">
        <v>3000</v>
      </c>
    </row>
    <row r="7216" spans="1:5" ht="26.25" x14ac:dyDescent="0.25">
      <c r="A7216" s="2" t="s">
        <v>13</v>
      </c>
      <c r="B7216" s="2" t="str">
        <f>"34330569"</f>
        <v>34330569</v>
      </c>
      <c r="C7216" s="2" t="str">
        <f>"34330569"</f>
        <v>34330569</v>
      </c>
      <c r="D7216" s="2" t="s">
        <v>5180</v>
      </c>
      <c r="E7216" s="4">
        <v>3000</v>
      </c>
    </row>
    <row r="7217" spans="1:5" ht="26.25" x14ac:dyDescent="0.25">
      <c r="A7217" s="2" t="s">
        <v>13</v>
      </c>
      <c r="B7217" s="2" t="str">
        <f>"34530569"</f>
        <v>34530569</v>
      </c>
      <c r="C7217" s="2" t="str">
        <f>"34530569"</f>
        <v>34530569</v>
      </c>
      <c r="D7217" s="2" t="s">
        <v>5180</v>
      </c>
      <c r="E7217" s="4">
        <v>3000</v>
      </c>
    </row>
    <row r="7218" spans="1:5" ht="26.25" x14ac:dyDescent="0.25">
      <c r="A7218" s="2" t="s">
        <v>13</v>
      </c>
      <c r="B7218" s="2" t="str">
        <f>"76530569"</f>
        <v>76530569</v>
      </c>
      <c r="C7218" s="2" t="str">
        <f>"76530569"</f>
        <v>76530569</v>
      </c>
      <c r="D7218" s="2" t="s">
        <v>5180</v>
      </c>
      <c r="E7218" s="4">
        <v>4000</v>
      </c>
    </row>
    <row r="7219" spans="1:5" ht="26.25" x14ac:dyDescent="0.25">
      <c r="A7219" s="2" t="s">
        <v>13</v>
      </c>
      <c r="B7219" s="2" t="str">
        <f>"76330569"</f>
        <v>76330569</v>
      </c>
      <c r="C7219" s="2" t="str">
        <f>"76330569"</f>
        <v>76330569</v>
      </c>
      <c r="D7219" s="2" t="s">
        <v>5180</v>
      </c>
      <c r="E7219" s="4">
        <v>3000</v>
      </c>
    </row>
    <row r="7220" spans="1:5" ht="26.25" x14ac:dyDescent="0.25">
      <c r="A7220" s="2" t="s">
        <v>13</v>
      </c>
      <c r="B7220" s="2" t="str">
        <f>"17330569"</f>
        <v>17330569</v>
      </c>
      <c r="C7220" s="2" t="str">
        <f>"17330569"</f>
        <v>17330569</v>
      </c>
      <c r="D7220" s="2" t="s">
        <v>5180</v>
      </c>
      <c r="E7220" s="4">
        <v>3000</v>
      </c>
    </row>
    <row r="7221" spans="1:5" ht="26.25" x14ac:dyDescent="0.25">
      <c r="A7221" s="2" t="s">
        <v>13</v>
      </c>
      <c r="B7221" s="2" t="str">
        <f>"76530567"</f>
        <v>76530567</v>
      </c>
      <c r="C7221" s="2" t="str">
        <f>"76530567"</f>
        <v>76530567</v>
      </c>
      <c r="D7221" s="2" t="s">
        <v>5181</v>
      </c>
      <c r="E7221" s="4">
        <v>3000</v>
      </c>
    </row>
    <row r="7222" spans="1:5" ht="26.25" x14ac:dyDescent="0.25">
      <c r="A7222" s="2" t="s">
        <v>13</v>
      </c>
      <c r="B7222" s="2" t="str">
        <f>"765305119"</f>
        <v>765305119</v>
      </c>
      <c r="C7222" s="2" t="str">
        <f>"765305119"</f>
        <v>765305119</v>
      </c>
      <c r="D7222" s="2" t="s">
        <v>5181</v>
      </c>
      <c r="E7222" s="4">
        <v>3000</v>
      </c>
    </row>
    <row r="7223" spans="1:5" ht="26.25" x14ac:dyDescent="0.25">
      <c r="A7223" s="2" t="s">
        <v>13</v>
      </c>
      <c r="B7223" s="2" t="str">
        <f>"34530567"</f>
        <v>34530567</v>
      </c>
      <c r="C7223" s="2" t="str">
        <f>"34530567"</f>
        <v>34530567</v>
      </c>
      <c r="D7223" s="2" t="s">
        <v>5182</v>
      </c>
      <c r="E7223" s="4">
        <v>3000</v>
      </c>
    </row>
    <row r="7224" spans="1:5" ht="26.25" x14ac:dyDescent="0.25">
      <c r="A7224" s="2" t="s">
        <v>13</v>
      </c>
      <c r="B7224" s="2" t="str">
        <f>"765305157"</f>
        <v>765305157</v>
      </c>
      <c r="C7224" s="2" t="str">
        <f>"765305157"</f>
        <v>765305157</v>
      </c>
      <c r="D7224" s="2" t="s">
        <v>5183</v>
      </c>
      <c r="E7224" s="4">
        <v>3000</v>
      </c>
    </row>
    <row r="7225" spans="1:5" ht="26.25" x14ac:dyDescent="0.25">
      <c r="A7225" s="2" t="s">
        <v>13</v>
      </c>
      <c r="B7225" s="2" t="str">
        <f>"17530570"</f>
        <v>17530570</v>
      </c>
      <c r="C7225" s="2" t="str">
        <f>"17530570"</f>
        <v>17530570</v>
      </c>
      <c r="D7225" s="2" t="s">
        <v>5184</v>
      </c>
      <c r="E7225" s="4">
        <v>3000</v>
      </c>
    </row>
    <row r="7226" spans="1:5" ht="26.25" x14ac:dyDescent="0.25">
      <c r="A7226" s="2" t="s">
        <v>13</v>
      </c>
      <c r="B7226" s="2" t="str">
        <f>"76330570"</f>
        <v>76330570</v>
      </c>
      <c r="C7226" s="2" t="str">
        <f>"76330570"</f>
        <v>76330570</v>
      </c>
      <c r="D7226" s="2" t="s">
        <v>5184</v>
      </c>
      <c r="E7226" s="4">
        <v>3000</v>
      </c>
    </row>
    <row r="7227" spans="1:5" ht="26.25" x14ac:dyDescent="0.25">
      <c r="A7227" s="2" t="s">
        <v>13</v>
      </c>
      <c r="B7227" s="2" t="str">
        <f>"34530570"</f>
        <v>34530570</v>
      </c>
      <c r="C7227" s="2" t="str">
        <f>"34530570"</f>
        <v>34530570</v>
      </c>
      <c r="D7227" s="2" t="s">
        <v>5184</v>
      </c>
      <c r="E7227" s="4">
        <v>3000</v>
      </c>
    </row>
    <row r="7228" spans="1:5" ht="26.25" x14ac:dyDescent="0.25">
      <c r="A7228" s="2" t="s">
        <v>13</v>
      </c>
      <c r="B7228" s="2" t="str">
        <f>"76530570"</f>
        <v>76530570</v>
      </c>
      <c r="C7228" s="2" t="str">
        <f>"76530570"</f>
        <v>76530570</v>
      </c>
      <c r="D7228" s="2" t="s">
        <v>5184</v>
      </c>
      <c r="E7228" s="4">
        <v>3000</v>
      </c>
    </row>
    <row r="7229" spans="1:5" ht="26.25" x14ac:dyDescent="0.25">
      <c r="A7229" s="2" t="s">
        <v>13</v>
      </c>
      <c r="B7229" s="2" t="str">
        <f>"765305207"</f>
        <v>765305207</v>
      </c>
      <c r="C7229" s="2" t="str">
        <f>"765305207"</f>
        <v>765305207</v>
      </c>
      <c r="D7229" s="2" t="s">
        <v>5184</v>
      </c>
      <c r="E7229" s="4">
        <v>3000</v>
      </c>
    </row>
    <row r="7230" spans="1:5" ht="26.25" x14ac:dyDescent="0.25">
      <c r="A7230" s="2" t="s">
        <v>13</v>
      </c>
      <c r="B7230" s="2" t="str">
        <f>"34530550"</f>
        <v>34530550</v>
      </c>
      <c r="C7230" s="2" t="str">
        <f>"34530550"</f>
        <v>34530550</v>
      </c>
      <c r="D7230" s="2" t="s">
        <v>5185</v>
      </c>
      <c r="E7230" s="4">
        <v>3000</v>
      </c>
    </row>
    <row r="7231" spans="1:5" ht="26.25" x14ac:dyDescent="0.25">
      <c r="A7231" s="2" t="s">
        <v>13</v>
      </c>
      <c r="B7231" s="2" t="str">
        <f>"765305257"</f>
        <v>765305257</v>
      </c>
      <c r="C7231" s="2" t="str">
        <f>"765305257"</f>
        <v>765305257</v>
      </c>
      <c r="D7231" s="2" t="s">
        <v>5186</v>
      </c>
      <c r="E7231" s="4">
        <v>3000</v>
      </c>
    </row>
    <row r="7232" spans="1:5" ht="26.25" x14ac:dyDescent="0.25">
      <c r="A7232" s="2" t="s">
        <v>13</v>
      </c>
      <c r="B7232" s="2" t="str">
        <f>"76530521"</f>
        <v>76530521</v>
      </c>
      <c r="C7232" s="2" t="str">
        <f>"76530521"</f>
        <v>76530521</v>
      </c>
      <c r="D7232" s="2" t="s">
        <v>5187</v>
      </c>
      <c r="E7232" s="4">
        <v>3000</v>
      </c>
    </row>
    <row r="7233" spans="1:5" ht="26.25" x14ac:dyDescent="0.25">
      <c r="A7233" s="2" t="s">
        <v>13</v>
      </c>
      <c r="B7233" s="2" t="str">
        <f>"345305216"</f>
        <v>345305216</v>
      </c>
      <c r="C7233" s="2" t="str">
        <f>"345305216"</f>
        <v>345305216</v>
      </c>
      <c r="D7233" s="2" t="s">
        <v>5187</v>
      </c>
      <c r="E7233" s="4">
        <v>3000</v>
      </c>
    </row>
    <row r="7234" spans="1:5" ht="26.25" x14ac:dyDescent="0.25">
      <c r="A7234" s="2" t="s">
        <v>13</v>
      </c>
      <c r="B7234" s="2" t="str">
        <f>"763305216"</f>
        <v>763305216</v>
      </c>
      <c r="C7234" s="2" t="str">
        <f>"763305216"</f>
        <v>763305216</v>
      </c>
      <c r="D7234" s="2" t="s">
        <v>5187</v>
      </c>
      <c r="E7234" s="4">
        <v>3000</v>
      </c>
    </row>
    <row r="7235" spans="1:5" ht="26.25" x14ac:dyDescent="0.25">
      <c r="A7235" s="2" t="s">
        <v>13</v>
      </c>
      <c r="B7235" s="2" t="str">
        <f>"765305216"</f>
        <v>765305216</v>
      </c>
      <c r="C7235" s="2" t="str">
        <f>"765305216"</f>
        <v>765305216</v>
      </c>
      <c r="D7235" s="2" t="s">
        <v>5187</v>
      </c>
      <c r="E7235" s="4">
        <v>3000</v>
      </c>
    </row>
    <row r="7236" spans="1:5" ht="26.25" x14ac:dyDescent="0.25">
      <c r="A7236" s="2" t="s">
        <v>13</v>
      </c>
      <c r="B7236" s="2" t="str">
        <f>"345305196"</f>
        <v>345305196</v>
      </c>
      <c r="C7236" s="2" t="str">
        <f>"345305196"</f>
        <v>345305196</v>
      </c>
      <c r="D7236" s="2" t="s">
        <v>5188</v>
      </c>
      <c r="E7236" s="4">
        <v>3000</v>
      </c>
    </row>
    <row r="7237" spans="1:5" ht="26.25" x14ac:dyDescent="0.25">
      <c r="A7237" s="2" t="s">
        <v>13</v>
      </c>
      <c r="B7237" s="2" t="str">
        <f>"763305196"</f>
        <v>763305196</v>
      </c>
      <c r="C7237" s="2" t="str">
        <f>"763305196"</f>
        <v>763305196</v>
      </c>
      <c r="D7237" s="2" t="s">
        <v>5188</v>
      </c>
      <c r="E7237" s="4">
        <v>3000</v>
      </c>
    </row>
    <row r="7238" spans="1:5" ht="26.25" x14ac:dyDescent="0.25">
      <c r="A7238" s="2" t="s">
        <v>13</v>
      </c>
      <c r="B7238" s="2" t="str">
        <f>"765305196"</f>
        <v>765305196</v>
      </c>
      <c r="C7238" s="2" t="str">
        <f>"765305196"</f>
        <v>765305196</v>
      </c>
      <c r="D7238" s="2" t="s">
        <v>5188</v>
      </c>
      <c r="E7238" s="4">
        <v>3000</v>
      </c>
    </row>
    <row r="7239" spans="1:5" ht="26.25" x14ac:dyDescent="0.25">
      <c r="A7239" s="2" t="s">
        <v>13</v>
      </c>
      <c r="B7239" s="2" t="str">
        <f>"343305196"</f>
        <v>343305196</v>
      </c>
      <c r="C7239" s="2" t="str">
        <f>"343305196"</f>
        <v>343305196</v>
      </c>
      <c r="D7239" s="2" t="s">
        <v>5188</v>
      </c>
      <c r="E7239" s="4">
        <v>3000</v>
      </c>
    </row>
    <row r="7240" spans="1:5" ht="26.25" x14ac:dyDescent="0.25">
      <c r="A7240" s="2" t="s">
        <v>13</v>
      </c>
      <c r="B7240" s="2" t="str">
        <f>"76330532"</f>
        <v>76330532</v>
      </c>
      <c r="C7240" s="2" t="str">
        <f>"76330532"</f>
        <v>76330532</v>
      </c>
      <c r="D7240" s="2" t="s">
        <v>5189</v>
      </c>
      <c r="E7240" s="4">
        <v>3000</v>
      </c>
    </row>
    <row r="7241" spans="1:5" ht="26.25" x14ac:dyDescent="0.25">
      <c r="A7241" s="2" t="s">
        <v>13</v>
      </c>
      <c r="B7241" s="2" t="str">
        <f>"76530532"</f>
        <v>76530532</v>
      </c>
      <c r="C7241" s="2" t="str">
        <f>"76530532"</f>
        <v>76530532</v>
      </c>
      <c r="D7241" s="2" t="s">
        <v>5189</v>
      </c>
      <c r="E7241" s="4">
        <v>3000</v>
      </c>
    </row>
    <row r="7242" spans="1:5" ht="26.25" x14ac:dyDescent="0.25">
      <c r="A7242" s="2" t="s">
        <v>13</v>
      </c>
      <c r="B7242" s="2" t="str">
        <f>"34330532"</f>
        <v>34330532</v>
      </c>
      <c r="C7242" s="2" t="str">
        <f>"34330532"</f>
        <v>34330532</v>
      </c>
      <c r="D7242" s="2" t="s">
        <v>5189</v>
      </c>
      <c r="E7242" s="4">
        <v>3000</v>
      </c>
    </row>
    <row r="7243" spans="1:5" ht="26.25" x14ac:dyDescent="0.25">
      <c r="A7243" s="2" t="s">
        <v>13</v>
      </c>
      <c r="B7243" s="2" t="str">
        <f>"99330532"</f>
        <v>99330532</v>
      </c>
      <c r="C7243" s="2" t="str">
        <f>"99330532"</f>
        <v>99330532</v>
      </c>
      <c r="D7243" s="2" t="s">
        <v>5189</v>
      </c>
      <c r="E7243" s="4">
        <v>3000</v>
      </c>
    </row>
    <row r="7244" spans="1:5" ht="26.25" x14ac:dyDescent="0.25">
      <c r="A7244" s="2" t="s">
        <v>13</v>
      </c>
      <c r="B7244" s="2" t="str">
        <f>"1000001003368"</f>
        <v>1000001003368</v>
      </c>
      <c r="C7244" s="2" t="str">
        <f>"76330533"</f>
        <v>76330533</v>
      </c>
      <c r="D7244" s="2" t="s">
        <v>5190</v>
      </c>
      <c r="E7244" s="4">
        <v>3000</v>
      </c>
    </row>
    <row r="7245" spans="1:5" ht="26.25" x14ac:dyDescent="0.25">
      <c r="A7245" s="2" t="s">
        <v>13</v>
      </c>
      <c r="B7245" s="2" t="str">
        <f>"763305309"</f>
        <v>763305309</v>
      </c>
      <c r="C7245" s="2" t="str">
        <f>"763305309"</f>
        <v>763305309</v>
      </c>
      <c r="D7245" s="2" t="s">
        <v>5191</v>
      </c>
      <c r="E7245" s="4">
        <v>3000</v>
      </c>
    </row>
    <row r="7246" spans="1:5" ht="26.25" x14ac:dyDescent="0.25">
      <c r="A7246" s="2" t="s">
        <v>13</v>
      </c>
      <c r="B7246" s="2" t="str">
        <f>"343305309"</f>
        <v>343305309</v>
      </c>
      <c r="C7246" s="2" t="str">
        <f>"343305309"</f>
        <v>343305309</v>
      </c>
      <c r="D7246" s="2" t="s">
        <v>5191</v>
      </c>
      <c r="E7246" s="4">
        <v>1500</v>
      </c>
    </row>
    <row r="7247" spans="1:5" ht="26.25" x14ac:dyDescent="0.25">
      <c r="A7247" s="2" t="s">
        <v>13</v>
      </c>
      <c r="B7247" s="2" t="str">
        <f>"763305307"</f>
        <v>763305307</v>
      </c>
      <c r="C7247" s="2" t="str">
        <f>"763305307"</f>
        <v>763305307</v>
      </c>
      <c r="D7247" s="2" t="s">
        <v>5192</v>
      </c>
      <c r="E7247" s="4">
        <v>3000</v>
      </c>
    </row>
    <row r="7248" spans="1:5" ht="26.25" x14ac:dyDescent="0.25">
      <c r="A7248" s="2" t="s">
        <v>13</v>
      </c>
      <c r="B7248" s="2" t="str">
        <f>"683305307"</f>
        <v>683305307</v>
      </c>
      <c r="C7248" s="2" t="str">
        <f>"683305307"</f>
        <v>683305307</v>
      </c>
      <c r="D7248" s="2" t="s">
        <v>5192</v>
      </c>
      <c r="E7248" s="4">
        <v>3000</v>
      </c>
    </row>
    <row r="7249" spans="1:5" ht="26.25" x14ac:dyDescent="0.25">
      <c r="A7249" s="2" t="s">
        <v>13</v>
      </c>
      <c r="B7249" s="2" t="str">
        <f>"183305307"</f>
        <v>183305307</v>
      </c>
      <c r="C7249" s="2" t="str">
        <f>"183305307"</f>
        <v>183305307</v>
      </c>
      <c r="D7249" s="2" t="s">
        <v>5192</v>
      </c>
      <c r="E7249" s="4">
        <v>3000</v>
      </c>
    </row>
    <row r="7250" spans="1:5" ht="26.25" x14ac:dyDescent="0.25">
      <c r="A7250" s="2" t="s">
        <v>13</v>
      </c>
      <c r="B7250" s="2" t="str">
        <f>"343305307"</f>
        <v>343305307</v>
      </c>
      <c r="C7250" s="2" t="str">
        <f>"343305307"</f>
        <v>343305307</v>
      </c>
      <c r="D7250" s="2" t="s">
        <v>5192</v>
      </c>
      <c r="E7250" s="4">
        <v>3000</v>
      </c>
    </row>
    <row r="7251" spans="1:5" ht="26.25" x14ac:dyDescent="0.25">
      <c r="A7251" s="2" t="s">
        <v>13</v>
      </c>
      <c r="B7251" s="2" t="str">
        <f>"763305308"</f>
        <v>763305308</v>
      </c>
      <c r="C7251" s="2" t="str">
        <f>"763305308"</f>
        <v>763305308</v>
      </c>
      <c r="D7251" s="2" t="s">
        <v>5193</v>
      </c>
      <c r="E7251" s="4">
        <v>3000</v>
      </c>
    </row>
    <row r="7252" spans="1:5" ht="26.25" x14ac:dyDescent="0.25">
      <c r="A7252" s="2" t="s">
        <v>13</v>
      </c>
      <c r="B7252" s="2" t="str">
        <f>"763305321"</f>
        <v>763305321</v>
      </c>
      <c r="C7252" s="2" t="str">
        <f>"763305321"</f>
        <v>763305321</v>
      </c>
      <c r="D7252" s="2" t="s">
        <v>5194</v>
      </c>
      <c r="E7252" s="4">
        <v>3000</v>
      </c>
    </row>
    <row r="7253" spans="1:5" ht="26.25" x14ac:dyDescent="0.25">
      <c r="A7253" s="2" t="s">
        <v>13</v>
      </c>
      <c r="B7253" s="2" t="str">
        <f>"343305321"</f>
        <v>343305321</v>
      </c>
      <c r="C7253" s="2" t="str">
        <f>"343305321"</f>
        <v>343305321</v>
      </c>
      <c r="D7253" s="2" t="s">
        <v>5194</v>
      </c>
      <c r="E7253" s="4">
        <v>3000</v>
      </c>
    </row>
    <row r="7254" spans="1:5" ht="26.25" x14ac:dyDescent="0.25">
      <c r="A7254" s="2" t="s">
        <v>13</v>
      </c>
      <c r="B7254" s="2" t="str">
        <f>"765305321"</f>
        <v>765305321</v>
      </c>
      <c r="C7254" s="2" t="str">
        <f>"765305321"</f>
        <v>765305321</v>
      </c>
      <c r="D7254" s="2" t="s">
        <v>5194</v>
      </c>
      <c r="E7254" s="4">
        <v>3000</v>
      </c>
    </row>
    <row r="7255" spans="1:5" ht="26.25" x14ac:dyDescent="0.25">
      <c r="A7255" s="2" t="s">
        <v>13</v>
      </c>
      <c r="B7255" s="2" t="str">
        <f>"863305321"</f>
        <v>863305321</v>
      </c>
      <c r="C7255" s="2" t="str">
        <f>"863305321"</f>
        <v>863305321</v>
      </c>
      <c r="D7255" s="2" t="s">
        <v>5194</v>
      </c>
      <c r="E7255" s="4">
        <v>3000</v>
      </c>
    </row>
    <row r="7256" spans="1:5" ht="26.25" x14ac:dyDescent="0.25">
      <c r="A7256" s="2" t="s">
        <v>13</v>
      </c>
      <c r="B7256" s="2" t="str">
        <f>"2019080300397"</f>
        <v>2019080300397</v>
      </c>
      <c r="C7256" s="2" t="str">
        <f>"183305322"</f>
        <v>183305322</v>
      </c>
      <c r="D7256" s="2" t="s">
        <v>5194</v>
      </c>
      <c r="E7256" s="4">
        <v>3000</v>
      </c>
    </row>
    <row r="7257" spans="1:5" ht="26.25" x14ac:dyDescent="0.25">
      <c r="A7257" s="2" t="s">
        <v>13</v>
      </c>
      <c r="B7257" s="2" t="str">
        <f>"683305321"</f>
        <v>683305321</v>
      </c>
      <c r="C7257" s="2" t="str">
        <f>"683305321"</f>
        <v>683305321</v>
      </c>
      <c r="D7257" s="2" t="s">
        <v>5194</v>
      </c>
      <c r="E7257" s="4">
        <v>1500</v>
      </c>
    </row>
    <row r="7258" spans="1:5" ht="26.25" x14ac:dyDescent="0.25">
      <c r="A7258" s="2" t="s">
        <v>13</v>
      </c>
      <c r="B7258" s="2" t="str">
        <f>"34530529"</f>
        <v>34530529</v>
      </c>
      <c r="C7258" s="2" t="str">
        <f>"34530529"</f>
        <v>34530529</v>
      </c>
      <c r="D7258" s="2" t="s">
        <v>5195</v>
      </c>
      <c r="E7258" s="4">
        <v>3000</v>
      </c>
    </row>
    <row r="7259" spans="1:5" ht="26.25" x14ac:dyDescent="0.25">
      <c r="A7259" s="2" t="s">
        <v>13</v>
      </c>
      <c r="B7259" s="2" t="str">
        <f>"76530529"</f>
        <v>76530529</v>
      </c>
      <c r="C7259" s="2" t="str">
        <f>"76530529"</f>
        <v>76530529</v>
      </c>
      <c r="D7259" s="2" t="s">
        <v>5195</v>
      </c>
      <c r="E7259" s="4">
        <v>3000</v>
      </c>
    </row>
    <row r="7260" spans="1:5" ht="26.25" x14ac:dyDescent="0.25">
      <c r="A7260" s="2" t="s">
        <v>13</v>
      </c>
      <c r="B7260" s="2" t="str">
        <f>"345305210"</f>
        <v>345305210</v>
      </c>
      <c r="C7260" s="2" t="str">
        <f>"345305210"</f>
        <v>345305210</v>
      </c>
      <c r="D7260" s="2" t="s">
        <v>5196</v>
      </c>
      <c r="E7260" s="4">
        <v>3000</v>
      </c>
    </row>
    <row r="7261" spans="1:5" ht="26.25" x14ac:dyDescent="0.25">
      <c r="A7261" s="2" t="s">
        <v>13</v>
      </c>
      <c r="B7261" s="2" t="str">
        <f>"343305294"</f>
        <v>343305294</v>
      </c>
      <c r="C7261" s="2" t="str">
        <f>"343305294"</f>
        <v>343305294</v>
      </c>
      <c r="D7261" s="2" t="s">
        <v>5197</v>
      </c>
      <c r="E7261" s="4">
        <v>3000</v>
      </c>
    </row>
    <row r="7262" spans="1:5" ht="26.25" x14ac:dyDescent="0.25">
      <c r="A7262" s="2" t="s">
        <v>13</v>
      </c>
      <c r="B7262" s="2" t="str">
        <f>"183305294"</f>
        <v>183305294</v>
      </c>
      <c r="C7262" s="2" t="str">
        <f>"183305294"</f>
        <v>183305294</v>
      </c>
      <c r="D7262" s="2" t="s">
        <v>5197</v>
      </c>
      <c r="E7262" s="4">
        <v>3000</v>
      </c>
    </row>
    <row r="7263" spans="1:5" ht="26.25" x14ac:dyDescent="0.25">
      <c r="A7263" s="2" t="s">
        <v>13</v>
      </c>
      <c r="B7263" s="2" t="str">
        <f>"763305294"</f>
        <v>763305294</v>
      </c>
      <c r="C7263" s="2" t="str">
        <f>"763305294"</f>
        <v>763305294</v>
      </c>
      <c r="D7263" s="2" t="s">
        <v>5197</v>
      </c>
      <c r="E7263" s="4">
        <v>3000</v>
      </c>
    </row>
    <row r="7264" spans="1:5" ht="26.25" x14ac:dyDescent="0.25">
      <c r="A7264" s="2" t="s">
        <v>13</v>
      </c>
      <c r="B7264" s="2" t="str">
        <f>"343305295"</f>
        <v>343305295</v>
      </c>
      <c r="C7264" s="2" t="str">
        <f>"343305295"</f>
        <v>343305295</v>
      </c>
      <c r="D7264" s="2" t="s">
        <v>5198</v>
      </c>
      <c r="E7264" s="4">
        <v>3000</v>
      </c>
    </row>
    <row r="7265" spans="1:5" ht="26.25" x14ac:dyDescent="0.25">
      <c r="A7265" s="2" t="s">
        <v>13</v>
      </c>
      <c r="B7265" s="2" t="str">
        <f>"763305295"</f>
        <v>763305295</v>
      </c>
      <c r="C7265" s="2" t="str">
        <f>"763305295"</f>
        <v>763305295</v>
      </c>
      <c r="D7265" s="2" t="s">
        <v>5198</v>
      </c>
      <c r="E7265" s="4">
        <v>3000</v>
      </c>
    </row>
    <row r="7266" spans="1:5" ht="26.25" x14ac:dyDescent="0.25">
      <c r="A7266" s="2" t="s">
        <v>13</v>
      </c>
      <c r="B7266" s="2" t="str">
        <f>"183305295"</f>
        <v>183305295</v>
      </c>
      <c r="C7266" s="2" t="str">
        <f>"183305295"</f>
        <v>183305295</v>
      </c>
      <c r="D7266" s="2" t="s">
        <v>5198</v>
      </c>
      <c r="E7266" s="4">
        <v>3000</v>
      </c>
    </row>
    <row r="7267" spans="1:5" ht="26.25" x14ac:dyDescent="0.25">
      <c r="A7267" s="2" t="s">
        <v>13</v>
      </c>
      <c r="B7267" s="2" t="str">
        <f>"173305320"</f>
        <v>173305320</v>
      </c>
      <c r="C7267" s="2" t="str">
        <f>"173305320"</f>
        <v>173305320</v>
      </c>
      <c r="D7267" s="2" t="s">
        <v>5199</v>
      </c>
      <c r="E7267" s="4">
        <v>3000</v>
      </c>
    </row>
    <row r="7268" spans="1:5" ht="26.25" x14ac:dyDescent="0.25">
      <c r="A7268" s="2" t="s">
        <v>13</v>
      </c>
      <c r="B7268" s="2" t="str">
        <f>"763305320"</f>
        <v>763305320</v>
      </c>
      <c r="C7268" s="2" t="str">
        <f>"763305320"</f>
        <v>763305320</v>
      </c>
      <c r="D7268" s="2" t="s">
        <v>5199</v>
      </c>
      <c r="E7268" s="4">
        <v>3000</v>
      </c>
    </row>
    <row r="7269" spans="1:5" ht="26.25" x14ac:dyDescent="0.25">
      <c r="A7269" s="2" t="s">
        <v>13</v>
      </c>
      <c r="B7269" s="2" t="str">
        <f>"2019120100178"</f>
        <v>2019120100178</v>
      </c>
      <c r="C7269" s="2" t="str">
        <f>"183305320"</f>
        <v>183305320</v>
      </c>
      <c r="D7269" s="2" t="s">
        <v>5200</v>
      </c>
      <c r="E7269" s="4">
        <v>3000</v>
      </c>
    </row>
    <row r="7270" spans="1:5" ht="26.25" x14ac:dyDescent="0.25">
      <c r="A7270" s="2" t="s">
        <v>13</v>
      </c>
      <c r="B7270" s="2" t="str">
        <f>"763305296"</f>
        <v>763305296</v>
      </c>
      <c r="C7270" s="2" t="str">
        <f>"763305296"</f>
        <v>763305296</v>
      </c>
      <c r="D7270" s="2" t="s">
        <v>5201</v>
      </c>
      <c r="E7270" s="4">
        <v>3000</v>
      </c>
    </row>
    <row r="7271" spans="1:5" ht="26.25" x14ac:dyDescent="0.25">
      <c r="A7271" s="2" t="s">
        <v>13</v>
      </c>
      <c r="B7271" s="2" t="str">
        <f>"765305296"</f>
        <v>765305296</v>
      </c>
      <c r="C7271" s="2" t="str">
        <f>"765305296"</f>
        <v>765305296</v>
      </c>
      <c r="D7271" s="2" t="s">
        <v>5201</v>
      </c>
      <c r="E7271" s="4">
        <v>3000</v>
      </c>
    </row>
    <row r="7272" spans="1:5" ht="26.25" x14ac:dyDescent="0.25">
      <c r="A7272" s="2" t="s">
        <v>13</v>
      </c>
      <c r="B7272" s="2" t="str">
        <f>"993305296"</f>
        <v>993305296</v>
      </c>
      <c r="C7272" s="2" t="str">
        <f>"993305296"</f>
        <v>993305296</v>
      </c>
      <c r="D7272" s="2" t="s">
        <v>5201</v>
      </c>
      <c r="E7272" s="4">
        <v>3000</v>
      </c>
    </row>
    <row r="7273" spans="1:5" ht="26.25" x14ac:dyDescent="0.25">
      <c r="A7273" s="2" t="s">
        <v>13</v>
      </c>
      <c r="B7273" s="2" t="str">
        <f>"683305296"</f>
        <v>683305296</v>
      </c>
      <c r="C7273" s="2" t="str">
        <f>"683305296"</f>
        <v>683305296</v>
      </c>
      <c r="D7273" s="2" t="s">
        <v>5201</v>
      </c>
      <c r="E7273" s="4">
        <v>3000</v>
      </c>
    </row>
    <row r="7274" spans="1:5" ht="26.25" x14ac:dyDescent="0.25">
      <c r="A7274" s="2" t="s">
        <v>13</v>
      </c>
      <c r="B7274" s="2" t="str">
        <f>"343305296"</f>
        <v>343305296</v>
      </c>
      <c r="C7274" s="2" t="str">
        <f>"343305296"</f>
        <v>343305296</v>
      </c>
      <c r="D7274" s="2" t="s">
        <v>5201</v>
      </c>
      <c r="E7274" s="4">
        <v>3000</v>
      </c>
    </row>
    <row r="7275" spans="1:5" ht="26.25" x14ac:dyDescent="0.25">
      <c r="A7275" s="2" t="s">
        <v>13</v>
      </c>
      <c r="B7275" s="2" t="str">
        <f>"183305297"</f>
        <v>183305297</v>
      </c>
      <c r="C7275" s="2" t="str">
        <f>"183305297"</f>
        <v>183305297</v>
      </c>
      <c r="D7275" s="2" t="s">
        <v>5202</v>
      </c>
      <c r="E7275" s="4">
        <v>3000</v>
      </c>
    </row>
    <row r="7276" spans="1:5" ht="26.25" x14ac:dyDescent="0.25">
      <c r="A7276" s="2" t="s">
        <v>13</v>
      </c>
      <c r="B7276" s="2" t="str">
        <f>"763305297"</f>
        <v>763305297</v>
      </c>
      <c r="C7276" s="2" t="str">
        <f>"763305297"</f>
        <v>763305297</v>
      </c>
      <c r="D7276" s="2" t="s">
        <v>5202</v>
      </c>
      <c r="E7276" s="4">
        <v>3000</v>
      </c>
    </row>
    <row r="7277" spans="1:5" ht="26.25" x14ac:dyDescent="0.25">
      <c r="A7277" s="2" t="s">
        <v>13</v>
      </c>
      <c r="B7277" s="2" t="str">
        <f>"173305297"</f>
        <v>173305297</v>
      </c>
      <c r="C7277" s="2" t="str">
        <f>"173305297"</f>
        <v>173305297</v>
      </c>
      <c r="D7277" s="2" t="s">
        <v>5202</v>
      </c>
      <c r="E7277" s="4">
        <v>3000</v>
      </c>
    </row>
    <row r="7278" spans="1:5" ht="26.25" x14ac:dyDescent="0.25">
      <c r="A7278" s="2" t="s">
        <v>13</v>
      </c>
      <c r="B7278" s="2" t="str">
        <f>"183305298"</f>
        <v>183305298</v>
      </c>
      <c r="C7278" s="2" t="str">
        <f>"183305298"</f>
        <v>183305298</v>
      </c>
      <c r="D7278" s="2" t="s">
        <v>5203</v>
      </c>
      <c r="E7278" s="4">
        <v>3000</v>
      </c>
    </row>
    <row r="7279" spans="1:5" ht="26.25" x14ac:dyDescent="0.25">
      <c r="A7279" s="2" t="s">
        <v>13</v>
      </c>
      <c r="B7279" s="2" t="str">
        <f>"763305293"</f>
        <v>763305293</v>
      </c>
      <c r="C7279" s="2" t="str">
        <f>"763305293"</f>
        <v>763305293</v>
      </c>
      <c r="D7279" s="2" t="s">
        <v>5204</v>
      </c>
      <c r="E7279" s="4">
        <v>3000</v>
      </c>
    </row>
    <row r="7280" spans="1:5" ht="26.25" x14ac:dyDescent="0.25">
      <c r="A7280" s="2" t="s">
        <v>13</v>
      </c>
      <c r="B7280" s="2" t="str">
        <f>"765305293"</f>
        <v>765305293</v>
      </c>
      <c r="C7280" s="2" t="str">
        <f>"765305293"</f>
        <v>765305293</v>
      </c>
      <c r="D7280" s="2" t="s">
        <v>5204</v>
      </c>
      <c r="E7280" s="4">
        <v>3000</v>
      </c>
    </row>
    <row r="7281" spans="1:5" ht="26.25" x14ac:dyDescent="0.25">
      <c r="A7281" s="2" t="s">
        <v>13</v>
      </c>
      <c r="B7281" s="2" t="str">
        <f>"763305300"</f>
        <v>763305300</v>
      </c>
      <c r="C7281" s="2" t="str">
        <f>"763305300"</f>
        <v>763305300</v>
      </c>
      <c r="D7281" s="2" t="s">
        <v>5205</v>
      </c>
      <c r="E7281" s="4">
        <v>3000</v>
      </c>
    </row>
    <row r="7282" spans="1:5" ht="26.25" x14ac:dyDescent="0.25">
      <c r="A7282" s="2" t="s">
        <v>13</v>
      </c>
      <c r="B7282" s="2" t="str">
        <f>"343305300"</f>
        <v>343305300</v>
      </c>
      <c r="C7282" s="2" t="str">
        <f>"343305300"</f>
        <v>343305300</v>
      </c>
      <c r="D7282" s="2" t="s">
        <v>5205</v>
      </c>
      <c r="E7282" s="4">
        <v>3000</v>
      </c>
    </row>
    <row r="7283" spans="1:5" ht="26.25" x14ac:dyDescent="0.25">
      <c r="A7283" s="2" t="s">
        <v>13</v>
      </c>
      <c r="B7283" s="2" t="str">
        <f>"683305300"</f>
        <v>683305300</v>
      </c>
      <c r="C7283" s="2" t="str">
        <f>"683305300"</f>
        <v>683305300</v>
      </c>
      <c r="D7283" s="2" t="s">
        <v>5205</v>
      </c>
      <c r="E7283" s="4">
        <v>3000</v>
      </c>
    </row>
    <row r="7284" spans="1:5" ht="26.25" x14ac:dyDescent="0.25">
      <c r="A7284" s="2" t="s">
        <v>13</v>
      </c>
      <c r="B7284" s="2" t="str">
        <f>"343314300"</f>
        <v>343314300</v>
      </c>
      <c r="C7284" s="2" t="str">
        <f>"343314300"</f>
        <v>343314300</v>
      </c>
      <c r="D7284" s="2" t="s">
        <v>5205</v>
      </c>
      <c r="E7284" s="4">
        <v>1500</v>
      </c>
    </row>
    <row r="7285" spans="1:5" ht="26.25" x14ac:dyDescent="0.25">
      <c r="A7285" s="2" t="s">
        <v>13</v>
      </c>
      <c r="B7285" s="2" t="str">
        <f>"763305303"</f>
        <v>763305303</v>
      </c>
      <c r="C7285" s="2" t="str">
        <f>"763305303"</f>
        <v>763305303</v>
      </c>
      <c r="D7285" s="2" t="s">
        <v>5206</v>
      </c>
      <c r="E7285" s="4">
        <v>3000</v>
      </c>
    </row>
    <row r="7286" spans="1:5" ht="26.25" x14ac:dyDescent="0.25">
      <c r="A7286" s="2" t="s">
        <v>13</v>
      </c>
      <c r="B7286" s="2" t="str">
        <f>"683305303"</f>
        <v>683305303</v>
      </c>
      <c r="C7286" s="2" t="str">
        <f>"683305303"</f>
        <v>683305303</v>
      </c>
      <c r="D7286" s="2" t="s">
        <v>5206</v>
      </c>
      <c r="E7286" s="4">
        <v>3000</v>
      </c>
    </row>
    <row r="7287" spans="1:5" ht="26.25" x14ac:dyDescent="0.25">
      <c r="A7287" s="2" t="s">
        <v>13</v>
      </c>
      <c r="B7287" s="2" t="str">
        <f>"343305303"</f>
        <v>343305303</v>
      </c>
      <c r="C7287" s="2" t="str">
        <f>"343305303"</f>
        <v>343305303</v>
      </c>
      <c r="D7287" s="2" t="s">
        <v>5206</v>
      </c>
      <c r="E7287" s="4">
        <v>3000</v>
      </c>
    </row>
    <row r="7288" spans="1:5" ht="26.25" x14ac:dyDescent="0.25">
      <c r="A7288" s="2" t="s">
        <v>13</v>
      </c>
      <c r="B7288" s="2" t="str">
        <f>"343305301"</f>
        <v>343305301</v>
      </c>
      <c r="C7288" s="2" t="str">
        <f>"343305301"</f>
        <v>343305301</v>
      </c>
      <c r="D7288" s="2" t="s">
        <v>5207</v>
      </c>
      <c r="E7288" s="4">
        <v>3000</v>
      </c>
    </row>
    <row r="7289" spans="1:5" ht="26.25" x14ac:dyDescent="0.25">
      <c r="A7289" s="2" t="s">
        <v>13</v>
      </c>
      <c r="B7289" s="2" t="str">
        <f>"763305305"</f>
        <v>763305305</v>
      </c>
      <c r="C7289" s="2" t="str">
        <f>"763305305"</f>
        <v>763305305</v>
      </c>
      <c r="D7289" s="2" t="s">
        <v>5207</v>
      </c>
      <c r="E7289" s="4">
        <v>3000</v>
      </c>
    </row>
    <row r="7290" spans="1:5" ht="26.25" x14ac:dyDescent="0.25">
      <c r="A7290" s="2" t="s">
        <v>13</v>
      </c>
      <c r="B7290" s="2" t="str">
        <f>"693305305"</f>
        <v>693305305</v>
      </c>
      <c r="C7290" s="2" t="str">
        <f>"693305305"</f>
        <v>693305305</v>
      </c>
      <c r="D7290" s="2" t="s">
        <v>5207</v>
      </c>
      <c r="E7290" s="4">
        <v>3000</v>
      </c>
    </row>
    <row r="7291" spans="1:5" ht="26.25" x14ac:dyDescent="0.25">
      <c r="A7291" s="2" t="s">
        <v>13</v>
      </c>
      <c r="B7291" s="2" t="str">
        <f>"765305305"</f>
        <v>765305305</v>
      </c>
      <c r="C7291" s="2" t="str">
        <f>"765305305"</f>
        <v>765305305</v>
      </c>
      <c r="D7291" s="2" t="s">
        <v>5207</v>
      </c>
      <c r="E7291" s="4">
        <v>3000</v>
      </c>
    </row>
    <row r="7292" spans="1:5" ht="26.25" x14ac:dyDescent="0.25">
      <c r="A7292" s="2" t="s">
        <v>13</v>
      </c>
      <c r="B7292" s="2" t="str">
        <f>"183305314"</f>
        <v>183305314</v>
      </c>
      <c r="C7292" s="2" t="str">
        <f>"183305314"</f>
        <v>183305314</v>
      </c>
      <c r="D7292" s="2" t="s">
        <v>5208</v>
      </c>
      <c r="E7292" s="4">
        <v>3000</v>
      </c>
    </row>
    <row r="7293" spans="1:5" ht="26.25" x14ac:dyDescent="0.25">
      <c r="A7293" s="2" t="s">
        <v>13</v>
      </c>
      <c r="B7293" s="2" t="str">
        <f>"763305314"</f>
        <v>763305314</v>
      </c>
      <c r="C7293" s="2" t="str">
        <f>"763305314"</f>
        <v>763305314</v>
      </c>
      <c r="D7293" s="2" t="s">
        <v>5208</v>
      </c>
      <c r="E7293" s="4">
        <v>3000</v>
      </c>
    </row>
    <row r="7294" spans="1:5" ht="26.25" x14ac:dyDescent="0.25">
      <c r="A7294" s="2" t="s">
        <v>13</v>
      </c>
      <c r="B7294" s="2" t="str">
        <f>"2019029900626"</f>
        <v>2019029900626</v>
      </c>
      <c r="C7294" s="2" t="str">
        <f>"183305316"</f>
        <v>183305316</v>
      </c>
      <c r="D7294" s="2" t="s">
        <v>5209</v>
      </c>
      <c r="E7294" s="4">
        <v>1500</v>
      </c>
    </row>
    <row r="7295" spans="1:5" ht="26.25" x14ac:dyDescent="0.25">
      <c r="A7295" s="2" t="s">
        <v>13</v>
      </c>
      <c r="B7295" s="2" t="str">
        <f>"343305316"</f>
        <v>343305316</v>
      </c>
      <c r="C7295" s="2" t="str">
        <f>"343305316"</f>
        <v>343305316</v>
      </c>
      <c r="D7295" s="2" t="s">
        <v>5209</v>
      </c>
      <c r="E7295" s="4">
        <v>1500</v>
      </c>
    </row>
    <row r="7296" spans="1:5" ht="26.25" x14ac:dyDescent="0.25">
      <c r="A7296" s="2" t="s">
        <v>13</v>
      </c>
      <c r="B7296" s="2" t="str">
        <f>"1578151197782"</f>
        <v>1578151197782</v>
      </c>
      <c r="C7296" s="2" t="str">
        <f>"61330595"</f>
        <v>61330595</v>
      </c>
      <c r="D7296" s="2" t="s">
        <v>5209</v>
      </c>
      <c r="E7296" s="4">
        <v>3000</v>
      </c>
    </row>
    <row r="7297" spans="1:5" ht="26.25" x14ac:dyDescent="0.25">
      <c r="A7297" s="2" t="s">
        <v>13</v>
      </c>
      <c r="B7297" s="2" t="str">
        <f>"34330548"</f>
        <v>34330548</v>
      </c>
      <c r="C7297" s="2" t="str">
        <f>"34330548"</f>
        <v>34330548</v>
      </c>
      <c r="D7297" s="2" t="s">
        <v>5210</v>
      </c>
      <c r="E7297" s="4">
        <v>3000</v>
      </c>
    </row>
    <row r="7298" spans="1:5" ht="26.25" x14ac:dyDescent="0.25">
      <c r="A7298" s="2" t="s">
        <v>13</v>
      </c>
      <c r="B7298" s="2" t="str">
        <f>"2020060901138"</f>
        <v>2020060901138</v>
      </c>
      <c r="C7298" s="2" t="str">
        <f>"183305327"</f>
        <v>183305327</v>
      </c>
      <c r="D7298" s="2" t="s">
        <v>5210</v>
      </c>
      <c r="E7298" s="4">
        <v>3000</v>
      </c>
    </row>
    <row r="7299" spans="1:5" ht="26.25" x14ac:dyDescent="0.25">
      <c r="A7299" s="2" t="s">
        <v>13</v>
      </c>
      <c r="B7299" s="2" t="str">
        <f>"763305302"</f>
        <v>763305302</v>
      </c>
      <c r="C7299" s="2" t="str">
        <f>"763305302"</f>
        <v>763305302</v>
      </c>
      <c r="D7299" s="2" t="s">
        <v>5211</v>
      </c>
      <c r="E7299" s="4">
        <v>3000</v>
      </c>
    </row>
    <row r="7300" spans="1:5" ht="26.25" x14ac:dyDescent="0.25">
      <c r="A7300" s="2" t="s">
        <v>13</v>
      </c>
      <c r="B7300" s="2" t="str">
        <f>"1802007180131"</f>
        <v>1802007180131</v>
      </c>
      <c r="C7300" s="2" t="str">
        <f>"183305328"</f>
        <v>183305328</v>
      </c>
      <c r="D7300" s="2" t="s">
        <v>5211</v>
      </c>
      <c r="E7300" s="4">
        <v>3000</v>
      </c>
    </row>
    <row r="7301" spans="1:5" ht="26.25" x14ac:dyDescent="0.25">
      <c r="A7301" s="2" t="s">
        <v>13</v>
      </c>
      <c r="B7301" s="2" t="str">
        <f>"34330598"</f>
        <v>34330598</v>
      </c>
      <c r="C7301" s="2" t="str">
        <f>"34330598"</f>
        <v>34330598</v>
      </c>
      <c r="D7301" s="2" t="s">
        <v>5212</v>
      </c>
      <c r="E7301" s="4">
        <v>3000</v>
      </c>
    </row>
    <row r="7302" spans="1:5" ht="26.25" x14ac:dyDescent="0.25">
      <c r="A7302" s="2" t="s">
        <v>13</v>
      </c>
      <c r="B7302" s="2" t="str">
        <f>"34530598"</f>
        <v>34530598</v>
      </c>
      <c r="C7302" s="2" t="str">
        <f>"34530598"</f>
        <v>34530598</v>
      </c>
      <c r="D7302" s="2" t="s">
        <v>5212</v>
      </c>
      <c r="E7302" s="4">
        <v>3000</v>
      </c>
    </row>
    <row r="7303" spans="1:5" ht="26.25" x14ac:dyDescent="0.25">
      <c r="A7303" s="2" t="s">
        <v>13</v>
      </c>
      <c r="B7303" s="2" t="str">
        <f>"76330598"</f>
        <v>76330598</v>
      </c>
      <c r="C7303" s="2" t="str">
        <f>"76330598"</f>
        <v>76330598</v>
      </c>
      <c r="D7303" s="2" t="s">
        <v>5212</v>
      </c>
      <c r="E7303" s="4">
        <v>3000</v>
      </c>
    </row>
    <row r="7304" spans="1:5" ht="26.25" x14ac:dyDescent="0.25">
      <c r="A7304" s="2" t="s">
        <v>13</v>
      </c>
      <c r="B7304" s="2" t="str">
        <f>"76530598"</f>
        <v>76530598</v>
      </c>
      <c r="C7304" s="2" t="str">
        <f>"76530598"</f>
        <v>76530598</v>
      </c>
      <c r="D7304" s="2" t="s">
        <v>5212</v>
      </c>
      <c r="E7304" s="4">
        <v>3000</v>
      </c>
    </row>
    <row r="7305" spans="1:5" ht="26.25" x14ac:dyDescent="0.25">
      <c r="A7305" s="2" t="s">
        <v>13</v>
      </c>
      <c r="B7305" s="2" t="str">
        <f>"34530548"</f>
        <v>34530548</v>
      </c>
      <c r="C7305" s="2" t="str">
        <f>"34530548"</f>
        <v>34530548</v>
      </c>
      <c r="D7305" s="2" t="s">
        <v>5213</v>
      </c>
      <c r="E7305" s="4">
        <v>3000</v>
      </c>
    </row>
    <row r="7306" spans="1:5" ht="26.25" x14ac:dyDescent="0.25">
      <c r="A7306" s="2" t="s">
        <v>13</v>
      </c>
      <c r="B7306" s="2" t="str">
        <f>"76330548"</f>
        <v>76330548</v>
      </c>
      <c r="C7306" s="2" t="str">
        <f>"76330548"</f>
        <v>76330548</v>
      </c>
      <c r="D7306" s="2" t="s">
        <v>5213</v>
      </c>
      <c r="E7306" s="4">
        <v>3000</v>
      </c>
    </row>
    <row r="7307" spans="1:5" ht="26.25" x14ac:dyDescent="0.25">
      <c r="A7307" s="2" t="s">
        <v>13</v>
      </c>
      <c r="B7307" s="2" t="str">
        <f>"76530548"</f>
        <v>76530548</v>
      </c>
      <c r="C7307" s="2" t="str">
        <f>"76530548"</f>
        <v>76530548</v>
      </c>
      <c r="D7307" s="2" t="s">
        <v>5213</v>
      </c>
      <c r="E7307" s="4">
        <v>3000</v>
      </c>
    </row>
    <row r="7308" spans="1:5" ht="26.25" x14ac:dyDescent="0.25">
      <c r="A7308" s="2" t="s">
        <v>13</v>
      </c>
      <c r="B7308" s="2" t="str">
        <f>"175305103"</f>
        <v>175305103</v>
      </c>
      <c r="C7308" s="2" t="str">
        <f>"175305103"</f>
        <v>175305103</v>
      </c>
      <c r="D7308" s="2" t="s">
        <v>5213</v>
      </c>
      <c r="E7308" s="4">
        <v>3000</v>
      </c>
    </row>
    <row r="7309" spans="1:5" ht="26.25" x14ac:dyDescent="0.25">
      <c r="A7309" s="2" t="s">
        <v>13</v>
      </c>
      <c r="B7309" s="2" t="str">
        <f>"765305103"</f>
        <v>765305103</v>
      </c>
      <c r="C7309" s="2" t="str">
        <f>"765305103"</f>
        <v>765305103</v>
      </c>
      <c r="D7309" s="2" t="s">
        <v>5213</v>
      </c>
      <c r="E7309" s="4">
        <v>3000</v>
      </c>
    </row>
    <row r="7310" spans="1:5" ht="26.25" x14ac:dyDescent="0.25">
      <c r="A7310" s="2" t="s">
        <v>13</v>
      </c>
      <c r="B7310" s="2" t="str">
        <f>"345305231"</f>
        <v>345305231</v>
      </c>
      <c r="C7310" s="2" t="str">
        <f>"345305231"</f>
        <v>345305231</v>
      </c>
      <c r="D7310" s="2" t="s">
        <v>5214</v>
      </c>
      <c r="E7310" s="4">
        <v>3000</v>
      </c>
    </row>
    <row r="7311" spans="1:5" ht="26.25" x14ac:dyDescent="0.25">
      <c r="A7311" s="2" t="s">
        <v>13</v>
      </c>
      <c r="B7311" s="2" t="str">
        <f>"765309238"</f>
        <v>765309238</v>
      </c>
      <c r="C7311" s="2" t="str">
        <f>"765309238"</f>
        <v>765309238</v>
      </c>
      <c r="D7311" s="2" t="s">
        <v>5214</v>
      </c>
      <c r="E7311" s="4">
        <v>3000</v>
      </c>
    </row>
    <row r="7312" spans="1:5" ht="26.25" x14ac:dyDescent="0.25">
      <c r="A7312" s="2" t="s">
        <v>13</v>
      </c>
      <c r="B7312" s="2" t="str">
        <f>"993305238"</f>
        <v>993305238</v>
      </c>
      <c r="C7312" s="2" t="str">
        <f>"993305238"</f>
        <v>993305238</v>
      </c>
      <c r="D7312" s="2" t="s">
        <v>5214</v>
      </c>
      <c r="E7312" s="4">
        <v>3000</v>
      </c>
    </row>
    <row r="7313" spans="1:5" ht="26.25" x14ac:dyDescent="0.25">
      <c r="A7313" s="2" t="s">
        <v>13</v>
      </c>
      <c r="B7313" s="2" t="str">
        <f>"763305238"</f>
        <v>763305238</v>
      </c>
      <c r="C7313" s="2" t="str">
        <f>"763305238"</f>
        <v>763305238</v>
      </c>
      <c r="D7313" s="2" t="s">
        <v>5214</v>
      </c>
      <c r="E7313" s="4">
        <v>3000</v>
      </c>
    </row>
    <row r="7314" spans="1:5" ht="26.25" x14ac:dyDescent="0.25">
      <c r="A7314" s="2" t="s">
        <v>13</v>
      </c>
      <c r="B7314" s="2" t="str">
        <f>"765305238"</f>
        <v>765305238</v>
      </c>
      <c r="C7314" s="2" t="str">
        <f>"765305238"</f>
        <v>765305238</v>
      </c>
      <c r="D7314" s="2" t="s">
        <v>5214</v>
      </c>
      <c r="E7314" s="4">
        <v>3000</v>
      </c>
    </row>
    <row r="7315" spans="1:5" ht="26.25" x14ac:dyDescent="0.25">
      <c r="A7315" s="2" t="s">
        <v>13</v>
      </c>
      <c r="B7315" s="2" t="str">
        <f>"345305238"</f>
        <v>345305238</v>
      </c>
      <c r="C7315" s="2" t="str">
        <f>"345305238"</f>
        <v>345305238</v>
      </c>
      <c r="D7315" s="2" t="s">
        <v>5214</v>
      </c>
      <c r="E7315" s="4">
        <v>3000</v>
      </c>
    </row>
    <row r="7316" spans="1:5" ht="26.25" x14ac:dyDescent="0.25">
      <c r="A7316" s="2" t="s">
        <v>13</v>
      </c>
      <c r="B7316" s="2" t="str">
        <f>"343305247"</f>
        <v>343305247</v>
      </c>
      <c r="C7316" s="2" t="str">
        <f>"343305247"</f>
        <v>343305247</v>
      </c>
      <c r="D7316" s="2" t="s">
        <v>5215</v>
      </c>
      <c r="E7316" s="4">
        <v>3000</v>
      </c>
    </row>
    <row r="7317" spans="1:5" ht="26.25" x14ac:dyDescent="0.25">
      <c r="A7317" s="2" t="s">
        <v>13</v>
      </c>
      <c r="B7317" s="2" t="str">
        <f>"175305247"</f>
        <v>175305247</v>
      </c>
      <c r="C7317" s="2" t="str">
        <f>"175305247"</f>
        <v>175305247</v>
      </c>
      <c r="D7317" s="2" t="s">
        <v>5215</v>
      </c>
      <c r="E7317" s="4">
        <v>3000</v>
      </c>
    </row>
    <row r="7318" spans="1:5" ht="26.25" x14ac:dyDescent="0.25">
      <c r="A7318" s="2" t="s">
        <v>13</v>
      </c>
      <c r="B7318" s="2" t="str">
        <f>"345305247"</f>
        <v>345305247</v>
      </c>
      <c r="C7318" s="2" t="str">
        <f>"345305247"</f>
        <v>345305247</v>
      </c>
      <c r="D7318" s="2" t="s">
        <v>5215</v>
      </c>
      <c r="E7318" s="4">
        <v>3000</v>
      </c>
    </row>
    <row r="7319" spans="1:5" ht="26.25" x14ac:dyDescent="0.25">
      <c r="A7319" s="2" t="s">
        <v>13</v>
      </c>
      <c r="B7319" s="2" t="str">
        <f>"763305247"</f>
        <v>763305247</v>
      </c>
      <c r="C7319" s="2" t="str">
        <f>"763305247"</f>
        <v>763305247</v>
      </c>
      <c r="D7319" s="2" t="s">
        <v>5215</v>
      </c>
      <c r="E7319" s="4">
        <v>3000</v>
      </c>
    </row>
    <row r="7320" spans="1:5" ht="26.25" x14ac:dyDescent="0.25">
      <c r="A7320" s="2" t="s">
        <v>13</v>
      </c>
      <c r="B7320" s="2" t="str">
        <f>"765305247"</f>
        <v>765305247</v>
      </c>
      <c r="C7320" s="2" t="str">
        <f>"765305247"</f>
        <v>765305247</v>
      </c>
      <c r="D7320" s="2" t="s">
        <v>5215</v>
      </c>
      <c r="E7320" s="4">
        <v>3000</v>
      </c>
    </row>
    <row r="7321" spans="1:5" ht="26.25" x14ac:dyDescent="0.25">
      <c r="A7321" s="2" t="s">
        <v>13</v>
      </c>
      <c r="B7321" s="2" t="str">
        <f>"863305247"</f>
        <v>863305247</v>
      </c>
      <c r="C7321" s="2" t="str">
        <f>"863305247"</f>
        <v>863305247</v>
      </c>
      <c r="D7321" s="2" t="s">
        <v>5215</v>
      </c>
      <c r="E7321" s="4">
        <v>3000</v>
      </c>
    </row>
    <row r="7322" spans="1:5" ht="26.25" x14ac:dyDescent="0.25">
      <c r="A7322" s="2" t="s">
        <v>13</v>
      </c>
      <c r="B7322" s="2" t="str">
        <f>"173305247"</f>
        <v>173305247</v>
      </c>
      <c r="C7322" s="2" t="str">
        <f>"173305247"</f>
        <v>173305247</v>
      </c>
      <c r="D7322" s="2" t="s">
        <v>5215</v>
      </c>
      <c r="E7322" s="4">
        <v>3000</v>
      </c>
    </row>
    <row r="7323" spans="1:5" ht="26.25" x14ac:dyDescent="0.25">
      <c r="A7323" s="2" t="s">
        <v>13</v>
      </c>
      <c r="B7323" s="2" t="str">
        <f>"763305299"</f>
        <v>763305299</v>
      </c>
      <c r="C7323" s="2" t="str">
        <f>"763305299"</f>
        <v>763305299</v>
      </c>
      <c r="D7323" s="2" t="s">
        <v>5216</v>
      </c>
      <c r="E7323" s="4">
        <v>3000</v>
      </c>
    </row>
    <row r="7324" spans="1:5" ht="26.25" x14ac:dyDescent="0.25">
      <c r="A7324" s="2" t="s">
        <v>13</v>
      </c>
      <c r="B7324" s="2" t="str">
        <f>"693305299"</f>
        <v>693305299</v>
      </c>
      <c r="C7324" s="2" t="str">
        <f>"693305299"</f>
        <v>693305299</v>
      </c>
      <c r="D7324" s="2" t="s">
        <v>5216</v>
      </c>
      <c r="E7324" s="4">
        <v>3000</v>
      </c>
    </row>
    <row r="7325" spans="1:5" ht="26.25" x14ac:dyDescent="0.25">
      <c r="A7325" s="2" t="s">
        <v>13</v>
      </c>
      <c r="B7325" s="2" t="str">
        <f>"1578151240795"</f>
        <v>1578151240795</v>
      </c>
      <c r="C7325" s="2" t="str">
        <f>"61330596"</f>
        <v>61330596</v>
      </c>
      <c r="D7325" s="2" t="s">
        <v>5216</v>
      </c>
      <c r="E7325" s="4">
        <v>3000</v>
      </c>
    </row>
    <row r="7326" spans="1:5" ht="26.25" x14ac:dyDescent="0.25">
      <c r="A7326" s="2" t="s">
        <v>13</v>
      </c>
      <c r="B7326" s="2" t="str">
        <f>"173305299"</f>
        <v>173305299</v>
      </c>
      <c r="C7326" s="2" t="str">
        <f>"173305299"</f>
        <v>173305299</v>
      </c>
      <c r="D7326" s="2" t="s">
        <v>5216</v>
      </c>
      <c r="E7326" s="4">
        <v>3000</v>
      </c>
    </row>
    <row r="7327" spans="1:5" ht="26.25" x14ac:dyDescent="0.25">
      <c r="A7327" s="2" t="s">
        <v>13</v>
      </c>
      <c r="B7327" s="2" t="str">
        <f>"763305329"</f>
        <v>763305329</v>
      </c>
      <c r="C7327" s="2" t="str">
        <f>"763305329"</f>
        <v>763305329</v>
      </c>
      <c r="D7327" s="2" t="s">
        <v>5217</v>
      </c>
      <c r="E7327" s="4">
        <v>3000</v>
      </c>
    </row>
    <row r="7328" spans="1:5" ht="26.25" x14ac:dyDescent="0.25">
      <c r="A7328" s="2" t="s">
        <v>13</v>
      </c>
      <c r="B7328" s="2" t="str">
        <f>"763305248"</f>
        <v>763305248</v>
      </c>
      <c r="C7328" s="2" t="str">
        <f>"763305248"</f>
        <v>763305248</v>
      </c>
      <c r="D7328" s="2" t="s">
        <v>5218</v>
      </c>
      <c r="E7328" s="4">
        <v>3000</v>
      </c>
    </row>
    <row r="7329" spans="1:5" ht="26.25" x14ac:dyDescent="0.25">
      <c r="A7329" s="2" t="s">
        <v>13</v>
      </c>
      <c r="B7329" s="2" t="str">
        <f>"173305248"</f>
        <v>173305248</v>
      </c>
      <c r="C7329" s="2" t="str">
        <f>"173305248"</f>
        <v>173305248</v>
      </c>
      <c r="D7329" s="2" t="s">
        <v>5218</v>
      </c>
      <c r="E7329" s="4">
        <v>3000</v>
      </c>
    </row>
    <row r="7330" spans="1:5" ht="26.25" x14ac:dyDescent="0.25">
      <c r="A7330" s="2" t="s">
        <v>13</v>
      </c>
      <c r="B7330" s="2" t="str">
        <f>"765305256"</f>
        <v>765305256</v>
      </c>
      <c r="C7330" s="2" t="str">
        <f>"765305256"</f>
        <v>765305256</v>
      </c>
      <c r="D7330" s="2" t="s">
        <v>5219</v>
      </c>
      <c r="E7330" s="4">
        <v>3000</v>
      </c>
    </row>
    <row r="7331" spans="1:5" ht="26.25" x14ac:dyDescent="0.25">
      <c r="A7331" s="2" t="s">
        <v>13</v>
      </c>
      <c r="B7331" s="2" t="str">
        <f>"2019047700314"</f>
        <v>2019047700314</v>
      </c>
      <c r="C7331" s="2" t="str">
        <f>"183305313"</f>
        <v>183305313</v>
      </c>
      <c r="D7331" s="2" t="s">
        <v>5220</v>
      </c>
      <c r="E7331" s="4">
        <v>3000</v>
      </c>
    </row>
    <row r="7332" spans="1:5" ht="26.25" x14ac:dyDescent="0.25">
      <c r="A7332" s="2" t="s">
        <v>13</v>
      </c>
      <c r="B7332" s="2" t="str">
        <f>"343305313"</f>
        <v>343305313</v>
      </c>
      <c r="C7332" s="2" t="str">
        <f>"343305313"</f>
        <v>343305313</v>
      </c>
      <c r="D7332" s="2" t="s">
        <v>5220</v>
      </c>
      <c r="E7332" s="4">
        <v>1500</v>
      </c>
    </row>
    <row r="7333" spans="1:5" ht="26.25" x14ac:dyDescent="0.25">
      <c r="A7333" s="2" t="s">
        <v>13</v>
      </c>
      <c r="B7333" s="2" t="str">
        <f>"763305313"</f>
        <v>763305313</v>
      </c>
      <c r="C7333" s="2" t="str">
        <f>"763305313"</f>
        <v>763305313</v>
      </c>
      <c r="D7333" s="2" t="s">
        <v>5220</v>
      </c>
      <c r="E7333" s="4">
        <v>1500</v>
      </c>
    </row>
    <row r="7334" spans="1:5" ht="26.25" x14ac:dyDescent="0.25">
      <c r="A7334" s="2" t="s">
        <v>13</v>
      </c>
      <c r="B7334" s="2" t="str">
        <f>"343305152"</f>
        <v>343305152</v>
      </c>
      <c r="C7334" s="2" t="str">
        <f>"343305152"</f>
        <v>343305152</v>
      </c>
      <c r="D7334" s="2" t="s">
        <v>5221</v>
      </c>
      <c r="E7334" s="4">
        <v>3000</v>
      </c>
    </row>
    <row r="7335" spans="1:5" ht="26.25" x14ac:dyDescent="0.25">
      <c r="A7335" s="2" t="s">
        <v>13</v>
      </c>
      <c r="B7335" s="2" t="str">
        <f>"1000001002125"</f>
        <v>1000001002125</v>
      </c>
      <c r="C7335" s="2" t="str">
        <f>"763305152"</f>
        <v>763305152</v>
      </c>
      <c r="D7335" s="2" t="s">
        <v>5221</v>
      </c>
      <c r="E7335" s="4">
        <v>3000</v>
      </c>
    </row>
    <row r="7336" spans="1:5" ht="26.25" x14ac:dyDescent="0.25">
      <c r="A7336" s="2" t="s">
        <v>13</v>
      </c>
      <c r="B7336" s="2" t="str">
        <f>"345305152"</f>
        <v>345305152</v>
      </c>
      <c r="C7336" s="2" t="str">
        <f>"345305152"</f>
        <v>345305152</v>
      </c>
      <c r="D7336" s="2" t="s">
        <v>5221</v>
      </c>
      <c r="E7336" s="4">
        <v>3000</v>
      </c>
    </row>
    <row r="7337" spans="1:5" ht="26.25" x14ac:dyDescent="0.25">
      <c r="A7337" s="2" t="s">
        <v>13</v>
      </c>
      <c r="B7337" s="2" t="str">
        <f>"345305183"</f>
        <v>345305183</v>
      </c>
      <c r="C7337" s="2" t="str">
        <f>"345305183"</f>
        <v>345305183</v>
      </c>
      <c r="D7337" s="2" t="s">
        <v>5222</v>
      </c>
      <c r="E7337" s="4">
        <v>3000</v>
      </c>
    </row>
    <row r="7338" spans="1:5" ht="26.25" x14ac:dyDescent="0.25">
      <c r="A7338" s="2" t="s">
        <v>13</v>
      </c>
      <c r="B7338" s="2" t="str">
        <f>"345305208"</f>
        <v>345305208</v>
      </c>
      <c r="C7338" s="2" t="str">
        <f>"345305208"</f>
        <v>345305208</v>
      </c>
      <c r="D7338" s="2" t="s">
        <v>5222</v>
      </c>
      <c r="E7338" s="4">
        <v>3000</v>
      </c>
    </row>
    <row r="7339" spans="1:5" ht="26.25" x14ac:dyDescent="0.25">
      <c r="A7339" s="2" t="s">
        <v>13</v>
      </c>
      <c r="B7339" s="2" t="str">
        <f>"345305268"</f>
        <v>345305268</v>
      </c>
      <c r="C7339" s="2" t="str">
        <f>"345305268"</f>
        <v>345305268</v>
      </c>
      <c r="D7339" s="2" t="s">
        <v>5222</v>
      </c>
      <c r="E7339" s="4">
        <v>3000</v>
      </c>
    </row>
    <row r="7340" spans="1:5" ht="26.25" x14ac:dyDescent="0.25">
      <c r="A7340" s="2" t="s">
        <v>13</v>
      </c>
      <c r="B7340" s="2" t="str">
        <f>"765305183"</f>
        <v>765305183</v>
      </c>
      <c r="C7340" s="2" t="str">
        <f>"765305183"</f>
        <v>765305183</v>
      </c>
      <c r="D7340" s="2" t="s">
        <v>5222</v>
      </c>
      <c r="E7340" s="4">
        <v>3000</v>
      </c>
    </row>
    <row r="7341" spans="1:5" ht="26.25" x14ac:dyDescent="0.25">
      <c r="A7341" s="2" t="s">
        <v>13</v>
      </c>
      <c r="B7341" s="2" t="str">
        <f>"765305208"</f>
        <v>765305208</v>
      </c>
      <c r="C7341" s="2" t="str">
        <f>"765305208"</f>
        <v>765305208</v>
      </c>
      <c r="D7341" s="2" t="s">
        <v>5222</v>
      </c>
      <c r="E7341" s="4">
        <v>3000</v>
      </c>
    </row>
    <row r="7342" spans="1:5" ht="26.25" x14ac:dyDescent="0.25">
      <c r="A7342" s="2" t="s">
        <v>13</v>
      </c>
      <c r="B7342" s="2" t="str">
        <f>"345305229"</f>
        <v>345305229</v>
      </c>
      <c r="C7342" s="2" t="str">
        <f>"345305229"</f>
        <v>345305229</v>
      </c>
      <c r="D7342" s="2" t="s">
        <v>5223</v>
      </c>
      <c r="E7342" s="4">
        <v>3000</v>
      </c>
    </row>
    <row r="7343" spans="1:5" ht="26.25" x14ac:dyDescent="0.25">
      <c r="A7343" s="2" t="s">
        <v>13</v>
      </c>
      <c r="B7343" s="2" t="str">
        <f>"763305229"</f>
        <v>763305229</v>
      </c>
      <c r="C7343" s="2" t="str">
        <f>"763305229"</f>
        <v>763305229</v>
      </c>
      <c r="D7343" s="2" t="s">
        <v>5223</v>
      </c>
      <c r="E7343" s="4">
        <v>3000</v>
      </c>
    </row>
    <row r="7344" spans="1:5" ht="26.25" x14ac:dyDescent="0.25">
      <c r="A7344" s="2" t="s">
        <v>13</v>
      </c>
      <c r="B7344" s="2" t="str">
        <f>"863305229"</f>
        <v>863305229</v>
      </c>
      <c r="C7344" s="2" t="str">
        <f>"863305229"</f>
        <v>863305229</v>
      </c>
      <c r="D7344" s="2" t="s">
        <v>5223</v>
      </c>
      <c r="E7344" s="4">
        <v>3000</v>
      </c>
    </row>
    <row r="7345" spans="1:5" ht="26.25" x14ac:dyDescent="0.25">
      <c r="A7345" s="2" t="s">
        <v>13</v>
      </c>
      <c r="B7345" s="2" t="str">
        <f>"765305229"</f>
        <v>765305229</v>
      </c>
      <c r="C7345" s="2" t="str">
        <f>"765305229"</f>
        <v>765305229</v>
      </c>
      <c r="D7345" s="2" t="s">
        <v>5223</v>
      </c>
      <c r="E7345" s="4">
        <v>3000</v>
      </c>
    </row>
    <row r="7346" spans="1:5" ht="26.25" x14ac:dyDescent="0.25">
      <c r="A7346" s="2" t="s">
        <v>13</v>
      </c>
      <c r="B7346" s="2" t="str">
        <f>"765305189"</f>
        <v>765305189</v>
      </c>
      <c r="C7346" s="2" t="str">
        <f>"765305189"</f>
        <v>765305189</v>
      </c>
      <c r="D7346" s="2" t="s">
        <v>5224</v>
      </c>
      <c r="E7346" s="4">
        <v>3000</v>
      </c>
    </row>
    <row r="7347" spans="1:5" ht="26.25" x14ac:dyDescent="0.25">
      <c r="A7347" s="2" t="s">
        <v>13</v>
      </c>
      <c r="B7347" s="2" t="str">
        <f>"173305317"</f>
        <v>173305317</v>
      </c>
      <c r="C7347" s="2" t="str">
        <f>"173305317"</f>
        <v>173305317</v>
      </c>
      <c r="D7347" s="2" t="s">
        <v>5225</v>
      </c>
      <c r="E7347" s="4">
        <v>3000</v>
      </c>
    </row>
    <row r="7348" spans="1:5" ht="26.25" x14ac:dyDescent="0.25">
      <c r="A7348" s="2" t="s">
        <v>13</v>
      </c>
      <c r="B7348" s="2" t="str">
        <f>"345305260"</f>
        <v>345305260</v>
      </c>
      <c r="C7348" s="2" t="str">
        <f>"345305260"</f>
        <v>345305260</v>
      </c>
      <c r="D7348" s="2" t="s">
        <v>5226</v>
      </c>
      <c r="E7348" s="4">
        <v>3000</v>
      </c>
    </row>
    <row r="7349" spans="1:5" ht="26.25" x14ac:dyDescent="0.25">
      <c r="A7349" s="2" t="s">
        <v>13</v>
      </c>
      <c r="B7349" s="2" t="str">
        <f>"765305260"</f>
        <v>765305260</v>
      </c>
      <c r="C7349" s="2" t="str">
        <f>"765305260"</f>
        <v>765305260</v>
      </c>
      <c r="D7349" s="2" t="s">
        <v>5226</v>
      </c>
      <c r="E7349" s="4">
        <v>3000</v>
      </c>
    </row>
    <row r="7350" spans="1:5" ht="26.25" x14ac:dyDescent="0.25">
      <c r="A7350" s="2" t="s">
        <v>13</v>
      </c>
      <c r="B7350" s="2" t="str">
        <f>"763305327"</f>
        <v>763305327</v>
      </c>
      <c r="C7350" s="2" t="str">
        <f>"763305327"</f>
        <v>763305327</v>
      </c>
      <c r="D7350" s="2" t="s">
        <v>5227</v>
      </c>
      <c r="E7350" s="4">
        <v>3000</v>
      </c>
    </row>
    <row r="7351" spans="1:5" ht="26.25" x14ac:dyDescent="0.25">
      <c r="A7351" s="2" t="s">
        <v>13</v>
      </c>
      <c r="B7351" s="2" t="str">
        <f>"763305311"</f>
        <v>763305311</v>
      </c>
      <c r="C7351" s="2" t="str">
        <f>"763305311"</f>
        <v>763305311</v>
      </c>
      <c r="D7351" s="2" t="s">
        <v>5227</v>
      </c>
      <c r="E7351" s="4">
        <v>3000</v>
      </c>
    </row>
    <row r="7352" spans="1:5" ht="26.25" x14ac:dyDescent="0.25">
      <c r="A7352" s="2" t="s">
        <v>13</v>
      </c>
      <c r="B7352" s="2" t="str">
        <f>"765305317"</f>
        <v>765305317</v>
      </c>
      <c r="C7352" s="2" t="str">
        <f>"765305317"</f>
        <v>765305317</v>
      </c>
      <c r="D7352" s="2" t="s">
        <v>5228</v>
      </c>
      <c r="E7352" s="4">
        <v>3000</v>
      </c>
    </row>
    <row r="7353" spans="1:5" ht="26.25" x14ac:dyDescent="0.25">
      <c r="A7353" s="2" t="s">
        <v>13</v>
      </c>
      <c r="B7353" s="2" t="str">
        <f>"343305306"</f>
        <v>343305306</v>
      </c>
      <c r="C7353" s="2" t="str">
        <f>"343305306"</f>
        <v>343305306</v>
      </c>
      <c r="D7353" s="2" t="s">
        <v>5228</v>
      </c>
      <c r="E7353" s="4">
        <v>3000</v>
      </c>
    </row>
    <row r="7354" spans="1:5" ht="26.25" x14ac:dyDescent="0.25">
      <c r="A7354" s="2" t="s">
        <v>13</v>
      </c>
      <c r="B7354" s="2" t="str">
        <f>"173305306"</f>
        <v>173305306</v>
      </c>
      <c r="C7354" s="2" t="str">
        <f>"173305306"</f>
        <v>173305306</v>
      </c>
      <c r="D7354" s="2" t="s">
        <v>5229</v>
      </c>
      <c r="E7354" s="4">
        <v>3000</v>
      </c>
    </row>
    <row r="7355" spans="1:5" ht="26.25" x14ac:dyDescent="0.25">
      <c r="A7355" s="2" t="s">
        <v>13</v>
      </c>
      <c r="B7355" s="2" t="str">
        <f>"763305306"</f>
        <v>763305306</v>
      </c>
      <c r="C7355" s="2" t="str">
        <f>"763305306"</f>
        <v>763305306</v>
      </c>
      <c r="D7355" s="2" t="s">
        <v>5229</v>
      </c>
      <c r="E7355" s="4">
        <v>3000</v>
      </c>
    </row>
    <row r="7356" spans="1:5" ht="26.25" x14ac:dyDescent="0.25">
      <c r="A7356" s="2" t="s">
        <v>13</v>
      </c>
      <c r="B7356" s="2" t="str">
        <f>"683305306"</f>
        <v>683305306</v>
      </c>
      <c r="C7356" s="2" t="str">
        <f>"683305306"</f>
        <v>683305306</v>
      </c>
      <c r="D7356" s="2" t="s">
        <v>5229</v>
      </c>
      <c r="E7356" s="4">
        <v>3000</v>
      </c>
    </row>
    <row r="7357" spans="1:5" ht="26.25" x14ac:dyDescent="0.25">
      <c r="A7357" s="2" t="s">
        <v>13</v>
      </c>
      <c r="B7357" s="2" t="str">
        <f>"2019029900244"</f>
        <v>2019029900244</v>
      </c>
      <c r="C7357" s="2" t="str">
        <f>"183305306"</f>
        <v>183305306</v>
      </c>
      <c r="D7357" s="2" t="s">
        <v>5229</v>
      </c>
      <c r="E7357" s="4">
        <v>3000</v>
      </c>
    </row>
    <row r="7358" spans="1:5" ht="26.25" x14ac:dyDescent="0.25">
      <c r="A7358" s="2" t="s">
        <v>13</v>
      </c>
      <c r="B7358" s="2" t="str">
        <f>"343305260"</f>
        <v>343305260</v>
      </c>
      <c r="C7358" s="2" t="str">
        <f>"343305260"</f>
        <v>343305260</v>
      </c>
      <c r="D7358" s="2" t="s">
        <v>5230</v>
      </c>
      <c r="E7358" s="4">
        <v>3000</v>
      </c>
    </row>
    <row r="7359" spans="1:5" ht="26.25" x14ac:dyDescent="0.25">
      <c r="A7359" s="2" t="s">
        <v>13</v>
      </c>
      <c r="B7359" s="2" t="str">
        <f>"763305260"</f>
        <v>763305260</v>
      </c>
      <c r="C7359" s="2" t="str">
        <f>"763305260"</f>
        <v>763305260</v>
      </c>
      <c r="D7359" s="2" t="s">
        <v>5230</v>
      </c>
      <c r="E7359" s="4">
        <v>3000</v>
      </c>
    </row>
    <row r="7360" spans="1:5" ht="26.25" x14ac:dyDescent="0.25">
      <c r="A7360" s="2" t="s">
        <v>13</v>
      </c>
      <c r="B7360" s="2" t="str">
        <f>"763305317"</f>
        <v>763305317</v>
      </c>
      <c r="C7360" s="2" t="str">
        <f>"763305317"</f>
        <v>763305317</v>
      </c>
      <c r="D7360" s="2" t="s">
        <v>5231</v>
      </c>
      <c r="E7360" s="4">
        <v>3000</v>
      </c>
    </row>
    <row r="7361" spans="1:5" ht="26.25" x14ac:dyDescent="0.25">
      <c r="A7361" s="2" t="s">
        <v>13</v>
      </c>
      <c r="B7361" s="2" t="str">
        <f>"325305159"</f>
        <v>325305159</v>
      </c>
      <c r="C7361" s="2" t="str">
        <f>"325305159"</f>
        <v>325305159</v>
      </c>
      <c r="D7361" s="2" t="s">
        <v>5232</v>
      </c>
      <c r="E7361" s="4">
        <v>3000</v>
      </c>
    </row>
    <row r="7362" spans="1:5" ht="26.25" x14ac:dyDescent="0.25">
      <c r="A7362" s="2" t="s">
        <v>13</v>
      </c>
      <c r="B7362" s="2" t="str">
        <f>"765305159"</f>
        <v>765305159</v>
      </c>
      <c r="C7362" s="2" t="str">
        <f>"765305159"</f>
        <v>765305159</v>
      </c>
      <c r="D7362" s="2" t="s">
        <v>5232</v>
      </c>
      <c r="E7362" s="4">
        <v>3000</v>
      </c>
    </row>
    <row r="7363" spans="1:5" ht="26.25" x14ac:dyDescent="0.25">
      <c r="A7363" s="2" t="s">
        <v>13</v>
      </c>
      <c r="B7363" s="2" t="str">
        <f>"345305159"</f>
        <v>345305159</v>
      </c>
      <c r="C7363" s="2" t="str">
        <f>"345305159"</f>
        <v>345305159</v>
      </c>
      <c r="D7363" s="2" t="s">
        <v>5232</v>
      </c>
      <c r="E7363" s="4">
        <v>3000</v>
      </c>
    </row>
    <row r="7364" spans="1:5" ht="26.25" x14ac:dyDescent="0.25">
      <c r="A7364" s="2" t="s">
        <v>13</v>
      </c>
      <c r="B7364" s="2" t="str">
        <f>"933305159"</f>
        <v>933305159</v>
      </c>
      <c r="C7364" s="2" t="str">
        <f>"933305159"</f>
        <v>933305159</v>
      </c>
      <c r="D7364" s="2" t="s">
        <v>5232</v>
      </c>
      <c r="E7364" s="4">
        <v>3000</v>
      </c>
    </row>
    <row r="7365" spans="1:5" ht="26.25" x14ac:dyDescent="0.25">
      <c r="A7365" s="2" t="s">
        <v>13</v>
      </c>
      <c r="B7365" s="2" t="str">
        <f>"173305281"</f>
        <v>173305281</v>
      </c>
      <c r="C7365" s="2" t="str">
        <f>"173305281"</f>
        <v>173305281</v>
      </c>
      <c r="D7365" s="2" t="s">
        <v>5233</v>
      </c>
      <c r="E7365" s="4">
        <v>3000</v>
      </c>
    </row>
    <row r="7366" spans="1:5" ht="26.25" x14ac:dyDescent="0.25">
      <c r="A7366" s="2" t="s">
        <v>13</v>
      </c>
      <c r="B7366" s="2" t="str">
        <f>"345305280"</f>
        <v>345305280</v>
      </c>
      <c r="C7366" s="2" t="str">
        <f>"345305280"</f>
        <v>345305280</v>
      </c>
      <c r="D7366" s="2" t="s">
        <v>5234</v>
      </c>
      <c r="E7366" s="4">
        <v>3000</v>
      </c>
    </row>
    <row r="7367" spans="1:5" ht="26.25" x14ac:dyDescent="0.25">
      <c r="A7367" s="2" t="s">
        <v>13</v>
      </c>
      <c r="B7367" s="2" t="str">
        <f>"1578151379191"</f>
        <v>1578151379191</v>
      </c>
      <c r="C7367" s="2" t="str">
        <f>"61330599"</f>
        <v>61330599</v>
      </c>
      <c r="D7367" s="2" t="s">
        <v>5234</v>
      </c>
      <c r="E7367" s="4">
        <v>3000</v>
      </c>
    </row>
    <row r="7368" spans="1:5" ht="26.25" x14ac:dyDescent="0.25">
      <c r="A7368" s="2" t="s">
        <v>13</v>
      </c>
      <c r="B7368" s="2" t="str">
        <f>"343305280"</f>
        <v>343305280</v>
      </c>
      <c r="C7368" s="2" t="str">
        <f>"343305280"</f>
        <v>343305280</v>
      </c>
      <c r="D7368" s="2" t="s">
        <v>5234</v>
      </c>
      <c r="E7368" s="4">
        <v>3000</v>
      </c>
    </row>
    <row r="7369" spans="1:5" ht="26.25" x14ac:dyDescent="0.25">
      <c r="A7369" s="2" t="s">
        <v>13</v>
      </c>
      <c r="B7369" s="2" t="str">
        <f>"763305282"</f>
        <v>763305282</v>
      </c>
      <c r="C7369" s="2" t="str">
        <f>"763305282"</f>
        <v>763305282</v>
      </c>
      <c r="D7369" s="2" t="s">
        <v>5235</v>
      </c>
      <c r="E7369" s="4">
        <v>3000</v>
      </c>
    </row>
    <row r="7370" spans="1:5" ht="26.25" x14ac:dyDescent="0.25">
      <c r="A7370" s="2" t="s">
        <v>13</v>
      </c>
      <c r="B7370" s="2" t="str">
        <f>"993305282"</f>
        <v>993305282</v>
      </c>
      <c r="C7370" s="2" t="str">
        <f>"993305282"</f>
        <v>993305282</v>
      </c>
      <c r="D7370" s="2" t="s">
        <v>5235</v>
      </c>
      <c r="E7370" s="4">
        <v>3000</v>
      </c>
    </row>
    <row r="7371" spans="1:5" ht="26.25" x14ac:dyDescent="0.25">
      <c r="A7371" s="2" t="s">
        <v>13</v>
      </c>
      <c r="B7371" s="2" t="str">
        <f>"765305282"</f>
        <v>765305282</v>
      </c>
      <c r="C7371" s="2" t="str">
        <f>"765305282"</f>
        <v>765305282</v>
      </c>
      <c r="D7371" s="2" t="s">
        <v>5235</v>
      </c>
      <c r="E7371" s="4">
        <v>3000</v>
      </c>
    </row>
    <row r="7372" spans="1:5" ht="26.25" x14ac:dyDescent="0.25">
      <c r="A7372" s="2" t="s">
        <v>13</v>
      </c>
      <c r="B7372" s="2" t="str">
        <f>"693305282"</f>
        <v>693305282</v>
      </c>
      <c r="C7372" s="2" t="str">
        <f>"693305282"</f>
        <v>693305282</v>
      </c>
      <c r="D7372" s="2" t="s">
        <v>5235</v>
      </c>
      <c r="E7372" s="4">
        <v>3000</v>
      </c>
    </row>
    <row r="7373" spans="1:5" ht="26.25" x14ac:dyDescent="0.25">
      <c r="A7373" s="2" t="s">
        <v>13</v>
      </c>
      <c r="B7373" s="2" t="str">
        <f>"863305282"</f>
        <v>863305282</v>
      </c>
      <c r="C7373" s="2" t="str">
        <f>"863305282"</f>
        <v>863305282</v>
      </c>
      <c r="D7373" s="2" t="s">
        <v>5235</v>
      </c>
      <c r="E7373" s="4">
        <v>3000</v>
      </c>
    </row>
    <row r="7374" spans="1:5" ht="26.25" x14ac:dyDescent="0.25">
      <c r="A7374" s="2" t="s">
        <v>13</v>
      </c>
      <c r="B7374" s="2" t="str">
        <f>"343305282"</f>
        <v>343305282</v>
      </c>
      <c r="C7374" s="2" t="str">
        <f>"343305282"</f>
        <v>343305282</v>
      </c>
      <c r="D7374" s="2" t="s">
        <v>5235</v>
      </c>
      <c r="E7374" s="4">
        <v>3000</v>
      </c>
    </row>
    <row r="7375" spans="1:5" ht="26.25" x14ac:dyDescent="0.25">
      <c r="A7375" s="2" t="s">
        <v>13</v>
      </c>
      <c r="B7375" s="2" t="str">
        <f>"683305282"</f>
        <v>683305282</v>
      </c>
      <c r="C7375" s="2" t="str">
        <f>"683305282"</f>
        <v>683305282</v>
      </c>
      <c r="D7375" s="2" t="s">
        <v>5235</v>
      </c>
      <c r="E7375" s="4">
        <v>3000</v>
      </c>
    </row>
    <row r="7376" spans="1:5" ht="26.25" x14ac:dyDescent="0.25">
      <c r="A7376" s="2" t="s">
        <v>13</v>
      </c>
      <c r="B7376" s="2" t="str">
        <f>"763305280"</f>
        <v>763305280</v>
      </c>
      <c r="C7376" s="2" t="str">
        <f>"763305280"</f>
        <v>763305280</v>
      </c>
      <c r="D7376" s="2" t="s">
        <v>5236</v>
      </c>
      <c r="E7376" s="4">
        <v>3000</v>
      </c>
    </row>
    <row r="7377" spans="1:5" ht="26.25" x14ac:dyDescent="0.25">
      <c r="A7377" s="2" t="s">
        <v>13</v>
      </c>
      <c r="B7377" s="2" t="str">
        <f>"933305280"</f>
        <v>933305280</v>
      </c>
      <c r="C7377" s="2" t="str">
        <f>"933305280"</f>
        <v>933305280</v>
      </c>
      <c r="D7377" s="2" t="s">
        <v>5236</v>
      </c>
      <c r="E7377" s="4">
        <v>3000</v>
      </c>
    </row>
    <row r="7378" spans="1:5" ht="26.25" x14ac:dyDescent="0.25">
      <c r="A7378" s="2" t="s">
        <v>13</v>
      </c>
      <c r="B7378" s="2" t="str">
        <f>"34330572"</f>
        <v>34330572</v>
      </c>
      <c r="C7378" s="2" t="str">
        <f>"34330572"</f>
        <v>34330572</v>
      </c>
      <c r="D7378" s="2" t="s">
        <v>5237</v>
      </c>
      <c r="E7378" s="4">
        <v>3000</v>
      </c>
    </row>
    <row r="7379" spans="1:5" ht="26.25" x14ac:dyDescent="0.25">
      <c r="A7379" s="2" t="s">
        <v>13</v>
      </c>
      <c r="B7379" s="2" t="str">
        <f>"34530572"</f>
        <v>34530572</v>
      </c>
      <c r="C7379" s="2" t="str">
        <f>"34530572"</f>
        <v>34530572</v>
      </c>
      <c r="D7379" s="2" t="s">
        <v>5237</v>
      </c>
      <c r="E7379" s="4">
        <v>3000</v>
      </c>
    </row>
    <row r="7380" spans="1:5" ht="26.25" x14ac:dyDescent="0.25">
      <c r="A7380" s="2" t="s">
        <v>13</v>
      </c>
      <c r="B7380" s="2" t="str">
        <f>"76330572"</f>
        <v>76330572</v>
      </c>
      <c r="C7380" s="2" t="str">
        <f>"76330572"</f>
        <v>76330572</v>
      </c>
      <c r="D7380" s="2" t="s">
        <v>5237</v>
      </c>
      <c r="E7380" s="4">
        <v>3000</v>
      </c>
    </row>
    <row r="7381" spans="1:5" ht="26.25" x14ac:dyDescent="0.25">
      <c r="A7381" s="2" t="s">
        <v>13</v>
      </c>
      <c r="B7381" s="2" t="str">
        <f>"76530572"</f>
        <v>76530572</v>
      </c>
      <c r="C7381" s="2" t="str">
        <f>"76530572"</f>
        <v>76530572</v>
      </c>
      <c r="D7381" s="2" t="s">
        <v>5237</v>
      </c>
      <c r="E7381" s="4">
        <v>3000</v>
      </c>
    </row>
    <row r="7382" spans="1:5" ht="26.25" x14ac:dyDescent="0.25">
      <c r="A7382" s="2" t="s">
        <v>13</v>
      </c>
      <c r="B7382" s="2" t="str">
        <f>"76530574"</f>
        <v>76530574</v>
      </c>
      <c r="C7382" s="2" t="str">
        <f>"76530574"</f>
        <v>76530574</v>
      </c>
      <c r="D7382" s="2" t="s">
        <v>5237</v>
      </c>
      <c r="E7382" s="4">
        <v>3000</v>
      </c>
    </row>
    <row r="7383" spans="1:5" ht="26.25" x14ac:dyDescent="0.25">
      <c r="A7383" s="2" t="s">
        <v>13</v>
      </c>
      <c r="B7383" s="2" t="str">
        <f>"175305118"</f>
        <v>175305118</v>
      </c>
      <c r="C7383" s="2" t="str">
        <f>"175305118"</f>
        <v>175305118</v>
      </c>
      <c r="D7383" s="2" t="s">
        <v>5238</v>
      </c>
      <c r="E7383" s="4">
        <v>3000</v>
      </c>
    </row>
    <row r="7384" spans="1:5" ht="26.25" x14ac:dyDescent="0.25">
      <c r="A7384" s="2" t="s">
        <v>13</v>
      </c>
      <c r="B7384" s="2" t="str">
        <f>"345305118"</f>
        <v>345305118</v>
      </c>
      <c r="C7384" s="2" t="str">
        <f>"345305118"</f>
        <v>345305118</v>
      </c>
      <c r="D7384" s="2" t="s">
        <v>5238</v>
      </c>
      <c r="E7384" s="4">
        <v>3000</v>
      </c>
    </row>
    <row r="7385" spans="1:5" ht="26.25" x14ac:dyDescent="0.25">
      <c r="A7385" s="2" t="s">
        <v>13</v>
      </c>
      <c r="B7385" s="2" t="str">
        <f>"765305118"</f>
        <v>765305118</v>
      </c>
      <c r="C7385" s="2" t="str">
        <f>"765305118"</f>
        <v>765305118</v>
      </c>
      <c r="D7385" s="2" t="s">
        <v>5238</v>
      </c>
      <c r="E7385" s="4">
        <v>3000</v>
      </c>
    </row>
    <row r="7386" spans="1:5" ht="26.25" x14ac:dyDescent="0.25">
      <c r="A7386" s="2" t="s">
        <v>13</v>
      </c>
      <c r="B7386" s="2" t="str">
        <f>"763305118"</f>
        <v>763305118</v>
      </c>
      <c r="C7386" s="2" t="str">
        <f>"763305118"</f>
        <v>763305118</v>
      </c>
      <c r="D7386" s="2" t="s">
        <v>5238</v>
      </c>
      <c r="E7386" s="4">
        <v>3000</v>
      </c>
    </row>
    <row r="7387" spans="1:5" ht="26.25" x14ac:dyDescent="0.25">
      <c r="A7387" s="2" t="s">
        <v>13</v>
      </c>
      <c r="B7387" s="2" t="str">
        <f>"763305304"</f>
        <v>763305304</v>
      </c>
      <c r="C7387" s="2" t="str">
        <f>"763305304"</f>
        <v>763305304</v>
      </c>
      <c r="D7387" s="2" t="s">
        <v>5239</v>
      </c>
      <c r="E7387" s="4">
        <v>3000</v>
      </c>
    </row>
    <row r="7388" spans="1:5" ht="26.25" x14ac:dyDescent="0.25">
      <c r="A7388" s="2" t="s">
        <v>13</v>
      </c>
      <c r="B7388" s="2" t="str">
        <f>"019836520170"</f>
        <v>019836520170</v>
      </c>
      <c r="C7388" s="2" t="str">
        <f>"613305304"</f>
        <v>613305304</v>
      </c>
      <c r="D7388" s="2" t="s">
        <v>5239</v>
      </c>
      <c r="E7388" s="4">
        <v>3000</v>
      </c>
    </row>
    <row r="7389" spans="1:5" ht="26.25" x14ac:dyDescent="0.25">
      <c r="A7389" s="2" t="s">
        <v>13</v>
      </c>
      <c r="B7389" s="2" t="str">
        <f>"183305329"</f>
        <v>183305329</v>
      </c>
      <c r="C7389" s="2" t="str">
        <f>"183305329"</f>
        <v>183305329</v>
      </c>
      <c r="D7389" s="2" t="s">
        <v>5239</v>
      </c>
      <c r="E7389" s="4">
        <v>3000</v>
      </c>
    </row>
    <row r="7390" spans="1:5" ht="26.25" x14ac:dyDescent="0.25">
      <c r="A7390" s="2" t="s">
        <v>13</v>
      </c>
      <c r="B7390" s="2" t="str">
        <f>"683305304"</f>
        <v>683305304</v>
      </c>
      <c r="C7390" s="2" t="str">
        <f>"683305304"</f>
        <v>683305304</v>
      </c>
      <c r="D7390" s="2" t="s">
        <v>5239</v>
      </c>
      <c r="E7390" s="4">
        <v>1500</v>
      </c>
    </row>
    <row r="7391" spans="1:5" ht="26.25" x14ac:dyDescent="0.25">
      <c r="A7391" s="2" t="s">
        <v>13</v>
      </c>
      <c r="B7391" s="2" t="str">
        <f>"2020060901053"</f>
        <v>2020060901053</v>
      </c>
      <c r="C7391" s="2" t="str">
        <f>"183305330"</f>
        <v>183305330</v>
      </c>
      <c r="D7391" s="2" t="s">
        <v>5240</v>
      </c>
      <c r="E7391" s="4">
        <v>3000</v>
      </c>
    </row>
    <row r="7392" spans="1:5" ht="26.25" x14ac:dyDescent="0.25">
      <c r="A7392" s="2" t="s">
        <v>13</v>
      </c>
      <c r="B7392" s="2" t="str">
        <f>"683305317"</f>
        <v>683305317</v>
      </c>
      <c r="C7392" s="2" t="str">
        <f>"683305317"</f>
        <v>683305317</v>
      </c>
      <c r="D7392" s="2" t="s">
        <v>5240</v>
      </c>
      <c r="E7392" s="4">
        <v>3000</v>
      </c>
    </row>
    <row r="7393" spans="1:5" ht="26.25" x14ac:dyDescent="0.25">
      <c r="A7393" s="2" t="s">
        <v>13</v>
      </c>
      <c r="B7393" s="2" t="str">
        <f>"343305317"</f>
        <v>343305317</v>
      </c>
      <c r="C7393" s="2" t="str">
        <f>"343305317"</f>
        <v>343305317</v>
      </c>
      <c r="D7393" s="2" t="s">
        <v>5240</v>
      </c>
      <c r="E7393" s="4">
        <v>1500</v>
      </c>
    </row>
    <row r="7394" spans="1:5" ht="26.25" x14ac:dyDescent="0.25">
      <c r="A7394" s="2" t="s">
        <v>13</v>
      </c>
      <c r="B7394" s="2" t="str">
        <f>"763305160"</f>
        <v>763305160</v>
      </c>
      <c r="C7394" s="2" t="str">
        <f>"763305160"</f>
        <v>763305160</v>
      </c>
      <c r="D7394" s="2" t="s">
        <v>5241</v>
      </c>
      <c r="E7394" s="4">
        <v>3000</v>
      </c>
    </row>
    <row r="7395" spans="1:5" ht="26.25" x14ac:dyDescent="0.25">
      <c r="A7395" s="2" t="s">
        <v>13</v>
      </c>
      <c r="B7395" s="2" t="str">
        <f>"173305160"</f>
        <v>173305160</v>
      </c>
      <c r="C7395" s="2" t="str">
        <f>"173305160"</f>
        <v>173305160</v>
      </c>
      <c r="D7395" s="2" t="s">
        <v>5241</v>
      </c>
      <c r="E7395" s="4">
        <v>3000</v>
      </c>
    </row>
    <row r="7396" spans="1:5" ht="26.25" x14ac:dyDescent="0.25">
      <c r="A7396" s="2" t="s">
        <v>13</v>
      </c>
      <c r="B7396" s="2" t="str">
        <f>"765305160"</f>
        <v>765305160</v>
      </c>
      <c r="C7396" s="2" t="str">
        <f>"765305160"</f>
        <v>765305160</v>
      </c>
      <c r="D7396" s="2" t="s">
        <v>5241</v>
      </c>
      <c r="E7396" s="4">
        <v>3000</v>
      </c>
    </row>
    <row r="7397" spans="1:5" ht="26.25" x14ac:dyDescent="0.25">
      <c r="A7397" s="2" t="s">
        <v>13</v>
      </c>
      <c r="B7397" s="2" t="str">
        <f>"763305312"</f>
        <v>763305312</v>
      </c>
      <c r="C7397" s="2" t="str">
        <f>"763305312"</f>
        <v>763305312</v>
      </c>
      <c r="D7397" s="2" t="s">
        <v>5242</v>
      </c>
      <c r="E7397" s="4">
        <v>3000</v>
      </c>
    </row>
    <row r="7398" spans="1:5" ht="26.25" x14ac:dyDescent="0.25">
      <c r="A7398" s="2" t="s">
        <v>13</v>
      </c>
      <c r="B7398" s="2" t="str">
        <f>"683305314"</f>
        <v>683305314</v>
      </c>
      <c r="C7398" s="2" t="str">
        <f>"683305314"</f>
        <v>683305314</v>
      </c>
      <c r="D7398" s="2" t="s">
        <v>5243</v>
      </c>
      <c r="E7398" s="4">
        <v>3000</v>
      </c>
    </row>
    <row r="7399" spans="1:5" ht="26.25" x14ac:dyDescent="0.25">
      <c r="A7399" s="2" t="s">
        <v>13</v>
      </c>
      <c r="B7399" s="2" t="str">
        <f>"2019120100130"</f>
        <v>2019120100130</v>
      </c>
      <c r="C7399" s="2" t="str">
        <f>"183305315"</f>
        <v>183305315</v>
      </c>
      <c r="D7399" s="2" t="s">
        <v>5243</v>
      </c>
      <c r="E7399" s="4">
        <v>3000</v>
      </c>
    </row>
    <row r="7400" spans="1:5" ht="26.25" x14ac:dyDescent="0.25">
      <c r="A7400" s="2" t="s">
        <v>13</v>
      </c>
      <c r="B7400" s="2" t="str">
        <f>"683305315"</f>
        <v>683305315</v>
      </c>
      <c r="C7400" s="2" t="str">
        <f>"683305315"</f>
        <v>683305315</v>
      </c>
      <c r="D7400" s="2" t="s">
        <v>5243</v>
      </c>
      <c r="E7400" s="4">
        <v>3000</v>
      </c>
    </row>
    <row r="7401" spans="1:5" ht="26.25" x14ac:dyDescent="0.25">
      <c r="A7401" s="2" t="s">
        <v>13</v>
      </c>
      <c r="B7401" s="2" t="str">
        <f>"343305315"</f>
        <v>343305315</v>
      </c>
      <c r="C7401" s="2" t="str">
        <f>"343305315"</f>
        <v>343305315</v>
      </c>
      <c r="D7401" s="2" t="s">
        <v>5243</v>
      </c>
      <c r="E7401" s="4">
        <v>1500</v>
      </c>
    </row>
    <row r="7402" spans="1:5" ht="26.25" x14ac:dyDescent="0.25">
      <c r="A7402" s="2" t="s">
        <v>13</v>
      </c>
      <c r="B7402" s="2" t="str">
        <f>"1578151330594"</f>
        <v>1578151330594</v>
      </c>
      <c r="C7402" s="2" t="str">
        <f>"61330598"</f>
        <v>61330598</v>
      </c>
      <c r="D7402" s="2" t="s">
        <v>5243</v>
      </c>
      <c r="E7402" s="4">
        <v>3000</v>
      </c>
    </row>
    <row r="7403" spans="1:5" ht="26.25" x14ac:dyDescent="0.25">
      <c r="A7403" s="2" t="s">
        <v>13</v>
      </c>
      <c r="B7403" s="2" t="str">
        <f>"993305162"</f>
        <v>993305162</v>
      </c>
      <c r="C7403" s="2" t="str">
        <f>"993305162"</f>
        <v>993305162</v>
      </c>
      <c r="D7403" s="2" t="s">
        <v>5244</v>
      </c>
      <c r="E7403" s="4">
        <v>3000</v>
      </c>
    </row>
    <row r="7404" spans="1:5" ht="26.25" x14ac:dyDescent="0.25">
      <c r="A7404" s="2" t="s">
        <v>13</v>
      </c>
      <c r="B7404" s="2" t="str">
        <f>"763305162"</f>
        <v>763305162</v>
      </c>
      <c r="C7404" s="2" t="str">
        <f>"763305162"</f>
        <v>763305162</v>
      </c>
      <c r="D7404" s="2" t="s">
        <v>5244</v>
      </c>
      <c r="E7404" s="4">
        <v>3000</v>
      </c>
    </row>
    <row r="7405" spans="1:5" ht="26.25" x14ac:dyDescent="0.25">
      <c r="A7405" s="2" t="s">
        <v>13</v>
      </c>
      <c r="B7405" s="2" t="str">
        <f>"765305162"</f>
        <v>765305162</v>
      </c>
      <c r="C7405" s="2" t="str">
        <f>"765305162"</f>
        <v>765305162</v>
      </c>
      <c r="D7405" s="2" t="s">
        <v>5244</v>
      </c>
      <c r="E7405" s="4">
        <v>3000</v>
      </c>
    </row>
    <row r="7406" spans="1:5" ht="26.25" x14ac:dyDescent="0.25">
      <c r="A7406" s="2" t="s">
        <v>13</v>
      </c>
      <c r="B7406" s="2" t="str">
        <f>"2020060901084"</f>
        <v>2020060901084</v>
      </c>
      <c r="C7406" s="2" t="str">
        <f>"183305324"</f>
        <v>183305324</v>
      </c>
      <c r="D7406" s="2" t="s">
        <v>5244</v>
      </c>
      <c r="E7406" s="4">
        <v>3000</v>
      </c>
    </row>
    <row r="7407" spans="1:5" ht="26.25" x14ac:dyDescent="0.25">
      <c r="A7407" s="2" t="s">
        <v>13</v>
      </c>
      <c r="B7407" s="2" t="str">
        <f>"343305162"</f>
        <v>343305162</v>
      </c>
      <c r="C7407" s="2" t="str">
        <f>"343305162"</f>
        <v>343305162</v>
      </c>
      <c r="D7407" s="2" t="s">
        <v>5244</v>
      </c>
      <c r="E7407" s="4">
        <v>3000</v>
      </c>
    </row>
    <row r="7408" spans="1:5" ht="26.25" x14ac:dyDescent="0.25">
      <c r="A7408" s="2" t="s">
        <v>13</v>
      </c>
      <c r="B7408" s="2" t="str">
        <f>"2020060901091"</f>
        <v>2020060901091</v>
      </c>
      <c r="C7408" s="2" t="str">
        <f>"183305325"</f>
        <v>183305325</v>
      </c>
      <c r="D7408" s="2" t="s">
        <v>5245</v>
      </c>
      <c r="E7408" s="4">
        <v>3000</v>
      </c>
    </row>
    <row r="7409" spans="1:5" ht="26.25" x14ac:dyDescent="0.25">
      <c r="A7409" s="2" t="s">
        <v>13</v>
      </c>
      <c r="B7409" s="2" t="str">
        <f>"765305280"</f>
        <v>765305280</v>
      </c>
      <c r="C7409" s="2" t="str">
        <f>"765305280"</f>
        <v>765305280</v>
      </c>
      <c r="D7409" s="2" t="s">
        <v>5245</v>
      </c>
      <c r="E7409" s="4">
        <v>3000</v>
      </c>
    </row>
    <row r="7410" spans="1:5" ht="26.25" x14ac:dyDescent="0.25">
      <c r="A7410" s="2" t="s">
        <v>13</v>
      </c>
      <c r="B7410" s="2" t="str">
        <f>"863305280"</f>
        <v>863305280</v>
      </c>
      <c r="C7410" s="2" t="str">
        <f>"863305280"</f>
        <v>863305280</v>
      </c>
      <c r="D7410" s="2" t="s">
        <v>5245</v>
      </c>
      <c r="E7410" s="4">
        <v>3000</v>
      </c>
    </row>
    <row r="7411" spans="1:5" ht="26.25" x14ac:dyDescent="0.25">
      <c r="A7411" s="2" t="s">
        <v>13</v>
      </c>
      <c r="B7411" s="2" t="str">
        <f>"343305319"</f>
        <v>343305319</v>
      </c>
      <c r="C7411" s="2" t="str">
        <f>"343305319"</f>
        <v>343305319</v>
      </c>
      <c r="D7411" s="2" t="s">
        <v>5246</v>
      </c>
      <c r="E7411" s="4">
        <v>3000</v>
      </c>
    </row>
    <row r="7412" spans="1:5" ht="26.25" x14ac:dyDescent="0.25">
      <c r="A7412" s="2" t="s">
        <v>13</v>
      </c>
      <c r="B7412" s="2" t="str">
        <f>"763305161"</f>
        <v>763305161</v>
      </c>
      <c r="C7412" s="2" t="str">
        <f>"763305161"</f>
        <v>763305161</v>
      </c>
      <c r="D7412" s="2" t="s">
        <v>5247</v>
      </c>
      <c r="E7412" s="4">
        <v>3000</v>
      </c>
    </row>
    <row r="7413" spans="1:5" ht="26.25" x14ac:dyDescent="0.25">
      <c r="A7413" s="2" t="s">
        <v>13</v>
      </c>
      <c r="B7413" s="2" t="str">
        <f>"683305161"</f>
        <v>683305161</v>
      </c>
      <c r="C7413" s="2" t="str">
        <f>"683305161"</f>
        <v>683305161</v>
      </c>
      <c r="D7413" s="2" t="s">
        <v>5247</v>
      </c>
      <c r="E7413" s="4">
        <v>3000</v>
      </c>
    </row>
    <row r="7414" spans="1:5" ht="26.25" x14ac:dyDescent="0.25">
      <c r="A7414" s="2" t="s">
        <v>13</v>
      </c>
      <c r="B7414" s="2" t="str">
        <f>"993305161"</f>
        <v>993305161</v>
      </c>
      <c r="C7414" s="2" t="str">
        <f>"993305161"</f>
        <v>993305161</v>
      </c>
      <c r="D7414" s="2" t="s">
        <v>5247</v>
      </c>
      <c r="E7414" s="4">
        <v>3000</v>
      </c>
    </row>
    <row r="7415" spans="1:5" ht="26.25" x14ac:dyDescent="0.25">
      <c r="A7415" s="2" t="s">
        <v>13</v>
      </c>
      <c r="B7415" s="2" t="str">
        <f>"863305161"</f>
        <v>863305161</v>
      </c>
      <c r="C7415" s="2" t="str">
        <f>"863305161"</f>
        <v>863305161</v>
      </c>
      <c r="D7415" s="2" t="s">
        <v>5247</v>
      </c>
      <c r="E7415" s="4">
        <v>3000</v>
      </c>
    </row>
    <row r="7416" spans="1:5" ht="26.25" x14ac:dyDescent="0.25">
      <c r="A7416" s="2" t="s">
        <v>13</v>
      </c>
      <c r="B7416" s="2" t="str">
        <f>"673305310"</f>
        <v>673305310</v>
      </c>
      <c r="C7416" s="2" t="str">
        <f>"673305310"</f>
        <v>673305310</v>
      </c>
      <c r="D7416" s="2" t="s">
        <v>5248</v>
      </c>
      <c r="E7416" s="4">
        <v>3000</v>
      </c>
    </row>
    <row r="7417" spans="1:5" ht="26.25" x14ac:dyDescent="0.25">
      <c r="A7417" s="2" t="s">
        <v>13</v>
      </c>
      <c r="B7417" s="2" t="str">
        <f>"343305310"</f>
        <v>343305310</v>
      </c>
      <c r="C7417" s="2" t="str">
        <f>"343305310"</f>
        <v>343305310</v>
      </c>
      <c r="D7417" s="2" t="s">
        <v>5248</v>
      </c>
      <c r="E7417" s="4">
        <v>3000</v>
      </c>
    </row>
    <row r="7418" spans="1:5" ht="26.25" x14ac:dyDescent="0.25">
      <c r="A7418" s="2" t="s">
        <v>13</v>
      </c>
      <c r="B7418" s="2" t="str">
        <f>"683305310"</f>
        <v>683305310</v>
      </c>
      <c r="C7418" s="2" t="str">
        <f>"683305310"</f>
        <v>683305310</v>
      </c>
      <c r="D7418" s="2" t="s">
        <v>5248</v>
      </c>
      <c r="E7418" s="4">
        <v>3000</v>
      </c>
    </row>
    <row r="7419" spans="1:5" ht="26.25" x14ac:dyDescent="0.25">
      <c r="A7419" s="2" t="s">
        <v>13</v>
      </c>
      <c r="B7419" s="2" t="str">
        <f>"1578151297570"</f>
        <v>1578151297570</v>
      </c>
      <c r="C7419" s="2" t="str">
        <f>"61330597"</f>
        <v>61330597</v>
      </c>
      <c r="D7419" s="2" t="s">
        <v>5248</v>
      </c>
      <c r="E7419" s="4">
        <v>3000</v>
      </c>
    </row>
    <row r="7420" spans="1:5" ht="26.25" x14ac:dyDescent="0.25">
      <c r="A7420" s="2" t="s">
        <v>13</v>
      </c>
      <c r="B7420" s="2" t="str">
        <f>"2019120100147"</f>
        <v>2019120100147</v>
      </c>
      <c r="C7420" s="2" t="str">
        <f>"183305310"</f>
        <v>183305310</v>
      </c>
      <c r="D7420" s="2" t="s">
        <v>5248</v>
      </c>
      <c r="E7420" s="4">
        <v>3000</v>
      </c>
    </row>
    <row r="7421" spans="1:5" ht="26.25" x14ac:dyDescent="0.25">
      <c r="A7421" s="2" t="s">
        <v>13</v>
      </c>
      <c r="B7421" s="2" t="str">
        <f>"2019080300205"</f>
        <v>2019080300205</v>
      </c>
      <c r="C7421" s="2" t="str">
        <f>"183305319"</f>
        <v>183305319</v>
      </c>
      <c r="D7421" s="2" t="s">
        <v>5249</v>
      </c>
      <c r="E7421" s="4">
        <v>3000</v>
      </c>
    </row>
    <row r="7422" spans="1:5" ht="26.25" x14ac:dyDescent="0.25">
      <c r="A7422" s="2" t="s">
        <v>13</v>
      </c>
      <c r="B7422" s="2" t="str">
        <f>"765301112"</f>
        <v>765301112</v>
      </c>
      <c r="C7422" s="2" t="str">
        <f>"765301112"</f>
        <v>765301112</v>
      </c>
      <c r="D7422" s="2" t="s">
        <v>5250</v>
      </c>
      <c r="E7422" s="4">
        <v>3000</v>
      </c>
    </row>
    <row r="7423" spans="1:5" ht="26.25" x14ac:dyDescent="0.25">
      <c r="A7423" s="2" t="s">
        <v>13</v>
      </c>
      <c r="B7423" s="2" t="str">
        <f>"34330701"</f>
        <v>34330701</v>
      </c>
      <c r="C7423" s="2" t="str">
        <f>"34330701"</f>
        <v>34330701</v>
      </c>
      <c r="D7423" s="2" t="s">
        <v>5251</v>
      </c>
      <c r="E7423" s="4">
        <v>5500</v>
      </c>
    </row>
    <row r="7424" spans="1:5" ht="26.25" x14ac:dyDescent="0.25">
      <c r="A7424" s="2" t="s">
        <v>13</v>
      </c>
      <c r="B7424" s="2" t="str">
        <f>"345300102"</f>
        <v>345300102</v>
      </c>
      <c r="C7424" s="2" t="str">
        <f>"345300102"</f>
        <v>345300102</v>
      </c>
      <c r="D7424" s="2" t="s">
        <v>5252</v>
      </c>
      <c r="E7424" s="4">
        <v>10000</v>
      </c>
    </row>
    <row r="7425" spans="1:5" ht="26.25" x14ac:dyDescent="0.25">
      <c r="A7425" s="2" t="s">
        <v>13</v>
      </c>
      <c r="B7425" s="2" t="str">
        <f>"175308141"</f>
        <v>175308141</v>
      </c>
      <c r="C7425" s="2" t="str">
        <f>"175308141"</f>
        <v>175308141</v>
      </c>
      <c r="D7425" s="2" t="s">
        <v>5253</v>
      </c>
      <c r="E7425" s="4">
        <v>8000</v>
      </c>
    </row>
    <row r="7426" spans="1:5" ht="26.25" x14ac:dyDescent="0.25">
      <c r="A7426" s="2" t="s">
        <v>13</v>
      </c>
      <c r="B7426" s="2" t="str">
        <f>"34330700"</f>
        <v>34330700</v>
      </c>
      <c r="C7426" s="2" t="str">
        <f>"34330700"</f>
        <v>34330700</v>
      </c>
      <c r="D7426" s="2" t="s">
        <v>5253</v>
      </c>
      <c r="E7426" s="4">
        <v>7000</v>
      </c>
    </row>
    <row r="7427" spans="1:5" ht="26.25" x14ac:dyDescent="0.25">
      <c r="A7427" s="2" t="s">
        <v>13</v>
      </c>
      <c r="B7427" s="2" t="str">
        <f>"1000001003092"</f>
        <v>1000001003092</v>
      </c>
      <c r="C7427" s="2" t="str">
        <f>"76330700"</f>
        <v>76330700</v>
      </c>
      <c r="D7427" s="2" t="s">
        <v>5253</v>
      </c>
      <c r="E7427" s="4">
        <v>7000</v>
      </c>
    </row>
    <row r="7428" spans="1:5" ht="26.25" x14ac:dyDescent="0.25">
      <c r="A7428" s="2" t="s">
        <v>13</v>
      </c>
      <c r="B7428" s="2" t="str">
        <f>"61330700"</f>
        <v>61330700</v>
      </c>
      <c r="C7428" s="2" t="str">
        <f>"61330700"</f>
        <v>61330700</v>
      </c>
      <c r="D7428" s="2" t="s">
        <v>5254</v>
      </c>
      <c r="E7428" s="4">
        <v>6000</v>
      </c>
    </row>
    <row r="7429" spans="1:5" ht="26.25" x14ac:dyDescent="0.25">
      <c r="A7429" s="2" t="s">
        <v>13</v>
      </c>
      <c r="B7429" s="2" t="str">
        <f>"34530715"</f>
        <v>34530715</v>
      </c>
      <c r="C7429" s="2" t="str">
        <f>"34530715"</f>
        <v>34530715</v>
      </c>
      <c r="D7429" s="2" t="s">
        <v>5255</v>
      </c>
      <c r="E7429" s="4">
        <v>3000</v>
      </c>
    </row>
    <row r="7430" spans="1:5" ht="26.25" x14ac:dyDescent="0.25">
      <c r="A7430" s="2" t="s">
        <v>13</v>
      </c>
      <c r="B7430" s="2" t="str">
        <f>"343307602"</f>
        <v>343307602</v>
      </c>
      <c r="C7430" s="2" t="str">
        <f>"343307602"</f>
        <v>343307602</v>
      </c>
      <c r="D7430" s="2" t="s">
        <v>5256</v>
      </c>
      <c r="E7430" s="4">
        <v>3000</v>
      </c>
    </row>
    <row r="7431" spans="1:5" ht="26.25" x14ac:dyDescent="0.25">
      <c r="A7431" s="2" t="s">
        <v>13</v>
      </c>
      <c r="B7431" s="2" t="str">
        <f>"17530714"</f>
        <v>17530714</v>
      </c>
      <c r="C7431" s="2" t="str">
        <f>"17530714"</f>
        <v>17530714</v>
      </c>
      <c r="D7431" s="2" t="s">
        <v>5257</v>
      </c>
      <c r="E7431" s="4">
        <v>3000</v>
      </c>
    </row>
    <row r="7432" spans="1:5" ht="26.25" x14ac:dyDescent="0.25">
      <c r="A7432" s="2" t="s">
        <v>13</v>
      </c>
      <c r="B7432" s="2" t="str">
        <f>"34330714"</f>
        <v>34330714</v>
      </c>
      <c r="C7432" s="2" t="str">
        <f>"34330714"</f>
        <v>34330714</v>
      </c>
      <c r="D7432" s="2" t="s">
        <v>5257</v>
      </c>
      <c r="E7432" s="4">
        <v>3000</v>
      </c>
    </row>
    <row r="7433" spans="1:5" ht="26.25" x14ac:dyDescent="0.25">
      <c r="A7433" s="2" t="s">
        <v>13</v>
      </c>
      <c r="B7433" s="2" t="str">
        <f>"34530714"</f>
        <v>34530714</v>
      </c>
      <c r="C7433" s="2" t="str">
        <f>"34530714"</f>
        <v>34530714</v>
      </c>
      <c r="D7433" s="2" t="s">
        <v>5257</v>
      </c>
      <c r="E7433" s="4">
        <v>3000</v>
      </c>
    </row>
    <row r="7434" spans="1:5" ht="26.25" x14ac:dyDescent="0.25">
      <c r="A7434" s="2" t="s">
        <v>13</v>
      </c>
      <c r="B7434" s="2" t="str">
        <f>"76330714"</f>
        <v>76330714</v>
      </c>
      <c r="C7434" s="2" t="str">
        <f>"76330714"</f>
        <v>76330714</v>
      </c>
      <c r="D7434" s="2" t="s">
        <v>5257</v>
      </c>
      <c r="E7434" s="4">
        <v>3000</v>
      </c>
    </row>
    <row r="7435" spans="1:5" ht="26.25" x14ac:dyDescent="0.25">
      <c r="A7435" s="2" t="s">
        <v>13</v>
      </c>
      <c r="B7435" s="2" t="str">
        <f>"76530714"</f>
        <v>76530714</v>
      </c>
      <c r="C7435" s="2" t="str">
        <f>"76530714"</f>
        <v>76530714</v>
      </c>
      <c r="D7435" s="2" t="s">
        <v>5257</v>
      </c>
      <c r="E7435" s="4">
        <v>3000</v>
      </c>
    </row>
    <row r="7436" spans="1:5" ht="26.25" x14ac:dyDescent="0.25">
      <c r="A7436" s="2" t="s">
        <v>13</v>
      </c>
      <c r="B7436" s="2" t="str">
        <f>"17530715"</f>
        <v>17530715</v>
      </c>
      <c r="C7436" s="2" t="str">
        <f>"17530715"</f>
        <v>17530715</v>
      </c>
      <c r="D7436" s="2" t="s">
        <v>5258</v>
      </c>
      <c r="E7436" s="4">
        <v>1500</v>
      </c>
    </row>
    <row r="7437" spans="1:5" ht="26.25" x14ac:dyDescent="0.25">
      <c r="A7437" s="2" t="s">
        <v>13</v>
      </c>
      <c r="B7437" s="2" t="str">
        <f>"76530715"</f>
        <v>76530715</v>
      </c>
      <c r="C7437" s="2" t="str">
        <f>"76530715"</f>
        <v>76530715</v>
      </c>
      <c r="D7437" s="2" t="s">
        <v>5258</v>
      </c>
      <c r="E7437" s="4">
        <v>1500</v>
      </c>
    </row>
    <row r="7438" spans="1:5" ht="26.25" x14ac:dyDescent="0.25">
      <c r="A7438" s="2" t="s">
        <v>13</v>
      </c>
      <c r="B7438" s="2" t="str">
        <f>"68330715"</f>
        <v>68330715</v>
      </c>
      <c r="C7438" s="2" t="str">
        <f>"68330715"</f>
        <v>68330715</v>
      </c>
      <c r="D7438" s="2" t="s">
        <v>5258</v>
      </c>
      <c r="E7438" s="4">
        <v>1500</v>
      </c>
    </row>
    <row r="7439" spans="1:5" ht="26.25" x14ac:dyDescent="0.25">
      <c r="A7439" s="2" t="s">
        <v>13</v>
      </c>
      <c r="B7439" s="2" t="str">
        <f>"1578150723528"</f>
        <v>1578150723528</v>
      </c>
      <c r="C7439" s="2" t="str">
        <f>"61330586"</f>
        <v>61330586</v>
      </c>
      <c r="D7439" s="2" t="s">
        <v>5258</v>
      </c>
      <c r="E7439" s="4">
        <v>3000</v>
      </c>
    </row>
    <row r="7440" spans="1:5" ht="26.25" x14ac:dyDescent="0.25">
      <c r="A7440" s="2" t="s">
        <v>13</v>
      </c>
      <c r="B7440" s="2" t="str">
        <f>"34330715"</f>
        <v>34330715</v>
      </c>
      <c r="C7440" s="2" t="str">
        <f>"34330715"</f>
        <v>34330715</v>
      </c>
      <c r="D7440" s="2" t="s">
        <v>5258</v>
      </c>
      <c r="E7440" s="4">
        <v>1500</v>
      </c>
    </row>
    <row r="7441" spans="1:5" ht="26.25" x14ac:dyDescent="0.25">
      <c r="A7441" s="2" t="s">
        <v>13</v>
      </c>
      <c r="B7441" s="2" t="str">
        <f>"1000001000510"</f>
        <v>1000001000510</v>
      </c>
      <c r="C7441" s="2" t="str">
        <f>"76330715"</f>
        <v>76330715</v>
      </c>
      <c r="D7441" s="2" t="s">
        <v>5258</v>
      </c>
      <c r="E7441" s="4">
        <v>1500</v>
      </c>
    </row>
    <row r="7442" spans="1:5" ht="26.25" x14ac:dyDescent="0.25">
      <c r="A7442" s="2" t="s">
        <v>13</v>
      </c>
      <c r="B7442" s="2" t="str">
        <f>"86330715"</f>
        <v>86330715</v>
      </c>
      <c r="C7442" s="2" t="str">
        <f>"86330715"</f>
        <v>86330715</v>
      </c>
      <c r="D7442" s="2" t="s">
        <v>5258</v>
      </c>
      <c r="E7442" s="4">
        <v>1500</v>
      </c>
    </row>
    <row r="7443" spans="1:5" ht="26.25" x14ac:dyDescent="0.25">
      <c r="A7443" s="2" t="s">
        <v>13</v>
      </c>
      <c r="B7443" s="2" t="str">
        <f>"93330715"</f>
        <v>93330715</v>
      </c>
      <c r="C7443" s="2" t="str">
        <f>"93330715"</f>
        <v>93330715</v>
      </c>
      <c r="D7443" s="2" t="s">
        <v>5258</v>
      </c>
      <c r="E7443" s="4">
        <v>1500</v>
      </c>
    </row>
    <row r="7444" spans="1:5" ht="26.25" x14ac:dyDescent="0.25">
      <c r="A7444" s="2" t="s">
        <v>13</v>
      </c>
      <c r="B7444" s="2" t="str">
        <f>"41300715"</f>
        <v>41300715</v>
      </c>
      <c r="C7444" s="2" t="str">
        <f>"41300715"</f>
        <v>41300715</v>
      </c>
      <c r="D7444" s="2" t="s">
        <v>5258</v>
      </c>
      <c r="E7444" s="4">
        <v>5000</v>
      </c>
    </row>
    <row r="7445" spans="1:5" ht="26.25" x14ac:dyDescent="0.25">
      <c r="A7445" s="2" t="s">
        <v>13</v>
      </c>
      <c r="B7445" s="2" t="str">
        <f>"17330715"</f>
        <v>17330715</v>
      </c>
      <c r="C7445" s="2" t="str">
        <f>"17330715"</f>
        <v>17330715</v>
      </c>
      <c r="D7445" s="2" t="s">
        <v>5259</v>
      </c>
      <c r="E7445" s="4">
        <v>3000</v>
      </c>
    </row>
    <row r="7446" spans="1:5" ht="26.25" x14ac:dyDescent="0.25">
      <c r="A7446" s="2" t="s">
        <v>13</v>
      </c>
      <c r="B7446" s="2" t="str">
        <f>"17530717"</f>
        <v>17530717</v>
      </c>
      <c r="C7446" s="2" t="str">
        <f>"17530717"</f>
        <v>17530717</v>
      </c>
      <c r="D7446" s="2" t="s">
        <v>5260</v>
      </c>
      <c r="E7446" s="4">
        <v>3000</v>
      </c>
    </row>
    <row r="7447" spans="1:5" ht="26.25" x14ac:dyDescent="0.25">
      <c r="A7447" s="2" t="s">
        <v>13</v>
      </c>
      <c r="B7447" s="2" t="str">
        <f>"006436520174"</f>
        <v>006436520174</v>
      </c>
      <c r="C7447" s="2" t="str">
        <f>"76330716"</f>
        <v>76330716</v>
      </c>
      <c r="D7447" s="2" t="s">
        <v>5260</v>
      </c>
      <c r="E7447" s="4">
        <v>3000</v>
      </c>
    </row>
    <row r="7448" spans="1:5" ht="26.25" x14ac:dyDescent="0.25">
      <c r="A7448" s="2" t="s">
        <v>13</v>
      </c>
      <c r="B7448" s="2" t="str">
        <f>"76330717"</f>
        <v>76330717</v>
      </c>
      <c r="C7448" s="2" t="str">
        <f>"76330717"</f>
        <v>76330717</v>
      </c>
      <c r="D7448" s="2" t="s">
        <v>5260</v>
      </c>
      <c r="E7448" s="4">
        <v>3000</v>
      </c>
    </row>
    <row r="7449" spans="1:5" ht="26.25" x14ac:dyDescent="0.25">
      <c r="A7449" s="2" t="s">
        <v>13</v>
      </c>
      <c r="B7449" s="2" t="str">
        <f>"34330716"</f>
        <v>34330716</v>
      </c>
      <c r="C7449" s="2" t="str">
        <f>"34330716"</f>
        <v>34330716</v>
      </c>
      <c r="D7449" s="2" t="s">
        <v>5260</v>
      </c>
      <c r="E7449" s="4">
        <v>3000</v>
      </c>
    </row>
    <row r="7450" spans="1:5" ht="26.25" x14ac:dyDescent="0.25">
      <c r="A7450" s="2" t="s">
        <v>13</v>
      </c>
      <c r="B7450" s="2" t="str">
        <f>"34530716"</f>
        <v>34530716</v>
      </c>
      <c r="C7450" s="2" t="str">
        <f>"34530716"</f>
        <v>34530716</v>
      </c>
      <c r="D7450" s="2" t="s">
        <v>5260</v>
      </c>
      <c r="E7450" s="4">
        <v>3000</v>
      </c>
    </row>
    <row r="7451" spans="1:5" ht="26.25" x14ac:dyDescent="0.25">
      <c r="A7451" s="2" t="s">
        <v>13</v>
      </c>
      <c r="B7451" s="2" t="str">
        <f>"68330716"</f>
        <v>68330716</v>
      </c>
      <c r="C7451" s="2" t="str">
        <f>"68330716"</f>
        <v>68330716</v>
      </c>
      <c r="D7451" s="2" t="s">
        <v>5260</v>
      </c>
      <c r="E7451" s="4">
        <v>3000</v>
      </c>
    </row>
    <row r="7452" spans="1:5" ht="26.25" x14ac:dyDescent="0.25">
      <c r="A7452" s="2" t="s">
        <v>13</v>
      </c>
      <c r="B7452" s="2" t="str">
        <f>"2020060901015"</f>
        <v>2020060901015</v>
      </c>
      <c r="C7452" s="2" t="str">
        <f>"18330716"</f>
        <v>18330716</v>
      </c>
      <c r="D7452" s="2" t="s">
        <v>5260</v>
      </c>
      <c r="E7452" s="4">
        <v>3000</v>
      </c>
    </row>
    <row r="7453" spans="1:5" ht="26.25" x14ac:dyDescent="0.25">
      <c r="A7453" s="2" t="s">
        <v>13</v>
      </c>
      <c r="B7453" s="2" t="str">
        <f>"76530716"</f>
        <v>76530716</v>
      </c>
      <c r="C7453" s="2" t="str">
        <f>"76530716"</f>
        <v>76530716</v>
      </c>
      <c r="D7453" s="2" t="s">
        <v>5260</v>
      </c>
      <c r="E7453" s="4">
        <v>3000</v>
      </c>
    </row>
    <row r="7454" spans="1:5" ht="26.25" x14ac:dyDescent="0.25">
      <c r="A7454" s="2" t="s">
        <v>13</v>
      </c>
      <c r="B7454" s="2" t="str">
        <f>"334530717"</f>
        <v>334530717</v>
      </c>
      <c r="C7454" s="2" t="str">
        <f>"334530717"</f>
        <v>334530717</v>
      </c>
      <c r="D7454" s="2" t="s">
        <v>5260</v>
      </c>
      <c r="E7454" s="4">
        <v>3000</v>
      </c>
    </row>
    <row r="7455" spans="1:5" ht="26.25" x14ac:dyDescent="0.25">
      <c r="A7455" s="2" t="s">
        <v>13</v>
      </c>
      <c r="B7455" s="2" t="str">
        <f>"41300716"</f>
        <v>41300716</v>
      </c>
      <c r="C7455" s="2" t="str">
        <f>"41300716"</f>
        <v>41300716</v>
      </c>
      <c r="D7455" s="2" t="s">
        <v>5260</v>
      </c>
      <c r="E7455" s="4">
        <v>5000</v>
      </c>
    </row>
    <row r="7456" spans="1:5" ht="26.25" x14ac:dyDescent="0.25">
      <c r="A7456" s="2" t="s">
        <v>13</v>
      </c>
      <c r="B7456" s="2" t="str">
        <f>"17530716"</f>
        <v>17530716</v>
      </c>
      <c r="C7456" s="2" t="str">
        <f>"17530716"</f>
        <v>17530716</v>
      </c>
      <c r="D7456" s="2" t="s">
        <v>5261</v>
      </c>
      <c r="E7456" s="4">
        <v>3000</v>
      </c>
    </row>
    <row r="7457" spans="1:5" ht="26.25" x14ac:dyDescent="0.25">
      <c r="A7457" s="2" t="s">
        <v>13</v>
      </c>
      <c r="B7457" s="2" t="str">
        <f>"34530719"</f>
        <v>34530719</v>
      </c>
      <c r="C7457" s="2" t="str">
        <f>"34530719"</f>
        <v>34530719</v>
      </c>
      <c r="D7457" s="2" t="s">
        <v>5262</v>
      </c>
      <c r="E7457" s="4">
        <v>3000</v>
      </c>
    </row>
    <row r="7458" spans="1:5" ht="26.25" x14ac:dyDescent="0.25">
      <c r="A7458" s="2" t="s">
        <v>13</v>
      </c>
      <c r="B7458" s="2" t="str">
        <f>"34530717"</f>
        <v>34530717</v>
      </c>
      <c r="C7458" s="2" t="str">
        <f>"34530717"</f>
        <v>34530717</v>
      </c>
      <c r="D7458" s="2" t="s">
        <v>5263</v>
      </c>
      <c r="E7458" s="4">
        <v>4000</v>
      </c>
    </row>
    <row r="7459" spans="1:5" ht="26.25" x14ac:dyDescent="0.25">
      <c r="A7459" s="2" t="s">
        <v>13</v>
      </c>
      <c r="B7459" s="2" t="str">
        <f>"76530717"</f>
        <v>76530717</v>
      </c>
      <c r="C7459" s="2" t="str">
        <f>"76530717"</f>
        <v>76530717</v>
      </c>
      <c r="D7459" s="2" t="s">
        <v>5263</v>
      </c>
      <c r="E7459" s="4">
        <v>3000</v>
      </c>
    </row>
    <row r="7460" spans="1:5" ht="26.25" x14ac:dyDescent="0.25">
      <c r="A7460" s="2" t="s">
        <v>13</v>
      </c>
      <c r="B7460" s="2" t="str">
        <f>"1578150523395"</f>
        <v>1578150523395</v>
      </c>
      <c r="C7460" s="2" t="str">
        <f>"61330585"</f>
        <v>61330585</v>
      </c>
      <c r="D7460" s="2" t="s">
        <v>5264</v>
      </c>
      <c r="E7460" s="4">
        <v>3000</v>
      </c>
    </row>
    <row r="7461" spans="1:5" ht="26.25" x14ac:dyDescent="0.25">
      <c r="A7461" s="2" t="s">
        <v>13</v>
      </c>
      <c r="B7461" s="2" t="str">
        <f>"343307253"</f>
        <v>343307253</v>
      </c>
      <c r="C7461" s="2" t="str">
        <f>"343307253"</f>
        <v>343307253</v>
      </c>
      <c r="D7461" s="2" t="s">
        <v>5265</v>
      </c>
      <c r="E7461" s="4">
        <v>3000</v>
      </c>
    </row>
    <row r="7462" spans="1:5" ht="26.25" x14ac:dyDescent="0.25">
      <c r="A7462" s="2" t="s">
        <v>13</v>
      </c>
      <c r="B7462" s="2" t="str">
        <f>"765307253"</f>
        <v>765307253</v>
      </c>
      <c r="C7462" s="2" t="str">
        <f>"765307253"</f>
        <v>765307253</v>
      </c>
      <c r="D7462" s="2" t="s">
        <v>5265</v>
      </c>
      <c r="E7462" s="4">
        <v>3000</v>
      </c>
    </row>
    <row r="7463" spans="1:5" ht="26.25" x14ac:dyDescent="0.25">
      <c r="A7463" s="2" t="s">
        <v>13</v>
      </c>
      <c r="B7463" s="2" t="str">
        <f>"765307254"</f>
        <v>765307254</v>
      </c>
      <c r="C7463" s="2" t="str">
        <f>"765307254"</f>
        <v>765307254</v>
      </c>
      <c r="D7463" s="2" t="s">
        <v>5265</v>
      </c>
      <c r="E7463" s="4">
        <v>3000</v>
      </c>
    </row>
    <row r="7464" spans="1:5" ht="26.25" x14ac:dyDescent="0.25">
      <c r="A7464" s="2" t="s">
        <v>13</v>
      </c>
      <c r="B7464" s="2" t="str">
        <f>"683307253"</f>
        <v>683307253</v>
      </c>
      <c r="C7464" s="2" t="str">
        <f>"683307253"</f>
        <v>683307253</v>
      </c>
      <c r="D7464" s="2" t="s">
        <v>5265</v>
      </c>
      <c r="E7464" s="4">
        <v>1500</v>
      </c>
    </row>
    <row r="7465" spans="1:5" ht="26.25" x14ac:dyDescent="0.25">
      <c r="A7465" s="2" t="s">
        <v>13</v>
      </c>
      <c r="B7465" s="2" t="str">
        <f>"763307253"</f>
        <v>763307253</v>
      </c>
      <c r="C7465" s="2" t="str">
        <f>"763307253"</f>
        <v>763307253</v>
      </c>
      <c r="D7465" s="2" t="s">
        <v>5265</v>
      </c>
      <c r="E7465" s="4">
        <v>3000</v>
      </c>
    </row>
    <row r="7466" spans="1:5" ht="26.25" x14ac:dyDescent="0.25">
      <c r="A7466" s="2" t="s">
        <v>13</v>
      </c>
      <c r="B7466" s="2" t="str">
        <f>"183307253"</f>
        <v>183307253</v>
      </c>
      <c r="C7466" s="2" t="str">
        <f>"183307253"</f>
        <v>183307253</v>
      </c>
      <c r="D7466" s="2" t="s">
        <v>5265</v>
      </c>
      <c r="E7466" s="4">
        <v>3000</v>
      </c>
    </row>
    <row r="7467" spans="1:5" ht="26.25" x14ac:dyDescent="0.25">
      <c r="A7467" s="2" t="s">
        <v>13</v>
      </c>
      <c r="B7467" s="2" t="str">
        <f>"173307253"</f>
        <v>173307253</v>
      </c>
      <c r="C7467" s="2" t="str">
        <f>"173307253"</f>
        <v>173307253</v>
      </c>
      <c r="D7467" s="2" t="s">
        <v>5265</v>
      </c>
      <c r="E7467" s="4">
        <v>3000</v>
      </c>
    </row>
    <row r="7468" spans="1:5" ht="26.25" x14ac:dyDescent="0.25">
      <c r="A7468" s="2" t="s">
        <v>13</v>
      </c>
      <c r="B7468" s="2" t="str">
        <f>"343307254"</f>
        <v>343307254</v>
      </c>
      <c r="C7468" s="2" t="str">
        <f>"343307254"</f>
        <v>343307254</v>
      </c>
      <c r="D7468" s="2" t="s">
        <v>5266</v>
      </c>
      <c r="E7468" s="4">
        <v>3000</v>
      </c>
    </row>
    <row r="7469" spans="1:5" ht="26.25" x14ac:dyDescent="0.25">
      <c r="A7469" s="2" t="s">
        <v>13</v>
      </c>
      <c r="B7469" s="2" t="str">
        <f>"763307254"</f>
        <v>763307254</v>
      </c>
      <c r="C7469" s="2" t="str">
        <f>"763307254"</f>
        <v>763307254</v>
      </c>
      <c r="D7469" s="2" t="s">
        <v>5266</v>
      </c>
      <c r="E7469" s="4">
        <v>3000</v>
      </c>
    </row>
    <row r="7470" spans="1:5" ht="26.25" x14ac:dyDescent="0.25">
      <c r="A7470" s="2" t="s">
        <v>13</v>
      </c>
      <c r="B7470" s="2" t="str">
        <f>"933307253"</f>
        <v>933307253</v>
      </c>
      <c r="C7470" s="2" t="str">
        <f>"933307253"</f>
        <v>933307253</v>
      </c>
      <c r="D7470" s="2" t="s">
        <v>5267</v>
      </c>
      <c r="E7470" s="4">
        <v>3000</v>
      </c>
    </row>
    <row r="7471" spans="1:5" ht="26.25" x14ac:dyDescent="0.25">
      <c r="A7471" s="2" t="s">
        <v>13</v>
      </c>
      <c r="B7471" s="2" t="str">
        <f>"173307256"</f>
        <v>173307256</v>
      </c>
      <c r="C7471" s="2" t="str">
        <f>"173307256"</f>
        <v>173307256</v>
      </c>
      <c r="D7471" s="2" t="s">
        <v>5268</v>
      </c>
      <c r="E7471" s="4">
        <v>3000</v>
      </c>
    </row>
    <row r="7472" spans="1:5" ht="26.25" x14ac:dyDescent="0.25">
      <c r="A7472" s="2" t="s">
        <v>13</v>
      </c>
      <c r="B7472" s="2" t="str">
        <f>"763307256"</f>
        <v>763307256</v>
      </c>
      <c r="C7472" s="2" t="str">
        <f>"763307256"</f>
        <v>763307256</v>
      </c>
      <c r="D7472" s="2" t="s">
        <v>5268</v>
      </c>
      <c r="E7472" s="4">
        <v>3000</v>
      </c>
    </row>
    <row r="7473" spans="1:5" ht="26.25" x14ac:dyDescent="0.25">
      <c r="A7473" s="2" t="s">
        <v>13</v>
      </c>
      <c r="B7473" s="2" t="str">
        <f>"763307257"</f>
        <v>763307257</v>
      </c>
      <c r="C7473" s="2" t="str">
        <f>"763307257"</f>
        <v>763307257</v>
      </c>
      <c r="D7473" s="2" t="s">
        <v>5269</v>
      </c>
      <c r="E7473" s="4">
        <v>3000</v>
      </c>
    </row>
    <row r="7474" spans="1:5" ht="26.25" x14ac:dyDescent="0.25">
      <c r="A7474" s="2" t="s">
        <v>13</v>
      </c>
      <c r="B7474" s="2" t="str">
        <f>"765307257"</f>
        <v>765307257</v>
      </c>
      <c r="C7474" s="2" t="str">
        <f>"765307257"</f>
        <v>765307257</v>
      </c>
      <c r="D7474" s="2" t="s">
        <v>5269</v>
      </c>
      <c r="E7474" s="4">
        <v>3000</v>
      </c>
    </row>
    <row r="7475" spans="1:5" ht="26.25" x14ac:dyDescent="0.25">
      <c r="A7475" s="2" t="s">
        <v>13</v>
      </c>
      <c r="B7475" s="2" t="str">
        <f>"343307257"</f>
        <v>343307257</v>
      </c>
      <c r="C7475" s="2" t="str">
        <f>"343307257"</f>
        <v>343307257</v>
      </c>
      <c r="D7475" s="2" t="s">
        <v>5269</v>
      </c>
      <c r="E7475" s="4">
        <v>3000</v>
      </c>
    </row>
    <row r="7476" spans="1:5" ht="26.25" x14ac:dyDescent="0.25">
      <c r="A7476" s="2" t="s">
        <v>13</v>
      </c>
      <c r="B7476" s="2" t="str">
        <f>"1578150688565"</f>
        <v>1578150688565</v>
      </c>
      <c r="C7476" s="2" t="str">
        <f>"61330582"</f>
        <v>61330582</v>
      </c>
      <c r="D7476" s="2" t="s">
        <v>5269</v>
      </c>
      <c r="E7476" s="4">
        <v>3000</v>
      </c>
    </row>
    <row r="7477" spans="1:5" ht="26.25" x14ac:dyDescent="0.25">
      <c r="A7477" s="2" t="s">
        <v>13</v>
      </c>
      <c r="B7477" s="2" t="str">
        <f>"763307259"</f>
        <v>763307259</v>
      </c>
      <c r="C7477" s="2" t="str">
        <f>"763307259"</f>
        <v>763307259</v>
      </c>
      <c r="D7477" s="2" t="s">
        <v>5270</v>
      </c>
      <c r="E7477" s="4">
        <v>1500</v>
      </c>
    </row>
    <row r="7478" spans="1:5" ht="26.25" x14ac:dyDescent="0.25">
      <c r="A7478" s="2" t="s">
        <v>13</v>
      </c>
      <c r="B7478" s="2" t="str">
        <f>"343307258"</f>
        <v>343307258</v>
      </c>
      <c r="C7478" s="2" t="str">
        <f>"343307258"</f>
        <v>343307258</v>
      </c>
      <c r="D7478" s="2" t="s">
        <v>5270</v>
      </c>
      <c r="E7478" s="4">
        <v>1500</v>
      </c>
    </row>
    <row r="7479" spans="1:5" ht="26.25" x14ac:dyDescent="0.25">
      <c r="A7479" s="2" t="s">
        <v>13</v>
      </c>
      <c r="B7479" s="2" t="str">
        <f>"1578150638604"</f>
        <v>1578150638604</v>
      </c>
      <c r="C7479" s="2" t="str">
        <f>"61330583"</f>
        <v>61330583</v>
      </c>
      <c r="D7479" s="2" t="s">
        <v>5270</v>
      </c>
      <c r="E7479" s="4">
        <v>3000</v>
      </c>
    </row>
    <row r="7480" spans="1:5" ht="26.25" x14ac:dyDescent="0.25">
      <c r="A7480" s="2" t="s">
        <v>13</v>
      </c>
      <c r="B7480" s="2" t="str">
        <f>"2018410400035"</f>
        <v>2018410400035</v>
      </c>
      <c r="C7480" s="2" t="str">
        <f>"183307259"</f>
        <v>183307259</v>
      </c>
      <c r="D7480" s="2" t="s">
        <v>5270</v>
      </c>
      <c r="E7480" s="4">
        <v>3000</v>
      </c>
    </row>
    <row r="7481" spans="1:5" ht="26.25" x14ac:dyDescent="0.25">
      <c r="A7481" s="2" t="s">
        <v>13</v>
      </c>
      <c r="B7481" s="2" t="str">
        <f>"763307258"</f>
        <v>763307258</v>
      </c>
      <c r="C7481" s="2" t="str">
        <f>"763307258"</f>
        <v>763307258</v>
      </c>
      <c r="D7481" s="2" t="s">
        <v>5271</v>
      </c>
      <c r="E7481" s="4">
        <v>3000</v>
      </c>
    </row>
    <row r="7482" spans="1:5" ht="26.25" x14ac:dyDescent="0.25">
      <c r="A7482" s="2" t="s">
        <v>13</v>
      </c>
      <c r="B7482" s="2" t="str">
        <f>"1578150579434"</f>
        <v>1578150579434</v>
      </c>
      <c r="C7482" s="2" t="str">
        <f>"61330584"</f>
        <v>61330584</v>
      </c>
      <c r="D7482" s="2" t="s">
        <v>5271</v>
      </c>
      <c r="E7482" s="4">
        <v>3000</v>
      </c>
    </row>
    <row r="7483" spans="1:5" ht="26.25" x14ac:dyDescent="0.25">
      <c r="A7483" s="2" t="s">
        <v>13</v>
      </c>
      <c r="B7483" s="2" t="str">
        <f>"76531417"</f>
        <v>76531417</v>
      </c>
      <c r="C7483" s="2" t="str">
        <f>"76531417"</f>
        <v>76531417</v>
      </c>
      <c r="D7483" s="2" t="s">
        <v>5272</v>
      </c>
      <c r="E7483" s="4">
        <v>3000</v>
      </c>
    </row>
    <row r="7484" spans="1:5" ht="39" x14ac:dyDescent="0.25">
      <c r="A7484" s="2" t="s">
        <v>13</v>
      </c>
      <c r="B7484" s="2" t="str">
        <f>"2019029900060"</f>
        <v>2019029900060</v>
      </c>
      <c r="C7484" s="2" t="str">
        <f>"2018410400042"</f>
        <v>2018410400042</v>
      </c>
      <c r="D7484" s="2" t="s">
        <v>5272</v>
      </c>
      <c r="E7484" s="4">
        <v>3000</v>
      </c>
    </row>
    <row r="7485" spans="1:5" ht="26.25" x14ac:dyDescent="0.25">
      <c r="A7485" s="2" t="s">
        <v>13</v>
      </c>
      <c r="B7485" s="2" t="str">
        <f>"763307600"</f>
        <v>763307600</v>
      </c>
      <c r="C7485" s="2" t="str">
        <f>"763307600"</f>
        <v>763307600</v>
      </c>
      <c r="D7485" s="2" t="s">
        <v>5272</v>
      </c>
      <c r="E7485" s="4">
        <v>3000</v>
      </c>
    </row>
    <row r="7486" spans="1:5" ht="26.25" x14ac:dyDescent="0.25">
      <c r="A7486" s="2" t="s">
        <v>13</v>
      </c>
      <c r="B7486" s="2" t="str">
        <f>"345332233"</f>
        <v>345332233</v>
      </c>
      <c r="C7486" s="2" t="str">
        <f>"345332233"</f>
        <v>345332233</v>
      </c>
      <c r="D7486" s="2" t="s">
        <v>5273</v>
      </c>
      <c r="E7486" s="4">
        <v>3000</v>
      </c>
    </row>
    <row r="7487" spans="1:5" ht="26.25" x14ac:dyDescent="0.25">
      <c r="A7487" s="2" t="s">
        <v>13</v>
      </c>
      <c r="B7487" s="2" t="str">
        <f>"345332263"</f>
        <v>345332263</v>
      </c>
      <c r="C7487" s="2" t="str">
        <f>"345332263"</f>
        <v>345332263</v>
      </c>
      <c r="D7487" s="2" t="s">
        <v>5274</v>
      </c>
      <c r="E7487" s="4">
        <v>3000</v>
      </c>
    </row>
    <row r="7488" spans="1:5" ht="26.25" x14ac:dyDescent="0.25">
      <c r="A7488" s="2" t="s">
        <v>13</v>
      </c>
      <c r="B7488" s="2" t="str">
        <f>"345332262"</f>
        <v>345332262</v>
      </c>
      <c r="C7488" s="2" t="str">
        <f>"345332262"</f>
        <v>345332262</v>
      </c>
      <c r="D7488" s="2" t="s">
        <v>5275</v>
      </c>
      <c r="E7488" s="4">
        <v>3000</v>
      </c>
    </row>
    <row r="7489" spans="1:5" ht="26.25" x14ac:dyDescent="0.25">
      <c r="A7489" s="2" t="s">
        <v>13</v>
      </c>
      <c r="B7489" s="2" t="str">
        <f>"763301233"</f>
        <v>763301233</v>
      </c>
      <c r="C7489" s="2" t="str">
        <f>"763301233"</f>
        <v>763301233</v>
      </c>
      <c r="D7489" s="2" t="s">
        <v>5276</v>
      </c>
      <c r="E7489" s="4">
        <v>3000</v>
      </c>
    </row>
    <row r="7490" spans="1:5" ht="26.25" x14ac:dyDescent="0.25">
      <c r="A7490" s="2" t="s">
        <v>13</v>
      </c>
      <c r="B7490" s="2" t="str">
        <f>"763332233"</f>
        <v>763332233</v>
      </c>
      <c r="C7490" s="2" t="str">
        <f>"763332233"</f>
        <v>763332233</v>
      </c>
      <c r="D7490" s="2" t="s">
        <v>5276</v>
      </c>
      <c r="E7490" s="4">
        <v>3000</v>
      </c>
    </row>
    <row r="7491" spans="1:5" ht="26.25" x14ac:dyDescent="0.25">
      <c r="A7491" s="2" t="s">
        <v>13</v>
      </c>
      <c r="B7491" s="2" t="str">
        <f>"345332245"</f>
        <v>345332245</v>
      </c>
      <c r="C7491" s="2" t="str">
        <f>"345332245"</f>
        <v>345332245</v>
      </c>
      <c r="D7491" s="2" t="s">
        <v>5277</v>
      </c>
      <c r="E7491" s="4">
        <v>3000</v>
      </c>
    </row>
    <row r="7492" spans="1:5" ht="26.25" x14ac:dyDescent="0.25">
      <c r="A7492" s="2" t="s">
        <v>13</v>
      </c>
      <c r="B7492" s="2" t="str">
        <f>"765332245"</f>
        <v>765332245</v>
      </c>
      <c r="C7492" s="2" t="str">
        <f>"765332245"</f>
        <v>765332245</v>
      </c>
      <c r="D7492" s="2" t="s">
        <v>5277</v>
      </c>
      <c r="E7492" s="4">
        <v>3000</v>
      </c>
    </row>
    <row r="7493" spans="1:5" ht="26.25" x14ac:dyDescent="0.25">
      <c r="A7493" s="2" t="s">
        <v>13</v>
      </c>
      <c r="B7493" s="2" t="str">
        <f>"763332245"</f>
        <v>763332245</v>
      </c>
      <c r="C7493" s="2" t="str">
        <f>"763332245"</f>
        <v>763332245</v>
      </c>
      <c r="D7493" s="2" t="s">
        <v>5277</v>
      </c>
      <c r="E7493" s="4">
        <v>3000</v>
      </c>
    </row>
    <row r="7494" spans="1:5" ht="26.25" x14ac:dyDescent="0.25">
      <c r="A7494" s="2" t="s">
        <v>13</v>
      </c>
      <c r="B7494" s="2" t="str">
        <f>"765332214"</f>
        <v>765332214</v>
      </c>
      <c r="C7494" s="2" t="str">
        <f>"765332214"</f>
        <v>765332214</v>
      </c>
      <c r="D7494" s="2" t="s">
        <v>5278</v>
      </c>
      <c r="E7494" s="4">
        <v>3000</v>
      </c>
    </row>
    <row r="7495" spans="1:5" ht="26.25" x14ac:dyDescent="0.25">
      <c r="A7495" s="2" t="s">
        <v>13</v>
      </c>
      <c r="B7495" s="2" t="str">
        <f>"343332272"</f>
        <v>343332272</v>
      </c>
      <c r="C7495" s="2" t="str">
        <f>"343332272"</f>
        <v>343332272</v>
      </c>
      <c r="D7495" s="2" t="s">
        <v>5279</v>
      </c>
      <c r="E7495" s="4">
        <v>3000</v>
      </c>
    </row>
    <row r="7496" spans="1:5" ht="26.25" x14ac:dyDescent="0.25">
      <c r="A7496" s="2" t="s">
        <v>13</v>
      </c>
      <c r="B7496" s="2" t="str">
        <f>"765332272"</f>
        <v>765332272</v>
      </c>
      <c r="C7496" s="2" t="str">
        <f>"765332272"</f>
        <v>765332272</v>
      </c>
      <c r="D7496" s="2" t="s">
        <v>5279</v>
      </c>
      <c r="E7496" s="4">
        <v>3000</v>
      </c>
    </row>
    <row r="7497" spans="1:5" ht="26.25" x14ac:dyDescent="0.25">
      <c r="A7497" s="2" t="s">
        <v>13</v>
      </c>
      <c r="B7497" s="2" t="str">
        <f>"345332214"</f>
        <v>345332214</v>
      </c>
      <c r="C7497" s="2" t="str">
        <f>"345332214"</f>
        <v>345332214</v>
      </c>
      <c r="D7497" s="2" t="s">
        <v>5280</v>
      </c>
      <c r="E7497" s="4">
        <v>3000</v>
      </c>
    </row>
    <row r="7498" spans="1:5" ht="26.25" x14ac:dyDescent="0.25">
      <c r="A7498" s="2" t="s">
        <v>13</v>
      </c>
      <c r="B7498" s="2" t="str">
        <f>"763332214"</f>
        <v>763332214</v>
      </c>
      <c r="C7498" s="2" t="str">
        <f>"763332214"</f>
        <v>763332214</v>
      </c>
      <c r="D7498" s="2" t="s">
        <v>5280</v>
      </c>
      <c r="E7498" s="4">
        <v>3000</v>
      </c>
    </row>
    <row r="7499" spans="1:5" ht="26.25" x14ac:dyDescent="0.25">
      <c r="A7499" s="2" t="s">
        <v>13</v>
      </c>
      <c r="B7499" s="2" t="str">
        <f>"863332214"</f>
        <v>863332214</v>
      </c>
      <c r="C7499" s="2" t="str">
        <f>"863332214"</f>
        <v>863332214</v>
      </c>
      <c r="D7499" s="2" t="s">
        <v>5280</v>
      </c>
      <c r="E7499" s="4">
        <v>3000</v>
      </c>
    </row>
    <row r="7500" spans="1:5" ht="26.25" x14ac:dyDescent="0.25">
      <c r="A7500" s="2" t="s">
        <v>13</v>
      </c>
      <c r="B7500" s="2" t="str">
        <f>"933332214"</f>
        <v>933332214</v>
      </c>
      <c r="C7500" s="2" t="str">
        <f>"933332214"</f>
        <v>933332214</v>
      </c>
      <c r="D7500" s="2" t="s">
        <v>5280</v>
      </c>
      <c r="E7500" s="4">
        <v>3000</v>
      </c>
    </row>
    <row r="7501" spans="1:5" ht="26.25" x14ac:dyDescent="0.25">
      <c r="A7501" s="2" t="s">
        <v>13</v>
      </c>
      <c r="B7501" s="2" t="str">
        <f>"763332295"</f>
        <v>763332295</v>
      </c>
      <c r="C7501" s="2" t="str">
        <f>"763332295"</f>
        <v>763332295</v>
      </c>
      <c r="D7501" s="2" t="s">
        <v>5281</v>
      </c>
      <c r="E7501" s="4">
        <v>3000</v>
      </c>
    </row>
    <row r="7502" spans="1:5" ht="26.25" x14ac:dyDescent="0.25">
      <c r="A7502" s="2" t="s">
        <v>13</v>
      </c>
      <c r="B7502" s="2" t="str">
        <f>"413332296"</f>
        <v>413332296</v>
      </c>
      <c r="C7502" s="2" t="str">
        <f>"413332296"</f>
        <v>413332296</v>
      </c>
      <c r="D7502" s="2" t="s">
        <v>5282</v>
      </c>
      <c r="E7502" s="4">
        <v>3000</v>
      </c>
    </row>
    <row r="7503" spans="1:5" ht="26.25" x14ac:dyDescent="0.25">
      <c r="A7503" s="2" t="s">
        <v>13</v>
      </c>
      <c r="B7503" s="2" t="str">
        <f>"763332296"</f>
        <v>763332296</v>
      </c>
      <c r="C7503" s="2" t="str">
        <f>"763332296"</f>
        <v>763332296</v>
      </c>
      <c r="D7503" s="2" t="s">
        <v>5282</v>
      </c>
      <c r="E7503" s="4">
        <v>3000</v>
      </c>
    </row>
    <row r="7504" spans="1:5" ht="26.25" x14ac:dyDescent="0.25">
      <c r="A7504" s="2" t="s">
        <v>13</v>
      </c>
      <c r="B7504" s="2" t="str">
        <f>"345332280"</f>
        <v>345332280</v>
      </c>
      <c r="C7504" s="2" t="str">
        <f>"345332280"</f>
        <v>345332280</v>
      </c>
      <c r="D7504" s="2" t="s">
        <v>5283</v>
      </c>
      <c r="E7504" s="4">
        <v>3000</v>
      </c>
    </row>
    <row r="7505" spans="1:5" ht="26.25" x14ac:dyDescent="0.25">
      <c r="A7505" s="2" t="s">
        <v>13</v>
      </c>
      <c r="B7505" s="2" t="str">
        <f>"345332287"</f>
        <v>345332287</v>
      </c>
      <c r="C7505" s="2" t="str">
        <f>"345332287"</f>
        <v>345332287</v>
      </c>
      <c r="D7505" s="2" t="s">
        <v>5283</v>
      </c>
      <c r="E7505" s="4">
        <v>3000</v>
      </c>
    </row>
    <row r="7506" spans="1:5" ht="26.25" x14ac:dyDescent="0.25">
      <c r="A7506" s="2" t="s">
        <v>13</v>
      </c>
      <c r="B7506" s="2" t="str">
        <f>"345332264"</f>
        <v>345332264</v>
      </c>
      <c r="C7506" s="2" t="str">
        <f>"345332264"</f>
        <v>345332264</v>
      </c>
      <c r="D7506" s="2" t="s">
        <v>5284</v>
      </c>
      <c r="E7506" s="4">
        <v>3000</v>
      </c>
    </row>
    <row r="7507" spans="1:5" ht="26.25" x14ac:dyDescent="0.25">
      <c r="A7507" s="2" t="s">
        <v>13</v>
      </c>
      <c r="B7507" s="2" t="str">
        <f>"763332297"</f>
        <v>763332297</v>
      </c>
      <c r="C7507" s="2" t="str">
        <f>"763332297"</f>
        <v>763332297</v>
      </c>
      <c r="D7507" s="2" t="s">
        <v>5285</v>
      </c>
      <c r="E7507" s="4">
        <v>3000</v>
      </c>
    </row>
    <row r="7508" spans="1:5" ht="26.25" x14ac:dyDescent="0.25">
      <c r="A7508" s="2" t="s">
        <v>13</v>
      </c>
      <c r="B7508" s="2" t="str">
        <f>"763332298"</f>
        <v>763332298</v>
      </c>
      <c r="C7508" s="2" t="str">
        <f>"763332298"</f>
        <v>763332298</v>
      </c>
      <c r="D7508" s="2" t="s">
        <v>5286</v>
      </c>
      <c r="E7508" s="4">
        <v>3000</v>
      </c>
    </row>
    <row r="7509" spans="1:5" ht="26.25" x14ac:dyDescent="0.25">
      <c r="A7509" s="2" t="s">
        <v>13</v>
      </c>
      <c r="B7509" s="2" t="str">
        <f>"765309221"</f>
        <v>765309221</v>
      </c>
      <c r="C7509" s="2" t="str">
        <f>"765309221"</f>
        <v>765309221</v>
      </c>
      <c r="D7509" s="2" t="s">
        <v>5287</v>
      </c>
      <c r="E7509" s="4">
        <v>3000</v>
      </c>
    </row>
    <row r="7510" spans="1:5" ht="26.25" x14ac:dyDescent="0.25">
      <c r="A7510" s="2" t="s">
        <v>13</v>
      </c>
      <c r="B7510" s="2" t="str">
        <f>"34530912"</f>
        <v>34530912</v>
      </c>
      <c r="C7510" s="2" t="str">
        <f>"34530912"</f>
        <v>34530912</v>
      </c>
      <c r="D7510" s="2" t="s">
        <v>5288</v>
      </c>
      <c r="E7510" s="4">
        <v>3000</v>
      </c>
    </row>
    <row r="7511" spans="1:5" ht="26.25" x14ac:dyDescent="0.25">
      <c r="A7511" s="2" t="s">
        <v>13</v>
      </c>
      <c r="B7511" s="2" t="str">
        <f>"345530912"</f>
        <v>345530912</v>
      </c>
      <c r="C7511" s="2" t="str">
        <f>"345530912"</f>
        <v>345530912</v>
      </c>
      <c r="D7511" s="2" t="s">
        <v>5288</v>
      </c>
      <c r="E7511" s="4">
        <v>3000</v>
      </c>
    </row>
    <row r="7512" spans="1:5" ht="26.25" x14ac:dyDescent="0.25">
      <c r="A7512" s="2" t="s">
        <v>13</v>
      </c>
      <c r="B7512" s="2" t="str">
        <f>"76530990"</f>
        <v>76530990</v>
      </c>
      <c r="C7512" s="2" t="str">
        <f>"76530990"</f>
        <v>76530990</v>
      </c>
      <c r="D7512" s="2" t="s">
        <v>5289</v>
      </c>
      <c r="E7512" s="4">
        <v>3000</v>
      </c>
    </row>
    <row r="7513" spans="1:5" ht="26.25" x14ac:dyDescent="0.25">
      <c r="A7513" s="2" t="s">
        <v>13</v>
      </c>
      <c r="B7513" s="2" t="str">
        <f>"765309104"</f>
        <v>765309104</v>
      </c>
      <c r="C7513" s="2" t="str">
        <f>"765309104"</f>
        <v>765309104</v>
      </c>
      <c r="D7513" s="2" t="s">
        <v>5290</v>
      </c>
      <c r="E7513" s="4">
        <v>3000</v>
      </c>
    </row>
    <row r="7514" spans="1:5" ht="26.25" x14ac:dyDescent="0.25">
      <c r="A7514" s="2" t="s">
        <v>13</v>
      </c>
      <c r="B7514" s="2" t="str">
        <f>"76530962"</f>
        <v>76530962</v>
      </c>
      <c r="C7514" s="2" t="str">
        <f>"76530962"</f>
        <v>76530962</v>
      </c>
      <c r="D7514" s="2" t="s">
        <v>5291</v>
      </c>
      <c r="E7514" s="4">
        <v>3000</v>
      </c>
    </row>
    <row r="7515" spans="1:5" ht="26.25" x14ac:dyDescent="0.25">
      <c r="A7515" s="2" t="s">
        <v>13</v>
      </c>
      <c r="B7515" s="2" t="str">
        <f>"34530963"</f>
        <v>34530963</v>
      </c>
      <c r="C7515" s="2" t="str">
        <f>"34530963"</f>
        <v>34530963</v>
      </c>
      <c r="D7515" s="2" t="s">
        <v>5292</v>
      </c>
      <c r="E7515" s="4">
        <v>3000</v>
      </c>
    </row>
    <row r="7516" spans="1:5" ht="26.25" x14ac:dyDescent="0.25">
      <c r="A7516" s="2" t="s">
        <v>13</v>
      </c>
      <c r="B7516" s="2" t="str">
        <f>"34539263"</f>
        <v>34539263</v>
      </c>
      <c r="C7516" s="2" t="str">
        <f>"34539263"</f>
        <v>34539263</v>
      </c>
      <c r="D7516" s="2" t="s">
        <v>5292</v>
      </c>
      <c r="E7516" s="4">
        <v>3000</v>
      </c>
    </row>
    <row r="7517" spans="1:5" ht="26.25" x14ac:dyDescent="0.25">
      <c r="A7517" s="2" t="s">
        <v>13</v>
      </c>
      <c r="B7517" s="2" t="str">
        <f>"76330963"</f>
        <v>76330963</v>
      </c>
      <c r="C7517" s="2" t="str">
        <f>"76330963"</f>
        <v>76330963</v>
      </c>
      <c r="D7517" s="2" t="s">
        <v>5292</v>
      </c>
      <c r="E7517" s="4">
        <v>3000</v>
      </c>
    </row>
    <row r="7518" spans="1:5" ht="26.25" x14ac:dyDescent="0.25">
      <c r="A7518" s="2" t="s">
        <v>13</v>
      </c>
      <c r="B7518" s="2" t="str">
        <f>"76530963"</f>
        <v>76530963</v>
      </c>
      <c r="C7518" s="2" t="str">
        <f>"76530963"</f>
        <v>76530963</v>
      </c>
      <c r="D7518" s="2" t="s">
        <v>5292</v>
      </c>
      <c r="E7518" s="4">
        <v>3000</v>
      </c>
    </row>
    <row r="7519" spans="1:5" ht="26.25" x14ac:dyDescent="0.25">
      <c r="A7519" s="2" t="s">
        <v>13</v>
      </c>
      <c r="B7519" s="2" t="str">
        <f>"17530964"</f>
        <v>17530964</v>
      </c>
      <c r="C7519" s="2" t="str">
        <f>"17530964"</f>
        <v>17530964</v>
      </c>
      <c r="D7519" s="2" t="s">
        <v>5293</v>
      </c>
      <c r="E7519" s="4">
        <v>3000</v>
      </c>
    </row>
    <row r="7520" spans="1:5" ht="26.25" x14ac:dyDescent="0.25">
      <c r="A7520" s="2" t="s">
        <v>13</v>
      </c>
      <c r="B7520" s="2" t="str">
        <f>"34530964"</f>
        <v>34530964</v>
      </c>
      <c r="C7520" s="2" t="str">
        <f>"34530964"</f>
        <v>34530964</v>
      </c>
      <c r="D7520" s="2" t="s">
        <v>5293</v>
      </c>
      <c r="E7520" s="4">
        <v>3000</v>
      </c>
    </row>
    <row r="7521" spans="1:5" ht="26.25" x14ac:dyDescent="0.25">
      <c r="A7521" s="2" t="s">
        <v>13</v>
      </c>
      <c r="B7521" s="2" t="str">
        <f>"76530964"</f>
        <v>76530964</v>
      </c>
      <c r="C7521" s="2" t="str">
        <f>"76530964"</f>
        <v>76530964</v>
      </c>
      <c r="D7521" s="2" t="s">
        <v>5293</v>
      </c>
      <c r="E7521" s="4">
        <v>3000</v>
      </c>
    </row>
    <row r="7522" spans="1:5" ht="26.25" x14ac:dyDescent="0.25">
      <c r="A7522" s="2" t="s">
        <v>13</v>
      </c>
      <c r="B7522" s="2" t="str">
        <f>"17530965"</f>
        <v>17530965</v>
      </c>
      <c r="C7522" s="2" t="str">
        <f>"17530965"</f>
        <v>17530965</v>
      </c>
      <c r="D7522" s="2" t="s">
        <v>5294</v>
      </c>
      <c r="E7522" s="4">
        <v>3000</v>
      </c>
    </row>
    <row r="7523" spans="1:5" ht="26.25" x14ac:dyDescent="0.25">
      <c r="A7523" s="2" t="s">
        <v>13</v>
      </c>
      <c r="B7523" s="2" t="str">
        <f>"34530965"</f>
        <v>34530965</v>
      </c>
      <c r="C7523" s="2" t="str">
        <f>"34530965"</f>
        <v>34530965</v>
      </c>
      <c r="D7523" s="2" t="s">
        <v>5294</v>
      </c>
      <c r="E7523" s="4">
        <v>3000</v>
      </c>
    </row>
    <row r="7524" spans="1:5" ht="26.25" x14ac:dyDescent="0.25">
      <c r="A7524" s="2" t="s">
        <v>13</v>
      </c>
      <c r="B7524" s="2" t="str">
        <f>"76530965"</f>
        <v>76530965</v>
      </c>
      <c r="C7524" s="2" t="str">
        <f>"76530965"</f>
        <v>76530965</v>
      </c>
      <c r="D7524" s="2" t="s">
        <v>5295</v>
      </c>
      <c r="E7524" s="4">
        <v>3000</v>
      </c>
    </row>
    <row r="7525" spans="1:5" ht="26.25" x14ac:dyDescent="0.25">
      <c r="A7525" s="2" t="s">
        <v>13</v>
      </c>
      <c r="B7525" s="2" t="str">
        <f>"34530966"</f>
        <v>34530966</v>
      </c>
      <c r="C7525" s="2" t="str">
        <f>"34530966"</f>
        <v>34530966</v>
      </c>
      <c r="D7525" s="2" t="s">
        <v>5296</v>
      </c>
      <c r="E7525" s="4">
        <v>3000</v>
      </c>
    </row>
    <row r="7526" spans="1:5" ht="26.25" x14ac:dyDescent="0.25">
      <c r="A7526" s="2" t="s">
        <v>13</v>
      </c>
      <c r="B7526" s="2" t="str">
        <f>"76330966"</f>
        <v>76330966</v>
      </c>
      <c r="C7526" s="2" t="str">
        <f>"76330966"</f>
        <v>76330966</v>
      </c>
      <c r="D7526" s="2" t="s">
        <v>5296</v>
      </c>
      <c r="E7526" s="4">
        <v>3000</v>
      </c>
    </row>
    <row r="7527" spans="1:5" ht="26.25" x14ac:dyDescent="0.25">
      <c r="A7527" s="2" t="s">
        <v>13</v>
      </c>
      <c r="B7527" s="2" t="str">
        <f>"76530966"</f>
        <v>76530966</v>
      </c>
      <c r="C7527" s="2" t="str">
        <f>"76530966"</f>
        <v>76530966</v>
      </c>
      <c r="D7527" s="2" t="s">
        <v>5296</v>
      </c>
      <c r="E7527" s="4">
        <v>3000</v>
      </c>
    </row>
    <row r="7528" spans="1:5" ht="26.25" x14ac:dyDescent="0.25">
      <c r="A7528" s="2" t="s">
        <v>13</v>
      </c>
      <c r="B7528" s="2" t="str">
        <f>"76330951"</f>
        <v>76330951</v>
      </c>
      <c r="C7528" s="2" t="str">
        <f>"76330951"</f>
        <v>76330951</v>
      </c>
      <c r="D7528" s="2" t="s">
        <v>5297</v>
      </c>
      <c r="E7528" s="4">
        <v>3000</v>
      </c>
    </row>
    <row r="7529" spans="1:5" ht="26.25" x14ac:dyDescent="0.25">
      <c r="A7529" s="2" t="s">
        <v>13</v>
      </c>
      <c r="B7529" s="2" t="str">
        <f>"34530956"</f>
        <v>34530956</v>
      </c>
      <c r="C7529" s="2" t="str">
        <f>"34530956"</f>
        <v>34530956</v>
      </c>
      <c r="D7529" s="2" t="s">
        <v>5298</v>
      </c>
      <c r="E7529" s="4">
        <v>3000</v>
      </c>
    </row>
    <row r="7530" spans="1:5" ht="26.25" x14ac:dyDescent="0.25">
      <c r="A7530" s="2" t="s">
        <v>13</v>
      </c>
      <c r="B7530" s="2" t="str">
        <f>"34530959"</f>
        <v>34530959</v>
      </c>
      <c r="C7530" s="2" t="str">
        <f>"34530959"</f>
        <v>34530959</v>
      </c>
      <c r="D7530" s="2" t="s">
        <v>5298</v>
      </c>
      <c r="E7530" s="4">
        <v>3000</v>
      </c>
    </row>
    <row r="7531" spans="1:5" ht="26.25" x14ac:dyDescent="0.25">
      <c r="A7531" s="2" t="s">
        <v>13</v>
      </c>
      <c r="B7531" s="2" t="str">
        <f>"76530956"</f>
        <v>76530956</v>
      </c>
      <c r="C7531" s="2" t="str">
        <f>"76530956"</f>
        <v>76530956</v>
      </c>
      <c r="D7531" s="2" t="s">
        <v>5298</v>
      </c>
      <c r="E7531" s="4">
        <v>3000</v>
      </c>
    </row>
    <row r="7532" spans="1:5" ht="26.25" x14ac:dyDescent="0.25">
      <c r="A7532" s="2" t="s">
        <v>13</v>
      </c>
      <c r="B7532" s="2" t="str">
        <f>"17330956"</f>
        <v>17330956</v>
      </c>
      <c r="C7532" s="2" t="str">
        <f>"17330956"</f>
        <v>17330956</v>
      </c>
      <c r="D7532" s="2" t="s">
        <v>5298</v>
      </c>
      <c r="E7532" s="4">
        <v>3000</v>
      </c>
    </row>
    <row r="7533" spans="1:5" ht="26.25" x14ac:dyDescent="0.25">
      <c r="A7533" s="2" t="s">
        <v>13</v>
      </c>
      <c r="B7533" s="2" t="str">
        <f>"17530952"</f>
        <v>17530952</v>
      </c>
      <c r="C7533" s="2" t="str">
        <f>"17530952"</f>
        <v>17530952</v>
      </c>
      <c r="D7533" s="2" t="s">
        <v>5299</v>
      </c>
      <c r="E7533" s="4">
        <v>3000</v>
      </c>
    </row>
    <row r="7534" spans="1:5" ht="26.25" x14ac:dyDescent="0.25">
      <c r="A7534" s="2" t="s">
        <v>13</v>
      </c>
      <c r="B7534" s="2" t="str">
        <f>"76530952"</f>
        <v>76530952</v>
      </c>
      <c r="C7534" s="2" t="str">
        <f>"76530952"</f>
        <v>76530952</v>
      </c>
      <c r="D7534" s="2" t="s">
        <v>5299</v>
      </c>
      <c r="E7534" s="4">
        <v>3000</v>
      </c>
    </row>
    <row r="7535" spans="1:5" ht="26.25" x14ac:dyDescent="0.25">
      <c r="A7535" s="2" t="s">
        <v>13</v>
      </c>
      <c r="B7535" s="2" t="str">
        <f>"110170464"</f>
        <v>110170464</v>
      </c>
      <c r="C7535" s="2" t="str">
        <f>"110170464"</f>
        <v>110170464</v>
      </c>
      <c r="D7535" s="2" t="s">
        <v>5299</v>
      </c>
      <c r="E7535" s="4">
        <v>3000</v>
      </c>
    </row>
    <row r="7536" spans="1:5" ht="26.25" x14ac:dyDescent="0.25">
      <c r="A7536" s="2" t="s">
        <v>13</v>
      </c>
      <c r="B7536" s="2" t="str">
        <f>"325309154"</f>
        <v>325309154</v>
      </c>
      <c r="C7536" s="2" t="str">
        <f>"325309154"</f>
        <v>325309154</v>
      </c>
      <c r="D7536" s="2" t="s">
        <v>5299</v>
      </c>
      <c r="E7536" s="4">
        <v>3000</v>
      </c>
    </row>
    <row r="7537" spans="1:5" ht="26.25" x14ac:dyDescent="0.25">
      <c r="A7537" s="2" t="s">
        <v>13</v>
      </c>
      <c r="B7537" s="2" t="str">
        <f>"345309154"</f>
        <v>345309154</v>
      </c>
      <c r="C7537" s="2" t="str">
        <f>"345309154"</f>
        <v>345309154</v>
      </c>
      <c r="D7537" s="2" t="s">
        <v>5299</v>
      </c>
      <c r="E7537" s="4">
        <v>3000</v>
      </c>
    </row>
    <row r="7538" spans="1:5" ht="26.25" x14ac:dyDescent="0.25">
      <c r="A7538" s="2" t="s">
        <v>13</v>
      </c>
      <c r="B7538" s="2" t="str">
        <f>"763309154"</f>
        <v>763309154</v>
      </c>
      <c r="C7538" s="2" t="str">
        <f>"763309154"</f>
        <v>763309154</v>
      </c>
      <c r="D7538" s="2" t="s">
        <v>5299</v>
      </c>
      <c r="E7538" s="4">
        <v>3000</v>
      </c>
    </row>
    <row r="7539" spans="1:5" ht="26.25" x14ac:dyDescent="0.25">
      <c r="A7539" s="2" t="s">
        <v>13</v>
      </c>
      <c r="B7539" s="2" t="str">
        <f>"863309154"</f>
        <v>863309154</v>
      </c>
      <c r="C7539" s="2" t="str">
        <f>"863309154"</f>
        <v>863309154</v>
      </c>
      <c r="D7539" s="2" t="s">
        <v>5299</v>
      </c>
      <c r="E7539" s="4">
        <v>3000</v>
      </c>
    </row>
    <row r="7540" spans="1:5" ht="26.25" x14ac:dyDescent="0.25">
      <c r="A7540" s="2" t="s">
        <v>13</v>
      </c>
      <c r="B7540" s="2" t="str">
        <f>"765309154"</f>
        <v>765309154</v>
      </c>
      <c r="C7540" s="2" t="str">
        <f>"765309154"</f>
        <v>765309154</v>
      </c>
      <c r="D7540" s="2" t="s">
        <v>5299</v>
      </c>
      <c r="E7540" s="4">
        <v>3000</v>
      </c>
    </row>
    <row r="7541" spans="1:5" ht="26.25" x14ac:dyDescent="0.25">
      <c r="A7541" s="2" t="s">
        <v>13</v>
      </c>
      <c r="B7541" s="2" t="str">
        <f>"345309205"</f>
        <v>345309205</v>
      </c>
      <c r="C7541" s="2" t="str">
        <f>"345309205"</f>
        <v>345309205</v>
      </c>
      <c r="D7541" s="2" t="s">
        <v>5300</v>
      </c>
      <c r="E7541" s="4">
        <v>3000</v>
      </c>
    </row>
    <row r="7542" spans="1:5" ht="26.25" x14ac:dyDescent="0.25">
      <c r="A7542" s="2" t="s">
        <v>13</v>
      </c>
      <c r="B7542" s="2" t="str">
        <f>"763309205"</f>
        <v>763309205</v>
      </c>
      <c r="C7542" s="2" t="str">
        <f>"763309205"</f>
        <v>763309205</v>
      </c>
      <c r="D7542" s="2" t="s">
        <v>5300</v>
      </c>
      <c r="E7542" s="4">
        <v>3000</v>
      </c>
    </row>
    <row r="7543" spans="1:5" ht="26.25" x14ac:dyDescent="0.25">
      <c r="A7543" s="2" t="s">
        <v>13</v>
      </c>
      <c r="B7543" s="2" t="str">
        <f>"763309290"</f>
        <v>763309290</v>
      </c>
      <c r="C7543" s="2" t="str">
        <f>"763309290"</f>
        <v>763309290</v>
      </c>
      <c r="D7543" s="2" t="s">
        <v>5301</v>
      </c>
      <c r="E7543" s="4">
        <v>3000</v>
      </c>
    </row>
    <row r="7544" spans="1:5" ht="26.25" x14ac:dyDescent="0.25">
      <c r="A7544" s="2" t="s">
        <v>13</v>
      </c>
      <c r="B7544" s="2" t="str">
        <f>"343309221"</f>
        <v>343309221</v>
      </c>
      <c r="C7544" s="2" t="str">
        <f>"343309221"</f>
        <v>343309221</v>
      </c>
      <c r="D7544" s="2" t="s">
        <v>5287</v>
      </c>
      <c r="E7544" s="4">
        <v>3000</v>
      </c>
    </row>
    <row r="7545" spans="1:5" ht="26.25" x14ac:dyDescent="0.25">
      <c r="A7545" s="2" t="s">
        <v>13</v>
      </c>
      <c r="B7545" s="2" t="str">
        <f>"345309221"</f>
        <v>345309221</v>
      </c>
      <c r="C7545" s="2" t="str">
        <f>"345309221"</f>
        <v>345309221</v>
      </c>
      <c r="D7545" s="2" t="s">
        <v>5287</v>
      </c>
      <c r="E7545" s="4">
        <v>3000</v>
      </c>
    </row>
    <row r="7546" spans="1:5" ht="26.25" x14ac:dyDescent="0.25">
      <c r="A7546" s="2" t="s">
        <v>13</v>
      </c>
      <c r="B7546" s="2" t="str">
        <f>"763309221"</f>
        <v>763309221</v>
      </c>
      <c r="C7546" s="2" t="str">
        <f>"763309221"</f>
        <v>763309221</v>
      </c>
      <c r="D7546" s="2" t="s">
        <v>5287</v>
      </c>
      <c r="E7546" s="4">
        <v>3000</v>
      </c>
    </row>
    <row r="7547" spans="1:5" ht="26.25" x14ac:dyDescent="0.25">
      <c r="A7547" s="2" t="s">
        <v>13</v>
      </c>
      <c r="B7547" s="2" t="str">
        <f>"863309221"</f>
        <v>863309221</v>
      </c>
      <c r="C7547" s="2" t="str">
        <f>"863309221"</f>
        <v>863309221</v>
      </c>
      <c r="D7547" s="2" t="s">
        <v>5287</v>
      </c>
      <c r="E7547" s="4">
        <v>3000</v>
      </c>
    </row>
    <row r="7548" spans="1:5" ht="26.25" x14ac:dyDescent="0.25">
      <c r="A7548" s="2" t="s">
        <v>13</v>
      </c>
      <c r="B7548" s="2" t="str">
        <f>"693309221"</f>
        <v>693309221</v>
      </c>
      <c r="C7548" s="2" t="str">
        <f>"693309221"</f>
        <v>693309221</v>
      </c>
      <c r="D7548" s="2" t="s">
        <v>5287</v>
      </c>
      <c r="E7548" s="4">
        <v>3000</v>
      </c>
    </row>
    <row r="7549" spans="1:5" ht="26.25" x14ac:dyDescent="0.25">
      <c r="A7549" s="2" t="s">
        <v>13</v>
      </c>
      <c r="B7549" s="2" t="str">
        <f>"173309221"</f>
        <v>173309221</v>
      </c>
      <c r="C7549" s="2" t="str">
        <f>"173309221"</f>
        <v>173309221</v>
      </c>
      <c r="D7549" s="2" t="s">
        <v>5287</v>
      </c>
      <c r="E7549" s="4">
        <v>3000</v>
      </c>
    </row>
    <row r="7550" spans="1:5" ht="26.25" x14ac:dyDescent="0.25">
      <c r="A7550" s="2" t="s">
        <v>13</v>
      </c>
      <c r="B7550" s="2" t="str">
        <f>"763309293"</f>
        <v>763309293</v>
      </c>
      <c r="C7550" s="2" t="str">
        <f>"763309293"</f>
        <v>763309293</v>
      </c>
      <c r="D7550" s="2" t="s">
        <v>5302</v>
      </c>
      <c r="E7550" s="4">
        <v>3000</v>
      </c>
    </row>
    <row r="7551" spans="1:5" ht="26.25" x14ac:dyDescent="0.25">
      <c r="A7551" s="2" t="s">
        <v>13</v>
      </c>
      <c r="B7551" s="2" t="str">
        <f>"173309293"</f>
        <v>173309293</v>
      </c>
      <c r="C7551" s="2" t="str">
        <f>"173309293"</f>
        <v>173309293</v>
      </c>
      <c r="D7551" s="2" t="s">
        <v>5302</v>
      </c>
      <c r="E7551" s="4">
        <v>3000</v>
      </c>
    </row>
    <row r="7552" spans="1:5" ht="26.25" x14ac:dyDescent="0.25">
      <c r="A7552" s="2" t="s">
        <v>13</v>
      </c>
      <c r="B7552" s="2" t="str">
        <f>"765309293"</f>
        <v>765309293</v>
      </c>
      <c r="C7552" s="2" t="str">
        <f>"765309293"</f>
        <v>765309293</v>
      </c>
      <c r="D7552" s="2" t="s">
        <v>5302</v>
      </c>
      <c r="E7552" s="4">
        <v>3000</v>
      </c>
    </row>
    <row r="7553" spans="1:5" ht="26.25" x14ac:dyDescent="0.25">
      <c r="A7553" s="2" t="s">
        <v>13</v>
      </c>
      <c r="B7553" s="2" t="str">
        <f>"763309327"</f>
        <v>763309327</v>
      </c>
      <c r="C7553" s="2" t="str">
        <f>"763309327"</f>
        <v>763309327</v>
      </c>
      <c r="D7553" s="2" t="s">
        <v>5303</v>
      </c>
      <c r="E7553" s="4">
        <v>3000</v>
      </c>
    </row>
    <row r="7554" spans="1:5" ht="26.25" x14ac:dyDescent="0.25">
      <c r="A7554" s="2" t="s">
        <v>13</v>
      </c>
      <c r="B7554" s="2" t="str">
        <f>"763309291"</f>
        <v>763309291</v>
      </c>
      <c r="C7554" s="2" t="str">
        <f>"763309291"</f>
        <v>763309291</v>
      </c>
      <c r="D7554" s="2" t="s">
        <v>5304</v>
      </c>
      <c r="E7554" s="4">
        <v>3000</v>
      </c>
    </row>
    <row r="7555" spans="1:5" ht="26.25" x14ac:dyDescent="0.25">
      <c r="A7555" s="2" t="s">
        <v>13</v>
      </c>
      <c r="B7555" s="2" t="str">
        <f>"765309291"</f>
        <v>765309291</v>
      </c>
      <c r="C7555" s="2" t="str">
        <f>"765309291"</f>
        <v>765309291</v>
      </c>
      <c r="D7555" s="2" t="s">
        <v>5304</v>
      </c>
      <c r="E7555" s="4">
        <v>3000</v>
      </c>
    </row>
    <row r="7556" spans="1:5" ht="26.25" x14ac:dyDescent="0.25">
      <c r="A7556" s="2" t="s">
        <v>13</v>
      </c>
      <c r="B7556" s="2" t="str">
        <f>"863309291"</f>
        <v>863309291</v>
      </c>
      <c r="C7556" s="2" t="str">
        <f>"863309291"</f>
        <v>863309291</v>
      </c>
      <c r="D7556" s="2" t="s">
        <v>5304</v>
      </c>
      <c r="E7556" s="4">
        <v>3000</v>
      </c>
    </row>
    <row r="7557" spans="1:5" ht="26.25" x14ac:dyDescent="0.25">
      <c r="A7557" s="2" t="s">
        <v>13</v>
      </c>
      <c r="B7557" s="2" t="str">
        <f>"683309291"</f>
        <v>683309291</v>
      </c>
      <c r="C7557" s="2" t="str">
        <f>"683309291"</f>
        <v>683309291</v>
      </c>
      <c r="D7557" s="2" t="s">
        <v>5304</v>
      </c>
      <c r="E7557" s="4">
        <v>3000</v>
      </c>
    </row>
    <row r="7558" spans="1:5" ht="26.25" x14ac:dyDescent="0.25">
      <c r="A7558" s="2" t="s">
        <v>13</v>
      </c>
      <c r="B7558" s="2" t="str">
        <f>"183309291"</f>
        <v>183309291</v>
      </c>
      <c r="C7558" s="2" t="str">
        <f>"183309291"</f>
        <v>183309291</v>
      </c>
      <c r="D7558" s="2" t="s">
        <v>5304</v>
      </c>
      <c r="E7558" s="4">
        <v>3000</v>
      </c>
    </row>
    <row r="7559" spans="1:5" ht="26.25" x14ac:dyDescent="0.25">
      <c r="A7559" s="2" t="s">
        <v>13</v>
      </c>
      <c r="B7559" s="2" t="str">
        <f>"763309334"</f>
        <v>763309334</v>
      </c>
      <c r="C7559" s="2" t="str">
        <f>"763309334"</f>
        <v>763309334</v>
      </c>
      <c r="D7559" s="2" t="s">
        <v>5305</v>
      </c>
      <c r="E7559" s="4">
        <v>1500</v>
      </c>
    </row>
    <row r="7560" spans="1:5" ht="26.25" x14ac:dyDescent="0.25">
      <c r="A7560" s="2" t="s">
        <v>13</v>
      </c>
      <c r="B7560" s="2" t="str">
        <f>"345309214"</f>
        <v>345309214</v>
      </c>
      <c r="C7560" s="2" t="str">
        <f>"345309214"</f>
        <v>345309214</v>
      </c>
      <c r="D7560" s="2" t="s">
        <v>5306</v>
      </c>
      <c r="E7560" s="4">
        <v>3000</v>
      </c>
    </row>
    <row r="7561" spans="1:5" ht="26.25" x14ac:dyDescent="0.25">
      <c r="A7561" s="2" t="s">
        <v>13</v>
      </c>
      <c r="B7561" s="2" t="str">
        <f>"763309214"</f>
        <v>763309214</v>
      </c>
      <c r="C7561" s="2" t="str">
        <f>"763309214"</f>
        <v>763309214</v>
      </c>
      <c r="D7561" s="2" t="s">
        <v>5306</v>
      </c>
      <c r="E7561" s="4">
        <v>3000</v>
      </c>
    </row>
    <row r="7562" spans="1:5" ht="26.25" x14ac:dyDescent="0.25">
      <c r="A7562" s="2" t="s">
        <v>13</v>
      </c>
      <c r="B7562" s="2" t="str">
        <f>"345309258"</f>
        <v>345309258</v>
      </c>
      <c r="C7562" s="2" t="str">
        <f>"345309258"</f>
        <v>345309258</v>
      </c>
      <c r="D7562" s="2" t="s">
        <v>5307</v>
      </c>
      <c r="E7562" s="4">
        <v>3000</v>
      </c>
    </row>
    <row r="7563" spans="1:5" ht="26.25" x14ac:dyDescent="0.25">
      <c r="A7563" s="2" t="s">
        <v>13</v>
      </c>
      <c r="B7563" s="2" t="str">
        <f>"765309258"</f>
        <v>765309258</v>
      </c>
      <c r="C7563" s="2" t="str">
        <f>"765309258"</f>
        <v>765309258</v>
      </c>
      <c r="D7563" s="2" t="s">
        <v>5307</v>
      </c>
      <c r="E7563" s="4">
        <v>3000</v>
      </c>
    </row>
    <row r="7564" spans="1:5" ht="26.25" x14ac:dyDescent="0.25">
      <c r="A7564" s="2" t="s">
        <v>13</v>
      </c>
      <c r="B7564" s="2" t="str">
        <f>"763309258"</f>
        <v>763309258</v>
      </c>
      <c r="C7564" s="2" t="str">
        <f>"763309258"</f>
        <v>763309258</v>
      </c>
      <c r="D7564" s="2" t="s">
        <v>5307</v>
      </c>
      <c r="E7564" s="4">
        <v>3000</v>
      </c>
    </row>
    <row r="7565" spans="1:5" ht="26.25" x14ac:dyDescent="0.25">
      <c r="A7565" s="2" t="s">
        <v>13</v>
      </c>
      <c r="B7565" s="2" t="str">
        <f>"183309213"</f>
        <v>183309213</v>
      </c>
      <c r="C7565" s="2" t="str">
        <f>"183309213"</f>
        <v>183309213</v>
      </c>
      <c r="D7565" s="2" t="s">
        <v>5308</v>
      </c>
      <c r="E7565" s="4">
        <v>3000</v>
      </c>
    </row>
    <row r="7566" spans="1:5" ht="26.25" x14ac:dyDescent="0.25">
      <c r="A7566" s="2" t="s">
        <v>13</v>
      </c>
      <c r="B7566" s="2" t="str">
        <f>"343309213"</f>
        <v>343309213</v>
      </c>
      <c r="C7566" s="2" t="str">
        <f>"343309213"</f>
        <v>343309213</v>
      </c>
      <c r="D7566" s="2" t="s">
        <v>5308</v>
      </c>
      <c r="E7566" s="4">
        <v>3000</v>
      </c>
    </row>
    <row r="7567" spans="1:5" ht="26.25" x14ac:dyDescent="0.25">
      <c r="A7567" s="2" t="s">
        <v>13</v>
      </c>
      <c r="B7567" s="2" t="str">
        <f>"345309213"</f>
        <v>345309213</v>
      </c>
      <c r="C7567" s="2" t="str">
        <f>"345309213"</f>
        <v>345309213</v>
      </c>
      <c r="D7567" s="2" t="s">
        <v>5308</v>
      </c>
      <c r="E7567" s="4">
        <v>3000</v>
      </c>
    </row>
    <row r="7568" spans="1:5" ht="26.25" x14ac:dyDescent="0.25">
      <c r="A7568" s="2" t="s">
        <v>13</v>
      </c>
      <c r="B7568" s="2" t="str">
        <f>"763309213"</f>
        <v>763309213</v>
      </c>
      <c r="C7568" s="2" t="str">
        <f>"763309213"</f>
        <v>763309213</v>
      </c>
      <c r="D7568" s="2" t="s">
        <v>5308</v>
      </c>
      <c r="E7568" s="4">
        <v>3000</v>
      </c>
    </row>
    <row r="7569" spans="1:5" ht="26.25" x14ac:dyDescent="0.25">
      <c r="A7569" s="2" t="s">
        <v>13</v>
      </c>
      <c r="B7569" s="2" t="str">
        <f>"765309213"</f>
        <v>765309213</v>
      </c>
      <c r="C7569" s="2" t="str">
        <f>"765309213"</f>
        <v>765309213</v>
      </c>
      <c r="D7569" s="2" t="s">
        <v>5308</v>
      </c>
      <c r="E7569" s="4">
        <v>3000</v>
      </c>
    </row>
    <row r="7570" spans="1:5" ht="26.25" x14ac:dyDescent="0.25">
      <c r="A7570" s="2" t="s">
        <v>13</v>
      </c>
      <c r="B7570" s="2" t="str">
        <f>"683309215"</f>
        <v>683309215</v>
      </c>
      <c r="C7570" s="2" t="str">
        <f>"683309215"</f>
        <v>683309215</v>
      </c>
      <c r="D7570" s="2" t="s">
        <v>5309</v>
      </c>
      <c r="E7570" s="4">
        <v>3000</v>
      </c>
    </row>
    <row r="7571" spans="1:5" ht="26.25" x14ac:dyDescent="0.25">
      <c r="A7571" s="2" t="s">
        <v>13</v>
      </c>
      <c r="B7571" s="2" t="str">
        <f>"765309215"</f>
        <v>765309215</v>
      </c>
      <c r="C7571" s="2" t="str">
        <f>"765309215"</f>
        <v>765309215</v>
      </c>
      <c r="D7571" s="2" t="s">
        <v>5309</v>
      </c>
      <c r="E7571" s="4">
        <v>3000</v>
      </c>
    </row>
    <row r="7572" spans="1:5" ht="26.25" x14ac:dyDescent="0.25">
      <c r="A7572" s="2" t="s">
        <v>13</v>
      </c>
      <c r="B7572" s="2" t="str">
        <f>"693309215"</f>
        <v>693309215</v>
      </c>
      <c r="C7572" s="2" t="str">
        <f>"693309215"</f>
        <v>693309215</v>
      </c>
      <c r="D7572" s="2" t="s">
        <v>5309</v>
      </c>
      <c r="E7572" s="4">
        <v>3000</v>
      </c>
    </row>
    <row r="7573" spans="1:5" ht="26.25" x14ac:dyDescent="0.25">
      <c r="A7573" s="2" t="s">
        <v>13</v>
      </c>
      <c r="B7573" s="2" t="str">
        <f>"863309215"</f>
        <v>863309215</v>
      </c>
      <c r="C7573" s="2" t="str">
        <f>"863309215"</f>
        <v>863309215</v>
      </c>
      <c r="D7573" s="2" t="s">
        <v>5309</v>
      </c>
      <c r="E7573" s="4">
        <v>3000</v>
      </c>
    </row>
    <row r="7574" spans="1:5" ht="26.25" x14ac:dyDescent="0.25">
      <c r="A7574" s="2" t="s">
        <v>13</v>
      </c>
      <c r="B7574" s="2" t="str">
        <f>"763309215"</f>
        <v>763309215</v>
      </c>
      <c r="C7574" s="2" t="str">
        <f>"763309215"</f>
        <v>763309215</v>
      </c>
      <c r="D7574" s="2" t="s">
        <v>5309</v>
      </c>
      <c r="E7574" s="4">
        <v>3000</v>
      </c>
    </row>
    <row r="7575" spans="1:5" ht="26.25" x14ac:dyDescent="0.25">
      <c r="A7575" s="2" t="s">
        <v>13</v>
      </c>
      <c r="B7575" s="2" t="str">
        <f>"683309330"</f>
        <v>683309330</v>
      </c>
      <c r="C7575" s="2" t="str">
        <f>"683309330"</f>
        <v>683309330</v>
      </c>
      <c r="D7575" s="2" t="s">
        <v>5310</v>
      </c>
      <c r="E7575" s="4">
        <v>3000</v>
      </c>
    </row>
    <row r="7576" spans="1:5" ht="26.25" x14ac:dyDescent="0.25">
      <c r="A7576" s="2" t="s">
        <v>13</v>
      </c>
      <c r="B7576" s="2" t="str">
        <f>"763309330"</f>
        <v>763309330</v>
      </c>
      <c r="C7576" s="2" t="str">
        <f>"763309330"</f>
        <v>763309330</v>
      </c>
      <c r="D7576" s="2" t="s">
        <v>5310</v>
      </c>
      <c r="E7576" s="4">
        <v>1500</v>
      </c>
    </row>
    <row r="7577" spans="1:5" ht="26.25" x14ac:dyDescent="0.25">
      <c r="A7577" s="2" t="s">
        <v>13</v>
      </c>
      <c r="B7577" s="2" t="str">
        <f>"763309329"</f>
        <v>763309329</v>
      </c>
      <c r="C7577" s="2" t="str">
        <f>"763309329"</f>
        <v>763309329</v>
      </c>
      <c r="D7577" s="2" t="s">
        <v>5311</v>
      </c>
      <c r="E7577" s="4">
        <v>3000</v>
      </c>
    </row>
    <row r="7578" spans="1:5" ht="26.25" x14ac:dyDescent="0.25">
      <c r="A7578" s="2" t="s">
        <v>13</v>
      </c>
      <c r="B7578" s="2" t="str">
        <f>"34530990"</f>
        <v>34530990</v>
      </c>
      <c r="C7578" s="2" t="str">
        <f>"34530990"</f>
        <v>34530990</v>
      </c>
      <c r="D7578" s="2" t="s">
        <v>5312</v>
      </c>
      <c r="E7578" s="4">
        <v>3000</v>
      </c>
    </row>
    <row r="7579" spans="1:5" ht="26.25" x14ac:dyDescent="0.25">
      <c r="A7579" s="2" t="s">
        <v>13</v>
      </c>
      <c r="B7579" s="2" t="str">
        <f>"345309107"</f>
        <v>345309107</v>
      </c>
      <c r="C7579" s="2" t="str">
        <f>"345309107"</f>
        <v>345309107</v>
      </c>
      <c r="D7579" s="2" t="s">
        <v>5313</v>
      </c>
      <c r="E7579" s="4">
        <v>3000</v>
      </c>
    </row>
    <row r="7580" spans="1:5" ht="26.25" x14ac:dyDescent="0.25">
      <c r="A7580" s="2" t="s">
        <v>13</v>
      </c>
      <c r="B7580" s="2" t="str">
        <f>"765309107"</f>
        <v>765309107</v>
      </c>
      <c r="C7580" s="2" t="str">
        <f>"765309107"</f>
        <v>765309107</v>
      </c>
      <c r="D7580" s="2" t="s">
        <v>5313</v>
      </c>
      <c r="E7580" s="4">
        <v>3000</v>
      </c>
    </row>
    <row r="7581" spans="1:5" ht="26.25" x14ac:dyDescent="0.25">
      <c r="A7581" s="2" t="s">
        <v>13</v>
      </c>
      <c r="B7581" s="2" t="str">
        <f>"34530971"</f>
        <v>34530971</v>
      </c>
      <c r="C7581" s="2" t="str">
        <f>"34530971"</f>
        <v>34530971</v>
      </c>
      <c r="D7581" s="2" t="s">
        <v>5314</v>
      </c>
      <c r="E7581" s="4">
        <v>3000</v>
      </c>
    </row>
    <row r="7582" spans="1:5" ht="26.25" x14ac:dyDescent="0.25">
      <c r="A7582" s="2" t="s">
        <v>13</v>
      </c>
      <c r="B7582" s="2" t="str">
        <f>"76530971"</f>
        <v>76530971</v>
      </c>
      <c r="C7582" s="2" t="str">
        <f>"76530971"</f>
        <v>76530971</v>
      </c>
      <c r="D7582" s="2" t="s">
        <v>5314</v>
      </c>
      <c r="E7582" s="4">
        <v>3000</v>
      </c>
    </row>
    <row r="7583" spans="1:5" ht="26.25" x14ac:dyDescent="0.25">
      <c r="A7583" s="2" t="s">
        <v>13</v>
      </c>
      <c r="B7583" s="2" t="str">
        <f>"765309110"</f>
        <v>765309110</v>
      </c>
      <c r="C7583" s="2" t="str">
        <f>"765309110"</f>
        <v>765309110</v>
      </c>
      <c r="D7583" s="2" t="s">
        <v>5315</v>
      </c>
      <c r="E7583" s="4">
        <v>3000</v>
      </c>
    </row>
    <row r="7584" spans="1:5" ht="26.25" x14ac:dyDescent="0.25">
      <c r="A7584" s="2" t="s">
        <v>13</v>
      </c>
      <c r="B7584" s="2" t="str">
        <f>"32530990"</f>
        <v>32530990</v>
      </c>
      <c r="C7584" s="2" t="str">
        <f>"32530990"</f>
        <v>32530990</v>
      </c>
      <c r="D7584" s="2" t="s">
        <v>5316</v>
      </c>
      <c r="E7584" s="4">
        <v>3000</v>
      </c>
    </row>
    <row r="7585" spans="1:5" ht="26.25" x14ac:dyDescent="0.25">
      <c r="A7585" s="2" t="s">
        <v>13</v>
      </c>
      <c r="B7585" s="2" t="str">
        <f>"34530910"</f>
        <v>34530910</v>
      </c>
      <c r="C7585" s="2" t="str">
        <f>"34530910"</f>
        <v>34530910</v>
      </c>
      <c r="D7585" s="2" t="s">
        <v>5317</v>
      </c>
      <c r="E7585" s="4">
        <v>3000</v>
      </c>
    </row>
    <row r="7586" spans="1:5" ht="26.25" x14ac:dyDescent="0.25">
      <c r="A7586" s="2" t="s">
        <v>13</v>
      </c>
      <c r="B7586" s="2" t="str">
        <f>"76530910"</f>
        <v>76530910</v>
      </c>
      <c r="C7586" s="2" t="str">
        <f>"76530910"</f>
        <v>76530910</v>
      </c>
      <c r="D7586" s="2" t="s">
        <v>5317</v>
      </c>
      <c r="E7586" s="4">
        <v>3000</v>
      </c>
    </row>
    <row r="7587" spans="1:5" ht="26.25" x14ac:dyDescent="0.25">
      <c r="A7587" s="2" t="s">
        <v>13</v>
      </c>
      <c r="B7587" s="2" t="str">
        <f>"76330910"</f>
        <v>76330910</v>
      </c>
      <c r="C7587" s="2" t="str">
        <f>"76330910"</f>
        <v>76330910</v>
      </c>
      <c r="D7587" s="2" t="s">
        <v>5317</v>
      </c>
      <c r="E7587" s="4">
        <v>3000</v>
      </c>
    </row>
    <row r="7588" spans="1:5" ht="26.25" x14ac:dyDescent="0.25">
      <c r="A7588" s="2" t="s">
        <v>13</v>
      </c>
      <c r="B7588" s="2" t="str">
        <f>"763309328"</f>
        <v>763309328</v>
      </c>
      <c r="C7588" s="2" t="str">
        <f>"763309328"</f>
        <v>763309328</v>
      </c>
      <c r="D7588" s="2" t="s">
        <v>5318</v>
      </c>
      <c r="E7588" s="4">
        <v>3000</v>
      </c>
    </row>
    <row r="7589" spans="1:5" ht="26.25" x14ac:dyDescent="0.25">
      <c r="A7589" s="2" t="s">
        <v>13</v>
      </c>
      <c r="B7589" s="2" t="str">
        <f>"763309325"</f>
        <v>763309325</v>
      </c>
      <c r="C7589" s="2" t="str">
        <f>"763309325"</f>
        <v>763309325</v>
      </c>
      <c r="D7589" s="2" t="s">
        <v>5319</v>
      </c>
      <c r="E7589" s="4">
        <v>3000</v>
      </c>
    </row>
    <row r="7590" spans="1:5" ht="26.25" x14ac:dyDescent="0.25">
      <c r="A7590" s="2" t="s">
        <v>13</v>
      </c>
      <c r="B7590" s="2" t="str">
        <f>"1000001002613"</f>
        <v>1000001002613</v>
      </c>
      <c r="C7590" s="2" t="str">
        <f>"765309325"</f>
        <v>765309325</v>
      </c>
      <c r="D7590" s="2" t="s">
        <v>5319</v>
      </c>
      <c r="E7590" s="4">
        <v>3000</v>
      </c>
    </row>
    <row r="7591" spans="1:5" ht="26.25" x14ac:dyDescent="0.25">
      <c r="A7591" s="2" t="s">
        <v>13</v>
      </c>
      <c r="B7591" s="2" t="str">
        <f>"763309333"</f>
        <v>763309333</v>
      </c>
      <c r="C7591" s="2" t="str">
        <f>"763309333"</f>
        <v>763309333</v>
      </c>
      <c r="D7591" s="2" t="s">
        <v>5320</v>
      </c>
      <c r="E7591" s="4">
        <v>1500</v>
      </c>
    </row>
    <row r="7592" spans="1:5" ht="26.25" x14ac:dyDescent="0.25">
      <c r="A7592" s="2" t="s">
        <v>13</v>
      </c>
      <c r="B7592" s="2" t="str">
        <f>"343309333"</f>
        <v>343309333</v>
      </c>
      <c r="C7592" s="2" t="str">
        <f>"343309333"</f>
        <v>343309333</v>
      </c>
      <c r="D7592" s="2" t="s">
        <v>5321</v>
      </c>
      <c r="E7592" s="4">
        <v>3000</v>
      </c>
    </row>
    <row r="7593" spans="1:5" ht="26.25" x14ac:dyDescent="0.25">
      <c r="A7593" s="2" t="s">
        <v>13</v>
      </c>
      <c r="B7593" s="2" t="str">
        <f>"765309250"</f>
        <v>765309250</v>
      </c>
      <c r="C7593" s="2" t="str">
        <f>"765309250"</f>
        <v>765309250</v>
      </c>
      <c r="D7593" s="2" t="s">
        <v>5322</v>
      </c>
      <c r="E7593" s="4">
        <v>3000</v>
      </c>
    </row>
    <row r="7594" spans="1:5" ht="26.25" x14ac:dyDescent="0.25">
      <c r="A7594" s="2" t="s">
        <v>13</v>
      </c>
      <c r="B7594" s="2" t="str">
        <f>"183309261"</f>
        <v>183309261</v>
      </c>
      <c r="C7594" s="2" t="str">
        <f>"183309261"</f>
        <v>183309261</v>
      </c>
      <c r="D7594" s="2" t="s">
        <v>5323</v>
      </c>
      <c r="E7594" s="4">
        <v>3000</v>
      </c>
    </row>
    <row r="7595" spans="1:5" ht="26.25" x14ac:dyDescent="0.25">
      <c r="A7595" s="2" t="s">
        <v>13</v>
      </c>
      <c r="B7595" s="2" t="str">
        <f>"763309261"</f>
        <v>763309261</v>
      </c>
      <c r="C7595" s="2" t="str">
        <f>"763309261"</f>
        <v>763309261</v>
      </c>
      <c r="D7595" s="2" t="s">
        <v>5323</v>
      </c>
      <c r="E7595" s="4">
        <v>3000</v>
      </c>
    </row>
    <row r="7596" spans="1:5" ht="26.25" x14ac:dyDescent="0.25">
      <c r="A7596" s="2" t="s">
        <v>13</v>
      </c>
      <c r="B7596" s="2" t="str">
        <f>"345309235"</f>
        <v>345309235</v>
      </c>
      <c r="C7596" s="2" t="str">
        <f>"345309235"</f>
        <v>345309235</v>
      </c>
      <c r="D7596" s="2" t="s">
        <v>5324</v>
      </c>
      <c r="E7596" s="4">
        <v>3000</v>
      </c>
    </row>
    <row r="7597" spans="1:5" ht="26.25" x14ac:dyDescent="0.25">
      <c r="A7597" s="2" t="s">
        <v>13</v>
      </c>
      <c r="B7597" s="2" t="str">
        <f>"765309235"</f>
        <v>765309235</v>
      </c>
      <c r="C7597" s="2" t="str">
        <f>"765309235"</f>
        <v>765309235</v>
      </c>
      <c r="D7597" s="2" t="s">
        <v>5324</v>
      </c>
      <c r="E7597" s="4">
        <v>3000</v>
      </c>
    </row>
    <row r="7598" spans="1:5" ht="26.25" x14ac:dyDescent="0.25">
      <c r="A7598" s="2" t="s">
        <v>13</v>
      </c>
      <c r="B7598" s="2" t="str">
        <f>"763309235"</f>
        <v>763309235</v>
      </c>
      <c r="C7598" s="2" t="str">
        <f>"763309235"</f>
        <v>763309235</v>
      </c>
      <c r="D7598" s="2" t="s">
        <v>5324</v>
      </c>
      <c r="E7598" s="4">
        <v>3000</v>
      </c>
    </row>
    <row r="7599" spans="1:5" ht="26.25" x14ac:dyDescent="0.25">
      <c r="A7599" s="2" t="s">
        <v>13</v>
      </c>
      <c r="B7599" s="2" t="str">
        <f>"17530951"</f>
        <v>17530951</v>
      </c>
      <c r="C7599" s="2" t="str">
        <f>"17530951"</f>
        <v>17530951</v>
      </c>
      <c r="D7599" s="2" t="s">
        <v>5325</v>
      </c>
      <c r="E7599" s="4">
        <v>3000</v>
      </c>
    </row>
    <row r="7600" spans="1:5" ht="26.25" x14ac:dyDescent="0.25">
      <c r="A7600" s="2" t="s">
        <v>13</v>
      </c>
      <c r="B7600" s="2" t="str">
        <f>"34530951"</f>
        <v>34530951</v>
      </c>
      <c r="C7600" s="2" t="str">
        <f>"34530951"</f>
        <v>34530951</v>
      </c>
      <c r="D7600" s="2" t="s">
        <v>5325</v>
      </c>
      <c r="E7600" s="4">
        <v>3000</v>
      </c>
    </row>
    <row r="7601" spans="1:5" ht="26.25" x14ac:dyDescent="0.25">
      <c r="A7601" s="2" t="s">
        <v>13</v>
      </c>
      <c r="B7601" s="2" t="str">
        <f>"76530951"</f>
        <v>76530951</v>
      </c>
      <c r="C7601" s="2" t="str">
        <f>"76530951"</f>
        <v>76530951</v>
      </c>
      <c r="D7601" s="2" t="s">
        <v>5325</v>
      </c>
      <c r="E7601" s="4">
        <v>3000</v>
      </c>
    </row>
    <row r="7602" spans="1:5" ht="26.25" x14ac:dyDescent="0.25">
      <c r="A7602" s="2" t="s">
        <v>13</v>
      </c>
      <c r="B7602" s="2" t="str">
        <f>"763309292"</f>
        <v>763309292</v>
      </c>
      <c r="C7602" s="2" t="str">
        <f>"763309292"</f>
        <v>763309292</v>
      </c>
      <c r="D7602" s="2" t="s">
        <v>5325</v>
      </c>
      <c r="E7602" s="4">
        <v>3000</v>
      </c>
    </row>
    <row r="7603" spans="1:5" ht="26.25" x14ac:dyDescent="0.25">
      <c r="A7603" s="2" t="s">
        <v>13</v>
      </c>
      <c r="B7603" s="2" t="str">
        <f>"343309292"</f>
        <v>343309292</v>
      </c>
      <c r="C7603" s="2" t="str">
        <f>"343309292"</f>
        <v>343309292</v>
      </c>
      <c r="D7603" s="2" t="s">
        <v>5325</v>
      </c>
      <c r="E7603" s="4">
        <v>3000</v>
      </c>
    </row>
    <row r="7604" spans="1:5" ht="26.25" x14ac:dyDescent="0.25">
      <c r="A7604" s="2" t="s">
        <v>13</v>
      </c>
      <c r="B7604" s="2" t="str">
        <f>"613309293"</f>
        <v>613309293</v>
      </c>
      <c r="C7604" s="2" t="str">
        <f>"613309293"</f>
        <v>613309293</v>
      </c>
      <c r="D7604" s="2" t="s">
        <v>5325</v>
      </c>
      <c r="E7604" s="4">
        <v>3000</v>
      </c>
    </row>
    <row r="7605" spans="1:5" ht="26.25" x14ac:dyDescent="0.25">
      <c r="A7605" s="2" t="s">
        <v>13</v>
      </c>
      <c r="B7605" s="2" t="str">
        <f>"693309293"</f>
        <v>693309293</v>
      </c>
      <c r="C7605" s="2" t="str">
        <f>"693309293"</f>
        <v>693309293</v>
      </c>
      <c r="D7605" s="2" t="s">
        <v>5325</v>
      </c>
      <c r="E7605" s="4">
        <v>3000</v>
      </c>
    </row>
    <row r="7606" spans="1:5" ht="26.25" x14ac:dyDescent="0.25">
      <c r="A7606" s="2" t="s">
        <v>13</v>
      </c>
      <c r="B7606" s="2" t="str">
        <f>"613309261"</f>
        <v>613309261</v>
      </c>
      <c r="C7606" s="2" t="str">
        <f>"613309261"</f>
        <v>613309261</v>
      </c>
      <c r="D7606" s="2" t="s">
        <v>5325</v>
      </c>
      <c r="E7606" s="4">
        <v>3000</v>
      </c>
    </row>
    <row r="7607" spans="1:5" ht="26.25" x14ac:dyDescent="0.25">
      <c r="A7607" s="2" t="s">
        <v>13</v>
      </c>
      <c r="B7607" s="2" t="str">
        <f>"693309292"</f>
        <v>693309292</v>
      </c>
      <c r="C7607" s="2" t="str">
        <f>"693309292"</f>
        <v>693309292</v>
      </c>
      <c r="D7607" s="2" t="s">
        <v>5325</v>
      </c>
      <c r="E7607" s="4">
        <v>3000</v>
      </c>
    </row>
    <row r="7608" spans="1:5" ht="26.25" x14ac:dyDescent="0.25">
      <c r="A7608" s="2" t="s">
        <v>13</v>
      </c>
      <c r="B7608" s="2" t="str">
        <f>"2018410300274"</f>
        <v>2018410300274</v>
      </c>
      <c r="C7608" s="2" t="str">
        <f>"183309292"</f>
        <v>183309292</v>
      </c>
      <c r="D7608" s="2" t="s">
        <v>5325</v>
      </c>
      <c r="E7608" s="4">
        <v>3000</v>
      </c>
    </row>
    <row r="7609" spans="1:5" ht="26.25" x14ac:dyDescent="0.25">
      <c r="A7609" s="2" t="s">
        <v>13</v>
      </c>
      <c r="B7609" s="2" t="str">
        <f>"765309292"</f>
        <v>765309292</v>
      </c>
      <c r="C7609" s="2" t="str">
        <f>"765309292"</f>
        <v>765309292</v>
      </c>
      <c r="D7609" s="2" t="s">
        <v>5325</v>
      </c>
      <c r="E7609" s="4">
        <v>3000</v>
      </c>
    </row>
    <row r="7610" spans="1:5" ht="26.25" x14ac:dyDescent="0.25">
      <c r="A7610" s="2" t="s">
        <v>13</v>
      </c>
      <c r="B7610" s="2" t="str">
        <f>"763309331"</f>
        <v>763309331</v>
      </c>
      <c r="C7610" s="2" t="str">
        <f>"763309331"</f>
        <v>763309331</v>
      </c>
      <c r="D7610" s="2" t="s">
        <v>5326</v>
      </c>
      <c r="E7610" s="4">
        <v>3000</v>
      </c>
    </row>
    <row r="7611" spans="1:5" ht="26.25" x14ac:dyDescent="0.25">
      <c r="A7611" s="2" t="s">
        <v>13</v>
      </c>
      <c r="B7611" s="2" t="str">
        <f>"76530989"</f>
        <v>76530989</v>
      </c>
      <c r="C7611" s="2" t="str">
        <f>"76530989"</f>
        <v>76530989</v>
      </c>
      <c r="D7611" s="2" t="s">
        <v>5327</v>
      </c>
      <c r="E7611" s="4">
        <v>3000</v>
      </c>
    </row>
    <row r="7612" spans="1:5" ht="26.25" x14ac:dyDescent="0.25">
      <c r="A7612" s="2" t="s">
        <v>13</v>
      </c>
      <c r="B7612" s="2" t="str">
        <f>"175309204"</f>
        <v>175309204</v>
      </c>
      <c r="C7612" s="2" t="str">
        <f>"175309204"</f>
        <v>175309204</v>
      </c>
      <c r="D7612" s="2" t="s">
        <v>5328</v>
      </c>
      <c r="E7612" s="4">
        <v>3000</v>
      </c>
    </row>
    <row r="7613" spans="1:5" ht="26.25" x14ac:dyDescent="0.25">
      <c r="A7613" s="2" t="s">
        <v>13</v>
      </c>
      <c r="B7613" s="2" t="str">
        <f>"765309187"</f>
        <v>765309187</v>
      </c>
      <c r="C7613" s="2" t="str">
        <f>"765309187"</f>
        <v>765309187</v>
      </c>
      <c r="D7613" s="2" t="s">
        <v>5328</v>
      </c>
      <c r="E7613" s="4">
        <v>3000</v>
      </c>
    </row>
    <row r="7614" spans="1:5" ht="26.25" x14ac:dyDescent="0.25">
      <c r="A7614" s="2" t="s">
        <v>13</v>
      </c>
      <c r="B7614" s="2" t="str">
        <f>"345309271"</f>
        <v>345309271</v>
      </c>
      <c r="C7614" s="2" t="str">
        <f>"345309271"</f>
        <v>345309271</v>
      </c>
      <c r="D7614" s="2" t="s">
        <v>5329</v>
      </c>
      <c r="E7614" s="4">
        <v>3000</v>
      </c>
    </row>
    <row r="7615" spans="1:5" ht="26.25" x14ac:dyDescent="0.25">
      <c r="A7615" s="2" t="s">
        <v>13</v>
      </c>
      <c r="B7615" s="2" t="str">
        <f>"763309271"</f>
        <v>763309271</v>
      </c>
      <c r="C7615" s="2" t="str">
        <f>"763309271"</f>
        <v>763309271</v>
      </c>
      <c r="D7615" s="2" t="s">
        <v>5329</v>
      </c>
      <c r="E7615" s="4">
        <v>3000</v>
      </c>
    </row>
    <row r="7616" spans="1:5" ht="26.25" x14ac:dyDescent="0.25">
      <c r="A7616" s="2" t="s">
        <v>13</v>
      </c>
      <c r="B7616" s="2" t="str">
        <f>"765309271"</f>
        <v>765309271</v>
      </c>
      <c r="C7616" s="2" t="str">
        <f>"765309271"</f>
        <v>765309271</v>
      </c>
      <c r="D7616" s="2" t="s">
        <v>5329</v>
      </c>
      <c r="E7616" s="4">
        <v>3000</v>
      </c>
    </row>
    <row r="7617" spans="1:5" ht="26.25" x14ac:dyDescent="0.25">
      <c r="A7617" s="2" t="s">
        <v>13</v>
      </c>
      <c r="B7617" s="2" t="str">
        <f>"173309277"</f>
        <v>173309277</v>
      </c>
      <c r="C7617" s="2" t="str">
        <f>"173309277"</f>
        <v>173309277</v>
      </c>
      <c r="D7617" s="2" t="s">
        <v>5330</v>
      </c>
      <c r="E7617" s="4">
        <v>3000</v>
      </c>
    </row>
    <row r="7618" spans="1:5" ht="26.25" x14ac:dyDescent="0.25">
      <c r="A7618" s="2" t="s">
        <v>13</v>
      </c>
      <c r="B7618" s="2" t="str">
        <f>"345309277"</f>
        <v>345309277</v>
      </c>
      <c r="C7618" s="2" t="str">
        <f>"345309277"</f>
        <v>345309277</v>
      </c>
      <c r="D7618" s="2" t="s">
        <v>5330</v>
      </c>
      <c r="E7618" s="4">
        <v>3000</v>
      </c>
    </row>
    <row r="7619" spans="1:5" ht="26.25" x14ac:dyDescent="0.25">
      <c r="A7619" s="2" t="s">
        <v>13</v>
      </c>
      <c r="B7619" s="2" t="str">
        <f>"763309277"</f>
        <v>763309277</v>
      </c>
      <c r="C7619" s="2" t="str">
        <f>"763309277"</f>
        <v>763309277</v>
      </c>
      <c r="D7619" s="2" t="s">
        <v>5330</v>
      </c>
      <c r="E7619" s="4">
        <v>3000</v>
      </c>
    </row>
    <row r="7620" spans="1:5" ht="26.25" x14ac:dyDescent="0.25">
      <c r="A7620" s="2" t="s">
        <v>13</v>
      </c>
      <c r="B7620" s="2" t="str">
        <f>"183309277"</f>
        <v>183309277</v>
      </c>
      <c r="C7620" s="2" t="str">
        <f>"183309277"</f>
        <v>183309277</v>
      </c>
      <c r="D7620" s="2" t="s">
        <v>5330</v>
      </c>
      <c r="E7620" s="4">
        <v>3000</v>
      </c>
    </row>
    <row r="7621" spans="1:5" ht="26.25" x14ac:dyDescent="0.25">
      <c r="A7621" s="2" t="s">
        <v>13</v>
      </c>
      <c r="B7621" s="2" t="str">
        <f>"863309277"</f>
        <v>863309277</v>
      </c>
      <c r="C7621" s="2" t="str">
        <f>"863309277"</f>
        <v>863309277</v>
      </c>
      <c r="D7621" s="2" t="s">
        <v>5330</v>
      </c>
      <c r="E7621" s="4">
        <v>3000</v>
      </c>
    </row>
    <row r="7622" spans="1:5" ht="26.25" x14ac:dyDescent="0.25">
      <c r="A7622" s="2" t="s">
        <v>13</v>
      </c>
      <c r="B7622" s="2" t="str">
        <f>"343309285"</f>
        <v>343309285</v>
      </c>
      <c r="C7622" s="2" t="str">
        <f>"343309285"</f>
        <v>343309285</v>
      </c>
      <c r="D7622" s="2" t="s">
        <v>5331</v>
      </c>
      <c r="E7622" s="4">
        <v>3000</v>
      </c>
    </row>
    <row r="7623" spans="1:5" ht="26.25" x14ac:dyDescent="0.25">
      <c r="A7623" s="2" t="s">
        <v>13</v>
      </c>
      <c r="B7623" s="2" t="str">
        <f>"345309285"</f>
        <v>345309285</v>
      </c>
      <c r="C7623" s="2" t="str">
        <f>"345309285"</f>
        <v>345309285</v>
      </c>
      <c r="D7623" s="2" t="s">
        <v>5331</v>
      </c>
      <c r="E7623" s="4">
        <v>3000</v>
      </c>
    </row>
    <row r="7624" spans="1:5" ht="26.25" x14ac:dyDescent="0.25">
      <c r="A7624" s="2" t="s">
        <v>13</v>
      </c>
      <c r="B7624" s="2" t="str">
        <f>"763309285"</f>
        <v>763309285</v>
      </c>
      <c r="C7624" s="2" t="str">
        <f>"763309285"</f>
        <v>763309285</v>
      </c>
      <c r="D7624" s="2" t="s">
        <v>5331</v>
      </c>
      <c r="E7624" s="4">
        <v>3000</v>
      </c>
    </row>
    <row r="7625" spans="1:5" ht="26.25" x14ac:dyDescent="0.25">
      <c r="A7625" s="2" t="s">
        <v>13</v>
      </c>
      <c r="B7625" s="2" t="str">
        <f>"763309286"</f>
        <v>763309286</v>
      </c>
      <c r="C7625" s="2" t="str">
        <f>"763309286"</f>
        <v>763309286</v>
      </c>
      <c r="D7625" s="2" t="s">
        <v>5332</v>
      </c>
      <c r="E7625" s="4">
        <v>3000</v>
      </c>
    </row>
    <row r="7626" spans="1:5" ht="26.25" x14ac:dyDescent="0.25">
      <c r="A7626" s="2" t="s">
        <v>13</v>
      </c>
      <c r="B7626" s="2" t="str">
        <f>"173309286"</f>
        <v>173309286</v>
      </c>
      <c r="C7626" s="2" t="str">
        <f>"173309286"</f>
        <v>173309286</v>
      </c>
      <c r="D7626" s="2" t="s">
        <v>5332</v>
      </c>
      <c r="E7626" s="4">
        <v>3000</v>
      </c>
    </row>
    <row r="7627" spans="1:5" ht="26.25" x14ac:dyDescent="0.25">
      <c r="A7627" s="2" t="s">
        <v>13</v>
      </c>
      <c r="B7627" s="2" t="str">
        <f>"345309250"</f>
        <v>345309250</v>
      </c>
      <c r="C7627" s="2" t="str">
        <f>"345309250"</f>
        <v>345309250</v>
      </c>
      <c r="D7627" s="2" t="s">
        <v>5333</v>
      </c>
      <c r="E7627" s="4">
        <v>3000</v>
      </c>
    </row>
    <row r="7628" spans="1:5" ht="26.25" x14ac:dyDescent="0.25">
      <c r="A7628" s="2" t="s">
        <v>13</v>
      </c>
      <c r="B7628" s="2" t="str">
        <f>"763309250"</f>
        <v>763309250</v>
      </c>
      <c r="C7628" s="2" t="str">
        <f>"763309250"</f>
        <v>763309250</v>
      </c>
      <c r="D7628" s="2" t="s">
        <v>5334</v>
      </c>
      <c r="E7628" s="4">
        <v>3000</v>
      </c>
    </row>
    <row r="7629" spans="1:5" ht="26.25" x14ac:dyDescent="0.25">
      <c r="A7629" s="2" t="s">
        <v>13</v>
      </c>
      <c r="B7629" s="2" t="str">
        <f>"763309173"</f>
        <v>763309173</v>
      </c>
      <c r="C7629" s="2" t="str">
        <f>"763309173"</f>
        <v>763309173</v>
      </c>
      <c r="D7629" s="2" t="s">
        <v>5335</v>
      </c>
      <c r="E7629" s="4">
        <v>3000</v>
      </c>
    </row>
    <row r="7630" spans="1:5" ht="26.25" x14ac:dyDescent="0.25">
      <c r="A7630" s="2" t="s">
        <v>13</v>
      </c>
      <c r="B7630" s="2" t="str">
        <f>"765309173"</f>
        <v>765309173</v>
      </c>
      <c r="C7630" s="2" t="str">
        <f>"765309173"</f>
        <v>765309173</v>
      </c>
      <c r="D7630" s="2" t="s">
        <v>5335</v>
      </c>
      <c r="E7630" s="4">
        <v>3000</v>
      </c>
    </row>
    <row r="7631" spans="1:5" ht="26.25" x14ac:dyDescent="0.25">
      <c r="A7631" s="2" t="s">
        <v>13</v>
      </c>
      <c r="B7631" s="2" t="str">
        <f>"933309277"</f>
        <v>933309277</v>
      </c>
      <c r="C7631" s="2" t="str">
        <f>"933309277"</f>
        <v>933309277</v>
      </c>
      <c r="D7631" s="2" t="s">
        <v>5336</v>
      </c>
      <c r="E7631" s="4">
        <v>3000</v>
      </c>
    </row>
    <row r="7632" spans="1:5" ht="26.25" x14ac:dyDescent="0.25">
      <c r="A7632" s="2" t="s">
        <v>13</v>
      </c>
      <c r="B7632" s="2" t="str">
        <f>"765310274"</f>
        <v>765310274</v>
      </c>
      <c r="C7632" s="2" t="str">
        <f>"765310274"</f>
        <v>765310274</v>
      </c>
      <c r="D7632" s="2" t="s">
        <v>5337</v>
      </c>
      <c r="E7632" s="4">
        <v>3000</v>
      </c>
    </row>
    <row r="7633" spans="1:5" ht="26.25" x14ac:dyDescent="0.25">
      <c r="A7633" s="2" t="s">
        <v>13</v>
      </c>
      <c r="B7633" s="2" t="str">
        <f>"765310231"</f>
        <v>765310231</v>
      </c>
      <c r="C7633" s="2" t="str">
        <f>"765310231"</f>
        <v>765310231</v>
      </c>
      <c r="D7633" s="2" t="s">
        <v>5338</v>
      </c>
      <c r="E7633" s="4">
        <v>3000</v>
      </c>
    </row>
    <row r="7634" spans="1:5" ht="26.25" x14ac:dyDescent="0.25">
      <c r="A7634" s="2" t="s">
        <v>13</v>
      </c>
      <c r="B7634" s="2" t="str">
        <f>"345310121"</f>
        <v>345310121</v>
      </c>
      <c r="C7634" s="2" t="str">
        <f>"345310121"</f>
        <v>345310121</v>
      </c>
      <c r="D7634" s="2" t="s">
        <v>5339</v>
      </c>
      <c r="E7634" s="4">
        <v>3000</v>
      </c>
    </row>
    <row r="7635" spans="1:5" ht="26.25" x14ac:dyDescent="0.25">
      <c r="A7635" s="2" t="s">
        <v>13</v>
      </c>
      <c r="B7635" s="2" t="str">
        <f>"1000001001432"</f>
        <v>1000001001432</v>
      </c>
      <c r="C7635" s="2" t="str">
        <f>"763310297"</f>
        <v>763310297</v>
      </c>
      <c r="D7635" s="2" t="s">
        <v>5340</v>
      </c>
      <c r="E7635" s="4">
        <v>3000</v>
      </c>
    </row>
    <row r="7636" spans="1:5" ht="26.25" x14ac:dyDescent="0.25">
      <c r="A7636" s="2" t="s">
        <v>13</v>
      </c>
      <c r="B7636" s="2" t="str">
        <f>"765310297"</f>
        <v>765310297</v>
      </c>
      <c r="C7636" s="2" t="str">
        <f>"765310297"</f>
        <v>765310297</v>
      </c>
      <c r="D7636" s="2" t="s">
        <v>5340</v>
      </c>
      <c r="E7636" s="4">
        <v>3000</v>
      </c>
    </row>
    <row r="7637" spans="1:5" ht="26.25" x14ac:dyDescent="0.25">
      <c r="A7637" s="2" t="s">
        <v>13</v>
      </c>
      <c r="B7637" s="2" t="str">
        <f>"763310301"</f>
        <v>763310301</v>
      </c>
      <c r="C7637" s="2" t="str">
        <f>"763310301"</f>
        <v>763310301</v>
      </c>
      <c r="D7637" s="2" t="s">
        <v>5341</v>
      </c>
      <c r="E7637" s="4">
        <v>3000</v>
      </c>
    </row>
    <row r="7638" spans="1:5" ht="26.25" x14ac:dyDescent="0.25">
      <c r="A7638" s="2" t="s">
        <v>13</v>
      </c>
      <c r="B7638" s="2" t="str">
        <f>"34531019"</f>
        <v>34531019</v>
      </c>
      <c r="C7638" s="2" t="str">
        <f>"34531019"</f>
        <v>34531019</v>
      </c>
      <c r="D7638" s="2" t="s">
        <v>5342</v>
      </c>
      <c r="E7638" s="4">
        <v>3000</v>
      </c>
    </row>
    <row r="7639" spans="1:5" ht="26.25" x14ac:dyDescent="0.25">
      <c r="A7639" s="2" t="s">
        <v>13</v>
      </c>
      <c r="B7639" s="2" t="str">
        <f>"76531019"</f>
        <v>76531019</v>
      </c>
      <c r="C7639" s="2" t="str">
        <f>"76531019"</f>
        <v>76531019</v>
      </c>
      <c r="D7639" s="2" t="s">
        <v>5342</v>
      </c>
      <c r="E7639" s="4">
        <v>3000</v>
      </c>
    </row>
    <row r="7640" spans="1:5" ht="26.25" x14ac:dyDescent="0.25">
      <c r="A7640" s="2" t="s">
        <v>13</v>
      </c>
      <c r="B7640" s="2" t="str">
        <f>"17531002"</f>
        <v>17531002</v>
      </c>
      <c r="C7640" s="2" t="str">
        <f>"17531002"</f>
        <v>17531002</v>
      </c>
      <c r="D7640" s="2" t="s">
        <v>5343</v>
      </c>
      <c r="E7640" s="4">
        <v>3000</v>
      </c>
    </row>
    <row r="7641" spans="1:5" ht="26.25" x14ac:dyDescent="0.25">
      <c r="A7641" s="2" t="s">
        <v>13</v>
      </c>
      <c r="B7641" s="2" t="str">
        <f>"34531002"</f>
        <v>34531002</v>
      </c>
      <c r="C7641" s="2" t="str">
        <f>"34531002"</f>
        <v>34531002</v>
      </c>
      <c r="D7641" s="2" t="s">
        <v>5343</v>
      </c>
      <c r="E7641" s="4">
        <v>3000</v>
      </c>
    </row>
    <row r="7642" spans="1:5" ht="26.25" x14ac:dyDescent="0.25">
      <c r="A7642" s="2" t="s">
        <v>13</v>
      </c>
      <c r="B7642" s="2" t="str">
        <f>"76531002"</f>
        <v>76531002</v>
      </c>
      <c r="C7642" s="2" t="str">
        <f>"76531002"</f>
        <v>76531002</v>
      </c>
      <c r="D7642" s="2" t="s">
        <v>5343</v>
      </c>
      <c r="E7642" s="4">
        <v>3000</v>
      </c>
    </row>
    <row r="7643" spans="1:5" ht="26.25" x14ac:dyDescent="0.25">
      <c r="A7643" s="2" t="s">
        <v>13</v>
      </c>
      <c r="B7643" s="2" t="str">
        <f>"76331002"</f>
        <v>76331002</v>
      </c>
      <c r="C7643" s="2" t="str">
        <f>"76331002"</f>
        <v>76331002</v>
      </c>
      <c r="D7643" s="2" t="s">
        <v>5343</v>
      </c>
      <c r="E7643" s="4">
        <v>3000</v>
      </c>
    </row>
    <row r="7644" spans="1:5" ht="26.25" x14ac:dyDescent="0.25">
      <c r="A7644" s="2" t="s">
        <v>13</v>
      </c>
      <c r="B7644" s="2" t="str">
        <f>"683310304"</f>
        <v>683310304</v>
      </c>
      <c r="C7644" s="2" t="str">
        <f>"683310304"</f>
        <v>683310304</v>
      </c>
      <c r="D7644" s="2" t="s">
        <v>5344</v>
      </c>
      <c r="E7644" s="4">
        <v>3000</v>
      </c>
    </row>
    <row r="7645" spans="1:5" ht="26.25" x14ac:dyDescent="0.25">
      <c r="A7645" s="2" t="s">
        <v>13</v>
      </c>
      <c r="B7645" s="2" t="str">
        <f>"765310304"</f>
        <v>765310304</v>
      </c>
      <c r="C7645" s="2" t="str">
        <f>"765310304"</f>
        <v>765310304</v>
      </c>
      <c r="D7645" s="2" t="s">
        <v>5344</v>
      </c>
      <c r="E7645" s="4">
        <v>3000</v>
      </c>
    </row>
    <row r="7646" spans="1:5" ht="26.25" x14ac:dyDescent="0.25">
      <c r="A7646" s="2" t="s">
        <v>13</v>
      </c>
      <c r="B7646" s="2" t="str">
        <f>"763310304"</f>
        <v>763310304</v>
      </c>
      <c r="C7646" s="2" t="str">
        <f>"763310304"</f>
        <v>763310304</v>
      </c>
      <c r="D7646" s="2" t="s">
        <v>5344</v>
      </c>
      <c r="E7646" s="4">
        <v>3000</v>
      </c>
    </row>
    <row r="7647" spans="1:5" ht="26.25" x14ac:dyDescent="0.25">
      <c r="A7647" s="2" t="s">
        <v>13</v>
      </c>
      <c r="B7647" s="2" t="str">
        <f>"173310304"</f>
        <v>173310304</v>
      </c>
      <c r="C7647" s="2" t="str">
        <f>"173310304"</f>
        <v>173310304</v>
      </c>
      <c r="D7647" s="2" t="s">
        <v>5344</v>
      </c>
      <c r="E7647" s="4">
        <v>3000</v>
      </c>
    </row>
    <row r="7648" spans="1:5" ht="26.25" x14ac:dyDescent="0.25">
      <c r="A7648" s="2" t="s">
        <v>13</v>
      </c>
      <c r="B7648" s="2" t="str">
        <f>"763310306"</f>
        <v>763310306</v>
      </c>
      <c r="C7648" s="2" t="str">
        <f>"763310306"</f>
        <v>763310306</v>
      </c>
      <c r="D7648" s="2" t="s">
        <v>5345</v>
      </c>
      <c r="E7648" s="4">
        <v>3000</v>
      </c>
    </row>
    <row r="7649" spans="1:5" ht="26.25" x14ac:dyDescent="0.25">
      <c r="A7649" s="2" t="s">
        <v>13</v>
      </c>
      <c r="B7649" s="2" t="str">
        <f>"683310306"</f>
        <v>683310306</v>
      </c>
      <c r="C7649" s="2" t="str">
        <f>"683310306"</f>
        <v>683310306</v>
      </c>
      <c r="D7649" s="2" t="s">
        <v>5345</v>
      </c>
      <c r="E7649" s="4">
        <v>3000</v>
      </c>
    </row>
    <row r="7650" spans="1:5" ht="26.25" x14ac:dyDescent="0.25">
      <c r="A7650" s="2" t="s">
        <v>13</v>
      </c>
      <c r="B7650" s="2" t="str">
        <f>"343310306"</f>
        <v>343310306</v>
      </c>
      <c r="C7650" s="2" t="str">
        <f>"343310306"</f>
        <v>343310306</v>
      </c>
      <c r="D7650" s="2" t="s">
        <v>5345</v>
      </c>
      <c r="E7650" s="4">
        <v>3000</v>
      </c>
    </row>
    <row r="7651" spans="1:5" ht="26.25" x14ac:dyDescent="0.25">
      <c r="A7651" s="2" t="s">
        <v>13</v>
      </c>
      <c r="B7651" s="2" t="str">
        <f>"765310306"</f>
        <v>765310306</v>
      </c>
      <c r="C7651" s="2" t="str">
        <f>"765310306"</f>
        <v>765310306</v>
      </c>
      <c r="D7651" s="2" t="s">
        <v>5345</v>
      </c>
      <c r="E7651" s="4">
        <v>3000</v>
      </c>
    </row>
    <row r="7652" spans="1:5" ht="26.25" x14ac:dyDescent="0.25">
      <c r="A7652" s="2" t="s">
        <v>13</v>
      </c>
      <c r="B7652" s="2" t="str">
        <f>"173310306"</f>
        <v>173310306</v>
      </c>
      <c r="C7652" s="2" t="str">
        <f>"173310306"</f>
        <v>173310306</v>
      </c>
      <c r="D7652" s="2" t="s">
        <v>5345</v>
      </c>
      <c r="E7652" s="4">
        <v>3000</v>
      </c>
    </row>
    <row r="7653" spans="1:5" ht="26.25" x14ac:dyDescent="0.25">
      <c r="A7653" s="2" t="s">
        <v>13</v>
      </c>
      <c r="B7653" s="2" t="str">
        <f>"173310311"</f>
        <v>173310311</v>
      </c>
      <c r="C7653" s="2" t="str">
        <f>"173310311"</f>
        <v>173310311</v>
      </c>
      <c r="D7653" s="2" t="s">
        <v>5346</v>
      </c>
      <c r="E7653" s="4">
        <v>3000</v>
      </c>
    </row>
    <row r="7654" spans="1:5" ht="26.25" x14ac:dyDescent="0.25">
      <c r="A7654" s="2" t="s">
        <v>13</v>
      </c>
      <c r="B7654" s="2" t="str">
        <f>"763310311"</f>
        <v>763310311</v>
      </c>
      <c r="C7654" s="2" t="str">
        <f>"763310311"</f>
        <v>763310311</v>
      </c>
      <c r="D7654" s="2" t="s">
        <v>5346</v>
      </c>
      <c r="E7654" s="4">
        <v>3000</v>
      </c>
    </row>
    <row r="7655" spans="1:5" ht="26.25" x14ac:dyDescent="0.25">
      <c r="A7655" s="2" t="s">
        <v>13</v>
      </c>
      <c r="B7655" s="2" t="str">
        <f>"343310311"</f>
        <v>343310311</v>
      </c>
      <c r="C7655" s="2" t="str">
        <f>"343310311"</f>
        <v>343310311</v>
      </c>
      <c r="D7655" s="2" t="s">
        <v>5346</v>
      </c>
      <c r="E7655" s="4">
        <v>3000</v>
      </c>
    </row>
    <row r="7656" spans="1:5" ht="26.25" x14ac:dyDescent="0.25">
      <c r="A7656" s="2" t="s">
        <v>13</v>
      </c>
      <c r="B7656" s="2" t="str">
        <f>"763310310"</f>
        <v>763310310</v>
      </c>
      <c r="C7656" s="2" t="str">
        <f>"763310310"</f>
        <v>763310310</v>
      </c>
      <c r="D7656" s="2" t="s">
        <v>5347</v>
      </c>
      <c r="E7656" s="4">
        <v>3000</v>
      </c>
    </row>
    <row r="7657" spans="1:5" ht="26.25" x14ac:dyDescent="0.25">
      <c r="A7657" s="2" t="s">
        <v>13</v>
      </c>
      <c r="B7657" s="2" t="str">
        <f>"1578151124499"</f>
        <v>1578151124499</v>
      </c>
      <c r="C7657" s="2" t="str">
        <f>"61330593"</f>
        <v>61330593</v>
      </c>
      <c r="D7657" s="2" t="s">
        <v>5348</v>
      </c>
      <c r="E7657" s="4">
        <v>3000</v>
      </c>
    </row>
    <row r="7658" spans="1:5" ht="26.25" x14ac:dyDescent="0.25">
      <c r="A7658" s="2" t="s">
        <v>13</v>
      </c>
      <c r="B7658" s="2" t="str">
        <f>"2019120100208"</f>
        <v>2019120100208</v>
      </c>
      <c r="C7658" s="2" t="str">
        <f>"183310318"</f>
        <v>183310318</v>
      </c>
      <c r="D7658" s="2" t="s">
        <v>5348</v>
      </c>
      <c r="E7658" s="4">
        <v>3000</v>
      </c>
    </row>
    <row r="7659" spans="1:5" ht="26.25" x14ac:dyDescent="0.25">
      <c r="A7659" s="2" t="s">
        <v>13</v>
      </c>
      <c r="B7659" s="2" t="str">
        <f>"343310318"</f>
        <v>343310318</v>
      </c>
      <c r="C7659" s="2" t="str">
        <f>"343310318"</f>
        <v>343310318</v>
      </c>
      <c r="D7659" s="2" t="s">
        <v>5348</v>
      </c>
      <c r="E7659" s="4">
        <v>3000</v>
      </c>
    </row>
    <row r="7660" spans="1:5" ht="26.25" x14ac:dyDescent="0.25">
      <c r="A7660" s="2" t="s">
        <v>13</v>
      </c>
      <c r="B7660" s="2" t="str">
        <f>"763310308"</f>
        <v>763310308</v>
      </c>
      <c r="C7660" s="2" t="str">
        <f>"763310308"</f>
        <v>763310308</v>
      </c>
      <c r="D7660" s="2" t="s">
        <v>5349</v>
      </c>
      <c r="E7660" s="4">
        <v>3000</v>
      </c>
    </row>
    <row r="7661" spans="1:5" ht="26.25" x14ac:dyDescent="0.25">
      <c r="A7661" s="2" t="s">
        <v>13</v>
      </c>
      <c r="B7661" s="2" t="str">
        <f>"173310308"</f>
        <v>173310308</v>
      </c>
      <c r="C7661" s="2" t="str">
        <f>"173310308"</f>
        <v>173310308</v>
      </c>
      <c r="D7661" s="2" t="s">
        <v>5349</v>
      </c>
      <c r="E7661" s="4">
        <v>3000</v>
      </c>
    </row>
    <row r="7662" spans="1:5" ht="26.25" x14ac:dyDescent="0.25">
      <c r="A7662" s="2" t="s">
        <v>13</v>
      </c>
      <c r="B7662" s="2" t="str">
        <f>"683310308"</f>
        <v>683310308</v>
      </c>
      <c r="C7662" s="2" t="str">
        <f>"683310308"</f>
        <v>683310308</v>
      </c>
      <c r="D7662" s="2" t="s">
        <v>5349</v>
      </c>
      <c r="E7662" s="4">
        <v>3000</v>
      </c>
    </row>
    <row r="7663" spans="1:5" ht="26.25" x14ac:dyDescent="0.25">
      <c r="A7663" s="2" t="s">
        <v>13</v>
      </c>
      <c r="B7663" s="2" t="str">
        <f>"2020060901169"</f>
        <v>2020060901169</v>
      </c>
      <c r="C7663" s="2" t="str">
        <f>"183310323"</f>
        <v>183310323</v>
      </c>
      <c r="D7663" s="2" t="s">
        <v>5349</v>
      </c>
      <c r="E7663" s="4">
        <v>3000</v>
      </c>
    </row>
    <row r="7664" spans="1:5" ht="26.25" x14ac:dyDescent="0.25">
      <c r="A7664" s="2" t="s">
        <v>13</v>
      </c>
      <c r="B7664" s="2" t="str">
        <f>"17531059"</f>
        <v>17531059</v>
      </c>
      <c r="C7664" s="2" t="str">
        <f>"17531059"</f>
        <v>17531059</v>
      </c>
      <c r="D7664" s="2" t="s">
        <v>5350</v>
      </c>
      <c r="E7664" s="4">
        <v>3000</v>
      </c>
    </row>
    <row r="7665" spans="1:5" ht="26.25" x14ac:dyDescent="0.25">
      <c r="A7665" s="2" t="s">
        <v>13</v>
      </c>
      <c r="B7665" s="2" t="str">
        <f>"34531058"</f>
        <v>34531058</v>
      </c>
      <c r="C7665" s="2" t="str">
        <f>"34531058"</f>
        <v>34531058</v>
      </c>
      <c r="D7665" s="2" t="s">
        <v>5350</v>
      </c>
      <c r="E7665" s="4">
        <v>3000</v>
      </c>
    </row>
    <row r="7666" spans="1:5" ht="26.25" x14ac:dyDescent="0.25">
      <c r="A7666" s="2" t="s">
        <v>13</v>
      </c>
      <c r="B7666" s="2" t="str">
        <f>"34531059"</f>
        <v>34531059</v>
      </c>
      <c r="C7666" s="2" t="str">
        <f>"34531059"</f>
        <v>34531059</v>
      </c>
      <c r="D7666" s="2" t="s">
        <v>5350</v>
      </c>
      <c r="E7666" s="4">
        <v>3000</v>
      </c>
    </row>
    <row r="7667" spans="1:5" ht="26.25" x14ac:dyDescent="0.25">
      <c r="A7667" s="2" t="s">
        <v>13</v>
      </c>
      <c r="B7667" s="2" t="str">
        <f>"76331059"</f>
        <v>76331059</v>
      </c>
      <c r="C7667" s="2" t="str">
        <f>"76331059"</f>
        <v>76331059</v>
      </c>
      <c r="D7667" s="2" t="s">
        <v>5350</v>
      </c>
      <c r="E7667" s="4">
        <v>3000</v>
      </c>
    </row>
    <row r="7668" spans="1:5" ht="26.25" x14ac:dyDescent="0.25">
      <c r="A7668" s="2" t="s">
        <v>13</v>
      </c>
      <c r="B7668" s="2" t="str">
        <f>"76531032"</f>
        <v>76531032</v>
      </c>
      <c r="C7668" s="2" t="str">
        <f>"76531032"</f>
        <v>76531032</v>
      </c>
      <c r="D7668" s="2" t="s">
        <v>5350</v>
      </c>
      <c r="E7668" s="4">
        <v>3000</v>
      </c>
    </row>
    <row r="7669" spans="1:5" ht="26.25" x14ac:dyDescent="0.25">
      <c r="A7669" s="2" t="s">
        <v>13</v>
      </c>
      <c r="B7669" s="2" t="str">
        <f>"76531059"</f>
        <v>76531059</v>
      </c>
      <c r="C7669" s="2" t="str">
        <f>"76531059"</f>
        <v>76531059</v>
      </c>
      <c r="D7669" s="2" t="s">
        <v>5350</v>
      </c>
      <c r="E7669" s="4">
        <v>3000</v>
      </c>
    </row>
    <row r="7670" spans="1:5" ht="26.25" x14ac:dyDescent="0.25">
      <c r="A7670" s="2" t="s">
        <v>13</v>
      </c>
      <c r="B7670" s="2" t="str">
        <f>"34530962"</f>
        <v>34530962</v>
      </c>
      <c r="C7670" s="2" t="str">
        <f>"34530962"</f>
        <v>34530962</v>
      </c>
      <c r="D7670" s="2" t="s">
        <v>5351</v>
      </c>
      <c r="E7670" s="4">
        <v>3000</v>
      </c>
    </row>
    <row r="7671" spans="1:5" ht="26.25" x14ac:dyDescent="0.25">
      <c r="A7671" s="2" t="s">
        <v>13</v>
      </c>
      <c r="B7671" s="2" t="str">
        <f>"34531062"</f>
        <v>34531062</v>
      </c>
      <c r="C7671" s="2" t="str">
        <f>"34531062"</f>
        <v>34531062</v>
      </c>
      <c r="D7671" s="2" t="s">
        <v>5351</v>
      </c>
      <c r="E7671" s="4">
        <v>3000</v>
      </c>
    </row>
    <row r="7672" spans="1:5" ht="26.25" x14ac:dyDescent="0.25">
      <c r="A7672" s="2" t="s">
        <v>13</v>
      </c>
      <c r="B7672" s="2" t="str">
        <f>"76531062"</f>
        <v>76531062</v>
      </c>
      <c r="C7672" s="2" t="str">
        <f>"76531062"</f>
        <v>76531062</v>
      </c>
      <c r="D7672" s="2" t="s">
        <v>5351</v>
      </c>
      <c r="E7672" s="4">
        <v>3000</v>
      </c>
    </row>
    <row r="7673" spans="1:5" ht="26.25" x14ac:dyDescent="0.25">
      <c r="A7673" s="2" t="s">
        <v>13</v>
      </c>
      <c r="B7673" s="2" t="str">
        <f>"345310190"</f>
        <v>345310190</v>
      </c>
      <c r="C7673" s="2" t="str">
        <f>"345310190"</f>
        <v>345310190</v>
      </c>
      <c r="D7673" s="2" t="s">
        <v>5352</v>
      </c>
      <c r="E7673" s="4">
        <v>3000</v>
      </c>
    </row>
    <row r="7674" spans="1:5" ht="26.25" x14ac:dyDescent="0.25">
      <c r="A7674" s="2" t="s">
        <v>13</v>
      </c>
      <c r="B7674" s="2" t="str">
        <f>"7653102231"</f>
        <v>7653102231</v>
      </c>
      <c r="C7674" s="2" t="str">
        <f>"7653102231"</f>
        <v>7653102231</v>
      </c>
      <c r="D7674" s="2" t="s">
        <v>5353</v>
      </c>
      <c r="E7674" s="4">
        <v>3000</v>
      </c>
    </row>
    <row r="7675" spans="1:5" ht="26.25" x14ac:dyDescent="0.25">
      <c r="A7675" s="2" t="s">
        <v>13</v>
      </c>
      <c r="B7675" s="2" t="str">
        <f>"34331062"</f>
        <v>34331062</v>
      </c>
      <c r="C7675" s="2" t="str">
        <f>"34331062"</f>
        <v>34331062</v>
      </c>
      <c r="D7675" s="2" t="s">
        <v>5354</v>
      </c>
      <c r="E7675" s="4">
        <v>3000</v>
      </c>
    </row>
    <row r="7676" spans="1:5" ht="26.25" x14ac:dyDescent="0.25">
      <c r="A7676" s="2" t="s">
        <v>13</v>
      </c>
      <c r="B7676" s="2" t="str">
        <f>"76331062"</f>
        <v>76331062</v>
      </c>
      <c r="C7676" s="2" t="str">
        <f>"76331062"</f>
        <v>76331062</v>
      </c>
      <c r="D7676" s="2" t="s">
        <v>5354</v>
      </c>
      <c r="E7676" s="4">
        <v>3000</v>
      </c>
    </row>
    <row r="7677" spans="1:5" ht="26.25" x14ac:dyDescent="0.25">
      <c r="A7677" s="2" t="s">
        <v>13</v>
      </c>
      <c r="B7677" s="2" t="str">
        <f>"334531062"</f>
        <v>334531062</v>
      </c>
      <c r="C7677" s="2" t="str">
        <f>"334531062"</f>
        <v>334531062</v>
      </c>
      <c r="D7677" s="2" t="s">
        <v>5354</v>
      </c>
      <c r="E7677" s="4">
        <v>3000</v>
      </c>
    </row>
    <row r="7678" spans="1:5" ht="26.25" x14ac:dyDescent="0.25">
      <c r="A7678" s="2" t="s">
        <v>13</v>
      </c>
      <c r="B7678" s="2" t="str">
        <f>"68331062"</f>
        <v>68331062</v>
      </c>
      <c r="C7678" s="2" t="str">
        <f>"68331062"</f>
        <v>68331062</v>
      </c>
      <c r="D7678" s="2" t="s">
        <v>5354</v>
      </c>
      <c r="E7678" s="4">
        <v>3000</v>
      </c>
    </row>
    <row r="7679" spans="1:5" ht="26.25" x14ac:dyDescent="0.25">
      <c r="A7679" s="2" t="s">
        <v>13</v>
      </c>
      <c r="B7679" s="2" t="str">
        <f>"17531064"</f>
        <v>17531064</v>
      </c>
      <c r="C7679" s="2" t="str">
        <f>"17531064"</f>
        <v>17531064</v>
      </c>
      <c r="D7679" s="2" t="s">
        <v>5355</v>
      </c>
      <c r="E7679" s="4">
        <v>3000</v>
      </c>
    </row>
    <row r="7680" spans="1:5" ht="26.25" x14ac:dyDescent="0.25">
      <c r="A7680" s="2" t="s">
        <v>13</v>
      </c>
      <c r="B7680" s="2" t="str">
        <f>"34531064"</f>
        <v>34531064</v>
      </c>
      <c r="C7680" s="2" t="str">
        <f>"34531064"</f>
        <v>34531064</v>
      </c>
      <c r="D7680" s="2" t="s">
        <v>5355</v>
      </c>
      <c r="E7680" s="4">
        <v>5000</v>
      </c>
    </row>
    <row r="7681" spans="1:5" ht="26.25" x14ac:dyDescent="0.25">
      <c r="A7681" s="2" t="s">
        <v>13</v>
      </c>
      <c r="B7681" s="2" t="str">
        <f>"76331064"</f>
        <v>76331064</v>
      </c>
      <c r="C7681" s="2" t="str">
        <f>"76331064"</f>
        <v>76331064</v>
      </c>
      <c r="D7681" s="2" t="s">
        <v>5355</v>
      </c>
      <c r="E7681" s="4">
        <v>3000</v>
      </c>
    </row>
    <row r="7682" spans="1:5" ht="26.25" x14ac:dyDescent="0.25">
      <c r="A7682" s="2" t="s">
        <v>13</v>
      </c>
      <c r="B7682" s="2" t="str">
        <f>"76531064"</f>
        <v>76531064</v>
      </c>
      <c r="C7682" s="2" t="str">
        <f>"76531064"</f>
        <v>76531064</v>
      </c>
      <c r="D7682" s="2" t="s">
        <v>5355</v>
      </c>
      <c r="E7682" s="4">
        <v>3000</v>
      </c>
    </row>
    <row r="7683" spans="1:5" ht="26.25" x14ac:dyDescent="0.25">
      <c r="A7683" s="2" t="s">
        <v>13</v>
      </c>
      <c r="B7683" s="2" t="str">
        <f>"765310190"</f>
        <v>765310190</v>
      </c>
      <c r="C7683" s="2" t="str">
        <f>"765310190"</f>
        <v>765310190</v>
      </c>
      <c r="D7683" s="2" t="s">
        <v>5355</v>
      </c>
      <c r="E7683" s="4">
        <v>3000</v>
      </c>
    </row>
    <row r="7684" spans="1:5" ht="26.25" x14ac:dyDescent="0.25">
      <c r="A7684" s="2" t="s">
        <v>13</v>
      </c>
      <c r="B7684" s="2" t="str">
        <f>"93331064"</f>
        <v>93331064</v>
      </c>
      <c r="C7684" s="2" t="str">
        <f>"93331064"</f>
        <v>93331064</v>
      </c>
      <c r="D7684" s="2" t="s">
        <v>5355</v>
      </c>
      <c r="E7684" s="4">
        <v>3000</v>
      </c>
    </row>
    <row r="7685" spans="1:5" ht="26.25" x14ac:dyDescent="0.25">
      <c r="A7685" s="2" t="s">
        <v>13</v>
      </c>
      <c r="B7685" s="2" t="str">
        <f>"17331064"</f>
        <v>17331064</v>
      </c>
      <c r="C7685" s="2" t="str">
        <f>"17331064"</f>
        <v>17331064</v>
      </c>
      <c r="D7685" s="2" t="s">
        <v>5355</v>
      </c>
      <c r="E7685" s="4">
        <v>3000</v>
      </c>
    </row>
    <row r="7686" spans="1:5" ht="26.25" x14ac:dyDescent="0.25">
      <c r="A7686" s="2" t="s">
        <v>13</v>
      </c>
      <c r="B7686" s="2" t="str">
        <f>"345310231"</f>
        <v>345310231</v>
      </c>
      <c r="C7686" s="2" t="str">
        <f>"345310231"</f>
        <v>345310231</v>
      </c>
      <c r="D7686" s="2" t="s">
        <v>5338</v>
      </c>
      <c r="E7686" s="4">
        <v>3000</v>
      </c>
    </row>
    <row r="7687" spans="1:5" ht="26.25" x14ac:dyDescent="0.25">
      <c r="A7687" s="2" t="s">
        <v>13</v>
      </c>
      <c r="B7687" s="2" t="str">
        <f>"763310231"</f>
        <v>763310231</v>
      </c>
      <c r="C7687" s="2" t="str">
        <f>"763310231"</f>
        <v>763310231</v>
      </c>
      <c r="D7687" s="2" t="s">
        <v>5338</v>
      </c>
      <c r="E7687" s="4">
        <v>3000</v>
      </c>
    </row>
    <row r="7688" spans="1:5" ht="26.25" x14ac:dyDescent="0.25">
      <c r="A7688" s="2" t="s">
        <v>13</v>
      </c>
      <c r="B7688" s="2" t="str">
        <f>"933310231"</f>
        <v>933310231</v>
      </c>
      <c r="C7688" s="2" t="str">
        <f>"933310231"</f>
        <v>933310231</v>
      </c>
      <c r="D7688" s="2" t="s">
        <v>5338</v>
      </c>
      <c r="E7688" s="4">
        <v>3000</v>
      </c>
    </row>
    <row r="7689" spans="1:5" ht="26.25" x14ac:dyDescent="0.25">
      <c r="A7689" s="2" t="s">
        <v>13</v>
      </c>
      <c r="B7689" s="2" t="str">
        <f>"173310231"</f>
        <v>173310231</v>
      </c>
      <c r="C7689" s="2" t="str">
        <f>"173310231"</f>
        <v>173310231</v>
      </c>
      <c r="D7689" s="2" t="s">
        <v>5338</v>
      </c>
      <c r="E7689" s="4">
        <v>3000</v>
      </c>
    </row>
    <row r="7690" spans="1:5" ht="26.25" x14ac:dyDescent="0.25">
      <c r="A7690" s="2" t="s">
        <v>13</v>
      </c>
      <c r="B7690" s="2" t="str">
        <f>"325310268"</f>
        <v>325310268</v>
      </c>
      <c r="C7690" s="2" t="str">
        <f>"325310268"</f>
        <v>325310268</v>
      </c>
      <c r="D7690" s="2" t="s">
        <v>5356</v>
      </c>
      <c r="E7690" s="4">
        <v>3000</v>
      </c>
    </row>
    <row r="7691" spans="1:5" ht="26.25" x14ac:dyDescent="0.25">
      <c r="A7691" s="2" t="s">
        <v>13</v>
      </c>
      <c r="B7691" s="2" t="str">
        <f>"343310268"</f>
        <v>343310268</v>
      </c>
      <c r="C7691" s="2" t="str">
        <f>"343310268"</f>
        <v>343310268</v>
      </c>
      <c r="D7691" s="2" t="s">
        <v>5356</v>
      </c>
      <c r="E7691" s="4">
        <v>3000</v>
      </c>
    </row>
    <row r="7692" spans="1:5" ht="26.25" x14ac:dyDescent="0.25">
      <c r="A7692" s="2" t="s">
        <v>13</v>
      </c>
      <c r="B7692" s="2" t="str">
        <f>"345310268"</f>
        <v>345310268</v>
      </c>
      <c r="C7692" s="2" t="str">
        <f>"345310268"</f>
        <v>345310268</v>
      </c>
      <c r="D7692" s="2" t="s">
        <v>5356</v>
      </c>
      <c r="E7692" s="4">
        <v>3000</v>
      </c>
    </row>
    <row r="7693" spans="1:5" ht="26.25" x14ac:dyDescent="0.25">
      <c r="A7693" s="2" t="s">
        <v>13</v>
      </c>
      <c r="B7693" s="2" t="str">
        <f>"763310268"</f>
        <v>763310268</v>
      </c>
      <c r="C7693" s="2" t="str">
        <f>"763310268"</f>
        <v>763310268</v>
      </c>
      <c r="D7693" s="2" t="s">
        <v>5356</v>
      </c>
      <c r="E7693" s="4">
        <v>3000</v>
      </c>
    </row>
    <row r="7694" spans="1:5" ht="26.25" x14ac:dyDescent="0.25">
      <c r="A7694" s="2" t="s">
        <v>13</v>
      </c>
      <c r="B7694" s="2" t="str">
        <f>"765310268"</f>
        <v>765310268</v>
      </c>
      <c r="C7694" s="2" t="str">
        <f>"765310268"</f>
        <v>765310268</v>
      </c>
      <c r="D7694" s="2" t="s">
        <v>5356</v>
      </c>
      <c r="E7694" s="4">
        <v>3000</v>
      </c>
    </row>
    <row r="7695" spans="1:5" ht="26.25" x14ac:dyDescent="0.25">
      <c r="A7695" s="2" t="s">
        <v>13</v>
      </c>
      <c r="B7695" s="2" t="str">
        <f>"343310234"</f>
        <v>343310234</v>
      </c>
      <c r="C7695" s="2" t="str">
        <f>"343310234"</f>
        <v>343310234</v>
      </c>
      <c r="D7695" s="2" t="s">
        <v>5357</v>
      </c>
      <c r="E7695" s="4">
        <v>3000</v>
      </c>
    </row>
    <row r="7696" spans="1:5" ht="26.25" x14ac:dyDescent="0.25">
      <c r="A7696" s="2" t="s">
        <v>13</v>
      </c>
      <c r="B7696" s="2" t="str">
        <f>"345310234"</f>
        <v>345310234</v>
      </c>
      <c r="C7696" s="2" t="str">
        <f>"345310234"</f>
        <v>345310234</v>
      </c>
      <c r="D7696" s="2" t="s">
        <v>5357</v>
      </c>
      <c r="E7696" s="4">
        <v>3000</v>
      </c>
    </row>
    <row r="7697" spans="1:5" ht="26.25" x14ac:dyDescent="0.25">
      <c r="A7697" s="2" t="s">
        <v>13</v>
      </c>
      <c r="B7697" s="2" t="str">
        <f>"763310234"</f>
        <v>763310234</v>
      </c>
      <c r="C7697" s="2" t="str">
        <f>"763310234"</f>
        <v>763310234</v>
      </c>
      <c r="D7697" s="2" t="s">
        <v>5357</v>
      </c>
      <c r="E7697" s="4">
        <v>3000</v>
      </c>
    </row>
    <row r="7698" spans="1:5" ht="26.25" x14ac:dyDescent="0.25">
      <c r="A7698" s="2" t="s">
        <v>13</v>
      </c>
      <c r="B7698" s="2" t="str">
        <f>"765310234"</f>
        <v>765310234</v>
      </c>
      <c r="C7698" s="2" t="str">
        <f>"765310234"</f>
        <v>765310234</v>
      </c>
      <c r="D7698" s="2" t="s">
        <v>5357</v>
      </c>
      <c r="E7698" s="4">
        <v>3000</v>
      </c>
    </row>
    <row r="7699" spans="1:5" ht="26.25" x14ac:dyDescent="0.25">
      <c r="A7699" s="2" t="s">
        <v>13</v>
      </c>
      <c r="B7699" s="2" t="str">
        <f>"863310234"</f>
        <v>863310234</v>
      </c>
      <c r="C7699" s="2" t="str">
        <f>"863310234"</f>
        <v>863310234</v>
      </c>
      <c r="D7699" s="2" t="s">
        <v>5357</v>
      </c>
      <c r="E7699" s="4">
        <v>3000</v>
      </c>
    </row>
    <row r="7700" spans="1:5" ht="26.25" x14ac:dyDescent="0.25">
      <c r="A7700" s="2" t="s">
        <v>13</v>
      </c>
      <c r="B7700" s="2" t="str">
        <f>"763310295"</f>
        <v>763310295</v>
      </c>
      <c r="C7700" s="2" t="str">
        <f>"763310295"</f>
        <v>763310295</v>
      </c>
      <c r="D7700" s="2" t="s">
        <v>5358</v>
      </c>
      <c r="E7700" s="4">
        <v>3000</v>
      </c>
    </row>
    <row r="7701" spans="1:5" ht="26.25" x14ac:dyDescent="0.25">
      <c r="A7701" s="2" t="s">
        <v>13</v>
      </c>
      <c r="B7701" s="2" t="str">
        <f>"765310295"</f>
        <v>765310295</v>
      </c>
      <c r="C7701" s="2" t="str">
        <f>"765310295"</f>
        <v>765310295</v>
      </c>
      <c r="D7701" s="2" t="s">
        <v>5358</v>
      </c>
      <c r="E7701" s="4">
        <v>3000</v>
      </c>
    </row>
    <row r="7702" spans="1:5" ht="26.25" x14ac:dyDescent="0.25">
      <c r="A7702" s="2" t="s">
        <v>13</v>
      </c>
      <c r="B7702" s="2" t="str">
        <f>"343310295"</f>
        <v>343310295</v>
      </c>
      <c r="C7702" s="2" t="str">
        <f>"343310295"</f>
        <v>343310295</v>
      </c>
      <c r="D7702" s="2" t="s">
        <v>5358</v>
      </c>
      <c r="E7702" s="4">
        <v>3000</v>
      </c>
    </row>
    <row r="7703" spans="1:5" ht="26.25" x14ac:dyDescent="0.25">
      <c r="A7703" s="2" t="s">
        <v>13</v>
      </c>
      <c r="B7703" s="2" t="str">
        <f>"763310296"</f>
        <v>763310296</v>
      </c>
      <c r="C7703" s="2" t="str">
        <f>"763310296"</f>
        <v>763310296</v>
      </c>
      <c r="D7703" s="2" t="s">
        <v>5359</v>
      </c>
      <c r="E7703" s="4">
        <v>3000</v>
      </c>
    </row>
    <row r="7704" spans="1:5" ht="26.25" x14ac:dyDescent="0.25">
      <c r="A7704" s="2" t="s">
        <v>13</v>
      </c>
      <c r="B7704" s="2" t="str">
        <f>"413310299"</f>
        <v>413310299</v>
      </c>
      <c r="C7704" s="2" t="str">
        <f>"413310299"</f>
        <v>413310299</v>
      </c>
      <c r="D7704" s="2" t="s">
        <v>5360</v>
      </c>
      <c r="E7704" s="4">
        <v>3000</v>
      </c>
    </row>
    <row r="7705" spans="1:5" ht="26.25" x14ac:dyDescent="0.25">
      <c r="A7705" s="2" t="s">
        <v>13</v>
      </c>
      <c r="B7705" s="2" t="str">
        <f>"765310299"</f>
        <v>765310299</v>
      </c>
      <c r="C7705" s="2" t="str">
        <f>"765310299"</f>
        <v>765310299</v>
      </c>
      <c r="D7705" s="2" t="s">
        <v>5360</v>
      </c>
      <c r="E7705" s="4">
        <v>3000</v>
      </c>
    </row>
    <row r="7706" spans="1:5" ht="26.25" x14ac:dyDescent="0.25">
      <c r="A7706" s="2" t="s">
        <v>13</v>
      </c>
      <c r="B7706" s="2" t="str">
        <f>"343310299"</f>
        <v>343310299</v>
      </c>
      <c r="C7706" s="2" t="str">
        <f>"343310299"</f>
        <v>343310299</v>
      </c>
      <c r="D7706" s="2" t="s">
        <v>5360</v>
      </c>
      <c r="E7706" s="4">
        <v>3000</v>
      </c>
    </row>
    <row r="7707" spans="1:5" ht="26.25" x14ac:dyDescent="0.25">
      <c r="A7707" s="2" t="s">
        <v>13</v>
      </c>
      <c r="B7707" s="2" t="str">
        <f>"173310298"</f>
        <v>173310298</v>
      </c>
      <c r="C7707" s="2" t="str">
        <f>"173310298"</f>
        <v>173310298</v>
      </c>
      <c r="D7707" s="2" t="s">
        <v>5360</v>
      </c>
      <c r="E7707" s="4">
        <v>3000</v>
      </c>
    </row>
    <row r="7708" spans="1:5" ht="26.25" x14ac:dyDescent="0.25">
      <c r="A7708" s="2" t="s">
        <v>13</v>
      </c>
      <c r="B7708" s="2" t="str">
        <f>"763310299"</f>
        <v>763310299</v>
      </c>
      <c r="C7708" s="2" t="str">
        <f>"763310299"</f>
        <v>763310299</v>
      </c>
      <c r="D7708" s="2" t="s">
        <v>5360</v>
      </c>
      <c r="E7708" s="4">
        <v>3000</v>
      </c>
    </row>
    <row r="7709" spans="1:5" ht="26.25" x14ac:dyDescent="0.25">
      <c r="A7709" s="2" t="s">
        <v>13</v>
      </c>
      <c r="B7709" s="2" t="str">
        <f>"763310298"</f>
        <v>763310298</v>
      </c>
      <c r="C7709" s="2" t="str">
        <f>"763310298"</f>
        <v>763310298</v>
      </c>
      <c r="D7709" s="2" t="s">
        <v>5361</v>
      </c>
      <c r="E7709" s="4">
        <v>3000</v>
      </c>
    </row>
    <row r="7710" spans="1:5" ht="26.25" x14ac:dyDescent="0.25">
      <c r="A7710" s="2" t="s">
        <v>13</v>
      </c>
      <c r="B7710" s="2" t="str">
        <f>"765310298"</f>
        <v>765310298</v>
      </c>
      <c r="C7710" s="2" t="str">
        <f>"765310298"</f>
        <v>765310298</v>
      </c>
      <c r="D7710" s="2" t="s">
        <v>5361</v>
      </c>
      <c r="E7710" s="4">
        <v>3000</v>
      </c>
    </row>
    <row r="7711" spans="1:5" ht="26.25" x14ac:dyDescent="0.25">
      <c r="A7711" s="2" t="s">
        <v>13</v>
      </c>
      <c r="B7711" s="2" t="str">
        <f>"343310298"</f>
        <v>343310298</v>
      </c>
      <c r="C7711" s="2" t="str">
        <f>"343310298"</f>
        <v>343310298</v>
      </c>
      <c r="D7711" s="2" t="s">
        <v>5361</v>
      </c>
      <c r="E7711" s="4">
        <v>3000</v>
      </c>
    </row>
    <row r="7712" spans="1:5" ht="26.25" x14ac:dyDescent="0.25">
      <c r="A7712" s="2" t="s">
        <v>13</v>
      </c>
      <c r="B7712" s="2" t="str">
        <f>"1000001003733"</f>
        <v>1000001003733</v>
      </c>
      <c r="C7712" s="2" t="str">
        <f>"765310312"</f>
        <v>765310312</v>
      </c>
      <c r="D7712" s="2" t="s">
        <v>5362</v>
      </c>
      <c r="E7712" s="4">
        <v>3000</v>
      </c>
    </row>
    <row r="7713" spans="1:5" ht="26.25" x14ac:dyDescent="0.25">
      <c r="A7713" s="2" t="s">
        <v>13</v>
      </c>
      <c r="B7713" s="2" t="str">
        <f>"763310312"</f>
        <v>763310312</v>
      </c>
      <c r="C7713" s="2" t="str">
        <f>"763310312"</f>
        <v>763310312</v>
      </c>
      <c r="D7713" s="2" t="s">
        <v>5362</v>
      </c>
      <c r="E7713" s="4">
        <v>3000</v>
      </c>
    </row>
    <row r="7714" spans="1:5" ht="26.25" x14ac:dyDescent="0.25">
      <c r="A7714" s="2" t="s">
        <v>13</v>
      </c>
      <c r="B7714" s="2" t="str">
        <f>"343310312"</f>
        <v>343310312</v>
      </c>
      <c r="C7714" s="2" t="str">
        <f>"343310312"</f>
        <v>343310312</v>
      </c>
      <c r="D7714" s="2" t="s">
        <v>5362</v>
      </c>
      <c r="E7714" s="4">
        <v>3000</v>
      </c>
    </row>
    <row r="7715" spans="1:5" ht="26.25" x14ac:dyDescent="0.25">
      <c r="A7715" s="2" t="s">
        <v>13</v>
      </c>
      <c r="B7715" s="2" t="str">
        <f>"683310312"</f>
        <v>683310312</v>
      </c>
      <c r="C7715" s="2" t="str">
        <f>"683310312"</f>
        <v>683310312</v>
      </c>
      <c r="D7715" s="2" t="s">
        <v>5362</v>
      </c>
      <c r="E7715" s="4">
        <v>3000</v>
      </c>
    </row>
    <row r="7716" spans="1:5" ht="26.25" x14ac:dyDescent="0.25">
      <c r="A7716" s="2" t="s">
        <v>13</v>
      </c>
      <c r="B7716" s="2" t="str">
        <f>"173310307"</f>
        <v>173310307</v>
      </c>
      <c r="C7716" s="2" t="str">
        <f>"173310307"</f>
        <v>173310307</v>
      </c>
      <c r="D7716" s="2" t="s">
        <v>5363</v>
      </c>
      <c r="E7716" s="4">
        <v>3000</v>
      </c>
    </row>
    <row r="7717" spans="1:5" ht="26.25" x14ac:dyDescent="0.25">
      <c r="A7717" s="2" t="s">
        <v>13</v>
      </c>
      <c r="B7717" s="2" t="str">
        <f>"763310307"</f>
        <v>763310307</v>
      </c>
      <c r="C7717" s="2" t="str">
        <f>"763310307"</f>
        <v>763310307</v>
      </c>
      <c r="D7717" s="2" t="s">
        <v>5363</v>
      </c>
      <c r="E7717" s="4">
        <v>3000</v>
      </c>
    </row>
    <row r="7718" spans="1:5" ht="26.25" x14ac:dyDescent="0.25">
      <c r="A7718" s="2" t="s">
        <v>13</v>
      </c>
      <c r="B7718" s="2" t="str">
        <f>"183310315"</f>
        <v>183310315</v>
      </c>
      <c r="C7718" s="2" t="str">
        <f>"183310315"</f>
        <v>183310315</v>
      </c>
      <c r="D7718" s="2" t="s">
        <v>5364</v>
      </c>
      <c r="E7718" s="4">
        <v>3000</v>
      </c>
    </row>
    <row r="7719" spans="1:5" ht="26.25" x14ac:dyDescent="0.25">
      <c r="A7719" s="2" t="s">
        <v>13</v>
      </c>
      <c r="B7719" s="2" t="str">
        <f>"763310315"</f>
        <v>763310315</v>
      </c>
      <c r="C7719" s="2" t="str">
        <f>"763310315"</f>
        <v>763310315</v>
      </c>
      <c r="D7719" s="2" t="s">
        <v>5364</v>
      </c>
      <c r="E7719" s="4">
        <v>3000</v>
      </c>
    </row>
    <row r="7720" spans="1:5" ht="26.25" x14ac:dyDescent="0.25">
      <c r="A7720" s="2" t="s">
        <v>13</v>
      </c>
      <c r="B7720" s="2" t="str">
        <f>"2019047700338"</f>
        <v>2019047700338</v>
      </c>
      <c r="C7720" s="2" t="str">
        <f>"183310316"</f>
        <v>183310316</v>
      </c>
      <c r="D7720" s="2" t="s">
        <v>5365</v>
      </c>
      <c r="E7720" s="4">
        <v>3000</v>
      </c>
    </row>
    <row r="7721" spans="1:5" ht="26.25" x14ac:dyDescent="0.25">
      <c r="A7721" s="2" t="s">
        <v>13</v>
      </c>
      <c r="B7721" s="2" t="str">
        <f>"683310316"</f>
        <v>683310316</v>
      </c>
      <c r="C7721" s="2" t="str">
        <f>"683310316"</f>
        <v>683310316</v>
      </c>
      <c r="D7721" s="2" t="s">
        <v>5365</v>
      </c>
      <c r="E7721" s="4">
        <v>3000</v>
      </c>
    </row>
    <row r="7722" spans="1:5" ht="26.25" x14ac:dyDescent="0.25">
      <c r="A7722" s="2" t="s">
        <v>13</v>
      </c>
      <c r="B7722" s="2" t="str">
        <f>"343310316"</f>
        <v>343310316</v>
      </c>
      <c r="C7722" s="2" t="str">
        <f>"343310316"</f>
        <v>343310316</v>
      </c>
      <c r="D7722" s="2" t="s">
        <v>5365</v>
      </c>
      <c r="E7722" s="4">
        <v>1500</v>
      </c>
    </row>
    <row r="7723" spans="1:5" ht="26.25" x14ac:dyDescent="0.25">
      <c r="A7723" s="2" t="s">
        <v>13</v>
      </c>
      <c r="B7723" s="2" t="str">
        <f>"763310309"</f>
        <v>763310309</v>
      </c>
      <c r="C7723" s="2" t="str">
        <f>"763310309"</f>
        <v>763310309</v>
      </c>
      <c r="D7723" s="2" t="s">
        <v>5366</v>
      </c>
      <c r="E7723" s="4">
        <v>3000</v>
      </c>
    </row>
    <row r="7724" spans="1:5" ht="26.25" x14ac:dyDescent="0.25">
      <c r="A7724" s="2" t="s">
        <v>13</v>
      </c>
      <c r="B7724" s="2" t="str">
        <f>"7101027050252"</f>
        <v>7101027050252</v>
      </c>
      <c r="C7724" s="2" t="str">
        <f>"643310309"</f>
        <v>643310309</v>
      </c>
      <c r="D7724" s="2" t="s">
        <v>5366</v>
      </c>
      <c r="E7724" s="4">
        <v>3000</v>
      </c>
    </row>
    <row r="7725" spans="1:5" ht="26.25" x14ac:dyDescent="0.25">
      <c r="A7725" s="2" t="s">
        <v>13</v>
      </c>
      <c r="B7725" s="2" t="str">
        <f>"2020030100301"</f>
        <v>2020030100301</v>
      </c>
      <c r="C7725" s="2" t="str">
        <f>"183310321"</f>
        <v>183310321</v>
      </c>
      <c r="D7725" s="2" t="s">
        <v>5366</v>
      </c>
      <c r="E7725" s="4">
        <v>3000</v>
      </c>
    </row>
    <row r="7726" spans="1:5" ht="26.25" x14ac:dyDescent="0.25">
      <c r="A7726" s="2" t="s">
        <v>13</v>
      </c>
      <c r="B7726" s="2" t="str">
        <f>"683310309"</f>
        <v>683310309</v>
      </c>
      <c r="C7726" s="2" t="str">
        <f>"683310309"</f>
        <v>683310309</v>
      </c>
      <c r="D7726" s="2" t="s">
        <v>5366</v>
      </c>
      <c r="E7726" s="4">
        <v>3000</v>
      </c>
    </row>
    <row r="7727" spans="1:5" ht="26.25" x14ac:dyDescent="0.25">
      <c r="A7727" s="2" t="s">
        <v>13</v>
      </c>
      <c r="B7727" s="2" t="str">
        <f>"2020060901176"</f>
        <v>2020060901176</v>
      </c>
      <c r="C7727" s="2" t="str">
        <f>"183310324"</f>
        <v>183310324</v>
      </c>
      <c r="D7727" s="2" t="s">
        <v>5367</v>
      </c>
      <c r="E7727" s="4">
        <v>3000</v>
      </c>
    </row>
    <row r="7728" spans="1:5" ht="26.25" x14ac:dyDescent="0.25">
      <c r="A7728" s="2" t="s">
        <v>13</v>
      </c>
      <c r="B7728" s="2" t="str">
        <f>"343310314"</f>
        <v>343310314</v>
      </c>
      <c r="C7728" s="2" t="str">
        <f>"343310314"</f>
        <v>343310314</v>
      </c>
      <c r="D7728" s="2" t="s">
        <v>5367</v>
      </c>
      <c r="E7728" s="4">
        <v>3000</v>
      </c>
    </row>
    <row r="7729" spans="1:5" ht="26.25" x14ac:dyDescent="0.25">
      <c r="A7729" s="2" t="s">
        <v>13</v>
      </c>
      <c r="B7729" s="2" t="str">
        <f>"683310314"</f>
        <v>683310314</v>
      </c>
      <c r="C7729" s="2" t="str">
        <f>"683310314"</f>
        <v>683310314</v>
      </c>
      <c r="D7729" s="2" t="s">
        <v>5367</v>
      </c>
      <c r="E7729" s="4">
        <v>1500</v>
      </c>
    </row>
    <row r="7730" spans="1:5" ht="26.25" x14ac:dyDescent="0.25">
      <c r="A7730" s="2" t="s">
        <v>13</v>
      </c>
      <c r="B7730" s="2" t="str">
        <f>"345310227"</f>
        <v>345310227</v>
      </c>
      <c r="C7730" s="2" t="str">
        <f>"345310227"</f>
        <v>345310227</v>
      </c>
      <c r="D7730" s="2" t="s">
        <v>5368</v>
      </c>
      <c r="E7730" s="4">
        <v>3000</v>
      </c>
    </row>
    <row r="7731" spans="1:5" ht="26.25" x14ac:dyDescent="0.25">
      <c r="A7731" s="2" t="s">
        <v>13</v>
      </c>
      <c r="B7731" s="2" t="str">
        <f>"765310227"</f>
        <v>765310227</v>
      </c>
      <c r="C7731" s="2" t="str">
        <f>"765310227"</f>
        <v>765310227</v>
      </c>
      <c r="D7731" s="2" t="s">
        <v>5368</v>
      </c>
      <c r="E7731" s="4">
        <v>3000</v>
      </c>
    </row>
    <row r="7732" spans="1:5" ht="26.25" x14ac:dyDescent="0.25">
      <c r="A7732" s="2" t="s">
        <v>13</v>
      </c>
      <c r="B7732" s="2" t="str">
        <f>"763310313"</f>
        <v>763310313</v>
      </c>
      <c r="C7732" s="2" t="str">
        <f>"763310313"</f>
        <v>763310313</v>
      </c>
      <c r="D7732" s="2" t="s">
        <v>5369</v>
      </c>
      <c r="E7732" s="4">
        <v>3000</v>
      </c>
    </row>
    <row r="7733" spans="1:5" ht="26.25" x14ac:dyDescent="0.25">
      <c r="A7733" s="2" t="s">
        <v>13</v>
      </c>
      <c r="B7733" s="2" t="str">
        <f>"763310317"</f>
        <v>763310317</v>
      </c>
      <c r="C7733" s="2" t="str">
        <f>"763310317"</f>
        <v>763310317</v>
      </c>
      <c r="D7733" s="2" t="s">
        <v>5370</v>
      </c>
      <c r="E7733" s="4">
        <v>3000</v>
      </c>
    </row>
    <row r="7734" spans="1:5" ht="26.25" x14ac:dyDescent="0.25">
      <c r="A7734" s="2" t="s">
        <v>13</v>
      </c>
      <c r="B7734" s="2" t="str">
        <f>"17531079"</f>
        <v>17531079</v>
      </c>
      <c r="C7734" s="2" t="str">
        <f>"17531079"</f>
        <v>17531079</v>
      </c>
      <c r="D7734" s="2" t="s">
        <v>5371</v>
      </c>
      <c r="E7734" s="4">
        <v>3000</v>
      </c>
    </row>
    <row r="7735" spans="1:5" ht="26.25" x14ac:dyDescent="0.25">
      <c r="A7735" s="2" t="s">
        <v>13</v>
      </c>
      <c r="B7735" s="2" t="str">
        <f>"32331079"</f>
        <v>32331079</v>
      </c>
      <c r="C7735" s="2" t="str">
        <f>"32331079"</f>
        <v>32331079</v>
      </c>
      <c r="D7735" s="2" t="s">
        <v>5371</v>
      </c>
      <c r="E7735" s="4">
        <v>3000</v>
      </c>
    </row>
    <row r="7736" spans="1:5" ht="26.25" x14ac:dyDescent="0.25">
      <c r="A7736" s="2" t="s">
        <v>13</v>
      </c>
      <c r="B7736" s="2" t="str">
        <f>"34531079"</f>
        <v>34531079</v>
      </c>
      <c r="C7736" s="2" t="str">
        <f>"34531079"</f>
        <v>34531079</v>
      </c>
      <c r="D7736" s="2" t="s">
        <v>5371</v>
      </c>
      <c r="E7736" s="4">
        <v>3000</v>
      </c>
    </row>
    <row r="7737" spans="1:5" ht="26.25" x14ac:dyDescent="0.25">
      <c r="A7737" s="2" t="s">
        <v>13</v>
      </c>
      <c r="B7737" s="2" t="str">
        <f>"76531079"</f>
        <v>76531079</v>
      </c>
      <c r="C7737" s="2" t="str">
        <f>"76531079"</f>
        <v>76531079</v>
      </c>
      <c r="D7737" s="2" t="s">
        <v>5371</v>
      </c>
      <c r="E7737" s="4">
        <v>3000</v>
      </c>
    </row>
    <row r="7738" spans="1:5" ht="26.25" x14ac:dyDescent="0.25">
      <c r="A7738" s="2" t="s">
        <v>13</v>
      </c>
      <c r="B7738" s="2" t="str">
        <f>"34531082"</f>
        <v>34531082</v>
      </c>
      <c r="C7738" s="2" t="str">
        <f>"34531082"</f>
        <v>34531082</v>
      </c>
      <c r="D7738" s="2" t="s">
        <v>5372</v>
      </c>
      <c r="E7738" s="4">
        <v>3000</v>
      </c>
    </row>
    <row r="7739" spans="1:5" ht="26.25" x14ac:dyDescent="0.25">
      <c r="A7739" s="2" t="s">
        <v>13</v>
      </c>
      <c r="B7739" s="2" t="str">
        <f>"76531082"</f>
        <v>76531082</v>
      </c>
      <c r="C7739" s="2" t="str">
        <f>"76531082"</f>
        <v>76531082</v>
      </c>
      <c r="D7739" s="2" t="s">
        <v>5372</v>
      </c>
      <c r="E7739" s="4">
        <v>3000</v>
      </c>
    </row>
    <row r="7740" spans="1:5" ht="26.25" x14ac:dyDescent="0.25">
      <c r="A7740" s="2" t="s">
        <v>13</v>
      </c>
      <c r="B7740" s="2" t="str">
        <f>"76531021"</f>
        <v>76531021</v>
      </c>
      <c r="C7740" s="2" t="str">
        <f>"76531021"</f>
        <v>76531021</v>
      </c>
      <c r="D7740" s="2" t="s">
        <v>5339</v>
      </c>
      <c r="E7740" s="4">
        <v>3000</v>
      </c>
    </row>
    <row r="7741" spans="1:5" ht="26.25" x14ac:dyDescent="0.25">
      <c r="A7741" s="2" t="s">
        <v>13</v>
      </c>
      <c r="B7741" s="2" t="str">
        <f>"175309121"</f>
        <v>175309121</v>
      </c>
      <c r="C7741" s="2" t="str">
        <f>"175309121"</f>
        <v>175309121</v>
      </c>
      <c r="D7741" s="2" t="s">
        <v>5339</v>
      </c>
      <c r="E7741" s="4">
        <v>3000</v>
      </c>
    </row>
    <row r="7742" spans="1:5" ht="26.25" x14ac:dyDescent="0.25">
      <c r="A7742" s="2" t="s">
        <v>13</v>
      </c>
      <c r="B7742" s="2" t="str">
        <f>"175310121"</f>
        <v>175310121</v>
      </c>
      <c r="C7742" s="2" t="str">
        <f>"175310121"</f>
        <v>175310121</v>
      </c>
      <c r="D7742" s="2" t="s">
        <v>5339</v>
      </c>
      <c r="E7742" s="4">
        <v>3000</v>
      </c>
    </row>
    <row r="7743" spans="1:5" ht="26.25" x14ac:dyDescent="0.25">
      <c r="A7743" s="2" t="s">
        <v>13</v>
      </c>
      <c r="B7743" s="2" t="str">
        <f>"763310121"</f>
        <v>763310121</v>
      </c>
      <c r="C7743" s="2" t="str">
        <f>"763310121"</f>
        <v>763310121</v>
      </c>
      <c r="D7743" s="2" t="s">
        <v>5339</v>
      </c>
      <c r="E7743" s="4">
        <v>3000</v>
      </c>
    </row>
    <row r="7744" spans="1:5" ht="26.25" x14ac:dyDescent="0.25">
      <c r="A7744" s="2" t="s">
        <v>13</v>
      </c>
      <c r="B7744" s="2" t="str">
        <f>"765310121"</f>
        <v>765310121</v>
      </c>
      <c r="C7744" s="2" t="str">
        <f>"765310121"</f>
        <v>765310121</v>
      </c>
      <c r="D7744" s="2" t="s">
        <v>5339</v>
      </c>
      <c r="E7744" s="4">
        <v>3000</v>
      </c>
    </row>
    <row r="7745" spans="1:5" ht="26.25" x14ac:dyDescent="0.25">
      <c r="A7745" s="2" t="s">
        <v>13</v>
      </c>
      <c r="B7745" s="2" t="str">
        <f>"343310121"</f>
        <v>343310121</v>
      </c>
      <c r="C7745" s="2" t="str">
        <f>"343310121"</f>
        <v>343310121</v>
      </c>
      <c r="D7745" s="2" t="s">
        <v>5339</v>
      </c>
      <c r="E7745" s="4">
        <v>3000</v>
      </c>
    </row>
    <row r="7746" spans="1:5" ht="26.25" x14ac:dyDescent="0.25">
      <c r="A7746" s="2" t="s">
        <v>13</v>
      </c>
      <c r="B7746" s="2" t="str">
        <f>"765309121"</f>
        <v>765309121</v>
      </c>
      <c r="C7746" s="2" t="str">
        <f>"765309121"</f>
        <v>765309121</v>
      </c>
      <c r="D7746" s="2" t="s">
        <v>5339</v>
      </c>
      <c r="E7746" s="4">
        <v>3000</v>
      </c>
    </row>
    <row r="7747" spans="1:5" ht="26.25" x14ac:dyDescent="0.25">
      <c r="A7747" s="2" t="s">
        <v>13</v>
      </c>
      <c r="B7747" s="2" t="str">
        <f>"765310173"</f>
        <v>765310173</v>
      </c>
      <c r="C7747" s="2" t="str">
        <f>"765310173"</f>
        <v>765310173</v>
      </c>
      <c r="D7747" s="2" t="s">
        <v>5373</v>
      </c>
      <c r="E7747" s="4">
        <v>3000</v>
      </c>
    </row>
    <row r="7748" spans="1:5" ht="26.25" x14ac:dyDescent="0.25">
      <c r="A7748" s="2" t="s">
        <v>13</v>
      </c>
      <c r="B7748" s="2" t="str">
        <f>"763310173"</f>
        <v>763310173</v>
      </c>
      <c r="C7748" s="2" t="str">
        <f>"763310173"</f>
        <v>763310173</v>
      </c>
      <c r="D7748" s="2" t="s">
        <v>5373</v>
      </c>
      <c r="E7748" s="4">
        <v>3000</v>
      </c>
    </row>
    <row r="7749" spans="1:5" ht="26.25" x14ac:dyDescent="0.25">
      <c r="A7749" s="2" t="s">
        <v>13</v>
      </c>
      <c r="B7749" s="2" t="str">
        <f>"345310173"</f>
        <v>345310173</v>
      </c>
      <c r="C7749" s="2" t="str">
        <f>"345310173"</f>
        <v>345310173</v>
      </c>
      <c r="D7749" s="2" t="s">
        <v>5374</v>
      </c>
      <c r="E7749" s="4">
        <v>3000</v>
      </c>
    </row>
    <row r="7750" spans="1:5" ht="26.25" x14ac:dyDescent="0.25">
      <c r="A7750" s="2" t="s">
        <v>13</v>
      </c>
      <c r="B7750" s="2" t="str">
        <f>"76331082"</f>
        <v>76331082</v>
      </c>
      <c r="C7750" s="2" t="str">
        <f>"76331082"</f>
        <v>76331082</v>
      </c>
      <c r="D7750" s="2" t="s">
        <v>5375</v>
      </c>
      <c r="E7750" s="4">
        <v>3000</v>
      </c>
    </row>
    <row r="7751" spans="1:5" ht="26.25" x14ac:dyDescent="0.25">
      <c r="A7751" s="2" t="s">
        <v>13</v>
      </c>
      <c r="B7751" s="2" t="str">
        <f>"17331082"</f>
        <v>17331082</v>
      </c>
      <c r="C7751" s="2" t="str">
        <f>"17331082"</f>
        <v>17331082</v>
      </c>
      <c r="D7751" s="2" t="s">
        <v>5375</v>
      </c>
      <c r="E7751" s="4">
        <v>3000</v>
      </c>
    </row>
    <row r="7752" spans="1:5" ht="26.25" x14ac:dyDescent="0.25">
      <c r="A7752" s="2" t="s">
        <v>13</v>
      </c>
      <c r="B7752" s="2" t="str">
        <f>"173310305"</f>
        <v>173310305</v>
      </c>
      <c r="C7752" s="2" t="str">
        <f>"173310305"</f>
        <v>173310305</v>
      </c>
      <c r="D7752" s="2" t="s">
        <v>5376</v>
      </c>
      <c r="E7752" s="4">
        <v>3000</v>
      </c>
    </row>
    <row r="7753" spans="1:5" ht="26.25" x14ac:dyDescent="0.25">
      <c r="A7753" s="2" t="s">
        <v>13</v>
      </c>
      <c r="B7753" s="2" t="str">
        <f>"765310305"</f>
        <v>765310305</v>
      </c>
      <c r="C7753" s="2" t="str">
        <f>"765310305"</f>
        <v>765310305</v>
      </c>
      <c r="D7753" s="2" t="s">
        <v>5376</v>
      </c>
      <c r="E7753" s="4">
        <v>3000</v>
      </c>
    </row>
    <row r="7754" spans="1:5" ht="26.25" x14ac:dyDescent="0.25">
      <c r="A7754" s="2" t="s">
        <v>13</v>
      </c>
      <c r="B7754" s="2" t="str">
        <f>"763310305"</f>
        <v>763310305</v>
      </c>
      <c r="C7754" s="2" t="str">
        <f>"763310305"</f>
        <v>763310305</v>
      </c>
      <c r="D7754" s="2" t="s">
        <v>5376</v>
      </c>
      <c r="E7754" s="4">
        <v>3000</v>
      </c>
    </row>
    <row r="7755" spans="1:5" ht="26.25" x14ac:dyDescent="0.25">
      <c r="A7755" s="2" t="s">
        <v>13</v>
      </c>
      <c r="B7755" s="2" t="str">
        <f>"343310305"</f>
        <v>343310305</v>
      </c>
      <c r="C7755" s="2" t="str">
        <f>"343310305"</f>
        <v>343310305</v>
      </c>
      <c r="D7755" s="2" t="s">
        <v>5376</v>
      </c>
      <c r="E7755" s="4">
        <v>3000</v>
      </c>
    </row>
    <row r="7756" spans="1:5" ht="26.25" x14ac:dyDescent="0.25">
      <c r="A7756" s="2" t="s">
        <v>13</v>
      </c>
      <c r="B7756" s="2" t="str">
        <f>"343310282"</f>
        <v>343310282</v>
      </c>
      <c r="C7756" s="2" t="str">
        <f>"343310282"</f>
        <v>343310282</v>
      </c>
      <c r="D7756" s="2" t="s">
        <v>5377</v>
      </c>
      <c r="E7756" s="4">
        <v>3000</v>
      </c>
    </row>
    <row r="7757" spans="1:5" ht="26.25" x14ac:dyDescent="0.25">
      <c r="A7757" s="2" t="s">
        <v>13</v>
      </c>
      <c r="B7757" s="2" t="str">
        <f>"763310282"</f>
        <v>763310282</v>
      </c>
      <c r="C7757" s="2" t="str">
        <f>"763310282"</f>
        <v>763310282</v>
      </c>
      <c r="D7757" s="2" t="s">
        <v>5377</v>
      </c>
      <c r="E7757" s="4">
        <v>3000</v>
      </c>
    </row>
    <row r="7758" spans="1:5" ht="26.25" x14ac:dyDescent="0.25">
      <c r="A7758" s="2" t="s">
        <v>13</v>
      </c>
      <c r="B7758" s="2" t="str">
        <f>"173310284"</f>
        <v>173310284</v>
      </c>
      <c r="C7758" s="2" t="str">
        <f>"173310284"</f>
        <v>173310284</v>
      </c>
      <c r="D7758" s="2" t="s">
        <v>5378</v>
      </c>
      <c r="E7758" s="4">
        <v>3000</v>
      </c>
    </row>
    <row r="7759" spans="1:5" ht="26.25" x14ac:dyDescent="0.25">
      <c r="A7759" s="2" t="s">
        <v>13</v>
      </c>
      <c r="B7759" s="2" t="str">
        <f>"763310284"</f>
        <v>763310284</v>
      </c>
      <c r="C7759" s="2" t="str">
        <f>"763310284"</f>
        <v>763310284</v>
      </c>
      <c r="D7759" s="2" t="s">
        <v>5378</v>
      </c>
      <c r="E7759" s="4">
        <v>3000</v>
      </c>
    </row>
    <row r="7760" spans="1:5" ht="26.25" x14ac:dyDescent="0.25">
      <c r="A7760" s="2" t="s">
        <v>13</v>
      </c>
      <c r="B7760" s="2" t="str">
        <f>"343310284"</f>
        <v>343310284</v>
      </c>
      <c r="C7760" s="2" t="str">
        <f>"343310284"</f>
        <v>343310284</v>
      </c>
      <c r="D7760" s="2" t="s">
        <v>5378</v>
      </c>
      <c r="E7760" s="4">
        <v>3000</v>
      </c>
    </row>
    <row r="7761" spans="1:5" ht="26.25" x14ac:dyDescent="0.25">
      <c r="A7761" s="2" t="s">
        <v>13</v>
      </c>
      <c r="B7761" s="2" t="str">
        <f>"76331525"</f>
        <v>76331525</v>
      </c>
      <c r="C7761" s="2" t="str">
        <f>"76331525"</f>
        <v>76331525</v>
      </c>
      <c r="D7761" s="2" t="s">
        <v>5379</v>
      </c>
      <c r="E7761" s="4">
        <v>3000</v>
      </c>
    </row>
    <row r="7762" spans="1:5" ht="26.25" x14ac:dyDescent="0.25">
      <c r="A7762" s="2" t="s">
        <v>13</v>
      </c>
      <c r="B7762" s="2" t="str">
        <f>"76531025"</f>
        <v>76531025</v>
      </c>
      <c r="C7762" s="2" t="str">
        <f>"76531025"</f>
        <v>76531025</v>
      </c>
      <c r="D7762" s="2" t="s">
        <v>5379</v>
      </c>
      <c r="E7762" s="4">
        <v>3000</v>
      </c>
    </row>
    <row r="7763" spans="1:5" ht="26.25" x14ac:dyDescent="0.25">
      <c r="A7763" s="2" t="s">
        <v>13</v>
      </c>
      <c r="B7763" s="2" t="str">
        <f>"17331025"</f>
        <v>17331025</v>
      </c>
      <c r="C7763" s="2" t="str">
        <f>"17331025"</f>
        <v>17331025</v>
      </c>
      <c r="D7763" s="2" t="s">
        <v>5379</v>
      </c>
      <c r="E7763" s="4">
        <v>3000</v>
      </c>
    </row>
    <row r="7764" spans="1:5" ht="26.25" x14ac:dyDescent="0.25">
      <c r="A7764" s="2" t="s">
        <v>13</v>
      </c>
      <c r="B7764" s="2" t="str">
        <f>"76331025"</f>
        <v>76331025</v>
      </c>
      <c r="C7764" s="2" t="str">
        <f>"76331025"</f>
        <v>76331025</v>
      </c>
      <c r="D7764" s="2" t="s">
        <v>5379</v>
      </c>
      <c r="E7764" s="4">
        <v>3000</v>
      </c>
    </row>
    <row r="7765" spans="1:5" ht="26.25" x14ac:dyDescent="0.25">
      <c r="A7765" s="2" t="s">
        <v>13</v>
      </c>
      <c r="B7765" s="2" t="str">
        <f>"683310315"</f>
        <v>683310315</v>
      </c>
      <c r="C7765" s="2" t="str">
        <f>"683310315"</f>
        <v>683310315</v>
      </c>
      <c r="D7765" s="2" t="s">
        <v>5380</v>
      </c>
      <c r="E7765" s="4">
        <v>3000</v>
      </c>
    </row>
    <row r="7766" spans="1:5" ht="26.25" x14ac:dyDescent="0.25">
      <c r="A7766" s="2" t="s">
        <v>13</v>
      </c>
      <c r="B7766" s="2" t="str">
        <f>"7858816082948"</f>
        <v>7858816082948</v>
      </c>
      <c r="C7766" s="2" t="str">
        <f>"87338294"</f>
        <v>87338294</v>
      </c>
      <c r="D7766" s="2" t="s">
        <v>5381</v>
      </c>
      <c r="E7766" s="4">
        <v>6000</v>
      </c>
    </row>
    <row r="7767" spans="1:5" ht="26.25" x14ac:dyDescent="0.25">
      <c r="A7767" s="2" t="s">
        <v>13</v>
      </c>
      <c r="B7767" s="2" t="str">
        <f>"76333161"</f>
        <v>76333161</v>
      </c>
      <c r="C7767" s="2" t="str">
        <f>"76333161"</f>
        <v>76333161</v>
      </c>
      <c r="D7767" s="2" t="s">
        <v>5382</v>
      </c>
      <c r="E7767" s="4">
        <v>3000</v>
      </c>
    </row>
    <row r="7768" spans="1:5" ht="26.25" x14ac:dyDescent="0.25">
      <c r="A7768" s="2" t="s">
        <v>13</v>
      </c>
      <c r="B7768" s="2" t="str">
        <f>"1000001003078"</f>
        <v>1000001003078</v>
      </c>
      <c r="C7768" s="2" t="str">
        <f>"76333162"</f>
        <v>76333162</v>
      </c>
      <c r="D7768" s="2" t="s">
        <v>5383</v>
      </c>
      <c r="E7768" s="4">
        <v>3000</v>
      </c>
    </row>
    <row r="7769" spans="1:5" ht="26.25" x14ac:dyDescent="0.25">
      <c r="A7769" s="2" t="s">
        <v>13</v>
      </c>
      <c r="B7769" s="2" t="str">
        <f>"76331621"</f>
        <v>76331621</v>
      </c>
      <c r="C7769" s="2" t="str">
        <f>"76331621"</f>
        <v>76331621</v>
      </c>
      <c r="D7769" s="2" t="s">
        <v>5384</v>
      </c>
      <c r="E7769" s="4">
        <v>3000</v>
      </c>
    </row>
    <row r="7770" spans="1:5" ht="26.25" x14ac:dyDescent="0.25">
      <c r="A7770" s="2" t="s">
        <v>13</v>
      </c>
      <c r="B7770" s="2" t="str">
        <f>"763331261"</f>
        <v>763331261</v>
      </c>
      <c r="C7770" s="2" t="str">
        <f>"763331261"</f>
        <v>763331261</v>
      </c>
      <c r="D7770" s="2" t="s">
        <v>5384</v>
      </c>
      <c r="E7770" s="4">
        <v>3000</v>
      </c>
    </row>
    <row r="7771" spans="1:5" ht="26.25" x14ac:dyDescent="0.25">
      <c r="A7771" s="2" t="s">
        <v>13</v>
      </c>
      <c r="B7771" s="2" t="str">
        <f>"683331621"</f>
        <v>683331621</v>
      </c>
      <c r="C7771" s="2" t="str">
        <f>"683331621"</f>
        <v>683331621</v>
      </c>
      <c r="D7771" s="2" t="s">
        <v>5384</v>
      </c>
      <c r="E7771" s="4">
        <v>3000</v>
      </c>
    </row>
    <row r="7772" spans="1:5" ht="26.25" x14ac:dyDescent="0.25">
      <c r="A7772" s="2" t="s">
        <v>13</v>
      </c>
      <c r="B7772" s="2" t="str">
        <f>"76333163"</f>
        <v>76333163</v>
      </c>
      <c r="C7772" s="2" t="str">
        <f>"76333163"</f>
        <v>76333163</v>
      </c>
      <c r="D7772" s="2" t="s">
        <v>5385</v>
      </c>
      <c r="E7772" s="4">
        <v>3000</v>
      </c>
    </row>
    <row r="7773" spans="1:5" ht="26.25" x14ac:dyDescent="0.25">
      <c r="A7773" s="2" t="s">
        <v>13</v>
      </c>
      <c r="B7773" s="2" t="str">
        <f>"17333163"</f>
        <v>17333163</v>
      </c>
      <c r="C7773" s="2" t="str">
        <f>"17333163"</f>
        <v>17333163</v>
      </c>
      <c r="D7773" s="2" t="s">
        <v>5385</v>
      </c>
      <c r="E7773" s="4">
        <v>3000</v>
      </c>
    </row>
    <row r="7774" spans="1:5" ht="26.25" x14ac:dyDescent="0.25">
      <c r="A7774" s="2" t="s">
        <v>13</v>
      </c>
      <c r="B7774" s="2" t="str">
        <f>"34333163"</f>
        <v>34333163</v>
      </c>
      <c r="C7774" s="2" t="str">
        <f>"34333163"</f>
        <v>34333163</v>
      </c>
      <c r="D7774" s="2" t="s">
        <v>5385</v>
      </c>
      <c r="E7774" s="4">
        <v>3000</v>
      </c>
    </row>
    <row r="7775" spans="1:5" ht="26.25" x14ac:dyDescent="0.25">
      <c r="A7775" s="2" t="s">
        <v>13</v>
      </c>
      <c r="B7775" s="2" t="str">
        <f>"1000001001852"</f>
        <v>1000001001852</v>
      </c>
      <c r="C7775" s="2" t="str">
        <f>"76533163"</f>
        <v>76533163</v>
      </c>
      <c r="D7775" s="2" t="s">
        <v>5385</v>
      </c>
      <c r="E7775" s="4">
        <v>3000</v>
      </c>
    </row>
    <row r="7776" spans="1:5" ht="26.25" x14ac:dyDescent="0.25">
      <c r="A7776" s="2" t="s">
        <v>13</v>
      </c>
      <c r="B7776" s="2" t="str">
        <f>"763331631"</f>
        <v>763331631</v>
      </c>
      <c r="C7776" s="2" t="str">
        <f>"763331631"</f>
        <v>763331631</v>
      </c>
      <c r="D7776" s="2" t="s">
        <v>5386</v>
      </c>
      <c r="E7776" s="4">
        <v>3000</v>
      </c>
    </row>
    <row r="7777" spans="1:5" ht="26.25" x14ac:dyDescent="0.25">
      <c r="A7777" s="2" t="s">
        <v>13</v>
      </c>
      <c r="B7777" s="2" t="str">
        <f>"343331631"</f>
        <v>343331631</v>
      </c>
      <c r="C7777" s="2" t="str">
        <f>"343331631"</f>
        <v>343331631</v>
      </c>
      <c r="D7777" s="2" t="s">
        <v>5386</v>
      </c>
      <c r="E7777" s="4">
        <v>3000</v>
      </c>
    </row>
    <row r="7778" spans="1:5" ht="26.25" x14ac:dyDescent="0.25">
      <c r="A7778" s="2" t="s">
        <v>13</v>
      </c>
      <c r="B7778" s="2" t="str">
        <f>"763331531"</f>
        <v>763331531</v>
      </c>
      <c r="C7778" s="2" t="str">
        <f>"763331531"</f>
        <v>763331531</v>
      </c>
      <c r="D7778" s="2" t="s">
        <v>5387</v>
      </c>
      <c r="E7778" s="4">
        <v>3000</v>
      </c>
    </row>
    <row r="7779" spans="1:5" ht="26.25" x14ac:dyDescent="0.25">
      <c r="A7779" s="2" t="s">
        <v>13</v>
      </c>
      <c r="B7779" s="2" t="str">
        <f>"343331531"</f>
        <v>343331531</v>
      </c>
      <c r="C7779" s="2" t="str">
        <f>"343331531"</f>
        <v>343331531</v>
      </c>
      <c r="D7779" s="2" t="s">
        <v>5387</v>
      </c>
      <c r="E7779" s="4">
        <v>1500</v>
      </c>
    </row>
    <row r="7780" spans="1:5" ht="26.25" x14ac:dyDescent="0.25">
      <c r="A7780" s="2" t="s">
        <v>13</v>
      </c>
      <c r="B7780" s="2" t="str">
        <f>"17333165"</f>
        <v>17333165</v>
      </c>
      <c r="C7780" s="2" t="str">
        <f>"17333165"</f>
        <v>17333165</v>
      </c>
      <c r="D7780" s="2" t="s">
        <v>5388</v>
      </c>
      <c r="E7780" s="4">
        <v>3000</v>
      </c>
    </row>
    <row r="7781" spans="1:5" ht="26.25" x14ac:dyDescent="0.25">
      <c r="A7781" s="2" t="s">
        <v>13</v>
      </c>
      <c r="B7781" s="2" t="str">
        <f>"1000001002712"</f>
        <v>1000001002712</v>
      </c>
      <c r="C7781" s="2" t="str">
        <f>"76333165"</f>
        <v>76333165</v>
      </c>
      <c r="D7781" s="2" t="s">
        <v>5388</v>
      </c>
      <c r="E7781" s="4">
        <v>3000</v>
      </c>
    </row>
    <row r="7782" spans="1:5" ht="26.25" x14ac:dyDescent="0.25">
      <c r="A7782" s="2" t="s">
        <v>13</v>
      </c>
      <c r="B7782" s="2" t="str">
        <f>"34333165"</f>
        <v>34333165</v>
      </c>
      <c r="C7782" s="2" t="str">
        <f>"34333165"</f>
        <v>34333165</v>
      </c>
      <c r="D7782" s="2" t="s">
        <v>5388</v>
      </c>
      <c r="E7782" s="4">
        <v>3000</v>
      </c>
    </row>
    <row r="7783" spans="1:5" ht="26.25" x14ac:dyDescent="0.25">
      <c r="A7783" s="2" t="s">
        <v>13</v>
      </c>
      <c r="B7783" s="2" t="str">
        <f>"763331651"</f>
        <v>763331651</v>
      </c>
      <c r="C7783" s="2" t="str">
        <f>"763331651"</f>
        <v>763331651</v>
      </c>
      <c r="D7783" s="2" t="s">
        <v>5389</v>
      </c>
      <c r="E7783" s="4">
        <v>3000</v>
      </c>
    </row>
    <row r="7784" spans="1:5" ht="26.25" x14ac:dyDescent="0.25">
      <c r="A7784" s="2" t="s">
        <v>13</v>
      </c>
      <c r="B7784" s="2" t="str">
        <f>"763331652"</f>
        <v>763331652</v>
      </c>
      <c r="C7784" s="2" t="str">
        <f>"763331652"</f>
        <v>763331652</v>
      </c>
      <c r="D7784" s="2" t="s">
        <v>5390</v>
      </c>
      <c r="E7784" s="4">
        <v>3000</v>
      </c>
    </row>
    <row r="7785" spans="1:5" ht="26.25" x14ac:dyDescent="0.25">
      <c r="A7785" s="2" t="s">
        <v>13</v>
      </c>
      <c r="B7785" s="2" t="str">
        <f>"1578151158850"</f>
        <v>1578151158850</v>
      </c>
      <c r="C7785" s="2" t="str">
        <f>"61330594"</f>
        <v>61330594</v>
      </c>
      <c r="D7785" s="2" t="s">
        <v>5390</v>
      </c>
      <c r="E7785" s="4">
        <v>3000</v>
      </c>
    </row>
    <row r="7786" spans="1:5" ht="26.25" x14ac:dyDescent="0.25">
      <c r="A7786" s="2" t="s">
        <v>13</v>
      </c>
      <c r="B7786" s="2" t="str">
        <f>"17333166"</f>
        <v>17333166</v>
      </c>
      <c r="C7786" s="2" t="str">
        <f>"17333166"</f>
        <v>17333166</v>
      </c>
      <c r="D7786" s="2" t="s">
        <v>5391</v>
      </c>
      <c r="E7786" s="4">
        <v>3000</v>
      </c>
    </row>
    <row r="7787" spans="1:5" ht="26.25" x14ac:dyDescent="0.25">
      <c r="A7787" s="2" t="s">
        <v>13</v>
      </c>
      <c r="B7787" s="2" t="str">
        <f>"1000001002606"</f>
        <v>1000001002606</v>
      </c>
      <c r="C7787" s="2" t="str">
        <f>"76333166"</f>
        <v>76333166</v>
      </c>
      <c r="D7787" s="2" t="s">
        <v>5391</v>
      </c>
      <c r="E7787" s="4">
        <v>3000</v>
      </c>
    </row>
    <row r="7788" spans="1:5" ht="26.25" x14ac:dyDescent="0.25">
      <c r="A7788" s="2" t="s">
        <v>13</v>
      </c>
      <c r="B7788" s="2" t="str">
        <f>"34333166"</f>
        <v>34333166</v>
      </c>
      <c r="C7788" s="2" t="str">
        <f>"34333166"</f>
        <v>34333166</v>
      </c>
      <c r="D7788" s="2" t="s">
        <v>5391</v>
      </c>
      <c r="E7788" s="4">
        <v>3000</v>
      </c>
    </row>
    <row r="7789" spans="1:5" ht="26.25" x14ac:dyDescent="0.25">
      <c r="A7789" s="2" t="s">
        <v>13</v>
      </c>
      <c r="B7789" s="2" t="str">
        <f>"68333166"</f>
        <v>68333166</v>
      </c>
      <c r="C7789" s="2" t="str">
        <f>"68333166"</f>
        <v>68333166</v>
      </c>
      <c r="D7789" s="2" t="s">
        <v>5392</v>
      </c>
      <c r="E7789" s="4">
        <v>3000</v>
      </c>
    </row>
    <row r="7790" spans="1:5" ht="26.25" x14ac:dyDescent="0.25">
      <c r="A7790" s="2" t="s">
        <v>13</v>
      </c>
      <c r="B7790" s="2" t="str">
        <f>"763331661"</f>
        <v>763331661</v>
      </c>
      <c r="C7790" s="2" t="str">
        <f>"763331661"</f>
        <v>763331661</v>
      </c>
      <c r="D7790" s="2" t="s">
        <v>5393</v>
      </c>
      <c r="E7790" s="4">
        <v>3000</v>
      </c>
    </row>
    <row r="7791" spans="1:5" ht="26.25" x14ac:dyDescent="0.25">
      <c r="A7791" s="2" t="s">
        <v>13</v>
      </c>
      <c r="B7791" s="2" t="str">
        <f>"1000001002699"</f>
        <v>1000001002699</v>
      </c>
      <c r="C7791" s="2" t="str">
        <f>"76333168"</f>
        <v>76333168</v>
      </c>
      <c r="D7791" s="2" t="s">
        <v>5394</v>
      </c>
      <c r="E7791" s="4">
        <v>3000</v>
      </c>
    </row>
    <row r="7792" spans="1:5" ht="26.25" x14ac:dyDescent="0.25">
      <c r="A7792" s="2" t="s">
        <v>13</v>
      </c>
      <c r="B7792" s="2" t="str">
        <f>"345320182"</f>
        <v>345320182</v>
      </c>
      <c r="C7792" s="2" t="str">
        <f>"345320182"</f>
        <v>345320182</v>
      </c>
      <c r="D7792" s="2" t="s">
        <v>5395</v>
      </c>
      <c r="E7792" s="4">
        <v>3000</v>
      </c>
    </row>
    <row r="7793" spans="1:5" ht="26.25" x14ac:dyDescent="0.25">
      <c r="A7793" s="2" t="s">
        <v>13</v>
      </c>
      <c r="B7793" s="2" t="str">
        <f>"763320182"</f>
        <v>763320182</v>
      </c>
      <c r="C7793" s="2" t="str">
        <f>"763320182"</f>
        <v>763320182</v>
      </c>
      <c r="D7793" s="2" t="s">
        <v>5395</v>
      </c>
      <c r="E7793" s="4">
        <v>3000</v>
      </c>
    </row>
    <row r="7794" spans="1:5" ht="26.25" x14ac:dyDescent="0.25">
      <c r="A7794" s="2" t="s">
        <v>13</v>
      </c>
      <c r="B7794" s="2" t="str">
        <f>"175320182"</f>
        <v>175320182</v>
      </c>
      <c r="C7794" s="2" t="str">
        <f>"175320182"</f>
        <v>175320182</v>
      </c>
      <c r="D7794" s="2" t="s">
        <v>5396</v>
      </c>
      <c r="E7794" s="4">
        <v>3000</v>
      </c>
    </row>
    <row r="7795" spans="1:5" ht="26.25" x14ac:dyDescent="0.25">
      <c r="A7795" s="2" t="s">
        <v>13</v>
      </c>
      <c r="B7795" s="2" t="str">
        <f>"765320182"</f>
        <v>765320182</v>
      </c>
      <c r="C7795" s="2" t="str">
        <f>"765320182"</f>
        <v>765320182</v>
      </c>
      <c r="D7795" s="2" t="s">
        <v>5396</v>
      </c>
      <c r="E7795" s="4">
        <v>3000</v>
      </c>
    </row>
    <row r="7796" spans="1:5" ht="26.25" x14ac:dyDescent="0.25">
      <c r="A7796" s="2" t="s">
        <v>13</v>
      </c>
      <c r="B7796" s="2" t="str">
        <f>"175320147"</f>
        <v>175320147</v>
      </c>
      <c r="C7796" s="2" t="str">
        <f>"175320147"</f>
        <v>175320147</v>
      </c>
      <c r="D7796" s="2" t="s">
        <v>5397</v>
      </c>
      <c r="E7796" s="4">
        <v>3000</v>
      </c>
    </row>
    <row r="7797" spans="1:5" ht="26.25" x14ac:dyDescent="0.25">
      <c r="A7797" s="2" t="s">
        <v>13</v>
      </c>
      <c r="B7797" s="2" t="str">
        <f>"765320147"</f>
        <v>765320147</v>
      </c>
      <c r="C7797" s="2" t="str">
        <f>"765320147"</f>
        <v>765320147</v>
      </c>
      <c r="D7797" s="2" t="s">
        <v>5397</v>
      </c>
      <c r="E7797" s="4">
        <v>3000</v>
      </c>
    </row>
    <row r="7798" spans="1:5" ht="26.25" x14ac:dyDescent="0.25">
      <c r="A7798" s="2" t="s">
        <v>13</v>
      </c>
      <c r="B7798" s="2" t="str">
        <f>"345320103"</f>
        <v>345320103</v>
      </c>
      <c r="C7798" s="2" t="str">
        <f>"345320103"</f>
        <v>345320103</v>
      </c>
      <c r="D7798" s="2" t="s">
        <v>5398</v>
      </c>
      <c r="E7798" s="4">
        <v>3000</v>
      </c>
    </row>
    <row r="7799" spans="1:5" ht="26.25" x14ac:dyDescent="0.25">
      <c r="A7799" s="2" t="s">
        <v>13</v>
      </c>
      <c r="B7799" s="2" t="str">
        <f>"765320123"</f>
        <v>765320123</v>
      </c>
      <c r="C7799" s="2" t="str">
        <f>"765320123"</f>
        <v>765320123</v>
      </c>
      <c r="D7799" s="2" t="s">
        <v>5398</v>
      </c>
      <c r="E7799" s="4">
        <v>3000</v>
      </c>
    </row>
    <row r="7800" spans="1:5" ht="26.25" x14ac:dyDescent="0.25">
      <c r="A7800" s="2" t="s">
        <v>13</v>
      </c>
      <c r="B7800" s="2" t="str">
        <f>"345320115"</f>
        <v>345320115</v>
      </c>
      <c r="C7800" s="2" t="str">
        <f>"345320115"</f>
        <v>345320115</v>
      </c>
      <c r="D7800" s="2" t="s">
        <v>5399</v>
      </c>
      <c r="E7800" s="4">
        <v>3000</v>
      </c>
    </row>
    <row r="7801" spans="1:5" ht="26.25" x14ac:dyDescent="0.25">
      <c r="A7801" s="2" t="s">
        <v>13</v>
      </c>
      <c r="B7801" s="2" t="str">
        <f>"765320115"</f>
        <v>765320115</v>
      </c>
      <c r="C7801" s="2" t="str">
        <f>"765320115"</f>
        <v>765320115</v>
      </c>
      <c r="D7801" s="2" t="s">
        <v>5399</v>
      </c>
      <c r="E7801" s="4">
        <v>3000</v>
      </c>
    </row>
    <row r="7802" spans="1:5" ht="26.25" x14ac:dyDescent="0.25">
      <c r="A7802" s="2" t="s">
        <v>13</v>
      </c>
      <c r="B7802" s="2" t="str">
        <f>"765320181"</f>
        <v>765320181</v>
      </c>
      <c r="C7802" s="2" t="str">
        <f>"765320181"</f>
        <v>765320181</v>
      </c>
      <c r="D7802" s="2" t="s">
        <v>5400</v>
      </c>
      <c r="E7802" s="4">
        <v>3000</v>
      </c>
    </row>
    <row r="7803" spans="1:5" ht="26.25" x14ac:dyDescent="0.25">
      <c r="A7803" s="2" t="s">
        <v>13</v>
      </c>
      <c r="B7803" s="2" t="str">
        <f>"345320265"</f>
        <v>345320265</v>
      </c>
      <c r="C7803" s="2" t="str">
        <f>"345320265"</f>
        <v>345320265</v>
      </c>
      <c r="D7803" s="2" t="s">
        <v>5401</v>
      </c>
      <c r="E7803" s="4">
        <v>3000</v>
      </c>
    </row>
    <row r="7804" spans="1:5" ht="26.25" x14ac:dyDescent="0.25">
      <c r="A7804" s="2" t="s">
        <v>13</v>
      </c>
      <c r="B7804" s="2" t="str">
        <f>"765320265"</f>
        <v>765320265</v>
      </c>
      <c r="C7804" s="2" t="str">
        <f>"765320265"</f>
        <v>765320265</v>
      </c>
      <c r="D7804" s="2" t="s">
        <v>5401</v>
      </c>
      <c r="E7804" s="4">
        <v>3000</v>
      </c>
    </row>
    <row r="7805" spans="1:5" ht="26.25" x14ac:dyDescent="0.25">
      <c r="A7805" s="2" t="s">
        <v>13</v>
      </c>
      <c r="B7805" s="2" t="str">
        <f>"763320265"</f>
        <v>763320265</v>
      </c>
      <c r="C7805" s="2" t="str">
        <f>"763320265"</f>
        <v>763320265</v>
      </c>
      <c r="D7805" s="2" t="s">
        <v>5402</v>
      </c>
      <c r="E7805" s="4">
        <v>3000</v>
      </c>
    </row>
    <row r="7806" spans="1:5" ht="26.25" x14ac:dyDescent="0.25">
      <c r="A7806" s="2" t="s">
        <v>13</v>
      </c>
      <c r="B7806" s="2" t="str">
        <f>"345320242"</f>
        <v>345320242</v>
      </c>
      <c r="C7806" s="2" t="str">
        <f>"345320242"</f>
        <v>345320242</v>
      </c>
      <c r="D7806" s="2" t="s">
        <v>5403</v>
      </c>
      <c r="E7806" s="4">
        <v>3000</v>
      </c>
    </row>
    <row r="7807" spans="1:5" ht="26.25" x14ac:dyDescent="0.25">
      <c r="A7807" s="2" t="s">
        <v>13</v>
      </c>
      <c r="B7807" s="2" t="str">
        <f>"34530139"</f>
        <v>34530139</v>
      </c>
      <c r="C7807" s="2" t="str">
        <f>"34530139"</f>
        <v>34530139</v>
      </c>
      <c r="D7807" s="2" t="s">
        <v>5404</v>
      </c>
      <c r="E7807" s="4">
        <v>3000</v>
      </c>
    </row>
    <row r="7808" spans="1:5" ht="26.25" x14ac:dyDescent="0.25">
      <c r="A7808" s="2" t="s">
        <v>13</v>
      </c>
      <c r="B7808" s="2" t="str">
        <f>"345320139"</f>
        <v>345320139</v>
      </c>
      <c r="C7808" s="2" t="str">
        <f>"345320139"</f>
        <v>345320139</v>
      </c>
      <c r="D7808" s="2" t="s">
        <v>5404</v>
      </c>
      <c r="E7808" s="4">
        <v>3000</v>
      </c>
    </row>
    <row r="7809" spans="1:5" ht="26.25" x14ac:dyDescent="0.25">
      <c r="A7809" s="2" t="s">
        <v>13</v>
      </c>
      <c r="B7809" s="2" t="str">
        <f>"765320139"</f>
        <v>765320139</v>
      </c>
      <c r="C7809" s="2" t="str">
        <f>"765320139"</f>
        <v>765320139</v>
      </c>
      <c r="D7809" s="2" t="s">
        <v>5404</v>
      </c>
      <c r="E7809" s="4">
        <v>3000</v>
      </c>
    </row>
    <row r="7810" spans="1:5" ht="26.25" x14ac:dyDescent="0.25">
      <c r="A7810" s="2" t="s">
        <v>13</v>
      </c>
      <c r="B7810" s="2" t="str">
        <f>"765320180"</f>
        <v>765320180</v>
      </c>
      <c r="C7810" s="2" t="str">
        <f>"765320180"</f>
        <v>765320180</v>
      </c>
      <c r="D7810" s="2" t="s">
        <v>5405</v>
      </c>
      <c r="E7810" s="4">
        <v>3000</v>
      </c>
    </row>
    <row r="7811" spans="1:5" ht="26.25" x14ac:dyDescent="0.25">
      <c r="A7811" s="2" t="s">
        <v>13</v>
      </c>
      <c r="B7811" s="2" t="str">
        <f>"763320190"</f>
        <v>763320190</v>
      </c>
      <c r="C7811" s="2" t="str">
        <f>"763320190"</f>
        <v>763320190</v>
      </c>
      <c r="D7811" s="2" t="s">
        <v>5406</v>
      </c>
      <c r="E7811" s="4">
        <v>3000</v>
      </c>
    </row>
    <row r="7812" spans="1:5" ht="26.25" x14ac:dyDescent="0.25">
      <c r="A7812" s="2" t="s">
        <v>13</v>
      </c>
      <c r="B7812" s="2" t="str">
        <f>"683320190"</f>
        <v>683320190</v>
      </c>
      <c r="C7812" s="2" t="str">
        <f>"683320190"</f>
        <v>683320190</v>
      </c>
      <c r="D7812" s="2" t="s">
        <v>5406</v>
      </c>
      <c r="E7812" s="4">
        <v>3000</v>
      </c>
    </row>
    <row r="7813" spans="1:5" ht="26.25" x14ac:dyDescent="0.25">
      <c r="A7813" s="2" t="s">
        <v>13</v>
      </c>
      <c r="B7813" s="2" t="str">
        <f>"175301211"</f>
        <v>175301211</v>
      </c>
      <c r="C7813" s="2" t="str">
        <f>"175301211"</f>
        <v>175301211</v>
      </c>
      <c r="D7813" s="2" t="s">
        <v>5407</v>
      </c>
      <c r="E7813" s="4">
        <v>3000</v>
      </c>
    </row>
    <row r="7814" spans="1:5" ht="26.25" x14ac:dyDescent="0.25">
      <c r="A7814" s="2" t="s">
        <v>13</v>
      </c>
      <c r="B7814" s="2" t="str">
        <f>"345301129"</f>
        <v>345301129</v>
      </c>
      <c r="C7814" s="2" t="str">
        <f>"345301129"</f>
        <v>345301129</v>
      </c>
      <c r="D7814" s="2" t="s">
        <v>5408</v>
      </c>
      <c r="E7814" s="4">
        <v>3000</v>
      </c>
    </row>
    <row r="7815" spans="1:5" ht="26.25" x14ac:dyDescent="0.25">
      <c r="A7815" s="2" t="s">
        <v>13</v>
      </c>
      <c r="B7815" s="2" t="str">
        <f>"175301129"</f>
        <v>175301129</v>
      </c>
      <c r="C7815" s="2" t="str">
        <f>"175301129"</f>
        <v>175301129</v>
      </c>
      <c r="D7815" s="2" t="s">
        <v>5409</v>
      </c>
      <c r="E7815" s="4">
        <v>3000</v>
      </c>
    </row>
    <row r="7816" spans="1:5" ht="26.25" x14ac:dyDescent="0.25">
      <c r="A7816" s="2" t="s">
        <v>13</v>
      </c>
      <c r="B7816" s="2" t="str">
        <f>"345301185"</f>
        <v>345301185</v>
      </c>
      <c r="C7816" s="2" t="str">
        <f>"345301185"</f>
        <v>345301185</v>
      </c>
      <c r="D7816" s="2" t="s">
        <v>5410</v>
      </c>
      <c r="E7816" s="4">
        <v>3000</v>
      </c>
    </row>
    <row r="7817" spans="1:5" ht="26.25" x14ac:dyDescent="0.25">
      <c r="A7817" s="2" t="s">
        <v>13</v>
      </c>
      <c r="B7817" s="2" t="str">
        <f>"345301209"</f>
        <v>345301209</v>
      </c>
      <c r="C7817" s="2" t="str">
        <f>"345301209"</f>
        <v>345301209</v>
      </c>
      <c r="D7817" s="2" t="s">
        <v>5411</v>
      </c>
      <c r="E7817" s="4">
        <v>3000</v>
      </c>
    </row>
    <row r="7818" spans="1:5" ht="26.25" x14ac:dyDescent="0.25">
      <c r="A7818" s="2" t="s">
        <v>13</v>
      </c>
      <c r="B7818" s="2" t="str">
        <f>"765301209"</f>
        <v>765301209</v>
      </c>
      <c r="C7818" s="2" t="str">
        <f>"765301209"</f>
        <v>765301209</v>
      </c>
      <c r="D7818" s="2" t="s">
        <v>5411</v>
      </c>
      <c r="E7818" s="4">
        <v>3000</v>
      </c>
    </row>
    <row r="7819" spans="1:5" ht="26.25" x14ac:dyDescent="0.25">
      <c r="A7819" s="2" t="s">
        <v>13</v>
      </c>
      <c r="B7819" s="2" t="str">
        <f>"765301212"</f>
        <v>765301212</v>
      </c>
      <c r="C7819" s="2" t="str">
        <f>"765301212"</f>
        <v>765301212</v>
      </c>
      <c r="D7819" s="2" t="s">
        <v>5412</v>
      </c>
      <c r="E7819" s="4">
        <v>3000</v>
      </c>
    </row>
    <row r="7820" spans="1:5" ht="26.25" x14ac:dyDescent="0.25">
      <c r="A7820" s="2" t="s">
        <v>13</v>
      </c>
      <c r="B7820" s="2" t="str">
        <f>"76539107"</f>
        <v>76539107</v>
      </c>
      <c r="C7820" s="2" t="str">
        <f>"76539107"</f>
        <v>76539107</v>
      </c>
      <c r="D7820" s="2" t="s">
        <v>5413</v>
      </c>
      <c r="E7820" s="4">
        <v>3000</v>
      </c>
    </row>
    <row r="7821" spans="1:5" ht="26.25" x14ac:dyDescent="0.25">
      <c r="A7821" s="2" t="s">
        <v>13</v>
      </c>
      <c r="B7821" s="2" t="str">
        <f>"34531455"</f>
        <v>34531455</v>
      </c>
      <c r="C7821" s="2" t="str">
        <f>"34531455"</f>
        <v>34531455</v>
      </c>
      <c r="D7821" s="2" t="s">
        <v>5414</v>
      </c>
      <c r="E7821" s="4">
        <v>3000</v>
      </c>
    </row>
    <row r="7822" spans="1:5" ht="26.25" x14ac:dyDescent="0.25">
      <c r="A7822" s="2" t="s">
        <v>13</v>
      </c>
      <c r="B7822" s="2" t="str">
        <f>"17531470"</f>
        <v>17531470</v>
      </c>
      <c r="C7822" s="2" t="str">
        <f>"17531470"</f>
        <v>17531470</v>
      </c>
      <c r="D7822" s="2" t="s">
        <v>5415</v>
      </c>
      <c r="E7822" s="4">
        <v>3000</v>
      </c>
    </row>
    <row r="7823" spans="1:5" ht="26.25" x14ac:dyDescent="0.25">
      <c r="A7823" s="2" t="s">
        <v>13</v>
      </c>
      <c r="B7823" s="2" t="str">
        <f>"763314158"</f>
        <v>763314158</v>
      </c>
      <c r="C7823" s="2" t="str">
        <f>"763314158"</f>
        <v>763314158</v>
      </c>
      <c r="D7823" s="2" t="s">
        <v>5416</v>
      </c>
      <c r="E7823" s="4">
        <v>3000</v>
      </c>
    </row>
    <row r="7824" spans="1:5" ht="26.25" x14ac:dyDescent="0.25">
      <c r="A7824" s="2" t="s">
        <v>13</v>
      </c>
      <c r="B7824" s="2" t="str">
        <f>"343314289"</f>
        <v>343314289</v>
      </c>
      <c r="C7824" s="2" t="str">
        <f>"343314289"</f>
        <v>343314289</v>
      </c>
      <c r="D7824" s="2" t="s">
        <v>5417</v>
      </c>
      <c r="E7824" s="4">
        <v>3000</v>
      </c>
    </row>
    <row r="7825" spans="1:5" ht="26.25" x14ac:dyDescent="0.25">
      <c r="A7825" s="2" t="s">
        <v>13</v>
      </c>
      <c r="B7825" s="2" t="str">
        <f>"2019110100089"</f>
        <v>2019110100089</v>
      </c>
      <c r="C7825" s="2" t="str">
        <f>"183314279"</f>
        <v>183314279</v>
      </c>
      <c r="D7825" s="2" t="s">
        <v>5418</v>
      </c>
      <c r="E7825" s="4">
        <v>3000</v>
      </c>
    </row>
    <row r="7826" spans="1:5" ht="26.25" x14ac:dyDescent="0.25">
      <c r="A7826" s="2" t="s">
        <v>13</v>
      </c>
      <c r="B7826" s="2" t="str">
        <f>"1000001014050"</f>
        <v>1000001014050</v>
      </c>
      <c r="C7826" s="2" t="str">
        <f>"763314279"</f>
        <v>763314279</v>
      </c>
      <c r="D7826" s="2" t="s">
        <v>5418</v>
      </c>
      <c r="E7826" s="4">
        <v>3000</v>
      </c>
    </row>
    <row r="7827" spans="1:5" ht="26.25" x14ac:dyDescent="0.25">
      <c r="A7827" s="2" t="s">
        <v>13</v>
      </c>
      <c r="B7827" s="2" t="str">
        <f>"1578151011713"</f>
        <v>1578151011713</v>
      </c>
      <c r="C7827" s="2" t="str">
        <f>"61330592"</f>
        <v>61330592</v>
      </c>
      <c r="D7827" s="2" t="s">
        <v>5418</v>
      </c>
      <c r="E7827" s="4">
        <v>3000</v>
      </c>
    </row>
    <row r="7828" spans="1:5" ht="26.25" x14ac:dyDescent="0.25">
      <c r="A7828" s="2" t="s">
        <v>13</v>
      </c>
      <c r="B7828" s="2" t="str">
        <f>"343314279"</f>
        <v>343314279</v>
      </c>
      <c r="C7828" s="2" t="str">
        <f>"343314279"</f>
        <v>343314279</v>
      </c>
      <c r="D7828" s="2" t="s">
        <v>5418</v>
      </c>
      <c r="E7828" s="4">
        <v>3000</v>
      </c>
    </row>
    <row r="7829" spans="1:5" ht="26.25" x14ac:dyDescent="0.25">
      <c r="A7829" s="2" t="s">
        <v>13</v>
      </c>
      <c r="B7829" s="2" t="str">
        <f>"763314261"</f>
        <v>763314261</v>
      </c>
      <c r="C7829" s="2" t="str">
        <f>"763314261"</f>
        <v>763314261</v>
      </c>
      <c r="D7829" s="2" t="s">
        <v>5419</v>
      </c>
      <c r="E7829" s="4">
        <v>3000</v>
      </c>
    </row>
    <row r="7830" spans="1:5" ht="26.25" x14ac:dyDescent="0.25">
      <c r="A7830" s="2" t="s">
        <v>13</v>
      </c>
      <c r="B7830" s="2" t="str">
        <f>"323314261"</f>
        <v>323314261</v>
      </c>
      <c r="C7830" s="2" t="str">
        <f>"323314261"</f>
        <v>323314261</v>
      </c>
      <c r="D7830" s="2" t="s">
        <v>5419</v>
      </c>
      <c r="E7830" s="4">
        <v>3000</v>
      </c>
    </row>
    <row r="7831" spans="1:5" ht="26.25" x14ac:dyDescent="0.25">
      <c r="A7831" s="2" t="s">
        <v>13</v>
      </c>
      <c r="B7831" s="2" t="str">
        <f>"1802007180018"</f>
        <v>1802007180018</v>
      </c>
      <c r="C7831" s="2" t="str">
        <f>"183314284"</f>
        <v>183314284</v>
      </c>
      <c r="D7831" s="2" t="s">
        <v>5419</v>
      </c>
      <c r="E7831" s="4">
        <v>3000</v>
      </c>
    </row>
    <row r="7832" spans="1:5" ht="26.25" x14ac:dyDescent="0.25">
      <c r="A7832" s="2" t="s">
        <v>13</v>
      </c>
      <c r="B7832" s="2" t="str">
        <f>"343314261"</f>
        <v>343314261</v>
      </c>
      <c r="C7832" s="2" t="str">
        <f>"343314261"</f>
        <v>343314261</v>
      </c>
      <c r="D7832" s="2" t="s">
        <v>5419</v>
      </c>
      <c r="E7832" s="4">
        <v>3000</v>
      </c>
    </row>
    <row r="7833" spans="1:5" ht="26.25" x14ac:dyDescent="0.25">
      <c r="A7833" s="2" t="s">
        <v>13</v>
      </c>
      <c r="B7833" s="2" t="str">
        <f>"683314284"</f>
        <v>683314284</v>
      </c>
      <c r="C7833" s="2" t="str">
        <f>"683314284"</f>
        <v>683314284</v>
      </c>
      <c r="D7833" s="2" t="s">
        <v>5419</v>
      </c>
      <c r="E7833" s="4">
        <v>1500</v>
      </c>
    </row>
    <row r="7834" spans="1:5" ht="26.25" x14ac:dyDescent="0.25">
      <c r="A7834" s="2" t="s">
        <v>13</v>
      </c>
      <c r="B7834" s="2" t="str">
        <f>"763314284"</f>
        <v>763314284</v>
      </c>
      <c r="C7834" s="2" t="str">
        <f>"763314284"</f>
        <v>763314284</v>
      </c>
      <c r="D7834" s="2" t="s">
        <v>5419</v>
      </c>
      <c r="E7834" s="4">
        <v>3000</v>
      </c>
    </row>
    <row r="7835" spans="1:5" ht="26.25" x14ac:dyDescent="0.25">
      <c r="A7835" s="2" t="s">
        <v>13</v>
      </c>
      <c r="B7835" s="2" t="str">
        <f>"343314284"</f>
        <v>343314284</v>
      </c>
      <c r="C7835" s="2" t="str">
        <f>"343314284"</f>
        <v>343314284</v>
      </c>
      <c r="D7835" s="2" t="s">
        <v>5419</v>
      </c>
      <c r="E7835" s="4">
        <v>3000</v>
      </c>
    </row>
    <row r="7836" spans="1:5" ht="26.25" x14ac:dyDescent="0.25">
      <c r="A7836" s="2" t="s">
        <v>13</v>
      </c>
      <c r="B7836" s="2" t="str">
        <f>"2020030300053"</f>
        <v>2020030300053</v>
      </c>
      <c r="C7836" s="2" t="str">
        <f>"183314287"</f>
        <v>183314287</v>
      </c>
      <c r="D7836" s="2" t="s">
        <v>5420</v>
      </c>
      <c r="E7836" s="4">
        <v>3000</v>
      </c>
    </row>
    <row r="7837" spans="1:5" ht="26.25" x14ac:dyDescent="0.25">
      <c r="A7837" s="2" t="s">
        <v>13</v>
      </c>
      <c r="B7837" s="2" t="str">
        <f>"2019120100086"</f>
        <v>2019120100086</v>
      </c>
      <c r="C7837" s="2" t="str">
        <f>"183314281"</f>
        <v>183314281</v>
      </c>
      <c r="D7837" s="2" t="s">
        <v>5421</v>
      </c>
      <c r="E7837" s="4">
        <v>3000</v>
      </c>
    </row>
    <row r="7838" spans="1:5" ht="26.25" x14ac:dyDescent="0.25">
      <c r="A7838" s="2" t="s">
        <v>13</v>
      </c>
      <c r="B7838" s="2" t="str">
        <f>"683314285"</f>
        <v>683314285</v>
      </c>
      <c r="C7838" s="2" t="str">
        <f>"683314285"</f>
        <v>683314285</v>
      </c>
      <c r="D7838" s="2" t="s">
        <v>5422</v>
      </c>
      <c r="E7838" s="4">
        <v>1500</v>
      </c>
    </row>
    <row r="7839" spans="1:5" ht="26.25" x14ac:dyDescent="0.25">
      <c r="A7839" s="2" t="s">
        <v>13</v>
      </c>
      <c r="B7839" s="2" t="str">
        <f>"1578150875053"</f>
        <v>1578150875053</v>
      </c>
      <c r="C7839" s="2" t="str">
        <f>"61330589"</f>
        <v>61330589</v>
      </c>
      <c r="D7839" s="2" t="s">
        <v>5422</v>
      </c>
      <c r="E7839" s="4">
        <v>3000</v>
      </c>
    </row>
    <row r="7840" spans="1:5" ht="26.25" x14ac:dyDescent="0.25">
      <c r="A7840" s="2" t="s">
        <v>13</v>
      </c>
      <c r="B7840" s="2" t="str">
        <f>"763314285"</f>
        <v>763314285</v>
      </c>
      <c r="C7840" s="2" t="str">
        <f>"763314285"</f>
        <v>763314285</v>
      </c>
      <c r="D7840" s="2" t="s">
        <v>5422</v>
      </c>
      <c r="E7840" s="4">
        <v>3000</v>
      </c>
    </row>
    <row r="7841" spans="1:5" ht="26.25" x14ac:dyDescent="0.25">
      <c r="A7841" s="2" t="s">
        <v>13</v>
      </c>
      <c r="B7841" s="2" t="str">
        <f>"34531441"</f>
        <v>34531441</v>
      </c>
      <c r="C7841" s="2" t="str">
        <f>"34531441"</f>
        <v>34531441</v>
      </c>
      <c r="D7841" s="2" t="s">
        <v>5423</v>
      </c>
      <c r="E7841" s="4">
        <v>3000</v>
      </c>
    </row>
    <row r="7842" spans="1:5" ht="26.25" x14ac:dyDescent="0.25">
      <c r="A7842" s="2" t="s">
        <v>13</v>
      </c>
      <c r="B7842" s="2" t="str">
        <f>"1000001000084"</f>
        <v>1000001000084</v>
      </c>
      <c r="C7842" s="2" t="str">
        <f>"76331441"</f>
        <v>76331441</v>
      </c>
      <c r="D7842" s="2" t="s">
        <v>5423</v>
      </c>
      <c r="E7842" s="4">
        <v>3000</v>
      </c>
    </row>
    <row r="7843" spans="1:5" ht="26.25" x14ac:dyDescent="0.25">
      <c r="A7843" s="2" t="s">
        <v>13</v>
      </c>
      <c r="B7843" s="2" t="str">
        <f>"76531441"</f>
        <v>76531441</v>
      </c>
      <c r="C7843" s="2" t="str">
        <f>"76531441"</f>
        <v>76531441</v>
      </c>
      <c r="D7843" s="2" t="s">
        <v>5423</v>
      </c>
      <c r="E7843" s="4">
        <v>3000</v>
      </c>
    </row>
    <row r="7844" spans="1:5" ht="26.25" x14ac:dyDescent="0.25">
      <c r="A7844" s="2" t="s">
        <v>13</v>
      </c>
      <c r="B7844" s="2" t="str">
        <f>"345314197"</f>
        <v>345314197</v>
      </c>
      <c r="C7844" s="2" t="str">
        <f>"345314197"</f>
        <v>345314197</v>
      </c>
      <c r="D7844" s="2" t="s">
        <v>5424</v>
      </c>
      <c r="E7844" s="4">
        <v>3000</v>
      </c>
    </row>
    <row r="7845" spans="1:5" ht="26.25" x14ac:dyDescent="0.25">
      <c r="A7845" s="2" t="s">
        <v>13</v>
      </c>
      <c r="B7845" s="2" t="str">
        <f>"1000001002224"</f>
        <v>1000001002224</v>
      </c>
      <c r="C7845" s="2" t="str">
        <f>"763314197"</f>
        <v>763314197</v>
      </c>
      <c r="D7845" s="2" t="s">
        <v>5424</v>
      </c>
      <c r="E7845" s="4">
        <v>3000</v>
      </c>
    </row>
    <row r="7846" spans="1:5" ht="26.25" x14ac:dyDescent="0.25">
      <c r="A7846" s="2" t="s">
        <v>13</v>
      </c>
      <c r="B7846" s="2" t="str">
        <f>"765314197"</f>
        <v>765314197</v>
      </c>
      <c r="C7846" s="2" t="str">
        <f>"765314197"</f>
        <v>765314197</v>
      </c>
      <c r="D7846" s="2" t="s">
        <v>5424</v>
      </c>
      <c r="E7846" s="4">
        <v>3000</v>
      </c>
    </row>
    <row r="7847" spans="1:5" ht="26.25" x14ac:dyDescent="0.25">
      <c r="A7847" s="2" t="s">
        <v>13</v>
      </c>
      <c r="B7847" s="2" t="str">
        <f>"763314292"</f>
        <v>763314292</v>
      </c>
      <c r="C7847" s="2" t="str">
        <f>"763314292"</f>
        <v>763314292</v>
      </c>
      <c r="D7847" s="2" t="s">
        <v>5425</v>
      </c>
      <c r="E7847" s="4">
        <v>3000</v>
      </c>
    </row>
    <row r="7848" spans="1:5" ht="26.25" x14ac:dyDescent="0.25">
      <c r="A7848" s="2" t="s">
        <v>13</v>
      </c>
      <c r="B7848" s="2" t="str">
        <f>"2019029900596"</f>
        <v>2019029900596</v>
      </c>
      <c r="C7848" s="2" t="str">
        <f>"183314274"</f>
        <v>183314274</v>
      </c>
      <c r="D7848" s="2" t="s">
        <v>5426</v>
      </c>
      <c r="E7848" s="4">
        <v>3000</v>
      </c>
    </row>
    <row r="7849" spans="1:5" ht="26.25" x14ac:dyDescent="0.25">
      <c r="A7849" s="2" t="s">
        <v>13</v>
      </c>
      <c r="B7849" s="2" t="str">
        <f>"343314274"</f>
        <v>343314274</v>
      </c>
      <c r="C7849" s="2" t="str">
        <f>"343314274"</f>
        <v>343314274</v>
      </c>
      <c r="D7849" s="2" t="s">
        <v>5426</v>
      </c>
      <c r="E7849" s="4">
        <v>3000</v>
      </c>
    </row>
    <row r="7850" spans="1:5" ht="26.25" x14ac:dyDescent="0.25">
      <c r="A7850" s="2" t="s">
        <v>13</v>
      </c>
      <c r="B7850" s="2" t="str">
        <f>"1000001004853"</f>
        <v>1000001004853</v>
      </c>
      <c r="C7850" s="2" t="str">
        <f>"763314274"</f>
        <v>763314274</v>
      </c>
      <c r="D7850" s="2" t="s">
        <v>5426</v>
      </c>
      <c r="E7850" s="4">
        <v>3000</v>
      </c>
    </row>
    <row r="7851" spans="1:5" ht="26.25" x14ac:dyDescent="0.25">
      <c r="A7851" s="2" t="s">
        <v>13</v>
      </c>
      <c r="B7851" s="2" t="str">
        <f>"1578150982429"</f>
        <v>1578150982429</v>
      </c>
      <c r="C7851" s="2" t="str">
        <f>"61330591"</f>
        <v>61330591</v>
      </c>
      <c r="D7851" s="2" t="s">
        <v>5426</v>
      </c>
      <c r="E7851" s="4">
        <v>3000</v>
      </c>
    </row>
    <row r="7852" spans="1:5" ht="26.25" x14ac:dyDescent="0.25">
      <c r="A7852" s="2" t="s">
        <v>13</v>
      </c>
      <c r="B7852" s="2" t="str">
        <f>"1578150922150"</f>
        <v>1578150922150</v>
      </c>
      <c r="C7852" s="2" t="str">
        <f>"61330590"</f>
        <v>61330590</v>
      </c>
      <c r="D7852" s="2" t="s">
        <v>5427</v>
      </c>
      <c r="E7852" s="4">
        <v>3000</v>
      </c>
    </row>
    <row r="7853" spans="1:5" ht="26.25" x14ac:dyDescent="0.25">
      <c r="A7853" s="2" t="s">
        <v>13</v>
      </c>
      <c r="B7853" s="2" t="str">
        <f>"343314286"</f>
        <v>343314286</v>
      </c>
      <c r="C7853" s="2" t="str">
        <f>"343314286"</f>
        <v>343314286</v>
      </c>
      <c r="D7853" s="2" t="s">
        <v>5428</v>
      </c>
      <c r="E7853" s="4">
        <v>3000</v>
      </c>
    </row>
    <row r="7854" spans="1:5" ht="26.25" x14ac:dyDescent="0.25">
      <c r="A7854" s="2" t="s">
        <v>13</v>
      </c>
      <c r="B7854" s="2" t="str">
        <f>"2019047700307"</f>
        <v>2019047700307</v>
      </c>
      <c r="C7854" s="2" t="str">
        <f>"183314278"</f>
        <v>183314278</v>
      </c>
      <c r="D7854" s="2" t="s">
        <v>5429</v>
      </c>
      <c r="E7854" s="4">
        <v>3000</v>
      </c>
    </row>
    <row r="7855" spans="1:5" ht="26.25" x14ac:dyDescent="0.25">
      <c r="A7855" s="2" t="s">
        <v>13</v>
      </c>
      <c r="B7855" s="2" t="str">
        <f>"34531401"</f>
        <v>34531401</v>
      </c>
      <c r="C7855" s="2" t="str">
        <f>"34531401"</f>
        <v>34531401</v>
      </c>
      <c r="D7855" s="2" t="s">
        <v>5430</v>
      </c>
      <c r="E7855" s="4">
        <v>3000</v>
      </c>
    </row>
    <row r="7856" spans="1:5" ht="26.25" x14ac:dyDescent="0.25">
      <c r="A7856" s="2" t="s">
        <v>13</v>
      </c>
      <c r="B7856" s="2" t="str">
        <f>"76331401"</f>
        <v>76331401</v>
      </c>
      <c r="C7856" s="2" t="str">
        <f>"76331401"</f>
        <v>76331401</v>
      </c>
      <c r="D7856" s="2" t="s">
        <v>5430</v>
      </c>
      <c r="E7856" s="4">
        <v>3000</v>
      </c>
    </row>
    <row r="7857" spans="1:5" ht="26.25" x14ac:dyDescent="0.25">
      <c r="A7857" s="2" t="s">
        <v>13</v>
      </c>
      <c r="B7857" s="2" t="str">
        <f>"34331401"</f>
        <v>34331401</v>
      </c>
      <c r="C7857" s="2" t="str">
        <f>"34331401"</f>
        <v>34331401</v>
      </c>
      <c r="D7857" s="2" t="s">
        <v>5430</v>
      </c>
      <c r="E7857" s="4">
        <v>3000</v>
      </c>
    </row>
    <row r="7858" spans="1:5" ht="26.25" x14ac:dyDescent="0.25">
      <c r="A7858" s="2" t="s">
        <v>13</v>
      </c>
      <c r="B7858" s="2" t="str">
        <f>"1000001000091"</f>
        <v>1000001000091</v>
      </c>
      <c r="C7858" s="2" t="str">
        <f>"765314293"</f>
        <v>765314293</v>
      </c>
      <c r="D7858" s="2" t="s">
        <v>5430</v>
      </c>
      <c r="E7858" s="4">
        <v>3000</v>
      </c>
    </row>
    <row r="7859" spans="1:5" ht="26.25" x14ac:dyDescent="0.25">
      <c r="A7859" s="2" t="s">
        <v>13</v>
      </c>
      <c r="B7859" s="2" t="str">
        <f>"345314179"</f>
        <v>345314179</v>
      </c>
      <c r="C7859" s="2" t="str">
        <f>"345314179"</f>
        <v>345314179</v>
      </c>
      <c r="D7859" s="2" t="s">
        <v>5431</v>
      </c>
      <c r="E7859" s="4">
        <v>3000</v>
      </c>
    </row>
    <row r="7860" spans="1:5" ht="26.25" x14ac:dyDescent="0.25">
      <c r="A7860" s="2" t="s">
        <v>13</v>
      </c>
      <c r="B7860" s="2" t="str">
        <f>"765314179"</f>
        <v>765314179</v>
      </c>
      <c r="C7860" s="2" t="str">
        <f>"765314179"</f>
        <v>765314179</v>
      </c>
      <c r="D7860" s="2" t="s">
        <v>5431</v>
      </c>
      <c r="E7860" s="4">
        <v>3000</v>
      </c>
    </row>
    <row r="7861" spans="1:5" ht="26.25" x14ac:dyDescent="0.25">
      <c r="A7861" s="2" t="s">
        <v>13</v>
      </c>
      <c r="B7861" s="2" t="str">
        <f>"1000001001012"</f>
        <v>1000001001012</v>
      </c>
      <c r="C7861" s="2" t="str">
        <f>"763314293"</f>
        <v>763314293</v>
      </c>
      <c r="D7861" s="2" t="s">
        <v>5432</v>
      </c>
      <c r="E7861" s="4">
        <v>3000</v>
      </c>
    </row>
    <row r="7862" spans="1:5" ht="26.25" x14ac:dyDescent="0.25">
      <c r="A7862" s="2" t="s">
        <v>13</v>
      </c>
      <c r="B7862" s="2" t="str">
        <f>"2019029900602"</f>
        <v>2019029900602</v>
      </c>
      <c r="C7862" s="2" t="str">
        <f>"183314275"</f>
        <v>183314275</v>
      </c>
      <c r="D7862" s="2" t="s">
        <v>5433</v>
      </c>
      <c r="E7862" s="4">
        <v>3000</v>
      </c>
    </row>
    <row r="7863" spans="1:5" ht="26.25" x14ac:dyDescent="0.25">
      <c r="A7863" s="2" t="s">
        <v>13</v>
      </c>
      <c r="B7863" s="2" t="str">
        <f>"2019120100284"</f>
        <v>2019120100284</v>
      </c>
      <c r="C7863" s="2" t="str">
        <f>"183314288"</f>
        <v>183314288</v>
      </c>
      <c r="D7863" s="2" t="s">
        <v>5434</v>
      </c>
      <c r="E7863" s="4">
        <v>3000</v>
      </c>
    </row>
    <row r="7864" spans="1:5" ht="26.25" x14ac:dyDescent="0.25">
      <c r="A7864" s="2" t="s">
        <v>13</v>
      </c>
      <c r="B7864" s="2" t="str">
        <f>"343314288"</f>
        <v>343314288</v>
      </c>
      <c r="C7864" s="2" t="str">
        <f>"343314288"</f>
        <v>343314288</v>
      </c>
      <c r="D7864" s="2" t="s">
        <v>5434</v>
      </c>
      <c r="E7864" s="4">
        <v>3000</v>
      </c>
    </row>
    <row r="7865" spans="1:5" ht="26.25" x14ac:dyDescent="0.25">
      <c r="A7865" s="2" t="s">
        <v>13</v>
      </c>
      <c r="B7865" s="2" t="str">
        <f>"323314259"</f>
        <v>323314259</v>
      </c>
      <c r="C7865" s="2" t="str">
        <f>"323314259"</f>
        <v>323314259</v>
      </c>
      <c r="D7865" s="2" t="s">
        <v>5435</v>
      </c>
      <c r="E7865" s="4">
        <v>3000</v>
      </c>
    </row>
    <row r="7866" spans="1:5" ht="26.25" x14ac:dyDescent="0.25">
      <c r="A7866" s="2" t="s">
        <v>13</v>
      </c>
      <c r="B7866" s="2" t="str">
        <f>"76531442"</f>
        <v>76531442</v>
      </c>
      <c r="C7866" s="2" t="str">
        <f>"76531442"</f>
        <v>76531442</v>
      </c>
      <c r="D7866" s="2" t="s">
        <v>5436</v>
      </c>
      <c r="E7866" s="4">
        <v>3000</v>
      </c>
    </row>
    <row r="7867" spans="1:5" ht="26.25" x14ac:dyDescent="0.25">
      <c r="A7867" s="2" t="s">
        <v>13</v>
      </c>
      <c r="B7867" s="2" t="str">
        <f>"343314109"</f>
        <v>343314109</v>
      </c>
      <c r="C7867" s="2" t="str">
        <f>"343314109"</f>
        <v>343314109</v>
      </c>
      <c r="D7867" s="2" t="s">
        <v>5436</v>
      </c>
      <c r="E7867" s="4">
        <v>3000</v>
      </c>
    </row>
    <row r="7868" spans="1:5" ht="26.25" x14ac:dyDescent="0.25">
      <c r="A7868" s="2" t="s">
        <v>13</v>
      </c>
      <c r="B7868" s="2" t="str">
        <f>"765314109"</f>
        <v>765314109</v>
      </c>
      <c r="C7868" s="2" t="str">
        <f>"765314109"</f>
        <v>765314109</v>
      </c>
      <c r="D7868" s="2" t="s">
        <v>5436</v>
      </c>
      <c r="E7868" s="4">
        <v>3000</v>
      </c>
    </row>
    <row r="7869" spans="1:5" ht="26.25" x14ac:dyDescent="0.25">
      <c r="A7869" s="2" t="s">
        <v>13</v>
      </c>
      <c r="B7869" s="2" t="str">
        <f>"765314294"</f>
        <v>765314294</v>
      </c>
      <c r="C7869" s="2" t="str">
        <f>"765314294"</f>
        <v>765314294</v>
      </c>
      <c r="D7869" s="2" t="s">
        <v>5437</v>
      </c>
      <c r="E7869" s="4">
        <v>3000</v>
      </c>
    </row>
    <row r="7870" spans="1:5" ht="26.25" x14ac:dyDescent="0.25">
      <c r="A7870" s="2" t="s">
        <v>13</v>
      </c>
      <c r="B7870" s="2" t="str">
        <f>"343314177"</f>
        <v>343314177</v>
      </c>
      <c r="C7870" s="2" t="str">
        <f>"343314177"</f>
        <v>343314177</v>
      </c>
      <c r="D7870" s="2" t="s">
        <v>5438</v>
      </c>
      <c r="E7870" s="4">
        <v>3000</v>
      </c>
    </row>
    <row r="7871" spans="1:5" ht="26.25" x14ac:dyDescent="0.25">
      <c r="A7871" s="2" t="s">
        <v>13</v>
      </c>
      <c r="B7871" s="2" t="str">
        <f>"763314177"</f>
        <v>763314177</v>
      </c>
      <c r="C7871" s="2" t="str">
        <f>"763314177"</f>
        <v>763314177</v>
      </c>
      <c r="D7871" s="2" t="s">
        <v>5438</v>
      </c>
      <c r="E7871" s="4">
        <v>3000</v>
      </c>
    </row>
    <row r="7872" spans="1:5" ht="26.25" x14ac:dyDescent="0.25">
      <c r="A7872" s="2" t="s">
        <v>13</v>
      </c>
      <c r="B7872" s="2" t="str">
        <f>"1000001002248"</f>
        <v>1000001002248</v>
      </c>
      <c r="C7872" s="2" t="str">
        <f>"765314177"</f>
        <v>765314177</v>
      </c>
      <c r="D7872" s="2" t="s">
        <v>5438</v>
      </c>
      <c r="E7872" s="4">
        <v>3000</v>
      </c>
    </row>
    <row r="7873" spans="1:5" ht="26.25" x14ac:dyDescent="0.25">
      <c r="A7873" s="2" t="s">
        <v>13</v>
      </c>
      <c r="B7873" s="2" t="str">
        <f>"1000001000107"</f>
        <v>1000001000107</v>
      </c>
      <c r="C7873" s="2" t="str">
        <f>"763314294"</f>
        <v>763314294</v>
      </c>
      <c r="D7873" s="2" t="s">
        <v>5439</v>
      </c>
      <c r="E7873" s="4">
        <v>3000</v>
      </c>
    </row>
    <row r="7874" spans="1:5" ht="26.25" x14ac:dyDescent="0.25">
      <c r="A7874" s="2" t="s">
        <v>13</v>
      </c>
      <c r="B7874" s="2" t="str">
        <f>"2019120100093"</f>
        <v>2019120100093</v>
      </c>
      <c r="C7874" s="2" t="str">
        <f>"183314277"</f>
        <v>183314277</v>
      </c>
      <c r="D7874" s="2" t="s">
        <v>5440</v>
      </c>
      <c r="E7874" s="4">
        <v>3000</v>
      </c>
    </row>
    <row r="7875" spans="1:5" ht="26.25" x14ac:dyDescent="0.25">
      <c r="A7875" s="2" t="s">
        <v>13</v>
      </c>
      <c r="B7875" s="2" t="str">
        <f>"683314277"</f>
        <v>683314277</v>
      </c>
      <c r="C7875" s="2" t="str">
        <f>"683314277"</f>
        <v>683314277</v>
      </c>
      <c r="D7875" s="2" t="s">
        <v>5440</v>
      </c>
      <c r="E7875" s="4">
        <v>3000</v>
      </c>
    </row>
    <row r="7876" spans="1:5" ht="26.25" x14ac:dyDescent="0.25">
      <c r="A7876" s="2" t="s">
        <v>13</v>
      </c>
      <c r="B7876" s="2" t="str">
        <f>"343314277"</f>
        <v>343314277</v>
      </c>
      <c r="C7876" s="2" t="str">
        <f>"343314277"</f>
        <v>343314277</v>
      </c>
      <c r="D7876" s="2" t="s">
        <v>5440</v>
      </c>
      <c r="E7876" s="4">
        <v>3000</v>
      </c>
    </row>
    <row r="7877" spans="1:5" ht="26.25" x14ac:dyDescent="0.25">
      <c r="A7877" s="2" t="s">
        <v>13</v>
      </c>
      <c r="B7877" s="2" t="str">
        <f>"343314290"</f>
        <v>343314290</v>
      </c>
      <c r="C7877" s="2" t="str">
        <f>"343314290"</f>
        <v>343314290</v>
      </c>
      <c r="D7877" s="2" t="s">
        <v>5441</v>
      </c>
      <c r="E7877" s="4">
        <v>3000</v>
      </c>
    </row>
    <row r="7878" spans="1:5" ht="26.25" x14ac:dyDescent="0.25">
      <c r="A7878" s="2" t="s">
        <v>13</v>
      </c>
      <c r="B7878" s="2" t="str">
        <f>"1000001003566"</f>
        <v>1000001003566</v>
      </c>
      <c r="C7878" s="2" t="str">
        <f>"765314138"</f>
        <v>765314138</v>
      </c>
      <c r="D7878" s="2" t="s">
        <v>5442</v>
      </c>
      <c r="E7878" s="4">
        <v>3000</v>
      </c>
    </row>
    <row r="7879" spans="1:5" ht="26.25" x14ac:dyDescent="0.25">
      <c r="A7879" s="2" t="s">
        <v>13</v>
      </c>
      <c r="B7879" s="2" t="str">
        <f>"343314168"</f>
        <v>343314168</v>
      </c>
      <c r="C7879" s="2" t="str">
        <f>"343314168"</f>
        <v>343314168</v>
      </c>
      <c r="D7879" s="2" t="s">
        <v>5442</v>
      </c>
      <c r="E7879" s="4">
        <v>3000</v>
      </c>
    </row>
    <row r="7880" spans="1:5" ht="26.25" x14ac:dyDescent="0.25">
      <c r="A7880" s="2" t="s">
        <v>13</v>
      </c>
      <c r="B7880" s="2" t="str">
        <f>"1000001003580"</f>
        <v>1000001003580</v>
      </c>
      <c r="C7880" s="2" t="str">
        <f>"763314138"</f>
        <v>763314138</v>
      </c>
      <c r="D7880" s="2" t="s">
        <v>5443</v>
      </c>
      <c r="E7880" s="4">
        <v>3000</v>
      </c>
    </row>
    <row r="7881" spans="1:5" ht="26.25" x14ac:dyDescent="0.25">
      <c r="A7881" s="2" t="s">
        <v>13</v>
      </c>
      <c r="B7881" s="2" t="str">
        <f>"323314139"</f>
        <v>323314139</v>
      </c>
      <c r="C7881" s="2" t="str">
        <f>"323314139"</f>
        <v>323314139</v>
      </c>
      <c r="D7881" s="2" t="s">
        <v>5443</v>
      </c>
      <c r="E7881" s="4">
        <v>3000</v>
      </c>
    </row>
    <row r="7882" spans="1:5" ht="26.25" x14ac:dyDescent="0.25">
      <c r="A7882" s="2" t="s">
        <v>13</v>
      </c>
      <c r="B7882" s="2" t="str">
        <f>"1000001014043"</f>
        <v>1000001014043</v>
      </c>
      <c r="C7882" s="2" t="str">
        <f>"763314282"</f>
        <v>763314282</v>
      </c>
      <c r="D7882" s="2" t="s">
        <v>5444</v>
      </c>
      <c r="E7882" s="4">
        <v>1500</v>
      </c>
    </row>
    <row r="7883" spans="1:5" ht="26.25" x14ac:dyDescent="0.25">
      <c r="A7883" s="2" t="s">
        <v>13</v>
      </c>
      <c r="B7883" s="2" t="str">
        <f>"1578150836556"</f>
        <v>1578150836556</v>
      </c>
      <c r="C7883" s="2" t="str">
        <f>"61330588"</f>
        <v>61330588</v>
      </c>
      <c r="D7883" s="2" t="s">
        <v>5444</v>
      </c>
      <c r="E7883" s="4">
        <v>3000</v>
      </c>
    </row>
    <row r="7884" spans="1:5" ht="26.25" x14ac:dyDescent="0.25">
      <c r="A7884" s="2" t="s">
        <v>13</v>
      </c>
      <c r="B7884" s="2" t="str">
        <f>"413314210"</f>
        <v>413314210</v>
      </c>
      <c r="C7884" s="2" t="str">
        <f>"413314210"</f>
        <v>413314210</v>
      </c>
      <c r="D7884" s="2" t="s">
        <v>5445</v>
      </c>
      <c r="E7884" s="4">
        <v>3000</v>
      </c>
    </row>
    <row r="7885" spans="1:5" ht="26.25" x14ac:dyDescent="0.25">
      <c r="A7885" s="2" t="s">
        <v>13</v>
      </c>
      <c r="B7885" s="2" t="str">
        <f>"763314210"</f>
        <v>763314210</v>
      </c>
      <c r="C7885" s="2" t="str">
        <f>"763314210"</f>
        <v>763314210</v>
      </c>
      <c r="D7885" s="2" t="s">
        <v>5445</v>
      </c>
      <c r="E7885" s="4">
        <v>3000</v>
      </c>
    </row>
    <row r="7886" spans="1:5" ht="26.25" x14ac:dyDescent="0.25">
      <c r="A7886" s="2" t="s">
        <v>13</v>
      </c>
      <c r="B7886" s="2" t="str">
        <f>"763314276"</f>
        <v>763314276</v>
      </c>
      <c r="C7886" s="2" t="str">
        <f>"763314276"</f>
        <v>763314276</v>
      </c>
      <c r="D7886" s="2" t="s">
        <v>5445</v>
      </c>
      <c r="E7886" s="4">
        <v>3000</v>
      </c>
    </row>
    <row r="7887" spans="1:5" ht="26.25" x14ac:dyDescent="0.25">
      <c r="A7887" s="2" t="s">
        <v>13</v>
      </c>
      <c r="B7887" s="2" t="str">
        <f>"17531413"</f>
        <v>17531413</v>
      </c>
      <c r="C7887" s="2" t="str">
        <f>"17531413"</f>
        <v>17531413</v>
      </c>
      <c r="D7887" s="2" t="s">
        <v>5446</v>
      </c>
      <c r="E7887" s="4">
        <v>3000</v>
      </c>
    </row>
    <row r="7888" spans="1:5" ht="26.25" x14ac:dyDescent="0.25">
      <c r="A7888" s="2" t="s">
        <v>13</v>
      </c>
      <c r="B7888" s="2" t="str">
        <f>"34531413"</f>
        <v>34531413</v>
      </c>
      <c r="C7888" s="2" t="str">
        <f>"34531413"</f>
        <v>34531413</v>
      </c>
      <c r="D7888" s="2" t="s">
        <v>5446</v>
      </c>
      <c r="E7888" s="4">
        <v>3000</v>
      </c>
    </row>
    <row r="7889" spans="1:5" ht="26.25" x14ac:dyDescent="0.25">
      <c r="A7889" s="2" t="s">
        <v>13</v>
      </c>
      <c r="B7889" s="2" t="str">
        <f>"76331413"</f>
        <v>76331413</v>
      </c>
      <c r="C7889" s="2" t="str">
        <f>"76331413"</f>
        <v>76331413</v>
      </c>
      <c r="D7889" s="2" t="s">
        <v>5447</v>
      </c>
      <c r="E7889" s="4">
        <v>3000</v>
      </c>
    </row>
    <row r="7890" spans="1:5" ht="26.25" x14ac:dyDescent="0.25">
      <c r="A7890" s="2" t="s">
        <v>13</v>
      </c>
      <c r="B7890" s="2" t="str">
        <f>"76531453"</f>
        <v>76531453</v>
      </c>
      <c r="C7890" s="2" t="str">
        <f>"76531453"</f>
        <v>76531453</v>
      </c>
      <c r="D7890" s="2" t="s">
        <v>5447</v>
      </c>
      <c r="E7890" s="4">
        <v>3000</v>
      </c>
    </row>
    <row r="7891" spans="1:5" ht="26.25" x14ac:dyDescent="0.25">
      <c r="A7891" s="2" t="s">
        <v>13</v>
      </c>
      <c r="B7891" s="2" t="str">
        <f>"76531413"</f>
        <v>76531413</v>
      </c>
      <c r="C7891" s="2" t="str">
        <f>"76531413"</f>
        <v>76531413</v>
      </c>
      <c r="D7891" s="2" t="s">
        <v>5448</v>
      </c>
      <c r="E7891" s="4">
        <v>3000</v>
      </c>
    </row>
    <row r="7892" spans="1:5" ht="26.25" x14ac:dyDescent="0.25">
      <c r="A7892" s="2" t="s">
        <v>13</v>
      </c>
      <c r="B7892" s="2" t="str">
        <f>"76331425"</f>
        <v>76331425</v>
      </c>
      <c r="C7892" s="2" t="str">
        <f>"76331425"</f>
        <v>76331425</v>
      </c>
      <c r="D7892" s="2" t="s">
        <v>5449</v>
      </c>
      <c r="E7892" s="4">
        <v>3000</v>
      </c>
    </row>
    <row r="7893" spans="1:5" ht="26.25" x14ac:dyDescent="0.25">
      <c r="A7893" s="2" t="s">
        <v>13</v>
      </c>
      <c r="B7893" s="2" t="str">
        <f>"76531455"</f>
        <v>76531455</v>
      </c>
      <c r="C7893" s="2" t="str">
        <f>"76531455"</f>
        <v>76531455</v>
      </c>
      <c r="D7893" s="2" t="s">
        <v>5449</v>
      </c>
      <c r="E7893" s="4">
        <v>3000</v>
      </c>
    </row>
    <row r="7894" spans="1:5" ht="26.25" x14ac:dyDescent="0.25">
      <c r="A7894" s="2" t="s">
        <v>13</v>
      </c>
      <c r="B7894" s="2" t="str">
        <f>"34531425"</f>
        <v>34531425</v>
      </c>
      <c r="C7894" s="2" t="str">
        <f>"34531425"</f>
        <v>34531425</v>
      </c>
      <c r="D7894" s="2" t="s">
        <v>5450</v>
      </c>
      <c r="E7894" s="4">
        <v>3000</v>
      </c>
    </row>
    <row r="7895" spans="1:5" ht="26.25" x14ac:dyDescent="0.25">
      <c r="A7895" s="2" t="s">
        <v>13</v>
      </c>
      <c r="B7895" s="2" t="str">
        <f>"32331431"</f>
        <v>32331431</v>
      </c>
      <c r="C7895" s="2" t="str">
        <f>"32331431"</f>
        <v>32331431</v>
      </c>
      <c r="D7895" s="2" t="s">
        <v>5451</v>
      </c>
      <c r="E7895" s="4">
        <v>3000</v>
      </c>
    </row>
    <row r="7896" spans="1:5" ht="26.25" x14ac:dyDescent="0.25">
      <c r="A7896" s="2" t="s">
        <v>13</v>
      </c>
      <c r="B7896" s="2" t="str">
        <f>"34531431"</f>
        <v>34531431</v>
      </c>
      <c r="C7896" s="2" t="str">
        <f>"34531431"</f>
        <v>34531431</v>
      </c>
      <c r="D7896" s="2" t="s">
        <v>5452</v>
      </c>
      <c r="E7896" s="4">
        <v>3000</v>
      </c>
    </row>
    <row r="7897" spans="1:5" ht="26.25" x14ac:dyDescent="0.25">
      <c r="A7897" s="2" t="s">
        <v>13</v>
      </c>
      <c r="B7897" s="2" t="str">
        <f>"76531431"</f>
        <v>76531431</v>
      </c>
      <c r="C7897" s="2" t="str">
        <f>"76531431"</f>
        <v>76531431</v>
      </c>
      <c r="D7897" s="2" t="s">
        <v>5452</v>
      </c>
      <c r="E7897" s="4">
        <v>3000</v>
      </c>
    </row>
    <row r="7898" spans="1:5" ht="26.25" x14ac:dyDescent="0.25">
      <c r="A7898" s="2" t="s">
        <v>13</v>
      </c>
      <c r="B7898" s="2" t="str">
        <f>"345314225"</f>
        <v>345314225</v>
      </c>
      <c r="C7898" s="2" t="str">
        <f>"345314225"</f>
        <v>345314225</v>
      </c>
      <c r="D7898" s="2" t="s">
        <v>5453</v>
      </c>
      <c r="E7898" s="4">
        <v>3000</v>
      </c>
    </row>
    <row r="7899" spans="1:5" ht="26.25" x14ac:dyDescent="0.25">
      <c r="A7899" s="2" t="s">
        <v>13</v>
      </c>
      <c r="B7899" s="2" t="str">
        <f>"765314225"</f>
        <v>765314225</v>
      </c>
      <c r="C7899" s="2" t="str">
        <f>"765314225"</f>
        <v>765314225</v>
      </c>
      <c r="D7899" s="2" t="s">
        <v>5453</v>
      </c>
      <c r="E7899" s="4">
        <v>3000</v>
      </c>
    </row>
    <row r="7900" spans="1:5" ht="26.25" x14ac:dyDescent="0.25">
      <c r="A7900" s="2" t="s">
        <v>13</v>
      </c>
      <c r="B7900" s="2" t="str">
        <f>"76531428"</f>
        <v>76531428</v>
      </c>
      <c r="C7900" s="2" t="str">
        <f>"76531428"</f>
        <v>76531428</v>
      </c>
      <c r="D7900" s="2" t="s">
        <v>5454</v>
      </c>
      <c r="E7900" s="4">
        <v>3000</v>
      </c>
    </row>
    <row r="7901" spans="1:5" ht="26.25" x14ac:dyDescent="0.25">
      <c r="A7901" s="2" t="s">
        <v>13</v>
      </c>
      <c r="B7901" s="2" t="str">
        <f>"76531460"</f>
        <v>76531460</v>
      </c>
      <c r="C7901" s="2" t="str">
        <f>"76531460"</f>
        <v>76531460</v>
      </c>
      <c r="D7901" s="2" t="s">
        <v>5454</v>
      </c>
      <c r="E7901" s="4">
        <v>3000</v>
      </c>
    </row>
    <row r="7902" spans="1:5" ht="26.25" x14ac:dyDescent="0.25">
      <c r="A7902" s="2" t="s">
        <v>13</v>
      </c>
      <c r="B7902" s="2" t="str">
        <f>"34531404"</f>
        <v>34531404</v>
      </c>
      <c r="C7902" s="2" t="str">
        <f>"34531404"</f>
        <v>34531404</v>
      </c>
      <c r="D7902" s="2" t="s">
        <v>5455</v>
      </c>
      <c r="E7902" s="4">
        <v>3000</v>
      </c>
    </row>
    <row r="7903" spans="1:5" ht="26.25" x14ac:dyDescent="0.25">
      <c r="A7903" s="2" t="s">
        <v>13</v>
      </c>
      <c r="B7903" s="2" t="str">
        <f>"34531427"</f>
        <v>34531427</v>
      </c>
      <c r="C7903" s="2" t="str">
        <f>"34531427"</f>
        <v>34531427</v>
      </c>
      <c r="D7903" s="2" t="s">
        <v>5456</v>
      </c>
      <c r="E7903" s="4">
        <v>3000</v>
      </c>
    </row>
    <row r="7904" spans="1:5" ht="26.25" x14ac:dyDescent="0.25">
      <c r="A7904" s="2" t="s">
        <v>13</v>
      </c>
      <c r="B7904" s="2" t="str">
        <f>"76531427"</f>
        <v>76531427</v>
      </c>
      <c r="C7904" s="2" t="str">
        <f>"76531427"</f>
        <v>76531427</v>
      </c>
      <c r="D7904" s="2" t="s">
        <v>5456</v>
      </c>
      <c r="E7904" s="4">
        <v>3000</v>
      </c>
    </row>
    <row r="7905" spans="1:5" ht="26.25" x14ac:dyDescent="0.25">
      <c r="A7905" s="2" t="s">
        <v>13</v>
      </c>
      <c r="B7905" s="2" t="str">
        <f>"34531407"</f>
        <v>34531407</v>
      </c>
      <c r="C7905" s="2" t="str">
        <f>"34531407"</f>
        <v>34531407</v>
      </c>
      <c r="D7905" s="2" t="s">
        <v>5457</v>
      </c>
      <c r="E7905" s="4">
        <v>3000</v>
      </c>
    </row>
    <row r="7906" spans="1:5" ht="26.25" x14ac:dyDescent="0.25">
      <c r="A7906" s="2" t="s">
        <v>13</v>
      </c>
      <c r="B7906" s="2" t="str">
        <f>"76531407"</f>
        <v>76531407</v>
      </c>
      <c r="C7906" s="2" t="str">
        <f>"76531407"</f>
        <v>76531407</v>
      </c>
      <c r="D7906" s="2" t="s">
        <v>5457</v>
      </c>
      <c r="E7906" s="4">
        <v>3000</v>
      </c>
    </row>
    <row r="7907" spans="1:5" ht="26.25" x14ac:dyDescent="0.25">
      <c r="A7907" s="2" t="s">
        <v>13</v>
      </c>
      <c r="B7907" s="2" t="str">
        <f>"76331407"</f>
        <v>76331407</v>
      </c>
      <c r="C7907" s="2" t="str">
        <f>"76331407"</f>
        <v>76331407</v>
      </c>
      <c r="D7907" s="2" t="s">
        <v>5457</v>
      </c>
      <c r="E7907" s="4">
        <v>3000</v>
      </c>
    </row>
    <row r="7908" spans="1:5" ht="26.25" x14ac:dyDescent="0.25">
      <c r="A7908" s="2" t="s">
        <v>13</v>
      </c>
      <c r="B7908" s="2" t="str">
        <f>"76331430"</f>
        <v>76331430</v>
      </c>
      <c r="C7908" s="2" t="str">
        <f>"76331430"</f>
        <v>76331430</v>
      </c>
      <c r="D7908" s="2" t="s">
        <v>5458</v>
      </c>
      <c r="E7908" s="4">
        <v>3000</v>
      </c>
    </row>
    <row r="7909" spans="1:5" ht="26.25" x14ac:dyDescent="0.25">
      <c r="A7909" s="2" t="s">
        <v>13</v>
      </c>
      <c r="B7909" s="2" t="str">
        <f>"76531430"</f>
        <v>76531430</v>
      </c>
      <c r="C7909" s="2" t="str">
        <f>"76531430"</f>
        <v>76531430</v>
      </c>
      <c r="D7909" s="2" t="s">
        <v>5458</v>
      </c>
      <c r="E7909" s="4">
        <v>3000</v>
      </c>
    </row>
    <row r="7910" spans="1:5" ht="26.25" x14ac:dyDescent="0.25">
      <c r="A7910" s="2" t="s">
        <v>13</v>
      </c>
      <c r="B7910" s="2" t="str">
        <f>"76531425"</f>
        <v>76531425</v>
      </c>
      <c r="C7910" s="2" t="str">
        <f>"76531425"</f>
        <v>76531425</v>
      </c>
      <c r="D7910" s="2" t="s">
        <v>5459</v>
      </c>
      <c r="E7910" s="4">
        <v>3000</v>
      </c>
    </row>
    <row r="7911" spans="1:5" ht="26.25" x14ac:dyDescent="0.25">
      <c r="A7911" s="2" t="s">
        <v>13</v>
      </c>
      <c r="B7911" s="2" t="str">
        <f>"34531460"</f>
        <v>34531460</v>
      </c>
      <c r="C7911" s="2" t="str">
        <f>"34531460"</f>
        <v>34531460</v>
      </c>
      <c r="D7911" s="2" t="s">
        <v>5460</v>
      </c>
      <c r="E7911" s="4">
        <v>3000</v>
      </c>
    </row>
    <row r="7912" spans="1:5" ht="26.25" x14ac:dyDescent="0.25">
      <c r="A7912" s="2" t="s">
        <v>13</v>
      </c>
      <c r="B7912" s="2" t="str">
        <f>"93331430"</f>
        <v>93331430</v>
      </c>
      <c r="C7912" s="2" t="str">
        <f>"93331430"</f>
        <v>93331430</v>
      </c>
      <c r="D7912" s="2" t="s">
        <v>5461</v>
      </c>
      <c r="E7912" s="4">
        <v>3000</v>
      </c>
    </row>
    <row r="7913" spans="1:5" ht="26.25" x14ac:dyDescent="0.25">
      <c r="A7913" s="2" t="s">
        <v>13</v>
      </c>
      <c r="B7913" s="2" t="str">
        <f>"110170072"</f>
        <v>110170072</v>
      </c>
      <c r="C7913" s="2" t="str">
        <f>"110170072"</f>
        <v>110170072</v>
      </c>
      <c r="D7913" s="2" t="s">
        <v>5462</v>
      </c>
      <c r="E7913" s="4">
        <v>3000</v>
      </c>
    </row>
    <row r="7914" spans="1:5" ht="26.25" x14ac:dyDescent="0.25">
      <c r="A7914" s="2" t="s">
        <v>13</v>
      </c>
      <c r="B7914" s="2" t="str">
        <f>"34531481"</f>
        <v>34531481</v>
      </c>
      <c r="C7914" s="2" t="str">
        <f>"34531481"</f>
        <v>34531481</v>
      </c>
      <c r="D7914" s="2" t="s">
        <v>5463</v>
      </c>
      <c r="E7914" s="4">
        <v>3000</v>
      </c>
    </row>
    <row r="7915" spans="1:5" ht="26.25" x14ac:dyDescent="0.25">
      <c r="A7915" s="2" t="s">
        <v>13</v>
      </c>
      <c r="B7915" s="2" t="str">
        <f>"1000001000190"</f>
        <v>1000001000190</v>
      </c>
      <c r="C7915" s="2" t="str">
        <f>"76531481"</f>
        <v>76531481</v>
      </c>
      <c r="D7915" s="2" t="s">
        <v>5463</v>
      </c>
      <c r="E7915" s="4">
        <v>3000</v>
      </c>
    </row>
    <row r="7916" spans="1:5" ht="26.25" x14ac:dyDescent="0.25">
      <c r="A7916" s="2" t="s">
        <v>13</v>
      </c>
      <c r="B7916" s="2" t="str">
        <f>"76531477"</f>
        <v>76531477</v>
      </c>
      <c r="C7916" s="2" t="str">
        <f>"76531477"</f>
        <v>76531477</v>
      </c>
      <c r="D7916" s="2" t="s">
        <v>5464</v>
      </c>
      <c r="E7916" s="4">
        <v>3000</v>
      </c>
    </row>
    <row r="7917" spans="1:5" ht="26.25" x14ac:dyDescent="0.25">
      <c r="A7917" s="2" t="s">
        <v>13</v>
      </c>
      <c r="B7917" s="2" t="str">
        <f>"17531480"</f>
        <v>17531480</v>
      </c>
      <c r="C7917" s="2" t="str">
        <f>"17531480"</f>
        <v>17531480</v>
      </c>
      <c r="D7917" s="2" t="s">
        <v>5465</v>
      </c>
      <c r="E7917" s="4">
        <v>3000</v>
      </c>
    </row>
    <row r="7918" spans="1:5" ht="26.25" x14ac:dyDescent="0.25">
      <c r="A7918" s="2" t="s">
        <v>13</v>
      </c>
      <c r="B7918" s="2" t="str">
        <f>"34531480"</f>
        <v>34531480</v>
      </c>
      <c r="C7918" s="2" t="str">
        <f>"34531480"</f>
        <v>34531480</v>
      </c>
      <c r="D7918" s="2" t="s">
        <v>5465</v>
      </c>
      <c r="E7918" s="4">
        <v>3000</v>
      </c>
    </row>
    <row r="7919" spans="1:5" ht="26.25" x14ac:dyDescent="0.25">
      <c r="A7919" s="2" t="s">
        <v>13</v>
      </c>
      <c r="B7919" s="2" t="str">
        <f>"76331480"</f>
        <v>76331480</v>
      </c>
      <c r="C7919" s="2" t="str">
        <f>"76331480"</f>
        <v>76331480</v>
      </c>
      <c r="D7919" s="2" t="s">
        <v>5465</v>
      </c>
      <c r="E7919" s="4">
        <v>3000</v>
      </c>
    </row>
    <row r="7920" spans="1:5" ht="26.25" x14ac:dyDescent="0.25">
      <c r="A7920" s="2" t="s">
        <v>13</v>
      </c>
      <c r="B7920" s="2" t="str">
        <f>"34331480"</f>
        <v>34331480</v>
      </c>
      <c r="C7920" s="2" t="str">
        <f>"34331480"</f>
        <v>34331480</v>
      </c>
      <c r="D7920" s="2" t="s">
        <v>5466</v>
      </c>
      <c r="E7920" s="4">
        <v>3000</v>
      </c>
    </row>
    <row r="7921" spans="1:5" ht="26.25" x14ac:dyDescent="0.25">
      <c r="A7921" s="2" t="s">
        <v>13</v>
      </c>
      <c r="B7921" s="2" t="str">
        <f>"76531480"</f>
        <v>76531480</v>
      </c>
      <c r="C7921" s="2" t="str">
        <f>"76531480"</f>
        <v>76531480</v>
      </c>
      <c r="D7921" s="2" t="s">
        <v>5467</v>
      </c>
      <c r="E7921" s="4">
        <v>3000</v>
      </c>
    </row>
    <row r="7922" spans="1:5" ht="26.25" x14ac:dyDescent="0.25">
      <c r="A7922" s="2" t="s">
        <v>13</v>
      </c>
      <c r="B7922" s="2" t="str">
        <f>"17531430"</f>
        <v>17531430</v>
      </c>
      <c r="C7922" s="2" t="str">
        <f>"17531430"</f>
        <v>17531430</v>
      </c>
      <c r="D7922" s="2" t="s">
        <v>5468</v>
      </c>
      <c r="E7922" s="4">
        <v>3000</v>
      </c>
    </row>
    <row r="7923" spans="1:5" ht="26.25" x14ac:dyDescent="0.25">
      <c r="A7923" s="2" t="s">
        <v>13</v>
      </c>
      <c r="B7923" s="2" t="str">
        <f>"86331430"</f>
        <v>86331430</v>
      </c>
      <c r="C7923" s="2" t="str">
        <f>"86331430"</f>
        <v>86331430</v>
      </c>
      <c r="D7923" s="2" t="s">
        <v>5468</v>
      </c>
      <c r="E7923" s="4">
        <v>3000</v>
      </c>
    </row>
    <row r="7924" spans="1:5" ht="26.25" x14ac:dyDescent="0.25">
      <c r="A7924" s="2" t="s">
        <v>13</v>
      </c>
      <c r="B7924" s="2" t="str">
        <f>"17331430"</f>
        <v>17331430</v>
      </c>
      <c r="C7924" s="2" t="str">
        <f>"17331430"</f>
        <v>17331430</v>
      </c>
      <c r="D7924" s="2" t="s">
        <v>5468</v>
      </c>
      <c r="E7924" s="4">
        <v>3000</v>
      </c>
    </row>
    <row r="7925" spans="1:5" ht="26.25" x14ac:dyDescent="0.25">
      <c r="A7925" s="2" t="s">
        <v>13</v>
      </c>
      <c r="B7925" s="2" t="str">
        <f>"34531430"</f>
        <v>34531430</v>
      </c>
      <c r="C7925" s="2" t="str">
        <f>"34531430"</f>
        <v>34531430</v>
      </c>
      <c r="D7925" s="2" t="s">
        <v>5469</v>
      </c>
      <c r="E7925" s="4">
        <v>3000</v>
      </c>
    </row>
    <row r="7926" spans="1:5" ht="26.25" x14ac:dyDescent="0.25">
      <c r="A7926" s="2" t="s">
        <v>13</v>
      </c>
      <c r="B7926" s="2" t="str">
        <f>"76530930"</f>
        <v>76530930</v>
      </c>
      <c r="C7926" s="2" t="str">
        <f>"76530930"</f>
        <v>76530930</v>
      </c>
      <c r="D7926" s="2" t="s">
        <v>5470</v>
      </c>
      <c r="E7926" s="4">
        <v>3000</v>
      </c>
    </row>
    <row r="7927" spans="1:5" ht="26.25" x14ac:dyDescent="0.25">
      <c r="A7927" s="2" t="s">
        <v>13</v>
      </c>
      <c r="B7927" s="2" t="str">
        <f>"110767200"</f>
        <v>110767200</v>
      </c>
      <c r="C7927" s="2" t="str">
        <f>"110767200"</f>
        <v>110767200</v>
      </c>
      <c r="D7927" s="2" t="s">
        <v>5471</v>
      </c>
      <c r="E7927" s="4">
        <v>3000</v>
      </c>
    </row>
    <row r="7928" spans="1:5" ht="26.25" x14ac:dyDescent="0.25">
      <c r="A7928" s="2" t="s">
        <v>13</v>
      </c>
      <c r="B7928" s="2" t="str">
        <f>"34531443"</f>
        <v>34531443</v>
      </c>
      <c r="C7928" s="2" t="str">
        <f>"34531443"</f>
        <v>34531443</v>
      </c>
      <c r="D7928" s="2" t="s">
        <v>5472</v>
      </c>
      <c r="E7928" s="4">
        <v>3000</v>
      </c>
    </row>
    <row r="7929" spans="1:5" ht="26.25" x14ac:dyDescent="0.25">
      <c r="A7929" s="2" t="s">
        <v>13</v>
      </c>
      <c r="B7929" s="2" t="str">
        <f>"76531433"</f>
        <v>76531433</v>
      </c>
      <c r="C7929" s="2" t="str">
        <f>"76531433"</f>
        <v>76531433</v>
      </c>
      <c r="D7929" s="2" t="s">
        <v>5472</v>
      </c>
      <c r="E7929" s="4">
        <v>3000</v>
      </c>
    </row>
    <row r="7930" spans="1:5" ht="26.25" x14ac:dyDescent="0.25">
      <c r="A7930" s="2" t="s">
        <v>13</v>
      </c>
      <c r="B7930" s="2" t="str">
        <f>"76531443"</f>
        <v>76531443</v>
      </c>
      <c r="C7930" s="2" t="str">
        <f>"76531443"</f>
        <v>76531443</v>
      </c>
      <c r="D7930" s="2" t="s">
        <v>5472</v>
      </c>
      <c r="E7930" s="4">
        <v>3000</v>
      </c>
    </row>
    <row r="7931" spans="1:5" ht="26.25" x14ac:dyDescent="0.25">
      <c r="A7931" s="2" t="s">
        <v>13</v>
      </c>
      <c r="B7931" s="2" t="str">
        <f>"343314011"</f>
        <v>343314011</v>
      </c>
      <c r="C7931" s="2" t="str">
        <f>"343314011"</f>
        <v>343314011</v>
      </c>
      <c r="D7931" s="2" t="s">
        <v>5472</v>
      </c>
      <c r="E7931" s="4">
        <v>3782</v>
      </c>
    </row>
    <row r="7932" spans="1:5" ht="26.25" x14ac:dyDescent="0.25">
      <c r="A7932" s="2" t="s">
        <v>13</v>
      </c>
      <c r="B7932" s="2" t="str">
        <f>"175314125"</f>
        <v>175314125</v>
      </c>
      <c r="C7932" s="2" t="str">
        <f>"175314125"</f>
        <v>175314125</v>
      </c>
      <c r="D7932" s="2" t="s">
        <v>5473</v>
      </c>
      <c r="E7932" s="4">
        <v>3000</v>
      </c>
    </row>
    <row r="7933" spans="1:5" ht="26.25" x14ac:dyDescent="0.25">
      <c r="A7933" s="2" t="s">
        <v>13</v>
      </c>
      <c r="B7933" s="2" t="str">
        <f>"345311125"</f>
        <v>345311125</v>
      </c>
      <c r="C7933" s="2" t="str">
        <f>"345311125"</f>
        <v>345311125</v>
      </c>
      <c r="D7933" s="2" t="s">
        <v>5473</v>
      </c>
      <c r="E7933" s="4">
        <v>3000</v>
      </c>
    </row>
    <row r="7934" spans="1:5" ht="26.25" x14ac:dyDescent="0.25">
      <c r="A7934" s="2" t="s">
        <v>13</v>
      </c>
      <c r="B7934" s="2" t="str">
        <f>"763314125"</f>
        <v>763314125</v>
      </c>
      <c r="C7934" s="2" t="str">
        <f>"763314125"</f>
        <v>763314125</v>
      </c>
      <c r="D7934" s="2" t="s">
        <v>5473</v>
      </c>
      <c r="E7934" s="4">
        <v>3000</v>
      </c>
    </row>
    <row r="7935" spans="1:5" ht="26.25" x14ac:dyDescent="0.25">
      <c r="A7935" s="2" t="s">
        <v>13</v>
      </c>
      <c r="B7935" s="2" t="str">
        <f>"765314125"</f>
        <v>765314125</v>
      </c>
      <c r="C7935" s="2" t="str">
        <f>"765314125"</f>
        <v>765314125</v>
      </c>
      <c r="D7935" s="2" t="s">
        <v>5473</v>
      </c>
      <c r="E7935" s="4">
        <v>3000</v>
      </c>
    </row>
    <row r="7936" spans="1:5" ht="26.25" x14ac:dyDescent="0.25">
      <c r="A7936" s="2" t="s">
        <v>13</v>
      </c>
      <c r="B7936" s="2" t="str">
        <f>"2020030300060"</f>
        <v>2020030300060</v>
      </c>
      <c r="C7936" s="2" t="str">
        <f>"183314294"</f>
        <v>183314294</v>
      </c>
      <c r="D7936" s="2" t="s">
        <v>5473</v>
      </c>
      <c r="E7936" s="4">
        <v>3000</v>
      </c>
    </row>
    <row r="7937" spans="1:5" ht="26.25" x14ac:dyDescent="0.25">
      <c r="A7937" s="2" t="s">
        <v>13</v>
      </c>
      <c r="B7937" s="2" t="str">
        <f>"863314125"</f>
        <v>863314125</v>
      </c>
      <c r="C7937" s="2" t="str">
        <f>"863314125"</f>
        <v>863314125</v>
      </c>
      <c r="D7937" s="2" t="s">
        <v>5473</v>
      </c>
      <c r="E7937" s="4">
        <v>3000</v>
      </c>
    </row>
    <row r="7938" spans="1:5" ht="26.25" x14ac:dyDescent="0.25">
      <c r="A7938" s="2" t="s">
        <v>13</v>
      </c>
      <c r="B7938" s="2" t="str">
        <f>"343314125"</f>
        <v>343314125</v>
      </c>
      <c r="C7938" s="2" t="str">
        <f>"343314125"</f>
        <v>343314125</v>
      </c>
      <c r="D7938" s="2" t="s">
        <v>5473</v>
      </c>
      <c r="E7938" s="4">
        <v>3000</v>
      </c>
    </row>
    <row r="7939" spans="1:5" ht="26.25" x14ac:dyDescent="0.25">
      <c r="A7939" s="2" t="s">
        <v>13</v>
      </c>
      <c r="B7939" s="2" t="str">
        <f>"343314145"</f>
        <v>343314145</v>
      </c>
      <c r="C7939" s="2" t="str">
        <f>"343314145"</f>
        <v>343314145</v>
      </c>
      <c r="D7939" s="2" t="s">
        <v>5473</v>
      </c>
      <c r="E7939" s="4">
        <v>3000</v>
      </c>
    </row>
    <row r="7940" spans="1:5" ht="26.25" x14ac:dyDescent="0.25">
      <c r="A7940" s="2" t="s">
        <v>13</v>
      </c>
      <c r="B7940" s="2" t="str">
        <f>"345314125"</f>
        <v>345314125</v>
      </c>
      <c r="C7940" s="2" t="str">
        <f>"345314125"</f>
        <v>345314125</v>
      </c>
      <c r="D7940" s="2" t="s">
        <v>5473</v>
      </c>
      <c r="E7940" s="4">
        <v>3000</v>
      </c>
    </row>
    <row r="7941" spans="1:5" ht="26.25" x14ac:dyDescent="0.25">
      <c r="A7941" s="2" t="s">
        <v>13</v>
      </c>
      <c r="B7941" s="2" t="str">
        <f>"763314193"</f>
        <v>763314193</v>
      </c>
      <c r="C7941" s="2" t="str">
        <f>"763314193"</f>
        <v>763314193</v>
      </c>
      <c r="D7941" s="2" t="s">
        <v>5474</v>
      </c>
      <c r="E7941" s="4">
        <v>3000</v>
      </c>
    </row>
    <row r="7942" spans="1:5" ht="26.25" x14ac:dyDescent="0.25">
      <c r="A7942" s="2" t="s">
        <v>13</v>
      </c>
      <c r="B7942" s="2" t="str">
        <f>"863314193"</f>
        <v>863314193</v>
      </c>
      <c r="C7942" s="2" t="str">
        <f>"863314193"</f>
        <v>863314193</v>
      </c>
      <c r="D7942" s="2" t="s">
        <v>5474</v>
      </c>
      <c r="E7942" s="4">
        <v>3000</v>
      </c>
    </row>
    <row r="7943" spans="1:5" ht="26.25" x14ac:dyDescent="0.25">
      <c r="A7943" s="2" t="s">
        <v>13</v>
      </c>
      <c r="B7943" s="2" t="str">
        <f>"763314192"</f>
        <v>763314192</v>
      </c>
      <c r="C7943" s="2" t="str">
        <f>"763314192"</f>
        <v>763314192</v>
      </c>
      <c r="D7943" s="2" t="s">
        <v>5475</v>
      </c>
      <c r="E7943" s="4">
        <v>3000</v>
      </c>
    </row>
    <row r="7944" spans="1:5" ht="26.25" x14ac:dyDescent="0.25">
      <c r="A7944" s="2" t="s">
        <v>13</v>
      </c>
      <c r="B7944" s="2" t="str">
        <f>"1000001002347"</f>
        <v>1000001002347</v>
      </c>
      <c r="C7944" s="2" t="str">
        <f>"765314192"</f>
        <v>765314192</v>
      </c>
      <c r="D7944" s="2" t="s">
        <v>5475</v>
      </c>
      <c r="E7944" s="4">
        <v>3000</v>
      </c>
    </row>
    <row r="7945" spans="1:5" ht="26.25" x14ac:dyDescent="0.25">
      <c r="A7945" s="2" t="s">
        <v>13</v>
      </c>
      <c r="B7945" s="2" t="str">
        <f>"345314136"</f>
        <v>345314136</v>
      </c>
      <c r="C7945" s="2" t="str">
        <f>"345314136"</f>
        <v>345314136</v>
      </c>
      <c r="D7945" s="2" t="s">
        <v>5476</v>
      </c>
      <c r="E7945" s="4">
        <v>3000</v>
      </c>
    </row>
    <row r="7946" spans="1:5" ht="26.25" x14ac:dyDescent="0.25">
      <c r="A7946" s="2" t="s">
        <v>13</v>
      </c>
      <c r="B7946" s="2" t="str">
        <f>"765314136"</f>
        <v>765314136</v>
      </c>
      <c r="C7946" s="2" t="str">
        <f>"765314136"</f>
        <v>765314136</v>
      </c>
      <c r="D7946" s="2" t="s">
        <v>5476</v>
      </c>
      <c r="E7946" s="4">
        <v>3000</v>
      </c>
    </row>
    <row r="7947" spans="1:5" ht="26.25" x14ac:dyDescent="0.25">
      <c r="A7947" s="2" t="s">
        <v>13</v>
      </c>
      <c r="B7947" s="2" t="str">
        <f>"763314136"</f>
        <v>763314136</v>
      </c>
      <c r="C7947" s="2" t="str">
        <f>"763314136"</f>
        <v>763314136</v>
      </c>
      <c r="D7947" s="2" t="s">
        <v>5476</v>
      </c>
      <c r="E7947" s="4">
        <v>3000</v>
      </c>
    </row>
    <row r="7948" spans="1:5" ht="26.25" x14ac:dyDescent="0.25">
      <c r="A7948" s="2" t="s">
        <v>13</v>
      </c>
      <c r="B7948" s="2" t="str">
        <f>"763314262"</f>
        <v>763314262</v>
      </c>
      <c r="C7948" s="2" t="str">
        <f>"763314262"</f>
        <v>763314262</v>
      </c>
      <c r="D7948" s="2" t="s">
        <v>5477</v>
      </c>
      <c r="E7948" s="4">
        <v>3000</v>
      </c>
    </row>
    <row r="7949" spans="1:5" ht="26.25" x14ac:dyDescent="0.25">
      <c r="A7949" s="2" t="s">
        <v>13</v>
      </c>
      <c r="B7949" s="2" t="str">
        <f>"1000001001050"</f>
        <v>1000001001050</v>
      </c>
      <c r="C7949" s="2" t="str">
        <f>"763314283"</f>
        <v>763314283</v>
      </c>
      <c r="D7949" s="2" t="s">
        <v>5478</v>
      </c>
      <c r="E7949" s="4">
        <v>3000</v>
      </c>
    </row>
    <row r="7950" spans="1:5" ht="26.25" x14ac:dyDescent="0.25">
      <c r="A7950" s="2" t="s">
        <v>13</v>
      </c>
      <c r="B7950" s="2" t="str">
        <f>"693314283"</f>
        <v>693314283</v>
      </c>
      <c r="C7950" s="2" t="str">
        <f>"693314283"</f>
        <v>693314283</v>
      </c>
      <c r="D7950" s="2" t="s">
        <v>5478</v>
      </c>
      <c r="E7950" s="4">
        <v>3000</v>
      </c>
    </row>
    <row r="7951" spans="1:5" ht="26.25" x14ac:dyDescent="0.25">
      <c r="A7951" s="2" t="s">
        <v>13</v>
      </c>
      <c r="B7951" s="2" t="str">
        <f>"2019110100041"</f>
        <v>2019110100041</v>
      </c>
      <c r="C7951" s="2" t="str">
        <f>"183314283"</f>
        <v>183314283</v>
      </c>
      <c r="D7951" s="2" t="s">
        <v>5478</v>
      </c>
      <c r="E7951" s="4">
        <v>3000</v>
      </c>
    </row>
    <row r="7952" spans="1:5" ht="26.25" x14ac:dyDescent="0.25">
      <c r="A7952" s="2" t="s">
        <v>13</v>
      </c>
      <c r="B7952" s="2" t="str">
        <f>"765314283"</f>
        <v>765314283</v>
      </c>
      <c r="C7952" s="2" t="str">
        <f>"765314283"</f>
        <v>765314283</v>
      </c>
      <c r="D7952" s="2" t="s">
        <v>5478</v>
      </c>
      <c r="E7952" s="4">
        <v>3000</v>
      </c>
    </row>
    <row r="7953" spans="1:5" ht="26.25" x14ac:dyDescent="0.25">
      <c r="A7953" s="2" t="s">
        <v>13</v>
      </c>
      <c r="B7953" s="2" t="str">
        <f>"343314283"</f>
        <v>343314283</v>
      </c>
      <c r="C7953" s="2" t="str">
        <f>"343314283"</f>
        <v>343314283</v>
      </c>
      <c r="D7953" s="2" t="s">
        <v>5478</v>
      </c>
      <c r="E7953" s="4">
        <v>3000</v>
      </c>
    </row>
    <row r="7954" spans="1:5" ht="26.25" x14ac:dyDescent="0.25">
      <c r="A7954" s="2" t="s">
        <v>13</v>
      </c>
      <c r="B7954" s="2" t="str">
        <f>"1000001003061"</f>
        <v>1000001003061</v>
      </c>
      <c r="C7954" s="2" t="str">
        <f>"763314131"</f>
        <v>763314131</v>
      </c>
      <c r="D7954" s="2" t="s">
        <v>5479</v>
      </c>
      <c r="E7954" s="4">
        <v>3000</v>
      </c>
    </row>
    <row r="7955" spans="1:5" ht="26.25" x14ac:dyDescent="0.25">
      <c r="A7955" s="2" t="s">
        <v>13</v>
      </c>
      <c r="B7955" s="2" t="str">
        <f>"1000001003610"</f>
        <v>1000001003610</v>
      </c>
      <c r="C7955" s="2" t="str">
        <f>"765314131"</f>
        <v>765314131</v>
      </c>
      <c r="D7955" s="2" t="s">
        <v>5479</v>
      </c>
      <c r="E7955" s="4">
        <v>3000</v>
      </c>
    </row>
    <row r="7956" spans="1:5" ht="26.25" x14ac:dyDescent="0.25">
      <c r="A7956" s="2" t="s">
        <v>13</v>
      </c>
      <c r="B7956" s="2" t="str">
        <f>"693314131"</f>
        <v>693314131</v>
      </c>
      <c r="C7956" s="2" t="str">
        <f>"693314131"</f>
        <v>693314131</v>
      </c>
      <c r="D7956" s="2" t="s">
        <v>5479</v>
      </c>
      <c r="E7956" s="4">
        <v>3000</v>
      </c>
    </row>
    <row r="7957" spans="1:5" ht="26.25" x14ac:dyDescent="0.25">
      <c r="A7957" s="2" t="s">
        <v>13</v>
      </c>
      <c r="B7957" s="2" t="str">
        <f>"683314131"</f>
        <v>683314131</v>
      </c>
      <c r="C7957" s="2" t="str">
        <f>"683314131"</f>
        <v>683314131</v>
      </c>
      <c r="D7957" s="2" t="s">
        <v>5479</v>
      </c>
      <c r="E7957" s="4">
        <v>3000</v>
      </c>
    </row>
    <row r="7958" spans="1:5" ht="26.25" x14ac:dyDescent="0.25">
      <c r="A7958" s="2" t="s">
        <v>13</v>
      </c>
      <c r="B7958" s="2" t="str">
        <f>"763314291"</f>
        <v>763314291</v>
      </c>
      <c r="C7958" s="2" t="str">
        <f>"763314291"</f>
        <v>763314291</v>
      </c>
      <c r="D7958" s="2" t="s">
        <v>5480</v>
      </c>
      <c r="E7958" s="4">
        <v>3000</v>
      </c>
    </row>
    <row r="7959" spans="1:5" ht="26.25" x14ac:dyDescent="0.25">
      <c r="A7959" s="2" t="s">
        <v>13</v>
      </c>
      <c r="B7959" s="2" t="str">
        <f>"173314291"</f>
        <v>173314291</v>
      </c>
      <c r="C7959" s="2" t="str">
        <f>"173314291"</f>
        <v>173314291</v>
      </c>
      <c r="D7959" s="2" t="s">
        <v>5480</v>
      </c>
      <c r="E7959" s="4">
        <v>3000</v>
      </c>
    </row>
    <row r="7960" spans="1:5" ht="26.25" x14ac:dyDescent="0.25">
      <c r="A7960" s="2" t="s">
        <v>13</v>
      </c>
      <c r="B7960" s="2" t="str">
        <f>"343314108"</f>
        <v>343314108</v>
      </c>
      <c r="C7960" s="2" t="str">
        <f>"343314108"</f>
        <v>343314108</v>
      </c>
      <c r="D7960" s="2" t="s">
        <v>5481</v>
      </c>
      <c r="E7960" s="4">
        <v>3000</v>
      </c>
    </row>
    <row r="7961" spans="1:5" ht="26.25" x14ac:dyDescent="0.25">
      <c r="A7961" s="2" t="s">
        <v>13</v>
      </c>
      <c r="B7961" s="2" t="str">
        <f>"345314108"</f>
        <v>345314108</v>
      </c>
      <c r="C7961" s="2" t="str">
        <f>"345314108"</f>
        <v>345314108</v>
      </c>
      <c r="D7961" s="2" t="s">
        <v>5481</v>
      </c>
      <c r="E7961" s="4">
        <v>3000</v>
      </c>
    </row>
    <row r="7962" spans="1:5" ht="26.25" x14ac:dyDescent="0.25">
      <c r="A7962" s="2" t="s">
        <v>13</v>
      </c>
      <c r="B7962" s="2" t="str">
        <f>"1000001002781"</f>
        <v>1000001002781</v>
      </c>
      <c r="C7962" s="2" t="str">
        <f>"763314130"</f>
        <v>763314130</v>
      </c>
      <c r="D7962" s="2" t="s">
        <v>5482</v>
      </c>
      <c r="E7962" s="4">
        <v>3000</v>
      </c>
    </row>
    <row r="7963" spans="1:5" ht="26.25" x14ac:dyDescent="0.25">
      <c r="A7963" s="2" t="s">
        <v>13</v>
      </c>
      <c r="B7963" s="2" t="str">
        <f>"763314108"</f>
        <v>763314108</v>
      </c>
      <c r="C7963" s="2" t="str">
        <f>"763314108"</f>
        <v>763314108</v>
      </c>
      <c r="D7963" s="2" t="s">
        <v>5483</v>
      </c>
      <c r="E7963" s="4">
        <v>3000</v>
      </c>
    </row>
    <row r="7964" spans="1:5" ht="26.25" x14ac:dyDescent="0.25">
      <c r="A7964" s="2" t="s">
        <v>13</v>
      </c>
      <c r="B7964" s="2" t="str">
        <f>"765314108"</f>
        <v>765314108</v>
      </c>
      <c r="C7964" s="2" t="str">
        <f>"765314108"</f>
        <v>765314108</v>
      </c>
      <c r="D7964" s="2" t="s">
        <v>5483</v>
      </c>
      <c r="E7964" s="4">
        <v>3000</v>
      </c>
    </row>
    <row r="7965" spans="1:5" ht="26.25" x14ac:dyDescent="0.25">
      <c r="A7965" s="2" t="s">
        <v>13</v>
      </c>
      <c r="B7965" s="2" t="str">
        <f>"345314194"</f>
        <v>345314194</v>
      </c>
      <c r="C7965" s="2" t="str">
        <f>"345314194"</f>
        <v>345314194</v>
      </c>
      <c r="D7965" s="2" t="s">
        <v>5484</v>
      </c>
      <c r="E7965" s="4">
        <v>3000</v>
      </c>
    </row>
    <row r="7966" spans="1:5" ht="26.25" x14ac:dyDescent="0.25">
      <c r="A7966" s="2" t="s">
        <v>13</v>
      </c>
      <c r="B7966" s="2" t="str">
        <f>"765314194"</f>
        <v>765314194</v>
      </c>
      <c r="C7966" s="2" t="str">
        <f>"765314194"</f>
        <v>765314194</v>
      </c>
      <c r="D7966" s="2" t="s">
        <v>5484</v>
      </c>
      <c r="E7966" s="4">
        <v>3000</v>
      </c>
    </row>
    <row r="7967" spans="1:5" ht="26.25" x14ac:dyDescent="0.25">
      <c r="A7967" s="2" t="s">
        <v>13</v>
      </c>
      <c r="B7967" s="2" t="str">
        <f>"173314108"</f>
        <v>173314108</v>
      </c>
      <c r="C7967" s="2" t="str">
        <f>"173314108"</f>
        <v>173314108</v>
      </c>
      <c r="D7967" s="2" t="s">
        <v>5484</v>
      </c>
      <c r="E7967" s="4">
        <v>3000</v>
      </c>
    </row>
    <row r="7968" spans="1:5" ht="26.25" x14ac:dyDescent="0.25">
      <c r="A7968" s="2" t="s">
        <v>13</v>
      </c>
      <c r="B7968" s="2" t="str">
        <f>"1000001004006"</f>
        <v>1000001004006</v>
      </c>
      <c r="C7968" s="2" t="str">
        <f>"763314255"</f>
        <v>763314255</v>
      </c>
      <c r="D7968" s="2" t="s">
        <v>5485</v>
      </c>
      <c r="E7968" s="4">
        <v>1500</v>
      </c>
    </row>
    <row r="7969" spans="1:5" ht="26.25" x14ac:dyDescent="0.25">
      <c r="A7969" s="2" t="s">
        <v>13</v>
      </c>
      <c r="B7969" s="2" t="str">
        <f>"693314255"</f>
        <v>693314255</v>
      </c>
      <c r="C7969" s="2" t="str">
        <f>"693314255"</f>
        <v>693314255</v>
      </c>
      <c r="D7969" s="2" t="s">
        <v>5485</v>
      </c>
      <c r="E7969" s="4">
        <v>1500</v>
      </c>
    </row>
    <row r="7970" spans="1:5" ht="26.25" x14ac:dyDescent="0.25">
      <c r="A7970" s="2" t="s">
        <v>13</v>
      </c>
      <c r="B7970" s="2" t="str">
        <f>"765314255"</f>
        <v>765314255</v>
      </c>
      <c r="C7970" s="2" t="str">
        <f>"765314255"</f>
        <v>765314255</v>
      </c>
      <c r="D7970" s="2" t="s">
        <v>5485</v>
      </c>
      <c r="E7970" s="4">
        <v>1500</v>
      </c>
    </row>
    <row r="7971" spans="1:5" ht="26.25" x14ac:dyDescent="0.25">
      <c r="A7971" s="2" t="s">
        <v>13</v>
      </c>
      <c r="B7971" s="2" t="str">
        <f>"2018123800078"</f>
        <v>2018123800078</v>
      </c>
      <c r="C7971" s="2" t="str">
        <f>"183314255"</f>
        <v>183314255</v>
      </c>
      <c r="D7971" s="2" t="s">
        <v>5485</v>
      </c>
      <c r="E7971" s="4">
        <v>3000</v>
      </c>
    </row>
    <row r="7972" spans="1:5" ht="26.25" x14ac:dyDescent="0.25">
      <c r="A7972" s="2" t="s">
        <v>13</v>
      </c>
      <c r="B7972" s="2" t="str">
        <f>"343314255"</f>
        <v>343314255</v>
      </c>
      <c r="C7972" s="2" t="str">
        <f>"343314255"</f>
        <v>343314255</v>
      </c>
      <c r="D7972" s="2" t="s">
        <v>5485</v>
      </c>
      <c r="E7972" s="4">
        <v>1500</v>
      </c>
    </row>
    <row r="7973" spans="1:5" ht="26.25" x14ac:dyDescent="0.25">
      <c r="A7973" s="2" t="s">
        <v>13</v>
      </c>
      <c r="B7973" s="2" t="str">
        <f>"1578150762026"</f>
        <v>1578150762026</v>
      </c>
      <c r="C7973" s="2" t="str">
        <f>"61330587"</f>
        <v>61330587</v>
      </c>
      <c r="D7973" s="2" t="s">
        <v>5485</v>
      </c>
      <c r="E7973" s="4">
        <v>3000</v>
      </c>
    </row>
    <row r="7974" spans="1:5" ht="26.25" x14ac:dyDescent="0.25">
      <c r="A7974" s="2" t="s">
        <v>13</v>
      </c>
      <c r="B7974" s="2" t="str">
        <f>"683314268"</f>
        <v>683314268</v>
      </c>
      <c r="C7974" s="2" t="str">
        <f>"683314268"</f>
        <v>683314268</v>
      </c>
      <c r="D7974" s="2" t="s">
        <v>5486</v>
      </c>
      <c r="E7974" s="4">
        <v>1500</v>
      </c>
    </row>
    <row r="7975" spans="1:5" ht="26.25" x14ac:dyDescent="0.25">
      <c r="A7975" s="2" t="s">
        <v>13</v>
      </c>
      <c r="B7975" s="2" t="str">
        <f>"763314263"</f>
        <v>763314263</v>
      </c>
      <c r="C7975" s="2" t="str">
        <f>"763314263"</f>
        <v>763314263</v>
      </c>
      <c r="D7975" s="2" t="s">
        <v>5487</v>
      </c>
      <c r="E7975" s="4">
        <v>1500</v>
      </c>
    </row>
    <row r="7976" spans="1:5" ht="26.25" x14ac:dyDescent="0.25">
      <c r="A7976" s="2" t="s">
        <v>13</v>
      </c>
      <c r="B7976" s="2" t="str">
        <f>"343314263"</f>
        <v>343314263</v>
      </c>
      <c r="C7976" s="2" t="str">
        <f>"343314263"</f>
        <v>343314263</v>
      </c>
      <c r="D7976" s="2" t="s">
        <v>5487</v>
      </c>
      <c r="E7976" s="4">
        <v>1500</v>
      </c>
    </row>
    <row r="7977" spans="1:5" ht="26.25" x14ac:dyDescent="0.25">
      <c r="A7977" s="2" t="s">
        <v>13</v>
      </c>
      <c r="B7977" s="2" t="str">
        <f>"17531445"</f>
        <v>17531445</v>
      </c>
      <c r="C7977" s="2" t="str">
        <f>"17531445"</f>
        <v>17531445</v>
      </c>
      <c r="D7977" s="2" t="s">
        <v>5488</v>
      </c>
      <c r="E7977" s="4">
        <v>3000</v>
      </c>
    </row>
    <row r="7978" spans="1:5" ht="26.25" x14ac:dyDescent="0.25">
      <c r="A7978" s="2" t="s">
        <v>13</v>
      </c>
      <c r="B7978" s="2" t="str">
        <f>"34531045"</f>
        <v>34531045</v>
      </c>
      <c r="C7978" s="2" t="str">
        <f>"34531045"</f>
        <v>34531045</v>
      </c>
      <c r="D7978" s="2" t="s">
        <v>5488</v>
      </c>
      <c r="E7978" s="4">
        <v>3000</v>
      </c>
    </row>
    <row r="7979" spans="1:5" ht="26.25" x14ac:dyDescent="0.25">
      <c r="A7979" s="2" t="s">
        <v>13</v>
      </c>
      <c r="B7979" s="2" t="str">
        <f>"76331445"</f>
        <v>76331445</v>
      </c>
      <c r="C7979" s="2" t="str">
        <f>"76331445"</f>
        <v>76331445</v>
      </c>
      <c r="D7979" s="2" t="s">
        <v>5488</v>
      </c>
      <c r="E7979" s="4">
        <v>3000</v>
      </c>
    </row>
    <row r="7980" spans="1:5" ht="26.25" x14ac:dyDescent="0.25">
      <c r="A7980" s="2" t="s">
        <v>13</v>
      </c>
      <c r="B7980" s="2" t="str">
        <f>"86331445"</f>
        <v>86331445</v>
      </c>
      <c r="C7980" s="2" t="str">
        <f>"86331445"</f>
        <v>86331445</v>
      </c>
      <c r="D7980" s="2" t="s">
        <v>5488</v>
      </c>
      <c r="E7980" s="4">
        <v>3000</v>
      </c>
    </row>
    <row r="7981" spans="1:5" ht="26.25" x14ac:dyDescent="0.25">
      <c r="A7981" s="2" t="s">
        <v>13</v>
      </c>
      <c r="B7981" s="2" t="str">
        <f>"34331415"</f>
        <v>34331415</v>
      </c>
      <c r="C7981" s="2" t="str">
        <f>"34331415"</f>
        <v>34331415</v>
      </c>
      <c r="D7981" s="2" t="s">
        <v>5488</v>
      </c>
      <c r="E7981" s="4">
        <v>3000</v>
      </c>
    </row>
    <row r="7982" spans="1:5" ht="26.25" x14ac:dyDescent="0.25">
      <c r="A7982" s="2" t="s">
        <v>13</v>
      </c>
      <c r="B7982" s="2" t="str">
        <f>"34331445"</f>
        <v>34331445</v>
      </c>
      <c r="C7982" s="2" t="str">
        <f>"34331445"</f>
        <v>34331445</v>
      </c>
      <c r="D7982" s="2" t="s">
        <v>5488</v>
      </c>
      <c r="E7982" s="4">
        <v>3000</v>
      </c>
    </row>
    <row r="7983" spans="1:5" ht="26.25" x14ac:dyDescent="0.25">
      <c r="A7983" s="2" t="s">
        <v>13</v>
      </c>
      <c r="B7983" s="2" t="str">
        <f>"34531445"</f>
        <v>34531445</v>
      </c>
      <c r="C7983" s="2" t="str">
        <f>"34531445"</f>
        <v>34531445</v>
      </c>
      <c r="D7983" s="2" t="s">
        <v>5488</v>
      </c>
      <c r="E7983" s="4">
        <v>3000</v>
      </c>
    </row>
    <row r="7984" spans="1:5" ht="26.25" x14ac:dyDescent="0.25">
      <c r="A7984" s="2" t="s">
        <v>13</v>
      </c>
      <c r="B7984" s="2" t="str">
        <f>"68531445"</f>
        <v>68531445</v>
      </c>
      <c r="C7984" s="2" t="str">
        <f>"68531445"</f>
        <v>68531445</v>
      </c>
      <c r="D7984" s="2" t="s">
        <v>5488</v>
      </c>
      <c r="E7984" s="4">
        <v>3000</v>
      </c>
    </row>
    <row r="7985" spans="1:5" ht="26.25" x14ac:dyDescent="0.25">
      <c r="A7985" s="2" t="s">
        <v>13</v>
      </c>
      <c r="B7985" s="2" t="str">
        <f>"76531445"</f>
        <v>76531445</v>
      </c>
      <c r="C7985" s="2" t="str">
        <f>"76531445"</f>
        <v>76531445</v>
      </c>
      <c r="D7985" s="2" t="s">
        <v>5488</v>
      </c>
      <c r="E7985" s="4">
        <v>3000</v>
      </c>
    </row>
    <row r="7986" spans="1:5" ht="26.25" x14ac:dyDescent="0.25">
      <c r="A7986" s="2" t="s">
        <v>13</v>
      </c>
      <c r="B7986" s="2" t="str">
        <f>"343314270"</f>
        <v>343314270</v>
      </c>
      <c r="C7986" s="2" t="str">
        <f>"343314270"</f>
        <v>343314270</v>
      </c>
      <c r="D7986" s="2" t="s">
        <v>5489</v>
      </c>
      <c r="E7986" s="4">
        <v>3000</v>
      </c>
    </row>
    <row r="7987" spans="1:5" ht="26.25" x14ac:dyDescent="0.25">
      <c r="A7987" s="2" t="s">
        <v>13</v>
      </c>
      <c r="B7987" s="2" t="str">
        <f>"863314270"</f>
        <v>863314270</v>
      </c>
      <c r="C7987" s="2" t="str">
        <f>"863314270"</f>
        <v>863314270</v>
      </c>
      <c r="D7987" s="2" t="s">
        <v>5489</v>
      </c>
      <c r="E7987" s="4">
        <v>3000</v>
      </c>
    </row>
    <row r="7988" spans="1:5" ht="26.25" x14ac:dyDescent="0.25">
      <c r="A7988" s="2" t="s">
        <v>13</v>
      </c>
      <c r="B7988" s="2" t="str">
        <f>"763314270"</f>
        <v>763314270</v>
      </c>
      <c r="C7988" s="2" t="str">
        <f>"763314270"</f>
        <v>763314270</v>
      </c>
      <c r="D7988" s="2" t="s">
        <v>5489</v>
      </c>
      <c r="E7988" s="4">
        <v>3000</v>
      </c>
    </row>
    <row r="7989" spans="1:5" ht="26.25" x14ac:dyDescent="0.25">
      <c r="A7989" s="2" t="s">
        <v>13</v>
      </c>
      <c r="B7989" s="2" t="str">
        <f>"765314270"</f>
        <v>765314270</v>
      </c>
      <c r="C7989" s="2" t="str">
        <f>"765314270"</f>
        <v>765314270</v>
      </c>
      <c r="D7989" s="2" t="s">
        <v>5489</v>
      </c>
      <c r="E7989" s="4">
        <v>3000</v>
      </c>
    </row>
    <row r="7990" spans="1:5" ht="26.25" x14ac:dyDescent="0.25">
      <c r="A7990" s="2" t="s">
        <v>13</v>
      </c>
      <c r="B7990" s="2" t="str">
        <f>"173314270"</f>
        <v>173314270</v>
      </c>
      <c r="C7990" s="2" t="str">
        <f>"173314270"</f>
        <v>173314270</v>
      </c>
      <c r="D7990" s="2" t="s">
        <v>5489</v>
      </c>
      <c r="E7990" s="4">
        <v>3000</v>
      </c>
    </row>
    <row r="7991" spans="1:5" ht="26.25" x14ac:dyDescent="0.25">
      <c r="A7991" s="2" t="s">
        <v>13</v>
      </c>
      <c r="B7991" s="2" t="str">
        <f>"173314271"</f>
        <v>173314271</v>
      </c>
      <c r="C7991" s="2" t="str">
        <f>"173314271"</f>
        <v>173314271</v>
      </c>
      <c r="D7991" s="2" t="s">
        <v>5490</v>
      </c>
      <c r="E7991" s="4">
        <v>3000</v>
      </c>
    </row>
    <row r="7992" spans="1:5" ht="26.25" x14ac:dyDescent="0.25">
      <c r="A7992" s="2" t="s">
        <v>13</v>
      </c>
      <c r="B7992" s="2" t="str">
        <f>"1000001001814"</f>
        <v>1000001001814</v>
      </c>
      <c r="C7992" s="2" t="str">
        <f>"763314128"</f>
        <v>763314128</v>
      </c>
      <c r="D7992" s="2" t="s">
        <v>5491</v>
      </c>
      <c r="E7992" s="4">
        <v>3000</v>
      </c>
    </row>
    <row r="7993" spans="1:5" ht="26.25" x14ac:dyDescent="0.25">
      <c r="A7993" s="2" t="s">
        <v>13</v>
      </c>
      <c r="B7993" s="2" t="str">
        <f>"343314126"</f>
        <v>343314126</v>
      </c>
      <c r="C7993" s="2" t="str">
        <f>"343314126"</f>
        <v>343314126</v>
      </c>
      <c r="D7993" s="2" t="s">
        <v>5492</v>
      </c>
      <c r="E7993" s="4">
        <v>3000</v>
      </c>
    </row>
    <row r="7994" spans="1:5" ht="26.25" x14ac:dyDescent="0.25">
      <c r="A7994" s="2" t="s">
        <v>13</v>
      </c>
      <c r="B7994" s="2" t="str">
        <f>"765314126"</f>
        <v>765314126</v>
      </c>
      <c r="C7994" s="2" t="str">
        <f>"765314126"</f>
        <v>765314126</v>
      </c>
      <c r="D7994" s="2" t="s">
        <v>5492</v>
      </c>
      <c r="E7994" s="4">
        <v>3500</v>
      </c>
    </row>
    <row r="7995" spans="1:5" ht="26.25" x14ac:dyDescent="0.25">
      <c r="A7995" s="2" t="s">
        <v>13</v>
      </c>
      <c r="B7995" s="2" t="str">
        <f>"1000001002378"</f>
        <v>1000001002378</v>
      </c>
      <c r="C7995" s="2" t="str">
        <f>"763314126"</f>
        <v>763314126</v>
      </c>
      <c r="D7995" s="2" t="s">
        <v>5492</v>
      </c>
      <c r="E7995" s="4">
        <v>3000</v>
      </c>
    </row>
    <row r="7996" spans="1:5" ht="26.25" x14ac:dyDescent="0.25">
      <c r="A7996" s="2" t="s">
        <v>13</v>
      </c>
      <c r="B7996" s="2" t="str">
        <f>"863314126"</f>
        <v>863314126</v>
      </c>
      <c r="C7996" s="2" t="str">
        <f>"863314126"</f>
        <v>863314126</v>
      </c>
      <c r="D7996" s="2" t="s">
        <v>5492</v>
      </c>
      <c r="E7996" s="4">
        <v>3500</v>
      </c>
    </row>
    <row r="7997" spans="1:5" ht="26.25" x14ac:dyDescent="0.25">
      <c r="A7997" s="2" t="s">
        <v>13</v>
      </c>
      <c r="B7997" s="2" t="str">
        <f>"413314126"</f>
        <v>413314126</v>
      </c>
      <c r="C7997" s="2" t="str">
        <f>"413314126"</f>
        <v>413314126</v>
      </c>
      <c r="D7997" s="2" t="s">
        <v>5492</v>
      </c>
      <c r="E7997" s="4">
        <v>3000</v>
      </c>
    </row>
    <row r="7998" spans="1:5" ht="26.25" x14ac:dyDescent="0.25">
      <c r="A7998" s="2" t="s">
        <v>13</v>
      </c>
      <c r="B7998" s="2" t="str">
        <f>"763314271"</f>
        <v>763314271</v>
      </c>
      <c r="C7998" s="2" t="str">
        <f>"763314271"</f>
        <v>763314271</v>
      </c>
      <c r="D7998" s="2" t="s">
        <v>5492</v>
      </c>
      <c r="E7998" s="4">
        <v>3000</v>
      </c>
    </row>
    <row r="7999" spans="1:5" ht="26.25" x14ac:dyDescent="0.25">
      <c r="A7999" s="2" t="s">
        <v>13</v>
      </c>
      <c r="B7999" s="2" t="str">
        <f>"1000001001449"</f>
        <v>1000001001449</v>
      </c>
      <c r="C7999" s="2" t="str">
        <f>"763314217"</f>
        <v>763314217</v>
      </c>
      <c r="D7999" s="2" t="s">
        <v>5493</v>
      </c>
      <c r="E7999" s="4">
        <v>3000</v>
      </c>
    </row>
    <row r="8000" spans="1:5" ht="26.25" x14ac:dyDescent="0.25">
      <c r="A8000" s="2" t="s">
        <v>13</v>
      </c>
      <c r="B8000" s="2" t="str">
        <f>"765314217"</f>
        <v>765314217</v>
      </c>
      <c r="C8000" s="2" t="str">
        <f>"765314217"</f>
        <v>765314217</v>
      </c>
      <c r="D8000" s="2" t="s">
        <v>5493</v>
      </c>
      <c r="E8000" s="4">
        <v>3000</v>
      </c>
    </row>
    <row r="8001" spans="1:5" ht="26.25" x14ac:dyDescent="0.25">
      <c r="A8001" s="2" t="s">
        <v>13</v>
      </c>
      <c r="B8001" s="2" t="str">
        <f>"763314256"</f>
        <v>763314256</v>
      </c>
      <c r="C8001" s="2" t="str">
        <f>"763314256"</f>
        <v>763314256</v>
      </c>
      <c r="D8001" s="2" t="s">
        <v>5494</v>
      </c>
      <c r="E8001" s="4">
        <v>3000</v>
      </c>
    </row>
    <row r="8002" spans="1:5" ht="26.25" x14ac:dyDescent="0.25">
      <c r="A8002" s="2" t="s">
        <v>13</v>
      </c>
      <c r="B8002" s="2" t="str">
        <f>"2018361200029"</f>
        <v>2018361200029</v>
      </c>
      <c r="C8002" s="2" t="str">
        <f>"613314256"</f>
        <v>613314256</v>
      </c>
      <c r="D8002" s="2" t="s">
        <v>5494</v>
      </c>
      <c r="E8002" s="2">
        <v>450</v>
      </c>
    </row>
    <row r="8003" spans="1:5" ht="26.25" x14ac:dyDescent="0.25">
      <c r="A8003" s="2" t="s">
        <v>13</v>
      </c>
      <c r="B8003" s="2" t="str">
        <f>"7101027010744"</f>
        <v>7101027010744</v>
      </c>
      <c r="C8003" s="2" t="str">
        <f>"643314256"</f>
        <v>643314256</v>
      </c>
      <c r="D8003" s="2" t="s">
        <v>5494</v>
      </c>
      <c r="E8003" s="4">
        <v>3000</v>
      </c>
    </row>
    <row r="8004" spans="1:5" ht="26.25" x14ac:dyDescent="0.25">
      <c r="A8004" s="2" t="s">
        <v>13</v>
      </c>
      <c r="B8004" s="2" t="str">
        <f>"2018410400028"</f>
        <v>2018410400028</v>
      </c>
      <c r="C8004" s="2" t="str">
        <f>"183314256"</f>
        <v>183314256</v>
      </c>
      <c r="D8004" s="2" t="s">
        <v>5494</v>
      </c>
      <c r="E8004" s="4">
        <v>3000</v>
      </c>
    </row>
    <row r="8005" spans="1:5" ht="26.25" x14ac:dyDescent="0.25">
      <c r="A8005" s="2" t="s">
        <v>13</v>
      </c>
      <c r="B8005" s="2" t="str">
        <f>"683314256"</f>
        <v>683314256</v>
      </c>
      <c r="C8005" s="2" t="str">
        <f>"683314256"</f>
        <v>683314256</v>
      </c>
      <c r="D8005" s="2" t="s">
        <v>5494</v>
      </c>
      <c r="E8005" s="4">
        <v>3000</v>
      </c>
    </row>
    <row r="8006" spans="1:5" ht="26.25" x14ac:dyDescent="0.25">
      <c r="A8006" s="2" t="s">
        <v>13</v>
      </c>
      <c r="B8006" s="2" t="str">
        <f>"323314256"</f>
        <v>323314256</v>
      </c>
      <c r="C8006" s="2" t="str">
        <f>"323314256"</f>
        <v>323314256</v>
      </c>
      <c r="D8006" s="2" t="s">
        <v>5494</v>
      </c>
      <c r="E8006" s="4">
        <v>3000</v>
      </c>
    </row>
    <row r="8007" spans="1:5" ht="26.25" x14ac:dyDescent="0.25">
      <c r="A8007" s="2" t="s">
        <v>13</v>
      </c>
      <c r="B8007" s="2" t="str">
        <f>"343314256"</f>
        <v>343314256</v>
      </c>
      <c r="C8007" s="2" t="str">
        <f>"343314256"</f>
        <v>343314256</v>
      </c>
      <c r="D8007" s="2" t="s">
        <v>5494</v>
      </c>
      <c r="E8007" s="4">
        <v>1500</v>
      </c>
    </row>
    <row r="8008" spans="1:5" ht="26.25" x14ac:dyDescent="0.25">
      <c r="A8008" s="2" t="s">
        <v>13</v>
      </c>
      <c r="B8008" s="2" t="str">
        <f>"763314264"</f>
        <v>763314264</v>
      </c>
      <c r="C8008" s="2" t="str">
        <f>"763314264"</f>
        <v>763314264</v>
      </c>
      <c r="D8008" s="2" t="s">
        <v>5495</v>
      </c>
      <c r="E8008" s="4">
        <v>3000</v>
      </c>
    </row>
    <row r="8009" spans="1:5" ht="26.25" x14ac:dyDescent="0.25">
      <c r="A8009" s="2" t="s">
        <v>13</v>
      </c>
      <c r="B8009" s="2" t="str">
        <f>"17531447"</f>
        <v>17531447</v>
      </c>
      <c r="C8009" s="2" t="str">
        <f>"17531447"</f>
        <v>17531447</v>
      </c>
      <c r="D8009" s="2" t="s">
        <v>5496</v>
      </c>
      <c r="E8009" s="4">
        <v>3000</v>
      </c>
    </row>
    <row r="8010" spans="1:5" ht="26.25" x14ac:dyDescent="0.25">
      <c r="A8010" s="2" t="s">
        <v>13</v>
      </c>
      <c r="B8010" s="2" t="str">
        <f>"76531447"</f>
        <v>76531447</v>
      </c>
      <c r="C8010" s="2" t="str">
        <f>"76531447"</f>
        <v>76531447</v>
      </c>
      <c r="D8010" s="2" t="s">
        <v>5496</v>
      </c>
      <c r="E8010" s="4">
        <v>3000</v>
      </c>
    </row>
    <row r="8011" spans="1:5" ht="26.25" x14ac:dyDescent="0.25">
      <c r="A8011" s="2" t="s">
        <v>13</v>
      </c>
      <c r="B8011" s="2" t="str">
        <f>"41331447"</f>
        <v>41331447</v>
      </c>
      <c r="C8011" s="2" t="str">
        <f>"41331447"</f>
        <v>41331447</v>
      </c>
      <c r="D8011" s="2" t="s">
        <v>5496</v>
      </c>
      <c r="E8011" s="4">
        <v>3000</v>
      </c>
    </row>
    <row r="8012" spans="1:5" ht="26.25" x14ac:dyDescent="0.25">
      <c r="A8012" s="2" t="s">
        <v>13</v>
      </c>
      <c r="B8012" s="2" t="str">
        <f>"34331447"</f>
        <v>34331447</v>
      </c>
      <c r="C8012" s="2" t="str">
        <f>"34331447"</f>
        <v>34331447</v>
      </c>
      <c r="D8012" s="2" t="s">
        <v>5496</v>
      </c>
      <c r="E8012" s="4">
        <v>3000</v>
      </c>
    </row>
    <row r="8013" spans="1:5" ht="26.25" x14ac:dyDescent="0.25">
      <c r="A8013" s="2" t="s">
        <v>13</v>
      </c>
      <c r="B8013" s="2" t="str">
        <f>"34531447"</f>
        <v>34531447</v>
      </c>
      <c r="C8013" s="2" t="str">
        <f>"34531447"</f>
        <v>34531447</v>
      </c>
      <c r="D8013" s="2" t="s">
        <v>5496</v>
      </c>
      <c r="E8013" s="4">
        <v>3000</v>
      </c>
    </row>
    <row r="8014" spans="1:5" ht="26.25" x14ac:dyDescent="0.25">
      <c r="A8014" s="2" t="s">
        <v>13</v>
      </c>
      <c r="B8014" s="2" t="str">
        <f>"86331447"</f>
        <v>86331447</v>
      </c>
      <c r="C8014" s="2" t="str">
        <f>"86331447"</f>
        <v>86331447</v>
      </c>
      <c r="D8014" s="2" t="s">
        <v>5496</v>
      </c>
      <c r="E8014" s="4">
        <v>3000</v>
      </c>
    </row>
    <row r="8015" spans="1:5" ht="26.25" x14ac:dyDescent="0.25">
      <c r="A8015" s="2" t="s">
        <v>13</v>
      </c>
      <c r="B8015" s="2" t="str">
        <f>"1000001000244"</f>
        <v>1000001000244</v>
      </c>
      <c r="C8015" s="2" t="str">
        <f>"76331447"</f>
        <v>76331447</v>
      </c>
      <c r="D8015" s="2" t="s">
        <v>5496</v>
      </c>
      <c r="E8015" s="4">
        <v>3000</v>
      </c>
    </row>
    <row r="8016" spans="1:5" ht="26.25" x14ac:dyDescent="0.25">
      <c r="A8016" s="2" t="s">
        <v>13</v>
      </c>
      <c r="B8016" s="2" t="str">
        <f>"1000001004013"</f>
        <v>1000001004013</v>
      </c>
      <c r="C8016" s="2" t="str">
        <f>"763314257"</f>
        <v>763314257</v>
      </c>
      <c r="D8016" s="2" t="s">
        <v>5497</v>
      </c>
      <c r="E8016" s="4">
        <v>3000</v>
      </c>
    </row>
    <row r="8017" spans="1:5" ht="26.25" x14ac:dyDescent="0.25">
      <c r="A8017" s="2" t="s">
        <v>13</v>
      </c>
      <c r="B8017" s="2" t="str">
        <f>"1000001002910"</f>
        <v>1000001002910</v>
      </c>
      <c r="C8017" s="2" t="str">
        <f>"763314137"</f>
        <v>763314137</v>
      </c>
      <c r="D8017" s="2" t="s">
        <v>5498</v>
      </c>
      <c r="E8017" s="4">
        <v>3000</v>
      </c>
    </row>
    <row r="8018" spans="1:5" ht="26.25" x14ac:dyDescent="0.25">
      <c r="A8018" s="2" t="s">
        <v>13</v>
      </c>
      <c r="B8018" s="2" t="str">
        <f>"765314137"</f>
        <v>765314137</v>
      </c>
      <c r="C8018" s="2" t="str">
        <f>"765314137"</f>
        <v>765314137</v>
      </c>
      <c r="D8018" s="2" t="s">
        <v>5498</v>
      </c>
      <c r="E8018" s="4">
        <v>3000</v>
      </c>
    </row>
    <row r="8019" spans="1:5" ht="26.25" x14ac:dyDescent="0.25">
      <c r="A8019" s="2" t="s">
        <v>13</v>
      </c>
      <c r="B8019" s="2" t="str">
        <f>"173314137"</f>
        <v>173314137</v>
      </c>
      <c r="C8019" s="2" t="str">
        <f>"173314137"</f>
        <v>173314137</v>
      </c>
      <c r="D8019" s="2" t="s">
        <v>5498</v>
      </c>
      <c r="E8019" s="4">
        <v>3000</v>
      </c>
    </row>
    <row r="8020" spans="1:5" ht="26.25" x14ac:dyDescent="0.25">
      <c r="A8020" s="2" t="s">
        <v>13</v>
      </c>
      <c r="B8020" s="2" t="str">
        <f>"343314266"</f>
        <v>343314266</v>
      </c>
      <c r="C8020" s="2" t="str">
        <f>"343314266"</f>
        <v>343314266</v>
      </c>
      <c r="D8020" s="2" t="s">
        <v>5499</v>
      </c>
      <c r="E8020" s="4">
        <v>3000</v>
      </c>
    </row>
    <row r="8021" spans="1:5" ht="26.25" x14ac:dyDescent="0.25">
      <c r="A8021" s="2" t="s">
        <v>13</v>
      </c>
      <c r="B8021" s="2" t="str">
        <f>"2019029900138"</f>
        <v>2019029900138</v>
      </c>
      <c r="C8021" s="2" t="str">
        <f>"183314266"</f>
        <v>183314266</v>
      </c>
      <c r="D8021" s="2" t="s">
        <v>5499</v>
      </c>
      <c r="E8021" s="4">
        <v>3000</v>
      </c>
    </row>
    <row r="8022" spans="1:5" ht="26.25" x14ac:dyDescent="0.25">
      <c r="A8022" s="2" t="s">
        <v>13</v>
      </c>
      <c r="B8022" s="2" t="str">
        <f>"683314266"</f>
        <v>683314266</v>
      </c>
      <c r="C8022" s="2" t="str">
        <f>"683314266"</f>
        <v>683314266</v>
      </c>
      <c r="D8022" s="2" t="s">
        <v>5499</v>
      </c>
      <c r="E8022" s="4">
        <v>1500</v>
      </c>
    </row>
    <row r="8023" spans="1:5" ht="26.25" x14ac:dyDescent="0.25">
      <c r="A8023" s="2" t="s">
        <v>13</v>
      </c>
      <c r="B8023" s="2" t="str">
        <f>"1000001002415"</f>
        <v>1000001002415</v>
      </c>
      <c r="C8023" s="2" t="str">
        <f>"763314266"</f>
        <v>763314266</v>
      </c>
      <c r="D8023" s="2" t="s">
        <v>5499</v>
      </c>
      <c r="E8023" s="4">
        <v>3000</v>
      </c>
    </row>
    <row r="8024" spans="1:5" ht="26.25" x14ac:dyDescent="0.25">
      <c r="A8024" s="2" t="s">
        <v>13</v>
      </c>
      <c r="B8024" s="2" t="str">
        <f>"765314266"</f>
        <v>765314266</v>
      </c>
      <c r="C8024" s="2" t="str">
        <f>"765314266"</f>
        <v>765314266</v>
      </c>
      <c r="D8024" s="2" t="s">
        <v>5499</v>
      </c>
      <c r="E8024" s="4">
        <v>3000</v>
      </c>
    </row>
    <row r="8025" spans="1:5" ht="26.25" x14ac:dyDescent="0.25">
      <c r="A8025" s="2" t="s">
        <v>13</v>
      </c>
      <c r="B8025" s="2" t="str">
        <f>"863314266"</f>
        <v>863314266</v>
      </c>
      <c r="C8025" s="2" t="str">
        <f>"863314266"</f>
        <v>863314266</v>
      </c>
      <c r="D8025" s="2" t="s">
        <v>5499</v>
      </c>
      <c r="E8025" s="4">
        <v>3000</v>
      </c>
    </row>
    <row r="8026" spans="1:5" ht="26.25" x14ac:dyDescent="0.25">
      <c r="A8026" s="2" t="s">
        <v>13</v>
      </c>
      <c r="B8026" s="2" t="str">
        <f>"763314267"</f>
        <v>763314267</v>
      </c>
      <c r="C8026" s="2" t="str">
        <f>"763314267"</f>
        <v>763314267</v>
      </c>
      <c r="D8026" s="2" t="s">
        <v>5500</v>
      </c>
      <c r="E8026" s="4">
        <v>3000</v>
      </c>
    </row>
    <row r="8027" spans="1:5" ht="26.25" x14ac:dyDescent="0.25">
      <c r="A8027" s="2" t="s">
        <v>13</v>
      </c>
      <c r="B8027" s="2" t="str">
        <f>"173314127"</f>
        <v>173314127</v>
      </c>
      <c r="C8027" s="2" t="str">
        <f>"173314127"</f>
        <v>173314127</v>
      </c>
      <c r="D8027" s="2" t="s">
        <v>5501</v>
      </c>
      <c r="E8027" s="4">
        <v>3000</v>
      </c>
    </row>
    <row r="8028" spans="1:5" ht="26.25" x14ac:dyDescent="0.25">
      <c r="A8028" s="2" t="s">
        <v>13</v>
      </c>
      <c r="B8028" s="2" t="str">
        <f>"1000001001807"</f>
        <v>1000001001807</v>
      </c>
      <c r="C8028" s="2" t="str">
        <f>"763314129"</f>
        <v>763314129</v>
      </c>
      <c r="D8028" s="2" t="s">
        <v>5502</v>
      </c>
      <c r="E8028" s="4">
        <v>3000</v>
      </c>
    </row>
    <row r="8029" spans="1:5" ht="26.25" x14ac:dyDescent="0.25">
      <c r="A8029" s="2" t="s">
        <v>13</v>
      </c>
      <c r="B8029" s="2" t="str">
        <f>"766814129"</f>
        <v>766814129</v>
      </c>
      <c r="C8029" s="2" t="str">
        <f>"766814129"</f>
        <v>766814129</v>
      </c>
      <c r="D8029" s="2" t="s">
        <v>5502</v>
      </c>
      <c r="E8029" s="4">
        <v>3000</v>
      </c>
    </row>
    <row r="8030" spans="1:5" ht="26.25" x14ac:dyDescent="0.25">
      <c r="A8030" s="2" t="s">
        <v>13</v>
      </c>
      <c r="B8030" s="2" t="str">
        <f>"765314129"</f>
        <v>765314129</v>
      </c>
      <c r="C8030" s="2" t="str">
        <f>"765314129"</f>
        <v>765314129</v>
      </c>
      <c r="D8030" s="2" t="s">
        <v>5502</v>
      </c>
      <c r="E8030" s="4">
        <v>3000</v>
      </c>
    </row>
    <row r="8031" spans="1:5" ht="26.25" x14ac:dyDescent="0.25">
      <c r="A8031" s="2" t="s">
        <v>13</v>
      </c>
      <c r="B8031" s="2" t="str">
        <f>"413314218"</f>
        <v>413314218</v>
      </c>
      <c r="C8031" s="2" t="str">
        <f>"413314218"</f>
        <v>413314218</v>
      </c>
      <c r="D8031" s="2" t="s">
        <v>5502</v>
      </c>
      <c r="E8031" s="4">
        <v>3000</v>
      </c>
    </row>
    <row r="8032" spans="1:5" ht="26.25" x14ac:dyDescent="0.25">
      <c r="A8032" s="2" t="s">
        <v>13</v>
      </c>
      <c r="B8032" s="2" t="str">
        <f>"343314127"</f>
        <v>343314127</v>
      </c>
      <c r="C8032" s="2" t="str">
        <f>"343314127"</f>
        <v>343314127</v>
      </c>
      <c r="D8032" s="2" t="s">
        <v>5503</v>
      </c>
      <c r="E8032" s="4">
        <v>3000</v>
      </c>
    </row>
    <row r="8033" spans="1:5" ht="26.25" x14ac:dyDescent="0.25">
      <c r="A8033" s="2" t="s">
        <v>13</v>
      </c>
      <c r="B8033" s="2" t="str">
        <f>"2018410300359"</f>
        <v>2018410300359</v>
      </c>
      <c r="C8033" s="2" t="str">
        <f>"183314127"</f>
        <v>183314127</v>
      </c>
      <c r="D8033" s="2" t="s">
        <v>5503</v>
      </c>
      <c r="E8033" s="4">
        <v>3000</v>
      </c>
    </row>
    <row r="8034" spans="1:5" ht="26.25" x14ac:dyDescent="0.25">
      <c r="A8034" s="2" t="s">
        <v>13</v>
      </c>
      <c r="B8034" s="2" t="str">
        <f>"765314127"</f>
        <v>765314127</v>
      </c>
      <c r="C8034" s="2" t="str">
        <f>"765314127"</f>
        <v>765314127</v>
      </c>
      <c r="D8034" s="2" t="s">
        <v>5503</v>
      </c>
      <c r="E8034" s="4">
        <v>3000</v>
      </c>
    </row>
    <row r="8035" spans="1:5" ht="26.25" x14ac:dyDescent="0.25">
      <c r="A8035" s="2" t="s">
        <v>13</v>
      </c>
      <c r="B8035" s="2" t="str">
        <f>"1000001002385"</f>
        <v>1000001002385</v>
      </c>
      <c r="C8035" s="2" t="str">
        <f>"763314127"</f>
        <v>763314127</v>
      </c>
      <c r="D8035" s="2" t="s">
        <v>5503</v>
      </c>
      <c r="E8035" s="4">
        <v>3000</v>
      </c>
    </row>
    <row r="8036" spans="1:5" ht="26.25" x14ac:dyDescent="0.25">
      <c r="A8036" s="2" t="s">
        <v>13</v>
      </c>
      <c r="B8036" s="2" t="str">
        <f>"173314126"</f>
        <v>173314126</v>
      </c>
      <c r="C8036" s="2" t="str">
        <f>"173314126"</f>
        <v>173314126</v>
      </c>
      <c r="D8036" s="2" t="s">
        <v>5503</v>
      </c>
      <c r="E8036" s="4">
        <v>3000</v>
      </c>
    </row>
    <row r="8037" spans="1:5" ht="26.25" x14ac:dyDescent="0.25">
      <c r="A8037" s="2" t="s">
        <v>13</v>
      </c>
      <c r="B8037" s="2" t="str">
        <f>"34531495"</f>
        <v>34531495</v>
      </c>
      <c r="C8037" s="2" t="str">
        <f>"34531495"</f>
        <v>34531495</v>
      </c>
      <c r="D8037" s="2" t="s">
        <v>5504</v>
      </c>
      <c r="E8037" s="4">
        <v>3000</v>
      </c>
    </row>
    <row r="8038" spans="1:5" ht="26.25" x14ac:dyDescent="0.25">
      <c r="A8038" s="2" t="s">
        <v>13</v>
      </c>
      <c r="B8038" s="2" t="str">
        <f>"345314109"</f>
        <v>345314109</v>
      </c>
      <c r="C8038" s="2" t="str">
        <f>"345314109"</f>
        <v>345314109</v>
      </c>
      <c r="D8038" s="2" t="s">
        <v>5504</v>
      </c>
      <c r="E8038" s="4">
        <v>3000</v>
      </c>
    </row>
    <row r="8039" spans="1:5" ht="26.25" x14ac:dyDescent="0.25">
      <c r="A8039" s="2" t="s">
        <v>13</v>
      </c>
      <c r="B8039" s="2" t="str">
        <f>"34531497"</f>
        <v>34531497</v>
      </c>
      <c r="C8039" s="2" t="str">
        <f>"34531497"</f>
        <v>34531497</v>
      </c>
      <c r="D8039" s="2" t="s">
        <v>5504</v>
      </c>
      <c r="E8039" s="4">
        <v>3000</v>
      </c>
    </row>
    <row r="8040" spans="1:5" ht="26.25" x14ac:dyDescent="0.25">
      <c r="A8040" s="2" t="s">
        <v>13</v>
      </c>
      <c r="B8040" s="2" t="str">
        <f>"76531497"</f>
        <v>76531497</v>
      </c>
      <c r="C8040" s="2" t="str">
        <f>"76531497"</f>
        <v>76531497</v>
      </c>
      <c r="D8040" s="2" t="s">
        <v>5505</v>
      </c>
      <c r="E8040" s="4">
        <v>3000</v>
      </c>
    </row>
    <row r="8041" spans="1:5" ht="26.25" x14ac:dyDescent="0.25">
      <c r="A8041" s="2" t="s">
        <v>13</v>
      </c>
      <c r="B8041" s="2" t="str">
        <f>"345314224"</f>
        <v>345314224</v>
      </c>
      <c r="C8041" s="2" t="str">
        <f>"345314224"</f>
        <v>345314224</v>
      </c>
      <c r="D8041" s="2" t="s">
        <v>5506</v>
      </c>
      <c r="E8041" s="4">
        <v>3000</v>
      </c>
    </row>
    <row r="8042" spans="1:5" ht="26.25" x14ac:dyDescent="0.25">
      <c r="A8042" s="2" t="s">
        <v>13</v>
      </c>
      <c r="B8042" s="2" t="str">
        <f>"345314163"</f>
        <v>345314163</v>
      </c>
      <c r="C8042" s="2" t="str">
        <f>"345314163"</f>
        <v>345314163</v>
      </c>
      <c r="D8042" s="2" t="s">
        <v>5507</v>
      </c>
      <c r="E8042" s="4">
        <v>3000</v>
      </c>
    </row>
    <row r="8043" spans="1:5" ht="26.25" x14ac:dyDescent="0.25">
      <c r="A8043" s="2" t="s">
        <v>13</v>
      </c>
      <c r="B8043" s="2" t="str">
        <f>"345314110"</f>
        <v>345314110</v>
      </c>
      <c r="C8043" s="2" t="str">
        <f>"345314110"</f>
        <v>345314110</v>
      </c>
      <c r="D8043" s="2" t="s">
        <v>5508</v>
      </c>
      <c r="E8043" s="4">
        <v>3000</v>
      </c>
    </row>
    <row r="8044" spans="1:5" ht="26.25" x14ac:dyDescent="0.25">
      <c r="A8044" s="2" t="s">
        <v>13</v>
      </c>
      <c r="B8044" s="2" t="str">
        <f>"765314110"</f>
        <v>765314110</v>
      </c>
      <c r="C8044" s="2" t="str">
        <f>"765314110"</f>
        <v>765314110</v>
      </c>
      <c r="D8044" s="2" t="s">
        <v>5508</v>
      </c>
      <c r="E8044" s="4">
        <v>3000</v>
      </c>
    </row>
    <row r="8045" spans="1:5" ht="26.25" x14ac:dyDescent="0.25">
      <c r="A8045" s="2" t="s">
        <v>13</v>
      </c>
      <c r="B8045" s="2" t="str">
        <f>"17331487"</f>
        <v>17331487</v>
      </c>
      <c r="C8045" s="2" t="str">
        <f>"17331487"</f>
        <v>17331487</v>
      </c>
      <c r="D8045" s="2" t="s">
        <v>5509</v>
      </c>
      <c r="E8045" s="4">
        <v>3000</v>
      </c>
    </row>
    <row r="8046" spans="1:5" ht="26.25" x14ac:dyDescent="0.25">
      <c r="A8046" s="2" t="s">
        <v>13</v>
      </c>
      <c r="B8046" s="2" t="str">
        <f>"17531487"</f>
        <v>17531487</v>
      </c>
      <c r="C8046" s="2" t="str">
        <f>"17531487"</f>
        <v>17531487</v>
      </c>
      <c r="D8046" s="2" t="s">
        <v>5509</v>
      </c>
      <c r="E8046" s="4">
        <v>3000</v>
      </c>
    </row>
    <row r="8047" spans="1:5" ht="26.25" x14ac:dyDescent="0.25">
      <c r="A8047" s="2" t="s">
        <v>13</v>
      </c>
      <c r="B8047" s="2" t="str">
        <f>"34531487"</f>
        <v>34531487</v>
      </c>
      <c r="C8047" s="2" t="str">
        <f>"34531487"</f>
        <v>34531487</v>
      </c>
      <c r="D8047" s="2" t="s">
        <v>5509</v>
      </c>
      <c r="E8047" s="4">
        <v>3000</v>
      </c>
    </row>
    <row r="8048" spans="1:5" ht="26.25" x14ac:dyDescent="0.25">
      <c r="A8048" s="2" t="s">
        <v>13</v>
      </c>
      <c r="B8048" s="2" t="str">
        <f>"76331487"</f>
        <v>76331487</v>
      </c>
      <c r="C8048" s="2" t="str">
        <f>"76331487"</f>
        <v>76331487</v>
      </c>
      <c r="D8048" s="2" t="s">
        <v>5509</v>
      </c>
      <c r="E8048" s="4">
        <v>3000</v>
      </c>
    </row>
    <row r="8049" spans="1:5" ht="26.25" x14ac:dyDescent="0.25">
      <c r="A8049" s="2" t="s">
        <v>13</v>
      </c>
      <c r="B8049" s="2" t="str">
        <f>"76531487"</f>
        <v>76531487</v>
      </c>
      <c r="C8049" s="2" t="str">
        <f>"76531487"</f>
        <v>76531487</v>
      </c>
      <c r="D8049" s="2" t="s">
        <v>5509</v>
      </c>
      <c r="E8049" s="4">
        <v>3000</v>
      </c>
    </row>
    <row r="8050" spans="1:5" ht="26.25" x14ac:dyDescent="0.25">
      <c r="A8050" s="2" t="s">
        <v>13</v>
      </c>
      <c r="B8050" s="2" t="str">
        <f>"34531087"</f>
        <v>34531087</v>
      </c>
      <c r="C8050" s="2" t="str">
        <f>"34531087"</f>
        <v>34531087</v>
      </c>
      <c r="D8050" s="2" t="s">
        <v>5509</v>
      </c>
      <c r="E8050" s="4">
        <v>3000</v>
      </c>
    </row>
    <row r="8051" spans="1:5" ht="26.25" x14ac:dyDescent="0.25">
      <c r="A8051" s="2" t="s">
        <v>13</v>
      </c>
      <c r="B8051" s="2" t="str">
        <f>"763314116"</f>
        <v>763314116</v>
      </c>
      <c r="C8051" s="2" t="str">
        <f>"763314116"</f>
        <v>763314116</v>
      </c>
      <c r="D8051" s="2" t="s">
        <v>5510</v>
      </c>
      <c r="E8051" s="4">
        <v>3000</v>
      </c>
    </row>
    <row r="8052" spans="1:5" ht="26.25" x14ac:dyDescent="0.25">
      <c r="A8052" s="2" t="s">
        <v>13</v>
      </c>
      <c r="B8052" s="2" t="str">
        <f>"765314116"</f>
        <v>765314116</v>
      </c>
      <c r="C8052" s="2" t="str">
        <f>"765314116"</f>
        <v>765314116</v>
      </c>
      <c r="D8052" s="2" t="s">
        <v>5510</v>
      </c>
      <c r="E8052" s="4">
        <v>3000</v>
      </c>
    </row>
    <row r="8053" spans="1:5" ht="26.25" x14ac:dyDescent="0.25">
      <c r="A8053" s="2" t="s">
        <v>13</v>
      </c>
      <c r="B8053" s="2" t="str">
        <f>"175314116"</f>
        <v>175314116</v>
      </c>
      <c r="C8053" s="2" t="str">
        <f>"175314116"</f>
        <v>175314116</v>
      </c>
      <c r="D8053" s="2" t="s">
        <v>5511</v>
      </c>
      <c r="E8053" s="4">
        <v>3000</v>
      </c>
    </row>
    <row r="8054" spans="1:5" ht="26.25" x14ac:dyDescent="0.25">
      <c r="A8054" s="2" t="s">
        <v>13</v>
      </c>
      <c r="B8054" s="2" t="str">
        <f>"345314116"</f>
        <v>345314116</v>
      </c>
      <c r="C8054" s="2" t="str">
        <f>"345314116"</f>
        <v>345314116</v>
      </c>
      <c r="D8054" s="2" t="s">
        <v>5511</v>
      </c>
      <c r="E8054" s="4">
        <v>3000</v>
      </c>
    </row>
    <row r="8055" spans="1:5" ht="26.25" x14ac:dyDescent="0.25">
      <c r="A8055" s="2" t="s">
        <v>13</v>
      </c>
      <c r="B8055" s="2" t="str">
        <f>"17531484"</f>
        <v>17531484</v>
      </c>
      <c r="C8055" s="2" t="str">
        <f>"17531484"</f>
        <v>17531484</v>
      </c>
      <c r="D8055" s="2" t="s">
        <v>5512</v>
      </c>
      <c r="E8055" s="4">
        <v>3000</v>
      </c>
    </row>
    <row r="8056" spans="1:5" ht="26.25" x14ac:dyDescent="0.25">
      <c r="A8056" s="2" t="s">
        <v>13</v>
      </c>
      <c r="B8056" s="2" t="str">
        <f>"34331484"</f>
        <v>34331484</v>
      </c>
      <c r="C8056" s="2" t="str">
        <f>"34331484"</f>
        <v>34331484</v>
      </c>
      <c r="D8056" s="2" t="s">
        <v>5512</v>
      </c>
      <c r="E8056" s="4">
        <v>3000</v>
      </c>
    </row>
    <row r="8057" spans="1:5" ht="26.25" x14ac:dyDescent="0.25">
      <c r="A8057" s="2" t="s">
        <v>13</v>
      </c>
      <c r="B8057" s="2" t="str">
        <f>"76331484"</f>
        <v>76331484</v>
      </c>
      <c r="C8057" s="2" t="str">
        <f>"76331484"</f>
        <v>76331484</v>
      </c>
      <c r="D8057" s="2" t="s">
        <v>5512</v>
      </c>
      <c r="E8057" s="4">
        <v>3000</v>
      </c>
    </row>
    <row r="8058" spans="1:5" ht="26.25" x14ac:dyDescent="0.25">
      <c r="A8058" s="2" t="s">
        <v>13</v>
      </c>
      <c r="B8058" s="2" t="str">
        <f>"34531484"</f>
        <v>34531484</v>
      </c>
      <c r="C8058" s="2" t="str">
        <f>"34531484"</f>
        <v>34531484</v>
      </c>
      <c r="D8058" s="2" t="s">
        <v>5512</v>
      </c>
      <c r="E8058" s="4">
        <v>3000</v>
      </c>
    </row>
    <row r="8059" spans="1:5" ht="26.25" x14ac:dyDescent="0.25">
      <c r="A8059" s="2" t="s">
        <v>13</v>
      </c>
      <c r="B8059" s="2" t="str">
        <f>"76531484"</f>
        <v>76531484</v>
      </c>
      <c r="C8059" s="2" t="str">
        <f>"76531484"</f>
        <v>76531484</v>
      </c>
      <c r="D8059" s="2" t="s">
        <v>5512</v>
      </c>
      <c r="E8059" s="4">
        <v>3000</v>
      </c>
    </row>
    <row r="8060" spans="1:5" ht="26.25" x14ac:dyDescent="0.25">
      <c r="A8060" s="2" t="s">
        <v>13</v>
      </c>
      <c r="B8060" s="2" t="str">
        <f>"345314120"</f>
        <v>345314120</v>
      </c>
      <c r="C8060" s="2" t="str">
        <f>"345314120"</f>
        <v>345314120</v>
      </c>
      <c r="D8060" s="2" t="s">
        <v>5513</v>
      </c>
      <c r="E8060" s="4">
        <v>3000</v>
      </c>
    </row>
    <row r="8061" spans="1:5" ht="26.25" x14ac:dyDescent="0.25">
      <c r="A8061" s="2" t="s">
        <v>13</v>
      </c>
      <c r="B8061" s="2" t="str">
        <f>"765314120"</f>
        <v>765314120</v>
      </c>
      <c r="C8061" s="2" t="str">
        <f>"765314120"</f>
        <v>765314120</v>
      </c>
      <c r="D8061" s="2" t="s">
        <v>5513</v>
      </c>
      <c r="E8061" s="4">
        <v>3000</v>
      </c>
    </row>
    <row r="8062" spans="1:5" ht="26.25" x14ac:dyDescent="0.25">
      <c r="A8062" s="2" t="s">
        <v>13</v>
      </c>
      <c r="B8062" s="2" t="str">
        <f>"17531485"</f>
        <v>17531485</v>
      </c>
      <c r="C8062" s="2" t="str">
        <f>"17531485"</f>
        <v>17531485</v>
      </c>
      <c r="D8062" s="2" t="s">
        <v>5514</v>
      </c>
      <c r="E8062" s="4">
        <v>3000</v>
      </c>
    </row>
    <row r="8063" spans="1:5" ht="26.25" x14ac:dyDescent="0.25">
      <c r="A8063" s="2" t="s">
        <v>13</v>
      </c>
      <c r="B8063" s="2" t="str">
        <f>"32531485"</f>
        <v>32531485</v>
      </c>
      <c r="C8063" s="2" t="str">
        <f>"32531485"</f>
        <v>32531485</v>
      </c>
      <c r="D8063" s="2" t="s">
        <v>5514</v>
      </c>
      <c r="E8063" s="4">
        <v>3000</v>
      </c>
    </row>
    <row r="8064" spans="1:5" ht="26.25" x14ac:dyDescent="0.25">
      <c r="A8064" s="2" t="s">
        <v>13</v>
      </c>
      <c r="B8064" s="2" t="str">
        <f>"76331457"</f>
        <v>76331457</v>
      </c>
      <c r="C8064" s="2" t="str">
        <f>"76331457"</f>
        <v>76331457</v>
      </c>
      <c r="D8064" s="2" t="s">
        <v>5514</v>
      </c>
      <c r="E8064" s="4">
        <v>3000</v>
      </c>
    </row>
    <row r="8065" spans="1:5" ht="26.25" x14ac:dyDescent="0.25">
      <c r="A8065" s="2" t="s">
        <v>13</v>
      </c>
      <c r="B8065" s="2" t="str">
        <f>"76331485"</f>
        <v>76331485</v>
      </c>
      <c r="C8065" s="2" t="str">
        <f>"76331485"</f>
        <v>76331485</v>
      </c>
      <c r="D8065" s="2" t="s">
        <v>5514</v>
      </c>
      <c r="E8065" s="4">
        <v>3000</v>
      </c>
    </row>
    <row r="8066" spans="1:5" ht="26.25" x14ac:dyDescent="0.25">
      <c r="A8066" s="2" t="s">
        <v>13</v>
      </c>
      <c r="B8066" s="2" t="str">
        <f>"76531485"</f>
        <v>76531485</v>
      </c>
      <c r="C8066" s="2" t="str">
        <f>"76531485"</f>
        <v>76531485</v>
      </c>
      <c r="D8066" s="2" t="s">
        <v>5514</v>
      </c>
      <c r="E8066" s="4">
        <v>3000</v>
      </c>
    </row>
    <row r="8067" spans="1:5" ht="26.25" x14ac:dyDescent="0.25">
      <c r="A8067" s="2" t="s">
        <v>13</v>
      </c>
      <c r="B8067" s="2" t="str">
        <f>"34331485"</f>
        <v>34331485</v>
      </c>
      <c r="C8067" s="2" t="str">
        <f>"34331485"</f>
        <v>34331485</v>
      </c>
      <c r="D8067" s="2" t="s">
        <v>5514</v>
      </c>
      <c r="E8067" s="4">
        <v>3000</v>
      </c>
    </row>
    <row r="8068" spans="1:5" ht="26.25" x14ac:dyDescent="0.25">
      <c r="A8068" s="2" t="s">
        <v>13</v>
      </c>
      <c r="B8068" s="2" t="str">
        <f>"34531485"</f>
        <v>34531485</v>
      </c>
      <c r="C8068" s="2" t="str">
        <f>"34531485"</f>
        <v>34531485</v>
      </c>
      <c r="D8068" s="2" t="s">
        <v>5514</v>
      </c>
      <c r="E8068" s="4">
        <v>3000</v>
      </c>
    </row>
    <row r="8069" spans="1:5" ht="26.25" x14ac:dyDescent="0.25">
      <c r="A8069" s="2" t="s">
        <v>13</v>
      </c>
      <c r="B8069" s="2" t="str">
        <f>"34531488"</f>
        <v>34531488</v>
      </c>
      <c r="C8069" s="2" t="str">
        <f>"34531488"</f>
        <v>34531488</v>
      </c>
      <c r="D8069" s="2" t="s">
        <v>5515</v>
      </c>
      <c r="E8069" s="4">
        <v>3000</v>
      </c>
    </row>
    <row r="8070" spans="1:5" ht="26.25" x14ac:dyDescent="0.25">
      <c r="A8070" s="2" t="s">
        <v>13</v>
      </c>
      <c r="B8070" s="2" t="str">
        <f>"76531488"</f>
        <v>76531488</v>
      </c>
      <c r="C8070" s="2" t="str">
        <f>"76531488"</f>
        <v>76531488</v>
      </c>
      <c r="D8070" s="2" t="s">
        <v>5515</v>
      </c>
      <c r="E8070" s="4">
        <v>3500</v>
      </c>
    </row>
    <row r="8071" spans="1:5" ht="26.25" x14ac:dyDescent="0.25">
      <c r="A8071" s="2" t="s">
        <v>13</v>
      </c>
      <c r="B8071" s="2" t="str">
        <f>"17531486"</f>
        <v>17531486</v>
      </c>
      <c r="C8071" s="2" t="str">
        <f>"17531486"</f>
        <v>17531486</v>
      </c>
      <c r="D8071" s="2" t="s">
        <v>5516</v>
      </c>
      <c r="E8071" s="4">
        <v>3000</v>
      </c>
    </row>
    <row r="8072" spans="1:5" ht="26.25" x14ac:dyDescent="0.25">
      <c r="A8072" s="2" t="s">
        <v>13</v>
      </c>
      <c r="B8072" s="2" t="str">
        <f>"76531486"</f>
        <v>76531486</v>
      </c>
      <c r="C8072" s="2" t="str">
        <f>"76531486"</f>
        <v>76531486</v>
      </c>
      <c r="D8072" s="2" t="s">
        <v>5516</v>
      </c>
      <c r="E8072" s="4">
        <v>3000</v>
      </c>
    </row>
    <row r="8073" spans="1:5" ht="26.25" x14ac:dyDescent="0.25">
      <c r="A8073" s="2" t="s">
        <v>13</v>
      </c>
      <c r="B8073" s="2" t="str">
        <f>"34531486"</f>
        <v>34531486</v>
      </c>
      <c r="C8073" s="2" t="str">
        <f>"34531486"</f>
        <v>34531486</v>
      </c>
      <c r="D8073" s="2" t="s">
        <v>5516</v>
      </c>
      <c r="E8073" s="4">
        <v>3000</v>
      </c>
    </row>
    <row r="8074" spans="1:5" ht="26.25" x14ac:dyDescent="0.25">
      <c r="A8074" s="2" t="s">
        <v>13</v>
      </c>
      <c r="B8074" s="2" t="str">
        <f>"76331486"</f>
        <v>76331486</v>
      </c>
      <c r="C8074" s="2" t="str">
        <f>"76331486"</f>
        <v>76331486</v>
      </c>
      <c r="D8074" s="2" t="s">
        <v>5516</v>
      </c>
      <c r="E8074" s="4">
        <v>3000</v>
      </c>
    </row>
    <row r="8075" spans="1:5" ht="26.25" x14ac:dyDescent="0.25">
      <c r="A8075" s="2" t="s">
        <v>13</v>
      </c>
      <c r="B8075" s="2" t="str">
        <f>"76531454"</f>
        <v>76531454</v>
      </c>
      <c r="C8075" s="2" t="str">
        <f>"76531454"</f>
        <v>76531454</v>
      </c>
      <c r="D8075" s="2" t="s">
        <v>5517</v>
      </c>
      <c r="E8075" s="4">
        <v>14000</v>
      </c>
    </row>
    <row r="8076" spans="1:5" ht="26.25" x14ac:dyDescent="0.25">
      <c r="A8076" s="2" t="s">
        <v>13</v>
      </c>
      <c r="B8076" s="2" t="str">
        <f>"345314178"</f>
        <v>345314178</v>
      </c>
      <c r="C8076" s="2" t="str">
        <f>"345314178"</f>
        <v>345314178</v>
      </c>
      <c r="D8076" s="2" t="s">
        <v>5518</v>
      </c>
      <c r="E8076" s="4">
        <v>3000</v>
      </c>
    </row>
    <row r="8077" spans="1:5" ht="26.25" x14ac:dyDescent="0.25">
      <c r="A8077" s="2" t="s">
        <v>13</v>
      </c>
      <c r="B8077" s="2" t="str">
        <f>"345314184"</f>
        <v>345314184</v>
      </c>
      <c r="C8077" s="2" t="str">
        <f>"345314184"</f>
        <v>345314184</v>
      </c>
      <c r="D8077" s="2" t="s">
        <v>5518</v>
      </c>
      <c r="E8077" s="4">
        <v>3000</v>
      </c>
    </row>
    <row r="8078" spans="1:5" ht="26.25" x14ac:dyDescent="0.25">
      <c r="A8078" s="2" t="s">
        <v>13</v>
      </c>
      <c r="B8078" s="2" t="str">
        <f>"765314178"</f>
        <v>765314178</v>
      </c>
      <c r="C8078" s="2" t="str">
        <f>"765314178"</f>
        <v>765314178</v>
      </c>
      <c r="D8078" s="2" t="s">
        <v>5518</v>
      </c>
      <c r="E8078" s="4">
        <v>3000</v>
      </c>
    </row>
    <row r="8079" spans="1:5" ht="26.25" x14ac:dyDescent="0.25">
      <c r="A8079" s="2" t="s">
        <v>13</v>
      </c>
      <c r="B8079" s="2" t="str">
        <f>"765314199"</f>
        <v>765314199</v>
      </c>
      <c r="C8079" s="2" t="str">
        <f>"765314199"</f>
        <v>765314199</v>
      </c>
      <c r="D8079" s="2" t="s">
        <v>5518</v>
      </c>
      <c r="E8079" s="4">
        <v>12000</v>
      </c>
    </row>
    <row r="8080" spans="1:5" ht="26.25" x14ac:dyDescent="0.25">
      <c r="A8080" s="2" t="s">
        <v>13</v>
      </c>
      <c r="B8080" s="2" t="str">
        <f>"763314178"</f>
        <v>763314178</v>
      </c>
      <c r="C8080" s="2" t="str">
        <f>"763314178"</f>
        <v>763314178</v>
      </c>
      <c r="D8080" s="2" t="s">
        <v>5518</v>
      </c>
      <c r="E8080" s="4">
        <v>3000</v>
      </c>
    </row>
    <row r="8081" spans="1:5" ht="26.25" x14ac:dyDescent="0.25">
      <c r="A8081" s="2" t="s">
        <v>13</v>
      </c>
      <c r="B8081" s="2" t="str">
        <f>"173314178"</f>
        <v>173314178</v>
      </c>
      <c r="C8081" s="2" t="str">
        <f>"173314178"</f>
        <v>173314178</v>
      </c>
      <c r="D8081" s="2" t="s">
        <v>5518</v>
      </c>
      <c r="E8081" s="4">
        <v>3000</v>
      </c>
    </row>
    <row r="8082" spans="1:5" ht="26.25" x14ac:dyDescent="0.25">
      <c r="A8082" s="2" t="s">
        <v>13</v>
      </c>
      <c r="B8082" s="2" t="str">
        <f>"763314191"</f>
        <v>763314191</v>
      </c>
      <c r="C8082" s="2" t="str">
        <f>"763314191"</f>
        <v>763314191</v>
      </c>
      <c r="D8082" s="2" t="s">
        <v>5519</v>
      </c>
      <c r="E8082" s="4">
        <v>3000</v>
      </c>
    </row>
    <row r="8083" spans="1:5" ht="26.25" x14ac:dyDescent="0.25">
      <c r="A8083" s="2" t="s">
        <v>13</v>
      </c>
      <c r="B8083" s="2" t="str">
        <f>"1000001001029"</f>
        <v>1000001001029</v>
      </c>
      <c r="C8083" s="2" t="str">
        <f>"763314200"</f>
        <v>763314200</v>
      </c>
      <c r="D8083" s="2" t="s">
        <v>5520</v>
      </c>
      <c r="E8083" s="4">
        <v>3000</v>
      </c>
    </row>
    <row r="8084" spans="1:5" ht="26.25" x14ac:dyDescent="0.25">
      <c r="A8084" s="2" t="s">
        <v>13</v>
      </c>
      <c r="B8084" s="2" t="str">
        <f>"343314200"</f>
        <v>343314200</v>
      </c>
      <c r="C8084" s="2" t="str">
        <f>"343314200"</f>
        <v>343314200</v>
      </c>
      <c r="D8084" s="2" t="s">
        <v>5520</v>
      </c>
      <c r="E8084" s="4">
        <v>6900</v>
      </c>
    </row>
    <row r="8085" spans="1:5" ht="26.25" x14ac:dyDescent="0.25">
      <c r="A8085" s="2" t="s">
        <v>13</v>
      </c>
      <c r="B8085" s="2" t="str">
        <f>"763314201"</f>
        <v>763314201</v>
      </c>
      <c r="C8085" s="2" t="str">
        <f>"763314201"</f>
        <v>763314201</v>
      </c>
      <c r="D8085" s="2" t="s">
        <v>5521</v>
      </c>
      <c r="E8085" s="4">
        <v>3000</v>
      </c>
    </row>
    <row r="8086" spans="1:5" ht="26.25" x14ac:dyDescent="0.25">
      <c r="A8086" s="2" t="s">
        <v>13</v>
      </c>
      <c r="B8086" s="2" t="str">
        <f>"1000001003559"</f>
        <v>1000001003559</v>
      </c>
      <c r="C8086" s="2" t="str">
        <f>"763314203"</f>
        <v>763314203</v>
      </c>
      <c r="D8086" s="2" t="s">
        <v>5522</v>
      </c>
      <c r="E8086" s="4">
        <v>3000</v>
      </c>
    </row>
    <row r="8087" spans="1:5" ht="26.25" x14ac:dyDescent="0.25">
      <c r="A8087" s="2" t="s">
        <v>13</v>
      </c>
      <c r="B8087" s="2" t="str">
        <f>"1000001003542"</f>
        <v>1000001003542</v>
      </c>
      <c r="C8087" s="2" t="str">
        <f>"763314204"</f>
        <v>763314204</v>
      </c>
      <c r="D8087" s="2" t="s">
        <v>5523</v>
      </c>
      <c r="E8087" s="4">
        <v>3000</v>
      </c>
    </row>
    <row r="8088" spans="1:5" ht="26.25" x14ac:dyDescent="0.25">
      <c r="A8088" s="2" t="s">
        <v>13</v>
      </c>
      <c r="B8088" s="2" t="str">
        <f>"175308142"</f>
        <v>175308142</v>
      </c>
      <c r="C8088" s="2" t="str">
        <f>"175308142"</f>
        <v>175308142</v>
      </c>
      <c r="D8088" s="2" t="s">
        <v>5524</v>
      </c>
      <c r="E8088" s="4">
        <v>8000</v>
      </c>
    </row>
    <row r="8089" spans="1:5" ht="26.25" x14ac:dyDescent="0.25">
      <c r="A8089" s="2" t="s">
        <v>13</v>
      </c>
      <c r="B8089" s="2" t="str">
        <f>"345314142"</f>
        <v>345314142</v>
      </c>
      <c r="C8089" s="2" t="str">
        <f>"345314142"</f>
        <v>345314142</v>
      </c>
      <c r="D8089" s="2" t="s">
        <v>5525</v>
      </c>
      <c r="E8089" s="4">
        <v>8000</v>
      </c>
    </row>
    <row r="8090" spans="1:5" ht="26.25" x14ac:dyDescent="0.25">
      <c r="A8090" s="2" t="s">
        <v>13</v>
      </c>
      <c r="B8090" s="2" t="str">
        <f>"175308143"</f>
        <v>175308143</v>
      </c>
      <c r="C8090" s="2" t="str">
        <f>"175308143"</f>
        <v>175308143</v>
      </c>
      <c r="D8090" s="2" t="s">
        <v>5526</v>
      </c>
      <c r="E8090" s="4">
        <v>8000</v>
      </c>
    </row>
    <row r="8091" spans="1:5" ht="26.25" x14ac:dyDescent="0.25">
      <c r="A8091" s="2" t="s">
        <v>13</v>
      </c>
      <c r="B8091" s="2" t="str">
        <f>"1908070129609"</f>
        <v>1908070129609</v>
      </c>
      <c r="C8091" s="2" t="str">
        <f>"34331408"</f>
        <v>34331408</v>
      </c>
      <c r="D8091" s="2" t="s">
        <v>5527</v>
      </c>
      <c r="E8091" s="4">
        <v>7000</v>
      </c>
    </row>
    <row r="8092" spans="1:5" ht="26.25" x14ac:dyDescent="0.25">
      <c r="A8092" s="2" t="s">
        <v>13</v>
      </c>
      <c r="B8092" s="2" t="str">
        <f>"1908070126776"</f>
        <v>1908070126776</v>
      </c>
      <c r="C8092" s="2" t="str">
        <f>"34331405"</f>
        <v>34331405</v>
      </c>
      <c r="D8092" s="2" t="s">
        <v>5528</v>
      </c>
      <c r="E8092" s="4">
        <v>5000</v>
      </c>
    </row>
    <row r="8093" spans="1:5" ht="26.25" x14ac:dyDescent="0.25">
      <c r="A8093" s="2" t="s">
        <v>13</v>
      </c>
      <c r="B8093" s="2" t="str">
        <f>"34536214"</f>
        <v>34536214</v>
      </c>
      <c r="C8093" s="2" t="str">
        <f>"34536214"</f>
        <v>34536214</v>
      </c>
      <c r="D8093" s="2" t="s">
        <v>5529</v>
      </c>
      <c r="E8093" s="4">
        <v>8000</v>
      </c>
    </row>
    <row r="8094" spans="1:5" ht="26.25" x14ac:dyDescent="0.25">
      <c r="A8094" s="2" t="s">
        <v>13</v>
      </c>
      <c r="B8094" s="2" t="str">
        <f>"34330113"</f>
        <v>34330113</v>
      </c>
      <c r="C8094" s="2" t="str">
        <f>"34330113"</f>
        <v>34330113</v>
      </c>
      <c r="D8094" s="2" t="s">
        <v>5530</v>
      </c>
      <c r="E8094" s="4">
        <v>5500</v>
      </c>
    </row>
    <row r="8095" spans="1:5" ht="26.25" x14ac:dyDescent="0.25">
      <c r="A8095" s="2" t="s">
        <v>13</v>
      </c>
      <c r="B8095" s="2" t="str">
        <f>"86531460"</f>
        <v>86531460</v>
      </c>
      <c r="C8095" s="2" t="str">
        <f>"86531460"</f>
        <v>86531460</v>
      </c>
      <c r="D8095" s="2" t="s">
        <v>5531</v>
      </c>
      <c r="E8095" s="4">
        <v>8000</v>
      </c>
    </row>
    <row r="8096" spans="1:5" ht="26.25" x14ac:dyDescent="0.25">
      <c r="A8096" s="2" t="s">
        <v>13</v>
      </c>
      <c r="B8096" s="2" t="str">
        <f>"863300715"</f>
        <v>863300715</v>
      </c>
      <c r="C8096" s="2" t="str">
        <f>"863300715"</f>
        <v>863300715</v>
      </c>
      <c r="D8096" s="2" t="s">
        <v>5532</v>
      </c>
      <c r="E8096" s="4">
        <v>5500</v>
      </c>
    </row>
    <row r="8097" spans="1:5" ht="26.25" x14ac:dyDescent="0.25">
      <c r="A8097" s="2" t="s">
        <v>13</v>
      </c>
      <c r="B8097" s="2" t="str">
        <f>"933314142"</f>
        <v>933314142</v>
      </c>
      <c r="C8097" s="2" t="str">
        <f>"933314142"</f>
        <v>933314142</v>
      </c>
      <c r="D8097" s="2" t="s">
        <v>5533</v>
      </c>
      <c r="E8097" s="4">
        <v>8000</v>
      </c>
    </row>
    <row r="8098" spans="1:5" ht="26.25" x14ac:dyDescent="0.25">
      <c r="A8098" s="2" t="s">
        <v>13</v>
      </c>
      <c r="B8098" s="2" t="str">
        <f>"935314142"</f>
        <v>935314142</v>
      </c>
      <c r="C8098" s="2" t="str">
        <f>"935314142"</f>
        <v>935314142</v>
      </c>
      <c r="D8098" s="2" t="s">
        <v>5533</v>
      </c>
      <c r="E8098" s="4">
        <v>8000</v>
      </c>
    </row>
    <row r="8099" spans="1:5" ht="26.25" x14ac:dyDescent="0.25">
      <c r="A8099" s="2" t="s">
        <v>13</v>
      </c>
      <c r="B8099" s="2" t="str">
        <f>"17540530"</f>
        <v>17540530</v>
      </c>
      <c r="C8099" s="2" t="str">
        <f>"17540530"</f>
        <v>17540530</v>
      </c>
      <c r="D8099" s="2" t="s">
        <v>5534</v>
      </c>
      <c r="E8099" s="4">
        <v>3000</v>
      </c>
    </row>
    <row r="8100" spans="1:5" ht="26.25" x14ac:dyDescent="0.25">
      <c r="A8100" s="2" t="s">
        <v>13</v>
      </c>
      <c r="B8100" s="2" t="str">
        <f>"345314158"</f>
        <v>345314158</v>
      </c>
      <c r="C8100" s="2" t="str">
        <f>"345314158"</f>
        <v>345314158</v>
      </c>
      <c r="D8100" s="2" t="s">
        <v>5535</v>
      </c>
      <c r="E8100" s="4">
        <v>3000</v>
      </c>
    </row>
    <row r="8101" spans="1:5" ht="26.25" x14ac:dyDescent="0.25">
      <c r="A8101" s="2" t="s">
        <v>13</v>
      </c>
      <c r="B8101" s="2" t="str">
        <f>"17331496"</f>
        <v>17331496</v>
      </c>
      <c r="C8101" s="2" t="str">
        <f>"17331496"</f>
        <v>17331496</v>
      </c>
      <c r="D8101" s="2" t="s">
        <v>5536</v>
      </c>
      <c r="E8101" s="4">
        <v>3000</v>
      </c>
    </row>
    <row r="8102" spans="1:5" ht="26.25" x14ac:dyDescent="0.25">
      <c r="A8102" s="2" t="s">
        <v>13</v>
      </c>
      <c r="B8102" s="2" t="str">
        <f>"34531496"</f>
        <v>34531496</v>
      </c>
      <c r="C8102" s="2" t="str">
        <f>"34531496"</f>
        <v>34531496</v>
      </c>
      <c r="D8102" s="2" t="s">
        <v>5536</v>
      </c>
      <c r="E8102" s="4">
        <v>3000</v>
      </c>
    </row>
    <row r="8103" spans="1:5" ht="26.25" x14ac:dyDescent="0.25">
      <c r="A8103" s="2" t="s">
        <v>13</v>
      </c>
      <c r="B8103" s="2" t="str">
        <f>"76531496"</f>
        <v>76531496</v>
      </c>
      <c r="C8103" s="2" t="str">
        <f>"76531496"</f>
        <v>76531496</v>
      </c>
      <c r="D8103" s="2" t="s">
        <v>5536</v>
      </c>
      <c r="E8103" s="4">
        <v>3000</v>
      </c>
    </row>
    <row r="8104" spans="1:5" ht="26.25" x14ac:dyDescent="0.25">
      <c r="A8104" s="2" t="s">
        <v>13</v>
      </c>
      <c r="B8104" s="2" t="str">
        <f>"765305152"</f>
        <v>765305152</v>
      </c>
      <c r="C8104" s="2" t="str">
        <f>"765305152"</f>
        <v>765305152</v>
      </c>
      <c r="D8104" s="2" t="s">
        <v>5537</v>
      </c>
      <c r="E8104" s="4">
        <v>3000</v>
      </c>
    </row>
    <row r="8105" spans="1:5" ht="26.25" x14ac:dyDescent="0.25">
      <c r="A8105" s="2" t="s">
        <v>13</v>
      </c>
      <c r="B8105" s="2" t="str">
        <f>"76330001"</f>
        <v>76330001</v>
      </c>
      <c r="C8105" s="2" t="str">
        <f>"76330001"</f>
        <v>76330001</v>
      </c>
      <c r="D8105" s="2" t="s">
        <v>5538</v>
      </c>
      <c r="E8105" s="4">
        <v>3000</v>
      </c>
    </row>
    <row r="8106" spans="1:5" ht="26.25" x14ac:dyDescent="0.25">
      <c r="A8106" s="2" t="s">
        <v>13</v>
      </c>
      <c r="B8106" s="2" t="str">
        <f>"76531518"</f>
        <v>76531518</v>
      </c>
      <c r="C8106" s="2" t="str">
        <f>"76531518"</f>
        <v>76531518</v>
      </c>
      <c r="D8106" s="2" t="s">
        <v>5539</v>
      </c>
      <c r="E8106" s="4">
        <v>3000</v>
      </c>
    </row>
    <row r="8107" spans="1:5" ht="26.25" x14ac:dyDescent="0.25">
      <c r="A8107" s="2" t="s">
        <v>13</v>
      </c>
      <c r="B8107" s="2" t="str">
        <f>"76531505"</f>
        <v>76531505</v>
      </c>
      <c r="C8107" s="2" t="str">
        <f>"76531505"</f>
        <v>76531505</v>
      </c>
      <c r="D8107" s="2" t="s">
        <v>5540</v>
      </c>
      <c r="E8107" s="4">
        <v>3000</v>
      </c>
    </row>
    <row r="8108" spans="1:5" ht="26.25" x14ac:dyDescent="0.25">
      <c r="A8108" s="2" t="s">
        <v>13</v>
      </c>
      <c r="B8108" s="2" t="str">
        <f>"34331503"</f>
        <v>34331503</v>
      </c>
      <c r="C8108" s="2" t="str">
        <f>"34331503"</f>
        <v>34331503</v>
      </c>
      <c r="D8108" s="2" t="s">
        <v>5541</v>
      </c>
      <c r="E8108" s="4">
        <v>3000</v>
      </c>
    </row>
    <row r="8109" spans="1:5" ht="26.25" x14ac:dyDescent="0.25">
      <c r="A8109" s="2" t="s">
        <v>13</v>
      </c>
      <c r="B8109" s="2" t="str">
        <f>"34531503"</f>
        <v>34531503</v>
      </c>
      <c r="C8109" s="2" t="str">
        <f>"34531503"</f>
        <v>34531503</v>
      </c>
      <c r="D8109" s="2" t="s">
        <v>5541</v>
      </c>
      <c r="E8109" s="4">
        <v>3000</v>
      </c>
    </row>
    <row r="8110" spans="1:5" ht="26.25" x14ac:dyDescent="0.25">
      <c r="A8110" s="2" t="s">
        <v>13</v>
      </c>
      <c r="B8110" s="2" t="str">
        <f>"76331503"</f>
        <v>76331503</v>
      </c>
      <c r="C8110" s="2" t="str">
        <f>"76331503"</f>
        <v>76331503</v>
      </c>
      <c r="D8110" s="2" t="s">
        <v>5541</v>
      </c>
      <c r="E8110" s="4">
        <v>3000</v>
      </c>
    </row>
    <row r="8111" spans="1:5" ht="26.25" x14ac:dyDescent="0.25">
      <c r="A8111" s="2" t="s">
        <v>13</v>
      </c>
      <c r="B8111" s="2" t="str">
        <f>"76531503"</f>
        <v>76531503</v>
      </c>
      <c r="C8111" s="2" t="str">
        <f>"76531503"</f>
        <v>76531503</v>
      </c>
      <c r="D8111" s="2" t="s">
        <v>5541</v>
      </c>
      <c r="E8111" s="4">
        <v>3000</v>
      </c>
    </row>
    <row r="8112" spans="1:5" ht="26.25" x14ac:dyDescent="0.25">
      <c r="A8112" s="2" t="s">
        <v>13</v>
      </c>
      <c r="B8112" s="2" t="str">
        <f>"34531537"</f>
        <v>34531537</v>
      </c>
      <c r="C8112" s="2" t="str">
        <f>"34531537"</f>
        <v>34531537</v>
      </c>
      <c r="D8112" s="2" t="s">
        <v>5542</v>
      </c>
      <c r="E8112" s="4">
        <v>3000</v>
      </c>
    </row>
    <row r="8113" spans="1:5" ht="26.25" x14ac:dyDescent="0.25">
      <c r="A8113" s="2" t="s">
        <v>13</v>
      </c>
      <c r="B8113" s="2" t="str">
        <f>"76531537"</f>
        <v>76531537</v>
      </c>
      <c r="C8113" s="2" t="str">
        <f>"76531537"</f>
        <v>76531537</v>
      </c>
      <c r="D8113" s="2" t="s">
        <v>5542</v>
      </c>
      <c r="E8113" s="4">
        <v>3000</v>
      </c>
    </row>
    <row r="8114" spans="1:5" ht="26.25" x14ac:dyDescent="0.25">
      <c r="A8114" s="2" t="s">
        <v>13</v>
      </c>
      <c r="B8114" s="2" t="str">
        <f>"34531505"</f>
        <v>34531505</v>
      </c>
      <c r="C8114" s="2" t="str">
        <f>"34531505"</f>
        <v>34531505</v>
      </c>
      <c r="D8114" s="2" t="s">
        <v>5543</v>
      </c>
      <c r="E8114" s="4">
        <v>3000</v>
      </c>
    </row>
    <row r="8115" spans="1:5" ht="26.25" x14ac:dyDescent="0.25">
      <c r="A8115" s="2" t="s">
        <v>13</v>
      </c>
      <c r="B8115" s="2" t="str">
        <f>"175315220"</f>
        <v>175315220</v>
      </c>
      <c r="C8115" s="2" t="str">
        <f>"175315220"</f>
        <v>175315220</v>
      </c>
      <c r="D8115" s="2" t="s">
        <v>5544</v>
      </c>
      <c r="E8115" s="4">
        <v>3000</v>
      </c>
    </row>
    <row r="8116" spans="1:5" ht="26.25" x14ac:dyDescent="0.25">
      <c r="A8116" s="2" t="s">
        <v>13</v>
      </c>
      <c r="B8116" s="2" t="str">
        <f>"34531504"</f>
        <v>34531504</v>
      </c>
      <c r="C8116" s="2" t="str">
        <f>"34531504"</f>
        <v>34531504</v>
      </c>
      <c r="D8116" s="2" t="s">
        <v>5545</v>
      </c>
      <c r="E8116" s="4">
        <v>3000</v>
      </c>
    </row>
    <row r="8117" spans="1:5" ht="26.25" x14ac:dyDescent="0.25">
      <c r="A8117" s="2" t="s">
        <v>13</v>
      </c>
      <c r="B8117" s="2" t="str">
        <f>"76531004"</f>
        <v>76531004</v>
      </c>
      <c r="C8117" s="2" t="str">
        <f>"76531004"</f>
        <v>76531004</v>
      </c>
      <c r="D8117" s="2" t="s">
        <v>5545</v>
      </c>
      <c r="E8117" s="4">
        <v>3000</v>
      </c>
    </row>
    <row r="8118" spans="1:5" ht="26.25" x14ac:dyDescent="0.25">
      <c r="A8118" s="2" t="s">
        <v>13</v>
      </c>
      <c r="B8118" s="2" t="str">
        <f>"76531504"</f>
        <v>76531504</v>
      </c>
      <c r="C8118" s="2" t="str">
        <f>"76531504"</f>
        <v>76531504</v>
      </c>
      <c r="D8118" s="2" t="s">
        <v>5545</v>
      </c>
      <c r="E8118" s="4">
        <v>3000</v>
      </c>
    </row>
    <row r="8119" spans="1:5" ht="26.25" x14ac:dyDescent="0.25">
      <c r="A8119" s="2" t="s">
        <v>13</v>
      </c>
      <c r="B8119" s="2" t="str">
        <f>"34531533"</f>
        <v>34531533</v>
      </c>
      <c r="C8119" s="2" t="str">
        <f>"34531533"</f>
        <v>34531533</v>
      </c>
      <c r="D8119" s="2" t="s">
        <v>5546</v>
      </c>
      <c r="E8119" s="4">
        <v>3000</v>
      </c>
    </row>
    <row r="8120" spans="1:5" ht="26.25" x14ac:dyDescent="0.25">
      <c r="A8120" s="2" t="s">
        <v>13</v>
      </c>
      <c r="B8120" s="2" t="str">
        <f>"76531533"</f>
        <v>76531533</v>
      </c>
      <c r="C8120" s="2" t="str">
        <f>"76531533"</f>
        <v>76531533</v>
      </c>
      <c r="D8120" s="2" t="s">
        <v>5546</v>
      </c>
      <c r="E8120" s="4">
        <v>3000</v>
      </c>
    </row>
    <row r="8121" spans="1:5" ht="26.25" x14ac:dyDescent="0.25">
      <c r="A8121" s="2" t="s">
        <v>13</v>
      </c>
      <c r="B8121" s="2" t="str">
        <f>"76331504"</f>
        <v>76331504</v>
      </c>
      <c r="C8121" s="2" t="str">
        <f>"76331504"</f>
        <v>76331504</v>
      </c>
      <c r="D8121" s="2" t="s">
        <v>5547</v>
      </c>
      <c r="E8121" s="4">
        <v>3000</v>
      </c>
    </row>
    <row r="8122" spans="1:5" ht="26.25" x14ac:dyDescent="0.25">
      <c r="A8122" s="2" t="s">
        <v>13</v>
      </c>
      <c r="B8122" s="2" t="str">
        <f>"345315131"</f>
        <v>345315131</v>
      </c>
      <c r="C8122" s="2" t="str">
        <f>"345315131"</f>
        <v>345315131</v>
      </c>
      <c r="D8122" s="2" t="s">
        <v>5548</v>
      </c>
      <c r="E8122" s="4">
        <v>3000</v>
      </c>
    </row>
    <row r="8123" spans="1:5" ht="26.25" x14ac:dyDescent="0.25">
      <c r="A8123" s="2" t="s">
        <v>13</v>
      </c>
      <c r="B8123" s="2" t="str">
        <f>"763315131"</f>
        <v>763315131</v>
      </c>
      <c r="C8123" s="2" t="str">
        <f>"763315131"</f>
        <v>763315131</v>
      </c>
      <c r="D8123" s="2" t="s">
        <v>5548</v>
      </c>
      <c r="E8123" s="4">
        <v>3000</v>
      </c>
    </row>
    <row r="8124" spans="1:5" ht="26.25" x14ac:dyDescent="0.25">
      <c r="A8124" s="2" t="s">
        <v>13</v>
      </c>
      <c r="B8124" s="2" t="str">
        <f>"765315131"</f>
        <v>765315131</v>
      </c>
      <c r="C8124" s="2" t="str">
        <f>"765315131"</f>
        <v>765315131</v>
      </c>
      <c r="D8124" s="2" t="s">
        <v>5548</v>
      </c>
      <c r="E8124" s="4">
        <v>3000</v>
      </c>
    </row>
    <row r="8125" spans="1:5" ht="26.25" x14ac:dyDescent="0.25">
      <c r="A8125" s="2" t="s">
        <v>13</v>
      </c>
      <c r="B8125" s="2" t="str">
        <f>"173315131"</f>
        <v>173315131</v>
      </c>
      <c r="C8125" s="2" t="str">
        <f>"173315131"</f>
        <v>173315131</v>
      </c>
      <c r="D8125" s="2" t="s">
        <v>5548</v>
      </c>
      <c r="E8125" s="4">
        <v>3000</v>
      </c>
    </row>
    <row r="8126" spans="1:5" ht="26.25" x14ac:dyDescent="0.25">
      <c r="A8126" s="2" t="s">
        <v>13</v>
      </c>
      <c r="B8126" s="2" t="str">
        <f>"32531527"</f>
        <v>32531527</v>
      </c>
      <c r="C8126" s="2" t="str">
        <f>"32531527"</f>
        <v>32531527</v>
      </c>
      <c r="D8126" s="2" t="s">
        <v>5549</v>
      </c>
      <c r="E8126" s="4">
        <v>3000</v>
      </c>
    </row>
    <row r="8127" spans="1:5" ht="26.25" x14ac:dyDescent="0.25">
      <c r="A8127" s="2" t="s">
        <v>13</v>
      </c>
      <c r="B8127" s="2" t="str">
        <f>"76331527"</f>
        <v>76331527</v>
      </c>
      <c r="C8127" s="2" t="str">
        <f>"76331527"</f>
        <v>76331527</v>
      </c>
      <c r="D8127" s="2" t="s">
        <v>5549</v>
      </c>
      <c r="E8127" s="4">
        <v>3000</v>
      </c>
    </row>
    <row r="8128" spans="1:5" ht="26.25" x14ac:dyDescent="0.25">
      <c r="A8128" s="2" t="s">
        <v>13</v>
      </c>
      <c r="B8128" s="2" t="str">
        <f>"763315301"</f>
        <v>763315301</v>
      </c>
      <c r="C8128" s="2" t="str">
        <f>"763315301"</f>
        <v>763315301</v>
      </c>
      <c r="D8128" s="2" t="s">
        <v>5550</v>
      </c>
      <c r="E8128" s="4">
        <v>3000</v>
      </c>
    </row>
    <row r="8129" spans="1:5" ht="26.25" x14ac:dyDescent="0.25">
      <c r="A8129" s="2" t="s">
        <v>13</v>
      </c>
      <c r="B8129" s="2" t="str">
        <f>"693315301"</f>
        <v>693315301</v>
      </c>
      <c r="C8129" s="2" t="str">
        <f>"693315301"</f>
        <v>693315301</v>
      </c>
      <c r="D8129" s="2" t="s">
        <v>5550</v>
      </c>
      <c r="E8129" s="4">
        <v>3000</v>
      </c>
    </row>
    <row r="8130" spans="1:5" ht="26.25" x14ac:dyDescent="0.25">
      <c r="A8130" s="2" t="s">
        <v>13</v>
      </c>
      <c r="B8130" s="2" t="str">
        <f>"763315310"</f>
        <v>763315310</v>
      </c>
      <c r="C8130" s="2" t="str">
        <f>"763315310"</f>
        <v>763315310</v>
      </c>
      <c r="D8130" s="2" t="s">
        <v>5550</v>
      </c>
      <c r="E8130" s="4">
        <v>3000</v>
      </c>
    </row>
    <row r="8131" spans="1:5" ht="26.25" x14ac:dyDescent="0.25">
      <c r="A8131" s="2" t="s">
        <v>13</v>
      </c>
      <c r="B8131" s="2" t="str">
        <f>"765315269"</f>
        <v>765315269</v>
      </c>
      <c r="C8131" s="2" t="str">
        <f>"765315269"</f>
        <v>765315269</v>
      </c>
      <c r="D8131" s="2" t="s">
        <v>5551</v>
      </c>
      <c r="E8131" s="4">
        <v>3000</v>
      </c>
    </row>
    <row r="8132" spans="1:5" ht="26.25" x14ac:dyDescent="0.25">
      <c r="A8132" s="2" t="s">
        <v>13</v>
      </c>
      <c r="B8132" s="2" t="str">
        <f>"763315269"</f>
        <v>763315269</v>
      </c>
      <c r="C8132" s="2" t="str">
        <f>"763315269"</f>
        <v>763315269</v>
      </c>
      <c r="D8132" s="2" t="s">
        <v>5551</v>
      </c>
      <c r="E8132" s="4">
        <v>3000</v>
      </c>
    </row>
    <row r="8133" spans="1:5" ht="26.25" x14ac:dyDescent="0.25">
      <c r="A8133" s="2" t="s">
        <v>13</v>
      </c>
      <c r="B8133" s="2" t="str">
        <f>"76530518"</f>
        <v>76530518</v>
      </c>
      <c r="C8133" s="2" t="str">
        <f>"76530518"</f>
        <v>76530518</v>
      </c>
      <c r="D8133" s="2" t="s">
        <v>5552</v>
      </c>
      <c r="E8133" s="4">
        <v>3000</v>
      </c>
    </row>
    <row r="8134" spans="1:5" ht="26.25" x14ac:dyDescent="0.25">
      <c r="A8134" s="2" t="s">
        <v>13</v>
      </c>
      <c r="B8134" s="2" t="str">
        <f>"110771014"</f>
        <v>110771014</v>
      </c>
      <c r="C8134" s="2" t="str">
        <f>"110771014"</f>
        <v>110771014</v>
      </c>
      <c r="D8134" s="2" t="s">
        <v>5552</v>
      </c>
      <c r="E8134" s="4">
        <v>3000</v>
      </c>
    </row>
    <row r="8135" spans="1:5" ht="26.25" x14ac:dyDescent="0.25">
      <c r="A8135" s="2" t="s">
        <v>13</v>
      </c>
      <c r="B8135" s="2" t="str">
        <f>"76331518"</f>
        <v>76331518</v>
      </c>
      <c r="C8135" s="2" t="str">
        <f>"76331518"</f>
        <v>76331518</v>
      </c>
      <c r="D8135" s="2" t="s">
        <v>5552</v>
      </c>
      <c r="E8135" s="4">
        <v>3000</v>
      </c>
    </row>
    <row r="8136" spans="1:5" ht="26.25" x14ac:dyDescent="0.25">
      <c r="A8136" s="2" t="s">
        <v>13</v>
      </c>
      <c r="B8136" s="2" t="str">
        <f>"17531518"</f>
        <v>17531518</v>
      </c>
      <c r="C8136" s="2" t="str">
        <f>"17531518"</f>
        <v>17531518</v>
      </c>
      <c r="D8136" s="2" t="s">
        <v>5553</v>
      </c>
      <c r="E8136" s="4">
        <v>3000</v>
      </c>
    </row>
    <row r="8137" spans="1:5" ht="26.25" x14ac:dyDescent="0.25">
      <c r="A8137" s="2" t="s">
        <v>13</v>
      </c>
      <c r="B8137" s="2" t="str">
        <f>"34531518"</f>
        <v>34531518</v>
      </c>
      <c r="C8137" s="2" t="str">
        <f>"34531518"</f>
        <v>34531518</v>
      </c>
      <c r="D8137" s="2" t="s">
        <v>5553</v>
      </c>
      <c r="E8137" s="4">
        <v>3000</v>
      </c>
    </row>
    <row r="8138" spans="1:5" ht="26.25" x14ac:dyDescent="0.25">
      <c r="A8138" s="2" t="s">
        <v>13</v>
      </c>
      <c r="B8138" s="2" t="str">
        <f>"17531509"</f>
        <v>17531509</v>
      </c>
      <c r="C8138" s="2" t="str">
        <f>"17531509"</f>
        <v>17531509</v>
      </c>
      <c r="D8138" s="2" t="s">
        <v>5554</v>
      </c>
      <c r="E8138" s="4">
        <v>3000</v>
      </c>
    </row>
    <row r="8139" spans="1:5" ht="26.25" x14ac:dyDescent="0.25">
      <c r="A8139" s="2" t="s">
        <v>13</v>
      </c>
      <c r="B8139" s="2" t="str">
        <f>"34531509"</f>
        <v>34531509</v>
      </c>
      <c r="C8139" s="2" t="str">
        <f>"34531509"</f>
        <v>34531509</v>
      </c>
      <c r="D8139" s="2" t="s">
        <v>5554</v>
      </c>
      <c r="E8139" s="4">
        <v>3000</v>
      </c>
    </row>
    <row r="8140" spans="1:5" ht="26.25" x14ac:dyDescent="0.25">
      <c r="A8140" s="2" t="s">
        <v>13</v>
      </c>
      <c r="B8140" s="2" t="str">
        <f>"76531509"</f>
        <v>76531509</v>
      </c>
      <c r="C8140" s="2" t="str">
        <f>"76531509"</f>
        <v>76531509</v>
      </c>
      <c r="D8140" s="2" t="s">
        <v>5554</v>
      </c>
      <c r="E8140" s="4">
        <v>3000</v>
      </c>
    </row>
    <row r="8141" spans="1:5" ht="26.25" x14ac:dyDescent="0.25">
      <c r="A8141" s="2" t="s">
        <v>13</v>
      </c>
      <c r="B8141" s="2" t="str">
        <f>"17331509"</f>
        <v>17331509</v>
      </c>
      <c r="C8141" s="2" t="str">
        <f>"17331509"</f>
        <v>17331509</v>
      </c>
      <c r="D8141" s="2" t="s">
        <v>5554</v>
      </c>
      <c r="E8141" s="4">
        <v>3000</v>
      </c>
    </row>
    <row r="8142" spans="1:5" ht="26.25" x14ac:dyDescent="0.25">
      <c r="A8142" s="2" t="s">
        <v>13</v>
      </c>
      <c r="B8142" s="2" t="str">
        <f>"345315111"</f>
        <v>345315111</v>
      </c>
      <c r="C8142" s="2" t="str">
        <f>"345315111"</f>
        <v>345315111</v>
      </c>
      <c r="D8142" s="2" t="s">
        <v>5555</v>
      </c>
      <c r="E8142" s="4">
        <v>3000</v>
      </c>
    </row>
    <row r="8143" spans="1:5" ht="26.25" x14ac:dyDescent="0.25">
      <c r="A8143" s="2" t="s">
        <v>13</v>
      </c>
      <c r="B8143" s="2" t="str">
        <f>"765309111"</f>
        <v>765309111</v>
      </c>
      <c r="C8143" s="2" t="str">
        <f>"765309111"</f>
        <v>765309111</v>
      </c>
      <c r="D8143" s="2" t="s">
        <v>5555</v>
      </c>
      <c r="E8143" s="4">
        <v>3000</v>
      </c>
    </row>
    <row r="8144" spans="1:5" ht="26.25" x14ac:dyDescent="0.25">
      <c r="A8144" s="2" t="s">
        <v>13</v>
      </c>
      <c r="B8144" s="2" t="str">
        <f>"765315111"</f>
        <v>765315111</v>
      </c>
      <c r="C8144" s="2" t="str">
        <f>"765315111"</f>
        <v>765315111</v>
      </c>
      <c r="D8144" s="2" t="s">
        <v>5555</v>
      </c>
      <c r="E8144" s="4">
        <v>3000</v>
      </c>
    </row>
    <row r="8145" spans="1:5" ht="26.25" x14ac:dyDescent="0.25">
      <c r="A8145" s="2" t="s">
        <v>13</v>
      </c>
      <c r="B8145" s="2" t="str">
        <f>"76331509"</f>
        <v>76331509</v>
      </c>
      <c r="C8145" s="2" t="str">
        <f>"76331509"</f>
        <v>76331509</v>
      </c>
      <c r="D8145" s="2" t="s">
        <v>5556</v>
      </c>
      <c r="E8145" s="4">
        <v>3000</v>
      </c>
    </row>
    <row r="8146" spans="1:5" ht="26.25" x14ac:dyDescent="0.25">
      <c r="A8146" s="2" t="s">
        <v>13</v>
      </c>
      <c r="B8146" s="2" t="str">
        <f>"345315195"</f>
        <v>345315195</v>
      </c>
      <c r="C8146" s="2" t="str">
        <f>"345315195"</f>
        <v>345315195</v>
      </c>
      <c r="D8146" s="2" t="s">
        <v>5557</v>
      </c>
      <c r="E8146" s="4">
        <v>3000</v>
      </c>
    </row>
    <row r="8147" spans="1:5" ht="26.25" x14ac:dyDescent="0.25">
      <c r="A8147" s="2" t="s">
        <v>13</v>
      </c>
      <c r="B8147" s="2" t="str">
        <f>"763315195"</f>
        <v>763315195</v>
      </c>
      <c r="C8147" s="2" t="str">
        <f>"763315195"</f>
        <v>763315195</v>
      </c>
      <c r="D8147" s="2" t="s">
        <v>5557</v>
      </c>
      <c r="E8147" s="4">
        <v>3000</v>
      </c>
    </row>
    <row r="8148" spans="1:5" ht="26.25" x14ac:dyDescent="0.25">
      <c r="A8148" s="2" t="s">
        <v>13</v>
      </c>
      <c r="B8148" s="2" t="str">
        <f>"765315195"</f>
        <v>765315195</v>
      </c>
      <c r="C8148" s="2" t="str">
        <f>"765315195"</f>
        <v>765315195</v>
      </c>
      <c r="D8148" s="2" t="s">
        <v>5557</v>
      </c>
      <c r="E8148" s="4">
        <v>3000</v>
      </c>
    </row>
    <row r="8149" spans="1:5" ht="26.25" x14ac:dyDescent="0.25">
      <c r="A8149" s="2" t="s">
        <v>13</v>
      </c>
      <c r="B8149" s="2" t="str">
        <f>"76331572"</f>
        <v>76331572</v>
      </c>
      <c r="C8149" s="2" t="str">
        <f>"76331572"</f>
        <v>76331572</v>
      </c>
      <c r="D8149" s="2" t="s">
        <v>5558</v>
      </c>
      <c r="E8149" s="4">
        <v>3000</v>
      </c>
    </row>
    <row r="8150" spans="1:5" ht="26.25" x14ac:dyDescent="0.25">
      <c r="A8150" s="2" t="s">
        <v>13</v>
      </c>
      <c r="B8150" s="2" t="str">
        <f>"76531572"</f>
        <v>76531572</v>
      </c>
      <c r="C8150" s="2" t="str">
        <f>"76531572"</f>
        <v>76531572</v>
      </c>
      <c r="D8150" s="2" t="s">
        <v>5558</v>
      </c>
      <c r="E8150" s="4">
        <v>3000</v>
      </c>
    </row>
    <row r="8151" spans="1:5" ht="26.25" x14ac:dyDescent="0.25">
      <c r="A8151" s="2" t="s">
        <v>13</v>
      </c>
      <c r="B8151" s="2" t="str">
        <f>"76531573"</f>
        <v>76531573</v>
      </c>
      <c r="C8151" s="2" t="str">
        <f>"76531573"</f>
        <v>76531573</v>
      </c>
      <c r="D8151" s="2" t="s">
        <v>5559</v>
      </c>
      <c r="E8151" s="4">
        <v>3000</v>
      </c>
    </row>
    <row r="8152" spans="1:5" ht="26.25" x14ac:dyDescent="0.25">
      <c r="A8152" s="2" t="s">
        <v>13</v>
      </c>
      <c r="B8152" s="2" t="str">
        <f>"110771016"</f>
        <v>110771016</v>
      </c>
      <c r="C8152" s="2" t="str">
        <f>"110771016"</f>
        <v>110771016</v>
      </c>
      <c r="D8152" s="2" t="s">
        <v>5560</v>
      </c>
      <c r="E8152" s="4">
        <v>3000</v>
      </c>
    </row>
    <row r="8153" spans="1:5" ht="26.25" x14ac:dyDescent="0.25">
      <c r="A8153" s="2" t="s">
        <v>13</v>
      </c>
      <c r="B8153" s="2" t="str">
        <f>"175315130"</f>
        <v>175315130</v>
      </c>
      <c r="C8153" s="2" t="str">
        <f>"175315130"</f>
        <v>175315130</v>
      </c>
      <c r="D8153" s="2" t="s">
        <v>5560</v>
      </c>
      <c r="E8153" s="4">
        <v>3000</v>
      </c>
    </row>
    <row r="8154" spans="1:5" ht="26.25" x14ac:dyDescent="0.25">
      <c r="A8154" s="2" t="s">
        <v>13</v>
      </c>
      <c r="B8154" s="2" t="str">
        <f>"345315130"</f>
        <v>345315130</v>
      </c>
      <c r="C8154" s="2" t="str">
        <f>"345315130"</f>
        <v>345315130</v>
      </c>
      <c r="D8154" s="2" t="s">
        <v>5560</v>
      </c>
      <c r="E8154" s="4">
        <v>3000</v>
      </c>
    </row>
    <row r="8155" spans="1:5" ht="26.25" x14ac:dyDescent="0.25">
      <c r="A8155" s="2" t="s">
        <v>13</v>
      </c>
      <c r="B8155" s="2" t="str">
        <f>"325315266"</f>
        <v>325315266</v>
      </c>
      <c r="C8155" s="2" t="str">
        <f>"325315266"</f>
        <v>325315266</v>
      </c>
      <c r="D8155" s="2" t="s">
        <v>5561</v>
      </c>
      <c r="E8155" s="4">
        <v>3000</v>
      </c>
    </row>
    <row r="8156" spans="1:5" ht="26.25" x14ac:dyDescent="0.25">
      <c r="A8156" s="2" t="s">
        <v>13</v>
      </c>
      <c r="B8156" s="2" t="str">
        <f>"763315266"</f>
        <v>763315266</v>
      </c>
      <c r="C8156" s="2" t="str">
        <f>"763315266"</f>
        <v>763315266</v>
      </c>
      <c r="D8156" s="2" t="s">
        <v>5561</v>
      </c>
      <c r="E8156" s="4">
        <v>3000</v>
      </c>
    </row>
    <row r="8157" spans="1:5" ht="26.25" x14ac:dyDescent="0.25">
      <c r="A8157" s="2" t="s">
        <v>13</v>
      </c>
      <c r="B8157" s="2" t="str">
        <f>"765315266"</f>
        <v>765315266</v>
      </c>
      <c r="C8157" s="2" t="str">
        <f>"765315266"</f>
        <v>765315266</v>
      </c>
      <c r="D8157" s="2" t="s">
        <v>5561</v>
      </c>
      <c r="E8157" s="4">
        <v>3000</v>
      </c>
    </row>
    <row r="8158" spans="1:5" ht="26.25" x14ac:dyDescent="0.25">
      <c r="A8158" s="2" t="s">
        <v>13</v>
      </c>
      <c r="B8158" s="2" t="str">
        <f>"933314266"</f>
        <v>933314266</v>
      </c>
      <c r="C8158" s="2" t="str">
        <f>"933314266"</f>
        <v>933314266</v>
      </c>
      <c r="D8158" s="2" t="s">
        <v>5561</v>
      </c>
      <c r="E8158" s="4">
        <v>3000</v>
      </c>
    </row>
    <row r="8159" spans="1:5" ht="26.25" x14ac:dyDescent="0.25">
      <c r="A8159" s="2" t="s">
        <v>13</v>
      </c>
      <c r="B8159" s="2" t="str">
        <f>"933315266"</f>
        <v>933315266</v>
      </c>
      <c r="C8159" s="2" t="str">
        <f>"933315266"</f>
        <v>933315266</v>
      </c>
      <c r="D8159" s="2" t="s">
        <v>5561</v>
      </c>
      <c r="E8159" s="4">
        <v>3000</v>
      </c>
    </row>
    <row r="8160" spans="1:5" ht="26.25" x14ac:dyDescent="0.25">
      <c r="A8160" s="2" t="s">
        <v>13</v>
      </c>
      <c r="B8160" s="2" t="str">
        <f>"183315266"</f>
        <v>183315266</v>
      </c>
      <c r="C8160" s="2" t="str">
        <f>"183315266"</f>
        <v>183315266</v>
      </c>
      <c r="D8160" s="2" t="s">
        <v>5561</v>
      </c>
      <c r="E8160" s="4">
        <v>3000</v>
      </c>
    </row>
    <row r="8161" spans="1:5" ht="26.25" x14ac:dyDescent="0.25">
      <c r="A8161" s="2" t="s">
        <v>13</v>
      </c>
      <c r="B8161" s="2" t="str">
        <f>"413315287"</f>
        <v>413315287</v>
      </c>
      <c r="C8161" s="2" t="str">
        <f>"413315287"</f>
        <v>413315287</v>
      </c>
      <c r="D8161" s="2" t="s">
        <v>5562</v>
      </c>
      <c r="E8161" s="4">
        <v>3000</v>
      </c>
    </row>
    <row r="8162" spans="1:5" ht="26.25" x14ac:dyDescent="0.25">
      <c r="A8162" s="2" t="s">
        <v>13</v>
      </c>
      <c r="B8162" s="2" t="str">
        <f>"343310286"</f>
        <v>343310286</v>
      </c>
      <c r="C8162" s="2" t="str">
        <f>"343310286"</f>
        <v>343310286</v>
      </c>
      <c r="D8162" s="2" t="s">
        <v>5563</v>
      </c>
      <c r="E8162" s="4">
        <v>3000</v>
      </c>
    </row>
    <row r="8163" spans="1:5" ht="26.25" x14ac:dyDescent="0.25">
      <c r="A8163" s="2" t="s">
        <v>13</v>
      </c>
      <c r="B8163" s="2" t="str">
        <f>"345315278"</f>
        <v>345315278</v>
      </c>
      <c r="C8163" s="2" t="str">
        <f>"345315278"</f>
        <v>345315278</v>
      </c>
      <c r="D8163" s="2" t="s">
        <v>5563</v>
      </c>
      <c r="E8163" s="4">
        <v>3000</v>
      </c>
    </row>
    <row r="8164" spans="1:5" ht="26.25" x14ac:dyDescent="0.25">
      <c r="A8164" s="2" t="s">
        <v>13</v>
      </c>
      <c r="B8164" s="2" t="str">
        <f>"183315286"</f>
        <v>183315286</v>
      </c>
      <c r="C8164" s="2" t="str">
        <f>"183315286"</f>
        <v>183315286</v>
      </c>
      <c r="D8164" s="2" t="s">
        <v>5563</v>
      </c>
      <c r="E8164" s="4">
        <v>3000</v>
      </c>
    </row>
    <row r="8165" spans="1:5" ht="26.25" x14ac:dyDescent="0.25">
      <c r="A8165" s="2" t="s">
        <v>13</v>
      </c>
      <c r="B8165" s="2" t="str">
        <f>"763315286"</f>
        <v>763315286</v>
      </c>
      <c r="C8165" s="2" t="str">
        <f>"763315286"</f>
        <v>763315286</v>
      </c>
      <c r="D8165" s="2" t="s">
        <v>5563</v>
      </c>
      <c r="E8165" s="4">
        <v>3000</v>
      </c>
    </row>
    <row r="8166" spans="1:5" ht="26.25" x14ac:dyDescent="0.25">
      <c r="A8166" s="2" t="s">
        <v>13</v>
      </c>
      <c r="B8166" s="2" t="str">
        <f>"683315286"</f>
        <v>683315286</v>
      </c>
      <c r="C8166" s="2" t="str">
        <f>"683315286"</f>
        <v>683315286</v>
      </c>
      <c r="D8166" s="2" t="s">
        <v>5563</v>
      </c>
      <c r="E8166" s="4">
        <v>3000</v>
      </c>
    </row>
    <row r="8167" spans="1:5" ht="26.25" x14ac:dyDescent="0.25">
      <c r="A8167" s="2" t="s">
        <v>13</v>
      </c>
      <c r="B8167" s="2" t="str">
        <f>"343315286"</f>
        <v>343315286</v>
      </c>
      <c r="C8167" s="2" t="str">
        <f>"343315286"</f>
        <v>343315286</v>
      </c>
      <c r="D8167" s="2" t="s">
        <v>5563</v>
      </c>
      <c r="E8167" s="4">
        <v>3000</v>
      </c>
    </row>
    <row r="8168" spans="1:5" ht="26.25" x14ac:dyDescent="0.25">
      <c r="A8168" s="2" t="s">
        <v>13</v>
      </c>
      <c r="B8168" s="2" t="str">
        <f>"686815286"</f>
        <v>686815286</v>
      </c>
      <c r="C8168" s="2" t="str">
        <f>"686815286"</f>
        <v>686815286</v>
      </c>
      <c r="D8168" s="2" t="s">
        <v>5563</v>
      </c>
      <c r="E8168" s="4">
        <v>3000</v>
      </c>
    </row>
    <row r="8169" spans="1:5" ht="26.25" x14ac:dyDescent="0.25">
      <c r="A8169" s="2" t="s">
        <v>13</v>
      </c>
      <c r="B8169" s="2" t="str">
        <f>"763315267"</f>
        <v>763315267</v>
      </c>
      <c r="C8169" s="2" t="str">
        <f>"763315267"</f>
        <v>763315267</v>
      </c>
      <c r="D8169" s="2" t="s">
        <v>5564</v>
      </c>
      <c r="E8169" s="4">
        <v>3000</v>
      </c>
    </row>
    <row r="8170" spans="1:5" ht="26.25" x14ac:dyDescent="0.25">
      <c r="A8170" s="2" t="s">
        <v>13</v>
      </c>
      <c r="B8170" s="2" t="str">
        <f>"683315287"</f>
        <v>683315287</v>
      </c>
      <c r="C8170" s="2" t="str">
        <f>"683315287"</f>
        <v>683315287</v>
      </c>
      <c r="D8170" s="2" t="s">
        <v>5565</v>
      </c>
      <c r="E8170" s="4">
        <v>3000</v>
      </c>
    </row>
    <row r="8171" spans="1:5" ht="26.25" x14ac:dyDescent="0.25">
      <c r="A8171" s="2" t="s">
        <v>13</v>
      </c>
      <c r="B8171" s="2" t="str">
        <f>"343315287"</f>
        <v>343315287</v>
      </c>
      <c r="C8171" s="2" t="str">
        <f>"343315287"</f>
        <v>343315287</v>
      </c>
      <c r="D8171" s="2" t="s">
        <v>5565</v>
      </c>
      <c r="E8171" s="4">
        <v>3000</v>
      </c>
    </row>
    <row r="8172" spans="1:5" ht="26.25" x14ac:dyDescent="0.25">
      <c r="A8172" s="2" t="s">
        <v>13</v>
      </c>
      <c r="B8172" s="2" t="str">
        <f>"765315287"</f>
        <v>765315287</v>
      </c>
      <c r="C8172" s="2" t="str">
        <f>"765315287"</f>
        <v>765315287</v>
      </c>
      <c r="D8172" s="2" t="s">
        <v>5565</v>
      </c>
      <c r="E8172" s="4">
        <v>3000</v>
      </c>
    </row>
    <row r="8173" spans="1:5" ht="26.25" x14ac:dyDescent="0.25">
      <c r="A8173" s="2" t="s">
        <v>13</v>
      </c>
      <c r="B8173" s="2" t="str">
        <f>"173315287"</f>
        <v>173315287</v>
      </c>
      <c r="C8173" s="2" t="str">
        <f>"173315287"</f>
        <v>173315287</v>
      </c>
      <c r="D8173" s="2" t="s">
        <v>5565</v>
      </c>
      <c r="E8173" s="4">
        <v>3000</v>
      </c>
    </row>
    <row r="8174" spans="1:5" ht="26.25" x14ac:dyDescent="0.25">
      <c r="A8174" s="2" t="s">
        <v>13</v>
      </c>
      <c r="B8174" s="2" t="str">
        <f>"763315287"</f>
        <v>763315287</v>
      </c>
      <c r="C8174" s="2" t="str">
        <f>"763315287"</f>
        <v>763315287</v>
      </c>
      <c r="D8174" s="2" t="s">
        <v>5565</v>
      </c>
      <c r="E8174" s="4">
        <v>3000</v>
      </c>
    </row>
    <row r="8175" spans="1:5" ht="26.25" x14ac:dyDescent="0.25">
      <c r="A8175" s="2" t="s">
        <v>13</v>
      </c>
      <c r="B8175" s="2" t="str">
        <f>"2018410300410"</f>
        <v>2018410300410</v>
      </c>
      <c r="C8175" s="2" t="str">
        <f>"183315270"</f>
        <v>183315270</v>
      </c>
      <c r="D8175" s="2" t="s">
        <v>5566</v>
      </c>
      <c r="E8175" s="4">
        <v>3000</v>
      </c>
    </row>
    <row r="8176" spans="1:5" ht="26.25" x14ac:dyDescent="0.25">
      <c r="A8176" s="2" t="s">
        <v>13</v>
      </c>
      <c r="B8176" s="2" t="str">
        <f>"763315270"</f>
        <v>763315270</v>
      </c>
      <c r="C8176" s="2" t="str">
        <f>"763315270"</f>
        <v>763315270</v>
      </c>
      <c r="D8176" s="2" t="s">
        <v>5566</v>
      </c>
      <c r="E8176" s="4">
        <v>3000</v>
      </c>
    </row>
    <row r="8177" spans="1:5" ht="26.25" x14ac:dyDescent="0.25">
      <c r="A8177" s="2" t="s">
        <v>13</v>
      </c>
      <c r="B8177" s="2" t="str">
        <f>"763315268"</f>
        <v>763315268</v>
      </c>
      <c r="C8177" s="2" t="str">
        <f>"763315268"</f>
        <v>763315268</v>
      </c>
      <c r="D8177" s="2" t="s">
        <v>5567</v>
      </c>
      <c r="E8177" s="4">
        <v>3000</v>
      </c>
    </row>
    <row r="8178" spans="1:5" ht="26.25" x14ac:dyDescent="0.25">
      <c r="A8178" s="2" t="s">
        <v>13</v>
      </c>
      <c r="B8178" s="2" t="str">
        <f>"343315268"</f>
        <v>343315268</v>
      </c>
      <c r="C8178" s="2" t="str">
        <f>"343315268"</f>
        <v>343315268</v>
      </c>
      <c r="D8178" s="2" t="s">
        <v>5567</v>
      </c>
      <c r="E8178" s="4">
        <v>3000</v>
      </c>
    </row>
    <row r="8179" spans="1:5" ht="26.25" x14ac:dyDescent="0.25">
      <c r="A8179" s="2" t="s">
        <v>13</v>
      </c>
      <c r="B8179" s="2" t="str">
        <f>"763315170"</f>
        <v>763315170</v>
      </c>
      <c r="C8179" s="2" t="str">
        <f>"763315170"</f>
        <v>763315170</v>
      </c>
      <c r="D8179" s="2" t="s">
        <v>5568</v>
      </c>
      <c r="E8179" s="4">
        <v>3000</v>
      </c>
    </row>
    <row r="8180" spans="1:5" ht="26.25" x14ac:dyDescent="0.25">
      <c r="A8180" s="2" t="s">
        <v>13</v>
      </c>
      <c r="B8180" s="2" t="str">
        <f>"76331521"</f>
        <v>76331521</v>
      </c>
      <c r="C8180" s="2" t="str">
        <f>"76331521"</f>
        <v>76331521</v>
      </c>
      <c r="D8180" s="2" t="s">
        <v>5569</v>
      </c>
      <c r="E8180" s="4">
        <v>3000</v>
      </c>
    </row>
    <row r="8181" spans="1:5" ht="26.25" x14ac:dyDescent="0.25">
      <c r="A8181" s="2" t="s">
        <v>13</v>
      </c>
      <c r="B8181" s="2" t="str">
        <f>"76531521"</f>
        <v>76531521</v>
      </c>
      <c r="C8181" s="2" t="str">
        <f>"76531521"</f>
        <v>76531521</v>
      </c>
      <c r="D8181" s="2" t="s">
        <v>5569</v>
      </c>
      <c r="E8181" s="4">
        <v>3000</v>
      </c>
    </row>
    <row r="8182" spans="1:5" ht="26.25" x14ac:dyDescent="0.25">
      <c r="A8182" s="2" t="s">
        <v>13</v>
      </c>
      <c r="B8182" s="2" t="str">
        <f>"76331522"</f>
        <v>76331522</v>
      </c>
      <c r="C8182" s="2" t="str">
        <f>"76331522"</f>
        <v>76331522</v>
      </c>
      <c r="D8182" s="2" t="s">
        <v>5570</v>
      </c>
      <c r="E8182" s="4">
        <v>3000</v>
      </c>
    </row>
    <row r="8183" spans="1:5" ht="26.25" x14ac:dyDescent="0.25">
      <c r="A8183" s="2" t="s">
        <v>13</v>
      </c>
      <c r="B8183" s="2" t="str">
        <f>"76531422"</f>
        <v>76531422</v>
      </c>
      <c r="C8183" s="2" t="str">
        <f>"76531422"</f>
        <v>76531422</v>
      </c>
      <c r="D8183" s="2" t="s">
        <v>5570</v>
      </c>
      <c r="E8183" s="4">
        <v>3000</v>
      </c>
    </row>
    <row r="8184" spans="1:5" ht="26.25" x14ac:dyDescent="0.25">
      <c r="A8184" s="2" t="s">
        <v>13</v>
      </c>
      <c r="B8184" s="2" t="str">
        <f>"76531522"</f>
        <v>76531522</v>
      </c>
      <c r="C8184" s="2" t="str">
        <f>"76531522"</f>
        <v>76531522</v>
      </c>
      <c r="D8184" s="2" t="s">
        <v>5570</v>
      </c>
      <c r="E8184" s="4">
        <v>3000</v>
      </c>
    </row>
    <row r="8185" spans="1:5" ht="26.25" x14ac:dyDescent="0.25">
      <c r="A8185" s="2" t="s">
        <v>13</v>
      </c>
      <c r="B8185" s="2" t="str">
        <f>"34531523"</f>
        <v>34531523</v>
      </c>
      <c r="C8185" s="2" t="str">
        <f>"34531523"</f>
        <v>34531523</v>
      </c>
      <c r="D8185" s="2" t="s">
        <v>5571</v>
      </c>
      <c r="E8185" s="4">
        <v>3000</v>
      </c>
    </row>
    <row r="8186" spans="1:5" ht="26.25" x14ac:dyDescent="0.25">
      <c r="A8186" s="2" t="s">
        <v>13</v>
      </c>
      <c r="B8186" s="2" t="str">
        <f>"76331523"</f>
        <v>76331523</v>
      </c>
      <c r="C8186" s="2" t="str">
        <f>"76331523"</f>
        <v>76331523</v>
      </c>
      <c r="D8186" s="2" t="s">
        <v>5571</v>
      </c>
      <c r="E8186" s="4">
        <v>3000</v>
      </c>
    </row>
    <row r="8187" spans="1:5" ht="26.25" x14ac:dyDescent="0.25">
      <c r="A8187" s="2" t="s">
        <v>13</v>
      </c>
      <c r="B8187" s="2" t="str">
        <f>"76530523"</f>
        <v>76530523</v>
      </c>
      <c r="C8187" s="2" t="str">
        <f>"76530523"</f>
        <v>76530523</v>
      </c>
      <c r="D8187" s="2" t="s">
        <v>5571</v>
      </c>
      <c r="E8187" s="4">
        <v>3000</v>
      </c>
    </row>
    <row r="8188" spans="1:5" ht="26.25" x14ac:dyDescent="0.25">
      <c r="A8188" s="2" t="s">
        <v>13</v>
      </c>
      <c r="B8188" s="2" t="str">
        <f>"345315202"</f>
        <v>345315202</v>
      </c>
      <c r="C8188" s="2" t="str">
        <f>"345315202"</f>
        <v>345315202</v>
      </c>
      <c r="D8188" s="2" t="s">
        <v>5571</v>
      </c>
      <c r="E8188" s="4">
        <v>3000</v>
      </c>
    </row>
    <row r="8189" spans="1:5" ht="26.25" x14ac:dyDescent="0.25">
      <c r="A8189" s="2" t="s">
        <v>13</v>
      </c>
      <c r="B8189" s="2" t="str">
        <f>"765315202"</f>
        <v>765315202</v>
      </c>
      <c r="C8189" s="2" t="str">
        <f>"765315202"</f>
        <v>765315202</v>
      </c>
      <c r="D8189" s="2" t="s">
        <v>5571</v>
      </c>
      <c r="E8189" s="4">
        <v>3000</v>
      </c>
    </row>
    <row r="8190" spans="1:5" ht="26.25" x14ac:dyDescent="0.25">
      <c r="A8190" s="2" t="s">
        <v>13</v>
      </c>
      <c r="B8190" s="2" t="str">
        <f>"76531440"</f>
        <v>76531440</v>
      </c>
      <c r="C8190" s="2" t="str">
        <f>"76531440"</f>
        <v>76531440</v>
      </c>
      <c r="D8190" s="2" t="s">
        <v>5572</v>
      </c>
      <c r="E8190" s="4">
        <v>3000</v>
      </c>
    </row>
    <row r="8191" spans="1:5" ht="26.25" x14ac:dyDescent="0.25">
      <c r="A8191" s="2" t="s">
        <v>13</v>
      </c>
      <c r="B8191" s="2" t="str">
        <f>"76531523"</f>
        <v>76531523</v>
      </c>
      <c r="C8191" s="2" t="str">
        <f>"76531523"</f>
        <v>76531523</v>
      </c>
      <c r="D8191" s="2" t="s">
        <v>5572</v>
      </c>
      <c r="E8191" s="4">
        <v>3000</v>
      </c>
    </row>
    <row r="8192" spans="1:5" ht="26.25" x14ac:dyDescent="0.25">
      <c r="A8192" s="2" t="s">
        <v>13</v>
      </c>
      <c r="B8192" s="2" t="str">
        <f>"76531540"</f>
        <v>76531540</v>
      </c>
      <c r="C8192" s="2" t="str">
        <f>"76531540"</f>
        <v>76531540</v>
      </c>
      <c r="D8192" s="2" t="s">
        <v>5572</v>
      </c>
      <c r="E8192" s="4">
        <v>3000</v>
      </c>
    </row>
    <row r="8193" spans="1:5" ht="26.25" x14ac:dyDescent="0.25">
      <c r="A8193" s="2" t="s">
        <v>13</v>
      </c>
      <c r="B8193" s="2" t="str">
        <f>"17531524"</f>
        <v>17531524</v>
      </c>
      <c r="C8193" s="2" t="str">
        <f>"17531524"</f>
        <v>17531524</v>
      </c>
      <c r="D8193" s="2" t="s">
        <v>5573</v>
      </c>
      <c r="E8193" s="4">
        <v>3000</v>
      </c>
    </row>
    <row r="8194" spans="1:5" ht="26.25" x14ac:dyDescent="0.25">
      <c r="A8194" s="2" t="s">
        <v>13</v>
      </c>
      <c r="B8194" s="2" t="str">
        <f>"76531524"</f>
        <v>76531524</v>
      </c>
      <c r="C8194" s="2" t="str">
        <f>"76531524"</f>
        <v>76531524</v>
      </c>
      <c r="D8194" s="2" t="s">
        <v>5573</v>
      </c>
      <c r="E8194" s="4">
        <v>3000</v>
      </c>
    </row>
    <row r="8195" spans="1:5" ht="26.25" x14ac:dyDescent="0.25">
      <c r="A8195" s="2" t="s">
        <v>13</v>
      </c>
      <c r="B8195" s="2" t="str">
        <f>"76331524"</f>
        <v>76331524</v>
      </c>
      <c r="C8195" s="2" t="str">
        <f>"76331524"</f>
        <v>76331524</v>
      </c>
      <c r="D8195" s="2" t="s">
        <v>5573</v>
      </c>
      <c r="E8195" s="4">
        <v>3000</v>
      </c>
    </row>
    <row r="8196" spans="1:5" ht="26.25" x14ac:dyDescent="0.25">
      <c r="A8196" s="2" t="s">
        <v>13</v>
      </c>
      <c r="B8196" s="2" t="str">
        <f>"110321114"</f>
        <v>110321114</v>
      </c>
      <c r="C8196" s="2" t="str">
        <f>"110321114"</f>
        <v>110321114</v>
      </c>
      <c r="D8196" s="2" t="s">
        <v>5573</v>
      </c>
      <c r="E8196" s="4">
        <v>3000</v>
      </c>
    </row>
    <row r="8197" spans="1:5" ht="26.25" x14ac:dyDescent="0.25">
      <c r="A8197" s="2" t="s">
        <v>13</v>
      </c>
      <c r="B8197" s="2" t="str">
        <f>"175315133"</f>
        <v>175315133</v>
      </c>
      <c r="C8197" s="2" t="str">
        <f>"175315133"</f>
        <v>175315133</v>
      </c>
      <c r="D8197" s="2" t="s">
        <v>5574</v>
      </c>
      <c r="E8197" s="4">
        <v>3000</v>
      </c>
    </row>
    <row r="8198" spans="1:5" ht="26.25" x14ac:dyDescent="0.25">
      <c r="A8198" s="2" t="s">
        <v>13</v>
      </c>
      <c r="B8198" s="2" t="str">
        <f>"345315133"</f>
        <v>345315133</v>
      </c>
      <c r="C8198" s="2" t="str">
        <f>"345315133"</f>
        <v>345315133</v>
      </c>
      <c r="D8198" s="2" t="s">
        <v>5574</v>
      </c>
      <c r="E8198" s="4">
        <v>3000</v>
      </c>
    </row>
    <row r="8199" spans="1:5" ht="26.25" x14ac:dyDescent="0.25">
      <c r="A8199" s="2" t="s">
        <v>13</v>
      </c>
      <c r="B8199" s="2" t="str">
        <f>"765315133"</f>
        <v>765315133</v>
      </c>
      <c r="C8199" s="2" t="str">
        <f>"765315133"</f>
        <v>765315133</v>
      </c>
      <c r="D8199" s="2" t="s">
        <v>5574</v>
      </c>
      <c r="E8199" s="4">
        <v>3000</v>
      </c>
    </row>
    <row r="8200" spans="1:5" ht="26.25" x14ac:dyDescent="0.25">
      <c r="A8200" s="2" t="s">
        <v>13</v>
      </c>
      <c r="B8200" s="2" t="str">
        <f>"345315266"</f>
        <v>345315266</v>
      </c>
      <c r="C8200" s="2" t="str">
        <f>"345315266"</f>
        <v>345315266</v>
      </c>
      <c r="D8200" s="2" t="s">
        <v>5575</v>
      </c>
      <c r="E8200" s="4">
        <v>3000</v>
      </c>
    </row>
    <row r="8201" spans="1:5" ht="26.25" x14ac:dyDescent="0.25">
      <c r="A8201" s="2" t="s">
        <v>13</v>
      </c>
      <c r="B8201" s="2" t="str">
        <f>"345315176"</f>
        <v>345315176</v>
      </c>
      <c r="C8201" s="2" t="str">
        <f>"345315176"</f>
        <v>345315176</v>
      </c>
      <c r="D8201" s="2" t="s">
        <v>5576</v>
      </c>
      <c r="E8201" s="4">
        <v>3000</v>
      </c>
    </row>
    <row r="8202" spans="1:5" ht="26.25" x14ac:dyDescent="0.25">
      <c r="A8202" s="2" t="s">
        <v>13</v>
      </c>
      <c r="B8202" s="2" t="str">
        <f>"345315177"</f>
        <v>345315177</v>
      </c>
      <c r="C8202" s="2" t="str">
        <f>"345315177"</f>
        <v>345315177</v>
      </c>
      <c r="D8202" s="2" t="s">
        <v>5576</v>
      </c>
      <c r="E8202" s="4">
        <v>3000</v>
      </c>
    </row>
    <row r="8203" spans="1:5" ht="26.25" x14ac:dyDescent="0.25">
      <c r="A8203" s="2" t="s">
        <v>13</v>
      </c>
      <c r="B8203" s="2" t="str">
        <f>"343315176"</f>
        <v>343315176</v>
      </c>
      <c r="C8203" s="2" t="str">
        <f>"343315176"</f>
        <v>343315176</v>
      </c>
      <c r="D8203" s="2" t="s">
        <v>5576</v>
      </c>
      <c r="E8203" s="4">
        <v>3000</v>
      </c>
    </row>
    <row r="8204" spans="1:5" ht="26.25" x14ac:dyDescent="0.25">
      <c r="A8204" s="2" t="s">
        <v>13</v>
      </c>
      <c r="B8204" s="2" t="str">
        <f>"765315176"</f>
        <v>765315176</v>
      </c>
      <c r="C8204" s="2" t="str">
        <f>"765315176"</f>
        <v>765315176</v>
      </c>
      <c r="D8204" s="2" t="s">
        <v>5576</v>
      </c>
      <c r="E8204" s="4">
        <v>3000</v>
      </c>
    </row>
    <row r="8205" spans="1:5" ht="26.25" x14ac:dyDescent="0.25">
      <c r="A8205" s="2" t="s">
        <v>13</v>
      </c>
      <c r="B8205" s="2" t="str">
        <f>"17532200"</f>
        <v>17532200</v>
      </c>
      <c r="C8205" s="2" t="str">
        <f>"17532200"</f>
        <v>17532200</v>
      </c>
      <c r="D8205" s="2" t="s">
        <v>5577</v>
      </c>
      <c r="E8205" s="4">
        <v>10000</v>
      </c>
    </row>
    <row r="8206" spans="1:5" ht="26.25" x14ac:dyDescent="0.25">
      <c r="A8206" s="2" t="s">
        <v>13</v>
      </c>
      <c r="B8206" s="2" t="str">
        <f>"17532207"</f>
        <v>17532207</v>
      </c>
      <c r="C8206" s="2" t="str">
        <f>"17532207"</f>
        <v>17532207</v>
      </c>
      <c r="D8206" s="2" t="s">
        <v>5578</v>
      </c>
      <c r="E8206" s="4">
        <v>10000</v>
      </c>
    </row>
    <row r="8207" spans="1:5" ht="26.25" x14ac:dyDescent="0.25">
      <c r="A8207" s="2" t="s">
        <v>13</v>
      </c>
      <c r="B8207" s="2" t="str">
        <f>"86531430"</f>
        <v>86531430</v>
      </c>
      <c r="C8207" s="2" t="str">
        <f>"86531430"</f>
        <v>86531430</v>
      </c>
      <c r="D8207" s="2" t="s">
        <v>5579</v>
      </c>
      <c r="E8207" s="4">
        <v>8000</v>
      </c>
    </row>
    <row r="8208" spans="1:5" ht="26.25" x14ac:dyDescent="0.25">
      <c r="A8208" s="2" t="s">
        <v>13</v>
      </c>
      <c r="B8208" s="2" t="str">
        <f>"76330065"</f>
        <v>76330065</v>
      </c>
      <c r="C8208" s="2" t="str">
        <f>"76330065"</f>
        <v>76330065</v>
      </c>
      <c r="D8208" s="2" t="s">
        <v>5580</v>
      </c>
      <c r="E8208" s="4">
        <v>8000</v>
      </c>
    </row>
    <row r="8209" spans="1:5" ht="26.25" x14ac:dyDescent="0.25">
      <c r="A8209" s="2" t="s">
        <v>13</v>
      </c>
      <c r="B8209" s="2" t="str">
        <f>"76330007"</f>
        <v>76330007</v>
      </c>
      <c r="C8209" s="2" t="str">
        <f>"76330007"</f>
        <v>76330007</v>
      </c>
      <c r="D8209" s="2" t="s">
        <v>5581</v>
      </c>
      <c r="E8209" s="4">
        <v>8000</v>
      </c>
    </row>
    <row r="8210" spans="1:5" ht="26.25" x14ac:dyDescent="0.25">
      <c r="A8210" s="2" t="s">
        <v>13</v>
      </c>
      <c r="B8210" s="2" t="str">
        <f>"1000001002798"</f>
        <v>1000001002798</v>
      </c>
      <c r="C8210" s="2" t="str">
        <f>"17330007"</f>
        <v>17330007</v>
      </c>
      <c r="D8210" s="2" t="s">
        <v>5581</v>
      </c>
      <c r="E8210" s="4">
        <v>8000</v>
      </c>
    </row>
    <row r="8211" spans="1:5" ht="26.25" x14ac:dyDescent="0.25">
      <c r="A8211" s="2" t="s">
        <v>13</v>
      </c>
      <c r="B8211" s="2" t="str">
        <f>"175362118"</f>
        <v>175362118</v>
      </c>
      <c r="C8211" s="2" t="str">
        <f>"175362118"</f>
        <v>175362118</v>
      </c>
      <c r="D8211" s="2" t="s">
        <v>5582</v>
      </c>
      <c r="E8211" s="4">
        <v>9000</v>
      </c>
    </row>
    <row r="8212" spans="1:5" ht="26.25" x14ac:dyDescent="0.25">
      <c r="A8212" s="2" t="s">
        <v>13</v>
      </c>
      <c r="B8212" s="2" t="str">
        <f>"345362118"</f>
        <v>345362118</v>
      </c>
      <c r="C8212" s="2" t="str">
        <f>"345362118"</f>
        <v>345362118</v>
      </c>
      <c r="D8212" s="2" t="s">
        <v>5582</v>
      </c>
      <c r="E8212" s="4">
        <v>8000</v>
      </c>
    </row>
    <row r="8213" spans="1:5" ht="26.25" x14ac:dyDescent="0.25">
      <c r="A8213" s="2" t="s">
        <v>13</v>
      </c>
      <c r="B8213" s="2" t="str">
        <f>"34330350"</f>
        <v>34330350</v>
      </c>
      <c r="C8213" s="2" t="str">
        <f>"34330350"</f>
        <v>34330350</v>
      </c>
      <c r="D8213" s="2" t="s">
        <v>5583</v>
      </c>
      <c r="E8213" s="4">
        <v>7000</v>
      </c>
    </row>
    <row r="8214" spans="1:5" ht="26.25" x14ac:dyDescent="0.25">
      <c r="A8214" s="2" t="s">
        <v>13</v>
      </c>
      <c r="B8214" s="2" t="str">
        <f>"76540110"</f>
        <v>76540110</v>
      </c>
      <c r="C8214" s="2" t="str">
        <f>"76540110"</f>
        <v>76540110</v>
      </c>
      <c r="D8214" s="2" t="s">
        <v>5584</v>
      </c>
      <c r="E8214" s="4">
        <v>8000</v>
      </c>
    </row>
    <row r="8215" spans="1:5" ht="26.25" x14ac:dyDescent="0.25">
      <c r="A8215" s="2" t="s">
        <v>13</v>
      </c>
      <c r="B8215" s="2" t="str">
        <f>"343314230"</f>
        <v>343314230</v>
      </c>
      <c r="C8215" s="2" t="str">
        <f>"343314230"</f>
        <v>343314230</v>
      </c>
      <c r="D8215" s="2" t="s">
        <v>5585</v>
      </c>
      <c r="E8215" s="4">
        <v>8000</v>
      </c>
    </row>
    <row r="8216" spans="1:5" ht="26.25" x14ac:dyDescent="0.25">
      <c r="A8216" s="2" t="s">
        <v>13</v>
      </c>
      <c r="B8216" s="2" t="str">
        <f>"345314267"</f>
        <v>345314267</v>
      </c>
      <c r="C8216" s="2" t="str">
        <f>"345314267"</f>
        <v>345314267</v>
      </c>
      <c r="D8216" s="2" t="s">
        <v>5586</v>
      </c>
      <c r="E8216" s="4">
        <v>8000</v>
      </c>
    </row>
    <row r="8217" spans="1:5" ht="26.25" x14ac:dyDescent="0.25">
      <c r="A8217" s="2" t="s">
        <v>13</v>
      </c>
      <c r="B8217" s="2" t="str">
        <f>"17536214"</f>
        <v>17536214</v>
      </c>
      <c r="C8217" s="2" t="str">
        <f>"17536214"</f>
        <v>17536214</v>
      </c>
      <c r="D8217" s="2" t="s">
        <v>5587</v>
      </c>
      <c r="E8217" s="4">
        <v>9000</v>
      </c>
    </row>
    <row r="8218" spans="1:5" ht="26.25" x14ac:dyDescent="0.25">
      <c r="A8218" s="2" t="s">
        <v>13</v>
      </c>
      <c r="B8218" s="2" t="str">
        <f>"93531462"</f>
        <v>93531462</v>
      </c>
      <c r="C8218" s="2" t="str">
        <f>"93531462"</f>
        <v>93531462</v>
      </c>
      <c r="D8218" s="2" t="s">
        <v>5588</v>
      </c>
      <c r="E8218" s="4">
        <v>8000</v>
      </c>
    </row>
    <row r="8219" spans="1:5" ht="26.25" x14ac:dyDescent="0.25">
      <c r="A8219" s="2" t="s">
        <v>13</v>
      </c>
      <c r="B8219" s="2" t="str">
        <f>"765322550"</f>
        <v>765322550</v>
      </c>
      <c r="C8219" s="2" t="str">
        <f>"765322550"</f>
        <v>765322550</v>
      </c>
      <c r="D8219" s="2" t="s">
        <v>5589</v>
      </c>
      <c r="E8219" s="4">
        <v>10000</v>
      </c>
    </row>
    <row r="8220" spans="1:5" ht="26.25" x14ac:dyDescent="0.25">
      <c r="A8220" s="2" t="s">
        <v>13</v>
      </c>
      <c r="B8220" s="2" t="str">
        <f>"763314110"</f>
        <v>763314110</v>
      </c>
      <c r="C8220" s="2" t="str">
        <f>"763314110"</f>
        <v>763314110</v>
      </c>
      <c r="D8220" s="2" t="s">
        <v>5590</v>
      </c>
      <c r="E8220" s="4">
        <v>8000</v>
      </c>
    </row>
    <row r="8221" spans="1:5" ht="26.25" x14ac:dyDescent="0.25">
      <c r="A8221" s="2" t="s">
        <v>13</v>
      </c>
      <c r="B8221" s="2" t="str">
        <f>"763314230"</f>
        <v>763314230</v>
      </c>
      <c r="C8221" s="2" t="str">
        <f>"763314230"</f>
        <v>763314230</v>
      </c>
      <c r="D8221" s="2" t="s">
        <v>5591</v>
      </c>
      <c r="E8221" s="4">
        <v>8000</v>
      </c>
    </row>
    <row r="8222" spans="1:5" ht="26.25" x14ac:dyDescent="0.25">
      <c r="A8222" s="2" t="s">
        <v>13</v>
      </c>
      <c r="B8222" s="2" t="str">
        <f>"763314280"</f>
        <v>763314280</v>
      </c>
      <c r="C8222" s="2" t="str">
        <f>"763314280"</f>
        <v>763314280</v>
      </c>
      <c r="D8222" s="2" t="s">
        <v>5592</v>
      </c>
      <c r="E8222" s="4">
        <v>8000</v>
      </c>
    </row>
    <row r="8223" spans="1:5" ht="26.25" x14ac:dyDescent="0.25">
      <c r="A8223" s="2" t="s">
        <v>13</v>
      </c>
      <c r="B8223" s="2" t="str">
        <f>"763314550"</f>
        <v>763314550</v>
      </c>
      <c r="C8223" s="2" t="str">
        <f>"763314550"</f>
        <v>763314550</v>
      </c>
      <c r="D8223" s="2" t="s">
        <v>5593</v>
      </c>
      <c r="E8223" s="4">
        <v>8000</v>
      </c>
    </row>
    <row r="8224" spans="1:5" ht="26.25" x14ac:dyDescent="0.25">
      <c r="A8224" s="2" t="s">
        <v>13</v>
      </c>
      <c r="B8224" s="2" t="str">
        <f>"76540560"</f>
        <v>76540560</v>
      </c>
      <c r="C8224" s="2" t="str">
        <f>"76540560"</f>
        <v>76540560</v>
      </c>
      <c r="D8224" s="2" t="s">
        <v>5594</v>
      </c>
      <c r="E8224" s="4">
        <v>8000</v>
      </c>
    </row>
    <row r="8225" spans="1:5" ht="26.25" x14ac:dyDescent="0.25">
      <c r="A8225" s="2" t="s">
        <v>13</v>
      </c>
      <c r="B8225" s="2" t="str">
        <f>"763314560"</f>
        <v>763314560</v>
      </c>
      <c r="C8225" s="2" t="str">
        <f>"763314560"</f>
        <v>763314560</v>
      </c>
      <c r="D8225" s="2" t="s">
        <v>5594</v>
      </c>
      <c r="E8225" s="4">
        <v>8000</v>
      </c>
    </row>
    <row r="8226" spans="1:5" ht="26.25" x14ac:dyDescent="0.25">
      <c r="A8226" s="2" t="s">
        <v>13</v>
      </c>
      <c r="B8226" s="2" t="str">
        <f>"17536200"</f>
        <v>17536200</v>
      </c>
      <c r="C8226" s="2" t="str">
        <f>"17536200"</f>
        <v>17536200</v>
      </c>
      <c r="D8226" s="2" t="s">
        <v>5595</v>
      </c>
      <c r="E8226" s="4">
        <v>9000</v>
      </c>
    </row>
    <row r="8227" spans="1:5" ht="26.25" x14ac:dyDescent="0.25">
      <c r="A8227" s="2" t="s">
        <v>13</v>
      </c>
      <c r="B8227" s="2" t="str">
        <f>"34536200"</f>
        <v>34536200</v>
      </c>
      <c r="C8227" s="2" t="str">
        <f>"34536200"</f>
        <v>34536200</v>
      </c>
      <c r="D8227" s="2" t="s">
        <v>5596</v>
      </c>
      <c r="E8227" s="4">
        <v>9000</v>
      </c>
    </row>
    <row r="8228" spans="1:5" ht="26.25" x14ac:dyDescent="0.25">
      <c r="A8228" s="2" t="s">
        <v>13</v>
      </c>
      <c r="B8228" s="2" t="str">
        <f>"86330101"</f>
        <v>86330101</v>
      </c>
      <c r="C8228" s="2" t="str">
        <f>"86330101"</f>
        <v>86330101</v>
      </c>
      <c r="D8228" s="2" t="s">
        <v>5597</v>
      </c>
      <c r="E8228" s="4">
        <v>5500</v>
      </c>
    </row>
    <row r="8229" spans="1:5" ht="26.25" x14ac:dyDescent="0.25">
      <c r="A8229" s="2" t="s">
        <v>13</v>
      </c>
      <c r="B8229" s="2" t="str">
        <f>"34330040"</f>
        <v>34330040</v>
      </c>
      <c r="C8229" s="2" t="str">
        <f>"34330040"</f>
        <v>34330040</v>
      </c>
      <c r="D8229" s="2" t="s">
        <v>5598</v>
      </c>
      <c r="E8229" s="4">
        <v>3000</v>
      </c>
    </row>
    <row r="8230" spans="1:5" ht="26.25" x14ac:dyDescent="0.25">
      <c r="A8230" s="2" t="s">
        <v>13</v>
      </c>
      <c r="B8230" s="2" t="str">
        <f>"32540047"</f>
        <v>32540047</v>
      </c>
      <c r="C8230" s="2" t="str">
        <f>"32540047"</f>
        <v>32540047</v>
      </c>
      <c r="D8230" s="2" t="s">
        <v>5599</v>
      </c>
      <c r="E8230" s="4">
        <v>3000</v>
      </c>
    </row>
    <row r="8231" spans="1:5" ht="26.25" x14ac:dyDescent="0.25">
      <c r="A8231" s="2" t="s">
        <v>13</v>
      </c>
      <c r="B8231" s="2" t="str">
        <f>"34330045"</f>
        <v>34330045</v>
      </c>
      <c r="C8231" s="2" t="str">
        <f>"34330045"</f>
        <v>34330045</v>
      </c>
      <c r="D8231" s="2" t="s">
        <v>5600</v>
      </c>
      <c r="E8231" s="4">
        <v>3000</v>
      </c>
    </row>
    <row r="8232" spans="1:5" ht="26.25" x14ac:dyDescent="0.25">
      <c r="A8232" s="2" t="s">
        <v>13</v>
      </c>
      <c r="B8232" s="2" t="str">
        <f>"34330050"</f>
        <v>34330050</v>
      </c>
      <c r="C8232" s="2" t="str">
        <f>"34330050"</f>
        <v>34330050</v>
      </c>
      <c r="D8232" s="2" t="s">
        <v>5601</v>
      </c>
      <c r="E8232" s="4">
        <v>3000</v>
      </c>
    </row>
    <row r="8233" spans="1:5" ht="26.25" x14ac:dyDescent="0.25">
      <c r="A8233" s="2" t="s">
        <v>13</v>
      </c>
      <c r="B8233" s="2" t="str">
        <f>"76330055"</f>
        <v>76330055</v>
      </c>
      <c r="C8233" s="2" t="str">
        <f>"76330055"</f>
        <v>76330055</v>
      </c>
      <c r="D8233" s="2" t="s">
        <v>5601</v>
      </c>
      <c r="E8233" s="4">
        <v>3000</v>
      </c>
    </row>
    <row r="8234" spans="1:5" ht="26.25" x14ac:dyDescent="0.25">
      <c r="A8234" s="2" t="s">
        <v>13</v>
      </c>
      <c r="B8234" s="2" t="str">
        <f>"41330050"</f>
        <v>41330050</v>
      </c>
      <c r="C8234" s="2" t="str">
        <f>"41330050"</f>
        <v>41330050</v>
      </c>
      <c r="D8234" s="2" t="s">
        <v>5602</v>
      </c>
      <c r="E8234" s="4">
        <v>3000</v>
      </c>
    </row>
    <row r="8235" spans="1:5" ht="26.25" x14ac:dyDescent="0.25">
      <c r="A8235" s="2" t="s">
        <v>13</v>
      </c>
      <c r="B8235" s="2" t="str">
        <f>"32540055"</f>
        <v>32540055</v>
      </c>
      <c r="C8235" s="2" t="str">
        <f>"32540055"</f>
        <v>32540055</v>
      </c>
      <c r="D8235" s="2" t="s">
        <v>5603</v>
      </c>
      <c r="E8235" s="4">
        <v>3000</v>
      </c>
    </row>
    <row r="8236" spans="1:5" ht="26.25" x14ac:dyDescent="0.25">
      <c r="A8236" s="2" t="s">
        <v>13</v>
      </c>
      <c r="B8236" s="2" t="str">
        <f>"76330050"</f>
        <v>76330050</v>
      </c>
      <c r="C8236" s="2" t="str">
        <f>"76330050"</f>
        <v>76330050</v>
      </c>
      <c r="D8236" s="2" t="s">
        <v>5604</v>
      </c>
      <c r="E8236" s="4">
        <v>3000</v>
      </c>
    </row>
    <row r="8237" spans="1:5" ht="26.25" x14ac:dyDescent="0.25">
      <c r="A8237" s="2" t="s">
        <v>13</v>
      </c>
      <c r="B8237" s="2" t="str">
        <f>"32540030"</f>
        <v>32540030</v>
      </c>
      <c r="C8237" s="2" t="str">
        <f>"32540030"</f>
        <v>32540030</v>
      </c>
      <c r="D8237" s="2" t="s">
        <v>5605</v>
      </c>
      <c r="E8237" s="4">
        <v>3000</v>
      </c>
    </row>
    <row r="8238" spans="1:5" ht="26.25" x14ac:dyDescent="0.25">
      <c r="A8238" s="2" t="s">
        <v>13</v>
      </c>
      <c r="B8238" s="2" t="str">
        <f>"34330055"</f>
        <v>34330055</v>
      </c>
      <c r="C8238" s="2" t="str">
        <f>"34330055"</f>
        <v>34330055</v>
      </c>
      <c r="D8238" s="2" t="s">
        <v>5606</v>
      </c>
      <c r="E8238" s="4">
        <v>3000</v>
      </c>
    </row>
    <row r="8239" spans="1:5" ht="26.25" x14ac:dyDescent="0.25">
      <c r="A8239" s="2" t="s">
        <v>13</v>
      </c>
      <c r="B8239" s="2" t="str">
        <f>"34540055"</f>
        <v>34540055</v>
      </c>
      <c r="C8239" s="2" t="str">
        <f>"34540055"</f>
        <v>34540055</v>
      </c>
      <c r="D8239" s="2" t="s">
        <v>5606</v>
      </c>
      <c r="E8239" s="4">
        <v>3500</v>
      </c>
    </row>
    <row r="8240" spans="1:5" ht="26.25" x14ac:dyDescent="0.25">
      <c r="A8240" s="2" t="s">
        <v>13</v>
      </c>
      <c r="B8240" s="2" t="str">
        <f>"34330060"</f>
        <v>34330060</v>
      </c>
      <c r="C8240" s="2" t="str">
        <f>"34330060"</f>
        <v>34330060</v>
      </c>
      <c r="D8240" s="2" t="s">
        <v>5607</v>
      </c>
      <c r="E8240" s="4">
        <v>3000</v>
      </c>
    </row>
    <row r="8241" spans="1:5" ht="26.25" x14ac:dyDescent="0.25">
      <c r="A8241" s="2" t="s">
        <v>13</v>
      </c>
      <c r="B8241" s="2" t="str">
        <f>"34330006"</f>
        <v>34330006</v>
      </c>
      <c r="C8241" s="2" t="str">
        <f>"34330006"</f>
        <v>34330006</v>
      </c>
      <c r="D8241" s="2" t="s">
        <v>5608</v>
      </c>
      <c r="E8241" s="4">
        <v>3000</v>
      </c>
    </row>
    <row r="8242" spans="1:5" ht="26.25" x14ac:dyDescent="0.25">
      <c r="A8242" s="2" t="s">
        <v>13</v>
      </c>
      <c r="B8242" s="2" t="str">
        <f>"76330008"</f>
        <v>76330008</v>
      </c>
      <c r="C8242" s="2" t="str">
        <f>"76330008"</f>
        <v>76330008</v>
      </c>
      <c r="D8242" s="2" t="s">
        <v>5609</v>
      </c>
      <c r="E8242" s="4">
        <v>5500</v>
      </c>
    </row>
    <row r="8243" spans="1:5" ht="26.25" x14ac:dyDescent="0.25">
      <c r="A8243" s="2" t="s">
        <v>13</v>
      </c>
      <c r="B8243" s="2" t="str">
        <f>"86330008"</f>
        <v>86330008</v>
      </c>
      <c r="C8243" s="2" t="str">
        <f>"86330008"</f>
        <v>86330008</v>
      </c>
      <c r="D8243" s="2" t="s">
        <v>5609</v>
      </c>
      <c r="E8243" s="4">
        <v>5500</v>
      </c>
    </row>
    <row r="8244" spans="1:5" ht="26.25" x14ac:dyDescent="0.25">
      <c r="A8244" s="2" t="s">
        <v>13</v>
      </c>
      <c r="B8244" s="2" t="str">
        <f>"86530007"</f>
        <v>86530007</v>
      </c>
      <c r="C8244" s="2" t="str">
        <f>"86530007"</f>
        <v>86530007</v>
      </c>
      <c r="D8244" s="2" t="s">
        <v>5610</v>
      </c>
      <c r="E8244" s="4">
        <v>8000</v>
      </c>
    </row>
    <row r="8245" spans="1:5" ht="26.25" x14ac:dyDescent="0.25">
      <c r="A8245" s="2" t="s">
        <v>13</v>
      </c>
      <c r="B8245" s="2" t="str">
        <f>"86330009"</f>
        <v>86330009</v>
      </c>
      <c r="C8245" s="2" t="str">
        <f>"86330009"</f>
        <v>86330009</v>
      </c>
      <c r="D8245" s="2" t="s">
        <v>5610</v>
      </c>
      <c r="E8245" s="4">
        <v>5500</v>
      </c>
    </row>
    <row r="8246" spans="1:5" ht="26.25" x14ac:dyDescent="0.25">
      <c r="A8246" s="2" t="s">
        <v>13</v>
      </c>
      <c r="B8246" s="2" t="str">
        <f>"1000001001166"</f>
        <v>1000001001166</v>
      </c>
      <c r="C8246" s="2" t="str">
        <f>"76330009"</f>
        <v>76330009</v>
      </c>
      <c r="D8246" s="2" t="s">
        <v>5610</v>
      </c>
      <c r="E8246" s="4">
        <v>5500</v>
      </c>
    </row>
    <row r="8247" spans="1:5" ht="26.25" x14ac:dyDescent="0.25">
      <c r="A8247" s="2" t="s">
        <v>13</v>
      </c>
      <c r="B8247" s="2" t="str">
        <f>"68330209"</f>
        <v>68330209</v>
      </c>
      <c r="C8247" s="2" t="str">
        <f>"68330209"</f>
        <v>68330209</v>
      </c>
      <c r="D8247" s="2" t="s">
        <v>5611</v>
      </c>
      <c r="E8247" s="4">
        <v>3000</v>
      </c>
    </row>
    <row r="8248" spans="1:5" ht="26.25" x14ac:dyDescent="0.25">
      <c r="A8248" s="2" t="s">
        <v>13</v>
      </c>
      <c r="B8248" s="2" t="str">
        <f>"68330208"</f>
        <v>68330208</v>
      </c>
      <c r="C8248" s="2" t="str">
        <f>"68330208"</f>
        <v>68330208</v>
      </c>
      <c r="D8248" s="2" t="s">
        <v>5612</v>
      </c>
      <c r="E8248" s="4">
        <v>3000</v>
      </c>
    </row>
    <row r="8249" spans="1:5" ht="26.25" x14ac:dyDescent="0.25">
      <c r="A8249" s="2" t="s">
        <v>13</v>
      </c>
      <c r="B8249" s="2" t="str">
        <f>"68330204"</f>
        <v>68330204</v>
      </c>
      <c r="C8249" s="2" t="str">
        <f>"68330204"</f>
        <v>68330204</v>
      </c>
      <c r="D8249" s="2" t="s">
        <v>5613</v>
      </c>
      <c r="E8249" s="4">
        <v>3000</v>
      </c>
    </row>
    <row r="8250" spans="1:5" ht="26.25" x14ac:dyDescent="0.25">
      <c r="A8250" s="2" t="s">
        <v>13</v>
      </c>
      <c r="B8250" s="2" t="str">
        <f>"68330207"</f>
        <v>68330207</v>
      </c>
      <c r="C8250" s="2" t="str">
        <f>"68330207"</f>
        <v>68330207</v>
      </c>
      <c r="D8250" s="2" t="s">
        <v>5614</v>
      </c>
      <c r="E8250" s="4">
        <v>3000</v>
      </c>
    </row>
    <row r="8251" spans="1:5" ht="26.25" x14ac:dyDescent="0.25">
      <c r="A8251" s="2" t="s">
        <v>13</v>
      </c>
      <c r="B8251" s="2" t="str">
        <f>"68330206"</f>
        <v>68330206</v>
      </c>
      <c r="C8251" s="2" t="str">
        <f>"68330206"</f>
        <v>68330206</v>
      </c>
      <c r="D8251" s="2" t="s">
        <v>5615</v>
      </c>
      <c r="E8251" s="4">
        <v>3000</v>
      </c>
    </row>
    <row r="8252" spans="1:5" ht="26.25" x14ac:dyDescent="0.25">
      <c r="A8252" s="2" t="s">
        <v>13</v>
      </c>
      <c r="B8252" s="2" t="str">
        <f>"68330205"</f>
        <v>68330205</v>
      </c>
      <c r="C8252" s="2" t="str">
        <f>"68330205"</f>
        <v>68330205</v>
      </c>
      <c r="D8252" s="2" t="s">
        <v>5616</v>
      </c>
      <c r="E8252" s="4">
        <v>3000</v>
      </c>
    </row>
    <row r="8253" spans="1:5" ht="26.25" x14ac:dyDescent="0.25">
      <c r="A8253" s="2" t="s">
        <v>13</v>
      </c>
      <c r="B8253" s="2" t="str">
        <f>"68330203"</f>
        <v>68330203</v>
      </c>
      <c r="C8253" s="2" t="str">
        <f>"68330203"</f>
        <v>68330203</v>
      </c>
      <c r="D8253" s="2" t="s">
        <v>5617</v>
      </c>
      <c r="E8253" s="4">
        <v>3000</v>
      </c>
    </row>
    <row r="8254" spans="1:5" ht="26.25" x14ac:dyDescent="0.25">
      <c r="A8254" s="2" t="s">
        <v>13</v>
      </c>
      <c r="B8254" s="2" t="str">
        <f>"765318153"</f>
        <v>765318153</v>
      </c>
      <c r="C8254" s="2" t="str">
        <f>"765318153"</f>
        <v>765318153</v>
      </c>
      <c r="D8254" s="2" t="s">
        <v>5618</v>
      </c>
      <c r="E8254" s="4">
        <v>3000</v>
      </c>
    </row>
    <row r="8255" spans="1:5" ht="26.25" x14ac:dyDescent="0.25">
      <c r="A8255" s="2" t="s">
        <v>13</v>
      </c>
      <c r="B8255" s="2" t="str">
        <f>"765318279"</f>
        <v>765318279</v>
      </c>
      <c r="C8255" s="2" t="str">
        <f>"765318279"</f>
        <v>765318279</v>
      </c>
      <c r="D8255" s="2" t="s">
        <v>5619</v>
      </c>
      <c r="E8255" s="4">
        <v>3000</v>
      </c>
    </row>
    <row r="8256" spans="1:5" ht="26.25" x14ac:dyDescent="0.25">
      <c r="A8256" s="2" t="s">
        <v>13</v>
      </c>
      <c r="B8256" s="2" t="str">
        <f>"785318273"</f>
        <v>785318273</v>
      </c>
      <c r="C8256" s="2" t="str">
        <f>"785318273"</f>
        <v>785318273</v>
      </c>
      <c r="D8256" s="2" t="s">
        <v>5620</v>
      </c>
      <c r="E8256" s="4">
        <v>3000</v>
      </c>
    </row>
    <row r="8257" spans="1:5" ht="26.25" x14ac:dyDescent="0.25">
      <c r="A8257" s="2" t="s">
        <v>13</v>
      </c>
      <c r="B8257" s="2" t="str">
        <f>"345318186"</f>
        <v>345318186</v>
      </c>
      <c r="C8257" s="2" t="str">
        <f>"345318186"</f>
        <v>345318186</v>
      </c>
      <c r="D8257" s="2" t="s">
        <v>5621</v>
      </c>
      <c r="E8257" s="4">
        <v>3000</v>
      </c>
    </row>
    <row r="8258" spans="1:5" ht="26.25" x14ac:dyDescent="0.25">
      <c r="A8258" s="2" t="s">
        <v>13</v>
      </c>
      <c r="B8258" s="2" t="str">
        <f>"765314186"</f>
        <v>765314186</v>
      </c>
      <c r="C8258" s="2" t="str">
        <f>"765314186"</f>
        <v>765314186</v>
      </c>
      <c r="D8258" s="2" t="s">
        <v>5621</v>
      </c>
      <c r="E8258" s="4">
        <v>3000</v>
      </c>
    </row>
    <row r="8259" spans="1:5" ht="26.25" x14ac:dyDescent="0.25">
      <c r="A8259" s="2" t="s">
        <v>13</v>
      </c>
      <c r="B8259" s="2" t="str">
        <f>"765318186"</f>
        <v>765318186</v>
      </c>
      <c r="C8259" s="2" t="str">
        <f>"765318186"</f>
        <v>765318186</v>
      </c>
      <c r="D8259" s="2" t="s">
        <v>5621</v>
      </c>
      <c r="E8259" s="4">
        <v>3000</v>
      </c>
    </row>
    <row r="8260" spans="1:5" ht="26.25" x14ac:dyDescent="0.25">
      <c r="A8260" s="2" t="s">
        <v>13</v>
      </c>
      <c r="B8260" s="2" t="str">
        <f>"765318272"</f>
        <v>765318272</v>
      </c>
      <c r="C8260" s="2" t="str">
        <f>"765318272"</f>
        <v>765318272</v>
      </c>
      <c r="D8260" s="2" t="s">
        <v>5622</v>
      </c>
      <c r="E8260" s="4">
        <v>3000</v>
      </c>
    </row>
    <row r="8261" spans="1:5" ht="26.25" x14ac:dyDescent="0.25">
      <c r="A8261" s="2" t="s">
        <v>13</v>
      </c>
      <c r="B8261" s="2" t="str">
        <f>"763318273"</f>
        <v>763318273</v>
      </c>
      <c r="C8261" s="2" t="str">
        <f>"763318273"</f>
        <v>763318273</v>
      </c>
      <c r="D8261" s="2" t="s">
        <v>5622</v>
      </c>
      <c r="E8261" s="4">
        <v>3000</v>
      </c>
    </row>
    <row r="8262" spans="1:5" ht="26.25" x14ac:dyDescent="0.25">
      <c r="A8262" s="2" t="s">
        <v>13</v>
      </c>
      <c r="B8262" s="2" t="str">
        <f>"173318602"</f>
        <v>173318602</v>
      </c>
      <c r="C8262" s="2" t="str">
        <f>"173318602"</f>
        <v>173318602</v>
      </c>
      <c r="D8262" s="2" t="s">
        <v>5623</v>
      </c>
      <c r="E8262" s="4">
        <v>3000</v>
      </c>
    </row>
    <row r="8263" spans="1:5" ht="26.25" x14ac:dyDescent="0.25">
      <c r="A8263" s="2" t="s">
        <v>13</v>
      </c>
      <c r="B8263" s="2" t="str">
        <f>"763318602"</f>
        <v>763318602</v>
      </c>
      <c r="C8263" s="2" t="str">
        <f>"763318602"</f>
        <v>763318602</v>
      </c>
      <c r="D8263" s="2" t="s">
        <v>5623</v>
      </c>
      <c r="E8263" s="4">
        <v>3000</v>
      </c>
    </row>
    <row r="8264" spans="1:5" ht="26.25" x14ac:dyDescent="0.25">
      <c r="A8264" s="2" t="s">
        <v>13</v>
      </c>
      <c r="B8264" s="2" t="str">
        <f>"765318201"</f>
        <v>765318201</v>
      </c>
      <c r="C8264" s="2" t="str">
        <f>"765318201"</f>
        <v>765318201</v>
      </c>
      <c r="D8264" s="2" t="s">
        <v>5624</v>
      </c>
      <c r="E8264" s="4">
        <v>3000</v>
      </c>
    </row>
    <row r="8265" spans="1:5" ht="26.25" x14ac:dyDescent="0.25">
      <c r="A8265" s="2" t="s">
        <v>13</v>
      </c>
      <c r="B8265" s="2" t="str">
        <f>"345318133"</f>
        <v>345318133</v>
      </c>
      <c r="C8265" s="2" t="str">
        <f>"345318133"</f>
        <v>345318133</v>
      </c>
      <c r="D8265" s="2" t="s">
        <v>5625</v>
      </c>
      <c r="E8265" s="4">
        <v>3000</v>
      </c>
    </row>
    <row r="8266" spans="1:5" ht="26.25" x14ac:dyDescent="0.25">
      <c r="A8266" s="2" t="s">
        <v>13</v>
      </c>
      <c r="B8266" s="2" t="str">
        <f>"34531876"</f>
        <v>34531876</v>
      </c>
      <c r="C8266" s="2" t="str">
        <f>"34531876"</f>
        <v>34531876</v>
      </c>
      <c r="D8266" s="2" t="s">
        <v>5626</v>
      </c>
      <c r="E8266" s="4">
        <v>3000</v>
      </c>
    </row>
    <row r="8267" spans="1:5" ht="26.25" x14ac:dyDescent="0.25">
      <c r="A8267" s="2" t="s">
        <v>13</v>
      </c>
      <c r="B8267" s="2" t="str">
        <f>"76531876"</f>
        <v>76531876</v>
      </c>
      <c r="C8267" s="2" t="str">
        <f>"76531876"</f>
        <v>76531876</v>
      </c>
      <c r="D8267" s="2" t="s">
        <v>5626</v>
      </c>
      <c r="E8267" s="4">
        <v>3000</v>
      </c>
    </row>
    <row r="8268" spans="1:5" ht="26.25" x14ac:dyDescent="0.25">
      <c r="A8268" s="2" t="s">
        <v>13</v>
      </c>
      <c r="B8268" s="2" t="str">
        <f>"345318226"</f>
        <v>345318226</v>
      </c>
      <c r="C8268" s="2" t="str">
        <f>"345318226"</f>
        <v>345318226</v>
      </c>
      <c r="D8268" s="2" t="s">
        <v>5627</v>
      </c>
      <c r="E8268" s="4">
        <v>3000</v>
      </c>
    </row>
    <row r="8269" spans="1:5" ht="26.25" x14ac:dyDescent="0.25">
      <c r="A8269" s="2" t="s">
        <v>13</v>
      </c>
      <c r="B8269" s="2" t="str">
        <f>"3453181226"</f>
        <v>3453181226</v>
      </c>
      <c r="C8269" s="2" t="str">
        <f>"3453181226"</f>
        <v>3453181226</v>
      </c>
      <c r="D8269" s="2" t="s">
        <v>5627</v>
      </c>
      <c r="E8269" s="4">
        <v>3000</v>
      </c>
    </row>
    <row r="8270" spans="1:5" ht="26.25" x14ac:dyDescent="0.25">
      <c r="A8270" s="2" t="s">
        <v>13</v>
      </c>
      <c r="B8270" s="2" t="str">
        <f>"173318207"</f>
        <v>173318207</v>
      </c>
      <c r="C8270" s="2" t="str">
        <f>"173318207"</f>
        <v>173318207</v>
      </c>
      <c r="D8270" s="2" t="s">
        <v>5628</v>
      </c>
      <c r="E8270" s="4">
        <v>3000</v>
      </c>
    </row>
    <row r="8271" spans="1:5" ht="26.25" x14ac:dyDescent="0.25">
      <c r="A8271" s="2" t="s">
        <v>13</v>
      </c>
      <c r="B8271" s="2" t="str">
        <f>"763318207"</f>
        <v>763318207</v>
      </c>
      <c r="C8271" s="2" t="str">
        <f>"763318207"</f>
        <v>763318207</v>
      </c>
      <c r="D8271" s="2" t="s">
        <v>5628</v>
      </c>
      <c r="E8271" s="4">
        <v>3000</v>
      </c>
    </row>
    <row r="8272" spans="1:5" ht="26.25" x14ac:dyDescent="0.25">
      <c r="A8272" s="2" t="s">
        <v>13</v>
      </c>
      <c r="B8272" s="2" t="str">
        <f>"765323273"</f>
        <v>765323273</v>
      </c>
      <c r="C8272" s="2" t="str">
        <f>"765323273"</f>
        <v>765323273</v>
      </c>
      <c r="D8272" s="2" t="s">
        <v>5629</v>
      </c>
      <c r="E8272" s="4">
        <v>3000</v>
      </c>
    </row>
    <row r="8273" spans="1:5" ht="26.25" x14ac:dyDescent="0.25">
      <c r="A8273" s="2" t="s">
        <v>13</v>
      </c>
      <c r="B8273" s="2" t="str">
        <f>"345318273"</f>
        <v>345318273</v>
      </c>
      <c r="C8273" s="2" t="str">
        <f>"345318273"</f>
        <v>345318273</v>
      </c>
      <c r="D8273" s="2" t="s">
        <v>5630</v>
      </c>
      <c r="E8273" s="4">
        <v>3000</v>
      </c>
    </row>
    <row r="8274" spans="1:5" ht="26.25" x14ac:dyDescent="0.25">
      <c r="A8274" s="2" t="s">
        <v>13</v>
      </c>
      <c r="B8274" s="2" t="str">
        <f>"765318273"</f>
        <v>765318273</v>
      </c>
      <c r="C8274" s="2" t="str">
        <f>"765318273"</f>
        <v>765318273</v>
      </c>
      <c r="D8274" s="2" t="s">
        <v>5630</v>
      </c>
      <c r="E8274" s="4">
        <v>3000</v>
      </c>
    </row>
    <row r="8275" spans="1:5" ht="26.25" x14ac:dyDescent="0.25">
      <c r="A8275" s="2" t="s">
        <v>21</v>
      </c>
      <c r="B8275" s="2" t="str">
        <f>"6925871670043"</f>
        <v>6925871670043</v>
      </c>
      <c r="C8275" s="2" t="str">
        <f>"22527004"</f>
        <v>22527004</v>
      </c>
      <c r="D8275" s="2" t="s">
        <v>5631</v>
      </c>
      <c r="E8275" s="4">
        <v>11990</v>
      </c>
    </row>
    <row r="8276" spans="1:5" ht="26.25" x14ac:dyDescent="0.25">
      <c r="A8276" s="2" t="s">
        <v>21</v>
      </c>
      <c r="B8276" s="2" t="str">
        <f>"87010250"</f>
        <v>87010250</v>
      </c>
      <c r="C8276" s="2" t="str">
        <f>"87010250"</f>
        <v>87010250</v>
      </c>
      <c r="D8276" s="2" t="s">
        <v>5632</v>
      </c>
      <c r="E8276" s="4">
        <v>14500</v>
      </c>
    </row>
    <row r="8277" spans="1:5" ht="26.25" x14ac:dyDescent="0.25">
      <c r="A8277" s="2" t="s">
        <v>21</v>
      </c>
      <c r="B8277" s="2" t="str">
        <f>"7858816038280"</f>
        <v>7858816038280</v>
      </c>
      <c r="C8277" s="2" t="str">
        <f>"87528280"</f>
        <v>87528280</v>
      </c>
      <c r="D8277" s="2" t="s">
        <v>5633</v>
      </c>
      <c r="E8277" s="4">
        <v>16990</v>
      </c>
    </row>
    <row r="8278" spans="1:5" ht="26.25" x14ac:dyDescent="0.25">
      <c r="A8278" s="2" t="s">
        <v>201</v>
      </c>
      <c r="B8278" s="2" t="str">
        <f>"10004129"</f>
        <v>10004129</v>
      </c>
      <c r="C8278" s="2" t="str">
        <f>"10004129"</f>
        <v>10004129</v>
      </c>
      <c r="D8278" s="2" t="s">
        <v>5634</v>
      </c>
      <c r="E8278" s="4">
        <v>8990</v>
      </c>
    </row>
    <row r="8279" spans="1:5" ht="26.25" x14ac:dyDescent="0.25">
      <c r="A8279" s="2" t="s">
        <v>21</v>
      </c>
      <c r="B8279" s="2" t="str">
        <f>"1825381716352"</f>
        <v>1825381716352</v>
      </c>
      <c r="C8279" s="2" t="str">
        <f>"96071635"</f>
        <v>96071635</v>
      </c>
      <c r="D8279" s="2" t="s">
        <v>5635</v>
      </c>
      <c r="E8279" s="4">
        <v>18990</v>
      </c>
    </row>
  </sheetData>
  <mergeCells count="3">
    <mergeCell ref="B1:D1"/>
    <mergeCell ref="B2:D2"/>
    <mergeCell ref="A3:D3"/>
  </mergeCells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PRECIOS_PUBLICO_2020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2021-09-28T16:44:16Z</dcterms:created>
  <dcterms:modified xsi:type="dcterms:W3CDTF">2021-09-28T16:44:16Z</dcterms:modified>
</cp:coreProperties>
</file>