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Datos Lab4\1007 ElectronMass\"/>
    </mc:Choice>
  </mc:AlternateContent>
  <xr:revisionPtr revIDLastSave="0" documentId="13_ncr:1_{E1C54DFC-28E2-4D19-8C80-FC81C58B0E90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DatosTomados" sheetId="1" r:id="rId1"/>
    <sheet name="qm import" sheetId="3" r:id="rId2"/>
    <sheet name="BoundaryCondi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K2" i="1"/>
  <c r="L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H2" i="1"/>
  <c r="B26" i="1"/>
  <c r="C26" i="1"/>
  <c r="D26" i="1"/>
  <c r="E26" i="1"/>
  <c r="F26" i="1"/>
  <c r="G26" i="1"/>
  <c r="A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2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4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31" i="1"/>
  <c r="D29" i="1"/>
  <c r="D28" i="1"/>
  <c r="B24" i="1"/>
  <c r="C24" i="1"/>
  <c r="D24" i="1"/>
  <c r="E24" i="1"/>
  <c r="F24" i="1"/>
  <c r="A24" i="1"/>
  <c r="E21" i="1"/>
  <c r="F21" i="1"/>
  <c r="G21" i="1"/>
  <c r="G2" i="1"/>
  <c r="D2" i="1" s="1"/>
  <c r="F3" i="1"/>
  <c r="G3" i="1" s="1"/>
  <c r="D3" i="1" s="1"/>
  <c r="D8" i="1"/>
  <c r="E11" i="1"/>
  <c r="F18" i="1"/>
  <c r="G18" i="1" s="1"/>
  <c r="D18" i="1" s="1"/>
  <c r="E18" i="1"/>
  <c r="F17" i="1"/>
  <c r="G17" i="1" s="1"/>
  <c r="D17" i="1" s="1"/>
  <c r="E17" i="1"/>
  <c r="F16" i="1"/>
  <c r="G16" i="1" s="1"/>
  <c r="D16" i="1" s="1"/>
  <c r="E16" i="1"/>
  <c r="J15" i="1"/>
  <c r="G15" i="1"/>
  <c r="D15" i="1" s="1"/>
  <c r="F15" i="1"/>
  <c r="E15" i="1"/>
  <c r="F14" i="1"/>
  <c r="G14" i="1" s="1"/>
  <c r="D14" i="1" s="1"/>
  <c r="E14" i="1"/>
  <c r="F13" i="1"/>
  <c r="G13" i="1" s="1"/>
  <c r="D13" i="1" s="1"/>
  <c r="J13" i="1" s="1"/>
  <c r="E13" i="1"/>
  <c r="F12" i="1"/>
  <c r="G12" i="1" s="1"/>
  <c r="D12" i="1" s="1"/>
  <c r="J12" i="1" s="1"/>
  <c r="E12" i="1"/>
  <c r="F11" i="1"/>
  <c r="G11" i="1" s="1"/>
  <c r="G10" i="1"/>
  <c r="D10" i="1" s="1"/>
  <c r="F10" i="1"/>
  <c r="E10" i="1"/>
  <c r="F9" i="1"/>
  <c r="G9" i="1" s="1"/>
  <c r="D9" i="1" s="1"/>
  <c r="E9" i="1"/>
  <c r="F8" i="1"/>
  <c r="G8" i="1" s="1"/>
  <c r="E8" i="1"/>
  <c r="G7" i="1"/>
  <c r="D7" i="1" s="1"/>
  <c r="F7" i="1"/>
  <c r="E7" i="1"/>
  <c r="J6" i="1"/>
  <c r="F6" i="1"/>
  <c r="G6" i="1" s="1"/>
  <c r="D6" i="1" s="1"/>
  <c r="E6" i="1"/>
  <c r="F5" i="1"/>
  <c r="G5" i="1" s="1"/>
  <c r="D5" i="1" s="1"/>
  <c r="J5" i="1" s="1"/>
  <c r="E5" i="1"/>
  <c r="F4" i="1"/>
  <c r="G4" i="1" s="1"/>
  <c r="D4" i="1" s="1"/>
  <c r="E4" i="1"/>
  <c r="E3" i="1"/>
  <c r="F2" i="1"/>
  <c r="E2" i="1"/>
  <c r="J10" i="1" l="1"/>
  <c r="J18" i="1"/>
  <c r="H29" i="1"/>
  <c r="H31" i="1"/>
  <c r="H32" i="1" s="1"/>
  <c r="J2" i="1"/>
  <c r="D11" i="1"/>
  <c r="J16" i="1"/>
  <c r="J11" i="1"/>
  <c r="J4" i="1"/>
  <c r="J9" i="1"/>
  <c r="J14" i="1"/>
  <c r="J7" i="1"/>
  <c r="J17" i="1"/>
  <c r="J3" i="1"/>
  <c r="J8" i="1"/>
  <c r="J28" i="1" l="1"/>
  <c r="J31" i="1"/>
  <c r="J29" i="1"/>
  <c r="J24" i="1"/>
</calcChain>
</file>

<file path=xl/sharedStrings.xml><?xml version="1.0" encoding="utf-8"?>
<sst xmlns="http://schemas.openxmlformats.org/spreadsheetml/2006/main" count="44" uniqueCount="41">
  <si>
    <t>Volts</t>
  </si>
  <si>
    <t>Corriente</t>
  </si>
  <si>
    <t>Lineas</t>
  </si>
  <si>
    <t>q/m</t>
  </si>
  <si>
    <t>B</t>
  </si>
  <si>
    <t>Masa Calculada</t>
  </si>
  <si>
    <t>Masa Real</t>
  </si>
  <si>
    <t>Error</t>
  </si>
  <si>
    <t>Numero Espiras por Bobina</t>
  </si>
  <si>
    <t>Radio media Bobina</t>
  </si>
  <si>
    <t>311 mm</t>
  </si>
  <si>
    <t>Distancia Entre Bobinas</t>
  </si>
  <si>
    <t>150 mm</t>
  </si>
  <si>
    <t>7.433 x 10(-4) x I</t>
  </si>
  <si>
    <t>Incertidumbre Voltaje</t>
  </si>
  <si>
    <t>10 Volts</t>
  </si>
  <si>
    <t>Separacion Lineas</t>
  </si>
  <si>
    <t>2 cm</t>
  </si>
  <si>
    <t>Incertidumbre Radio Lineas</t>
  </si>
  <si>
    <t>Incertidumbre Ampere</t>
  </si>
  <si>
    <t>Gota de Milligan para la carga del electron, ete experimento es para obtener la carga, con este exp obtenemos entonces la masa</t>
  </si>
  <si>
    <t>Delta</t>
  </si>
  <si>
    <t>F</t>
  </si>
  <si>
    <t>Diam [cm]</t>
  </si>
  <si>
    <t>Radio [m]</t>
  </si>
  <si>
    <t>Mediana</t>
  </si>
  <si>
    <t>Medidas de Posicion</t>
  </si>
  <si>
    <t>Promedio</t>
  </si>
  <si>
    <t>Medidas de Dispersión</t>
  </si>
  <si>
    <t>3 sigmas:</t>
  </si>
  <si>
    <t>Original [C/kg]</t>
  </si>
  <si>
    <t>Mod E10 [C/kg] E11</t>
  </si>
  <si>
    <t>Medianas:</t>
  </si>
  <si>
    <t>q/m real</t>
  </si>
  <si>
    <t>Error Masa</t>
  </si>
  <si>
    <t>Masa real via</t>
  </si>
  <si>
    <t>Error QM</t>
  </si>
  <si>
    <t>Mediana qm</t>
  </si>
  <si>
    <t>SQRT Error Python</t>
  </si>
  <si>
    <t>Maximizar error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</si>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</sst>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0"/>
      <color rgb="FF000000"/>
      <name val="Arial"/>
      <scheme val="minor"/>
    </font>
    <font>
      <b/>
      <sz val="14"/>
      <color theme="1"/>
      <name val="Impact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Inconsolata"/>
    </font>
    <font>
      <sz val="11"/>
      <color rgb="FFBBBBBB"/>
      <name val="Consolas"/>
      <family val="3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2" borderId="0" xfId="0" applyFont="1" applyFill="1" applyAlignment="1"/>
    <xf numFmtId="0" fontId="3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11" fontId="2" fillId="0" borderId="0" xfId="0" applyNumberFormat="1" applyFont="1"/>
    <xf numFmtId="11" fontId="2" fillId="0" borderId="0" xfId="0" applyNumberFormat="1" applyFont="1" applyAlignment="1"/>
    <xf numFmtId="164" fontId="2" fillId="0" borderId="0" xfId="0" applyNumberFormat="1" applyFont="1" applyAlignment="1"/>
    <xf numFmtId="0" fontId="0" fillId="8" borderId="0" xfId="0" applyFont="1" applyFill="1" applyAlignment="1"/>
    <xf numFmtId="0" fontId="2" fillId="9" borderId="0" xfId="0" applyFont="1" applyFill="1" applyAlignment="1"/>
    <xf numFmtId="11" fontId="2" fillId="10" borderId="0" xfId="0" applyNumberFormat="1" applyFont="1" applyFill="1"/>
    <xf numFmtId="11" fontId="2" fillId="10" borderId="0" xfId="0" applyNumberFormat="1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2" fontId="0" fillId="0" borderId="0" xfId="0" applyNumberFormat="1" applyFont="1" applyAlignment="1"/>
    <xf numFmtId="0" fontId="0" fillId="13" borderId="0" xfId="0" applyFont="1" applyFill="1" applyAlignment="1"/>
    <xf numFmtId="11" fontId="0" fillId="0" borderId="0" xfId="0" applyNumberFormat="1" applyFont="1" applyAlignment="1"/>
    <xf numFmtId="0" fontId="5" fillId="0" borderId="0" xfId="0" applyFont="1" applyAlignment="1"/>
    <xf numFmtId="0" fontId="6" fillId="11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2"/>
  <sheetViews>
    <sheetView tabSelected="1" workbookViewId="0">
      <selection activeCell="D24" sqref="D24"/>
    </sheetView>
  </sheetViews>
  <sheetFormatPr defaultColWidth="12.5703125" defaultRowHeight="15.75" customHeight="1" x14ac:dyDescent="0.2"/>
  <cols>
    <col min="6" max="6" width="10.855468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23</v>
      </c>
      <c r="G1" s="4" t="s">
        <v>24</v>
      </c>
      <c r="H1" s="5" t="s">
        <v>5</v>
      </c>
      <c r="I1" s="6" t="s">
        <v>6</v>
      </c>
      <c r="J1" s="7" t="s">
        <v>34</v>
      </c>
      <c r="K1" t="s">
        <v>33</v>
      </c>
      <c r="L1" t="s">
        <v>35</v>
      </c>
      <c r="M1" t="s">
        <v>36</v>
      </c>
    </row>
    <row r="2" spans="1:13" ht="17.25" x14ac:dyDescent="0.4">
      <c r="A2" s="8">
        <v>140</v>
      </c>
      <c r="B2" s="8">
        <v>-0.89</v>
      </c>
      <c r="C2" s="8">
        <v>5</v>
      </c>
      <c r="D2" s="9">
        <f t="shared" ref="D2:D18" si="0">2 * A2 / ( G2 * E2*( G2 * E2))</f>
        <v>262163769564.9592</v>
      </c>
      <c r="E2" s="10">
        <f t="shared" ref="E2:E18" si="1">7.344 * 10^(-4) * B2</f>
        <v>-6.5361600000000009E-4</v>
      </c>
      <c r="F2" s="10">
        <f t="shared" ref="F2:F18" si="2">2 * C2</f>
        <v>10</v>
      </c>
      <c r="G2" s="8">
        <f t="shared" ref="G2:G18" si="3">F2 / 200</f>
        <v>0.05</v>
      </c>
      <c r="H2" s="11">
        <f>1.60217646 * 10^(-19) / D2</f>
        <v>6.1113572735801353E-31</v>
      </c>
      <c r="I2" s="12">
        <f>9.10938188 * 10^(-31)</f>
        <v>9.1093818800000024E-31</v>
      </c>
      <c r="J2" s="11">
        <f>I2 - H2</f>
        <v>2.9980246064198671E-31</v>
      </c>
      <c r="K2" s="22">
        <f>1.75882017145 * 10^11</f>
        <v>175882017145</v>
      </c>
      <c r="L2" s="22">
        <f xml:space="preserve"> 1.60217646 * 10^(-19) /K2</f>
        <v>9.1093818800084575E-31</v>
      </c>
    </row>
    <row r="3" spans="1:13" ht="12.75" x14ac:dyDescent="0.2">
      <c r="A3" s="8">
        <v>120</v>
      </c>
      <c r="B3" s="8">
        <v>-1</v>
      </c>
      <c r="C3" s="8">
        <v>4</v>
      </c>
      <c r="D3" s="10">
        <f t="shared" si="0"/>
        <v>278115966793.39844</v>
      </c>
      <c r="E3" s="10">
        <f t="shared" si="1"/>
        <v>-7.3440000000000007E-4</v>
      </c>
      <c r="F3" s="10">
        <f>2 * C3</f>
        <v>8</v>
      </c>
      <c r="G3" s="8">
        <f t="shared" si="3"/>
        <v>0.04</v>
      </c>
      <c r="H3" s="11">
        <f t="shared" ref="H3:H18" si="4">1.60217646 * 10^(-19) / D3</f>
        <v>5.7608215683287061E-31</v>
      </c>
      <c r="I3" s="12">
        <f t="shared" ref="I3:I18" si="5">9.10938188 * 10^(-31)</f>
        <v>9.1093818800000024E-31</v>
      </c>
      <c r="J3" s="11">
        <f>I3 - H3</f>
        <v>3.3485603116712963E-31</v>
      </c>
      <c r="K3" s="22">
        <f t="shared" ref="K3:K18" si="6">1.75882017145 * 10^11</f>
        <v>175882017145</v>
      </c>
      <c r="L3" s="22">
        <f t="shared" ref="L3:L18" si="7" xml:space="preserve"> 1.60217646 * 10^(-19) /K3</f>
        <v>9.1093818800084575E-31</v>
      </c>
    </row>
    <row r="4" spans="1:13" ht="12.75" x14ac:dyDescent="0.2">
      <c r="A4" s="8">
        <v>110</v>
      </c>
      <c r="B4" s="8">
        <v>-0.99</v>
      </c>
      <c r="C4" s="8">
        <v>3.5</v>
      </c>
      <c r="D4" s="10">
        <f t="shared" si="0"/>
        <v>339743273146.7644</v>
      </c>
      <c r="E4" s="10">
        <f t="shared" si="1"/>
        <v>-7.2705600000000001E-4</v>
      </c>
      <c r="F4" s="10">
        <f t="shared" si="2"/>
        <v>7</v>
      </c>
      <c r="G4" s="8">
        <f t="shared" si="3"/>
        <v>3.5000000000000003E-2</v>
      </c>
      <c r="H4" s="11">
        <f t="shared" si="4"/>
        <v>4.7158445409686791E-31</v>
      </c>
      <c r="I4" s="12">
        <f t="shared" si="5"/>
        <v>9.1093818800000024E-31</v>
      </c>
      <c r="J4" s="11">
        <f>I4 - H4</f>
        <v>4.3935373390313233E-31</v>
      </c>
      <c r="K4" s="22">
        <f t="shared" si="6"/>
        <v>175882017145</v>
      </c>
      <c r="L4" s="22">
        <f t="shared" si="7"/>
        <v>9.1093818800084575E-31</v>
      </c>
    </row>
    <row r="5" spans="1:13" ht="12.75" x14ac:dyDescent="0.2">
      <c r="A5" s="8">
        <v>100</v>
      </c>
      <c r="B5" s="8">
        <v>-0.99</v>
      </c>
      <c r="C5" s="8">
        <v>3</v>
      </c>
      <c r="D5" s="10">
        <f t="shared" si="0"/>
        <v>420389403641.19849</v>
      </c>
      <c r="E5" s="10">
        <f t="shared" si="1"/>
        <v>-7.2705600000000001E-4</v>
      </c>
      <c r="F5" s="10">
        <f t="shared" si="2"/>
        <v>6</v>
      </c>
      <c r="G5" s="8">
        <f t="shared" si="3"/>
        <v>0.03</v>
      </c>
      <c r="H5" s="11">
        <f t="shared" si="4"/>
        <v>3.8111723229052993E-31</v>
      </c>
      <c r="I5" s="12">
        <f t="shared" si="5"/>
        <v>9.1093818800000024E-31</v>
      </c>
      <c r="J5" s="11">
        <f>I5 - H5</f>
        <v>5.2982095570947027E-31</v>
      </c>
      <c r="K5" s="22">
        <f t="shared" si="6"/>
        <v>175882017145</v>
      </c>
      <c r="L5" s="22">
        <f t="shared" si="7"/>
        <v>9.1093818800084575E-31</v>
      </c>
    </row>
    <row r="6" spans="1:13" ht="12.75" x14ac:dyDescent="0.2">
      <c r="A6" s="8">
        <v>90</v>
      </c>
      <c r="B6" s="8">
        <v>-0.99</v>
      </c>
      <c r="C6" s="8">
        <v>2.5</v>
      </c>
      <c r="D6" s="10">
        <f t="shared" si="0"/>
        <v>544824667118.9931</v>
      </c>
      <c r="E6" s="10">
        <f t="shared" si="1"/>
        <v>-7.2705600000000001E-4</v>
      </c>
      <c r="F6" s="10">
        <f t="shared" si="2"/>
        <v>5</v>
      </c>
      <c r="G6" s="8">
        <f t="shared" si="3"/>
        <v>2.5000000000000001E-2</v>
      </c>
      <c r="H6" s="11">
        <f t="shared" si="4"/>
        <v>2.9407193849577934E-31</v>
      </c>
      <c r="I6" s="12">
        <f t="shared" si="5"/>
        <v>9.1093818800000024E-31</v>
      </c>
      <c r="J6" s="11">
        <f>I6 - H6</f>
        <v>6.168662495042209E-31</v>
      </c>
      <c r="K6" s="22">
        <f t="shared" si="6"/>
        <v>175882017145</v>
      </c>
      <c r="L6" s="22">
        <f t="shared" si="7"/>
        <v>9.1093818800084575E-31</v>
      </c>
    </row>
    <row r="7" spans="1:13" ht="12.75" x14ac:dyDescent="0.2">
      <c r="A7" s="8">
        <v>60</v>
      </c>
      <c r="B7" s="8">
        <v>-0.99</v>
      </c>
      <c r="C7" s="8">
        <v>2</v>
      </c>
      <c r="D7" s="10">
        <f t="shared" si="0"/>
        <v>567525694915.61792</v>
      </c>
      <c r="E7" s="10">
        <f t="shared" si="1"/>
        <v>-7.2705600000000001E-4</v>
      </c>
      <c r="F7" s="10">
        <f t="shared" si="2"/>
        <v>4</v>
      </c>
      <c r="G7" s="8">
        <f t="shared" si="3"/>
        <v>0.02</v>
      </c>
      <c r="H7" s="11">
        <f t="shared" si="4"/>
        <v>2.8230906095594811E-31</v>
      </c>
      <c r="I7" s="12">
        <f t="shared" si="5"/>
        <v>9.1093818800000024E-31</v>
      </c>
      <c r="J7" s="11">
        <f>I7 - H7</f>
        <v>6.2862912704405213E-31</v>
      </c>
      <c r="K7" s="22">
        <f t="shared" si="6"/>
        <v>175882017145</v>
      </c>
      <c r="L7" s="22">
        <f t="shared" si="7"/>
        <v>9.1093818800084575E-31</v>
      </c>
    </row>
    <row r="8" spans="1:13" ht="12.75" x14ac:dyDescent="0.2">
      <c r="A8" s="8">
        <v>40</v>
      </c>
      <c r="B8" s="8">
        <v>-0.98</v>
      </c>
      <c r="C8" s="8">
        <v>1.5</v>
      </c>
      <c r="D8" s="10">
        <f>2 * A8 / ( G8 * E8*( G8 * E8))</f>
        <v>686420082480.19739</v>
      </c>
      <c r="E8" s="10">
        <f t="shared" si="1"/>
        <v>-7.1971200000000006E-4</v>
      </c>
      <c r="F8" s="10">
        <f t="shared" si="2"/>
        <v>3</v>
      </c>
      <c r="G8" s="8">
        <f t="shared" si="3"/>
        <v>1.4999999999999999E-2</v>
      </c>
      <c r="H8" s="11">
        <f t="shared" si="4"/>
        <v>2.3341048738127811E-31</v>
      </c>
      <c r="I8" s="12">
        <f t="shared" si="5"/>
        <v>9.1093818800000024E-31</v>
      </c>
      <c r="J8" s="11">
        <f>I8 - H8</f>
        <v>6.7752770061872213E-31</v>
      </c>
      <c r="K8" s="22">
        <f t="shared" si="6"/>
        <v>175882017145</v>
      </c>
      <c r="L8" s="22">
        <f t="shared" si="7"/>
        <v>9.1093818800084575E-31</v>
      </c>
    </row>
    <row r="9" spans="1:13" ht="12.75" x14ac:dyDescent="0.2">
      <c r="A9" s="8">
        <v>290</v>
      </c>
      <c r="B9" s="8">
        <v>-1.4</v>
      </c>
      <c r="C9" s="8">
        <v>4.5</v>
      </c>
      <c r="D9" s="10">
        <f t="shared" si="0"/>
        <v>270945260334.54471</v>
      </c>
      <c r="E9" s="10">
        <f t="shared" si="1"/>
        <v>-1.02816E-3</v>
      </c>
      <c r="F9" s="10">
        <f t="shared" si="2"/>
        <v>9</v>
      </c>
      <c r="G9" s="8">
        <f t="shared" si="3"/>
        <v>4.4999999999999998E-2</v>
      </c>
      <c r="H9" s="11">
        <f t="shared" si="4"/>
        <v>5.913284690869815E-31</v>
      </c>
      <c r="I9" s="12">
        <f t="shared" si="5"/>
        <v>9.1093818800000024E-31</v>
      </c>
      <c r="J9" s="11">
        <f>I9 - H9</f>
        <v>3.1960971891301873E-31</v>
      </c>
      <c r="K9" s="22">
        <f t="shared" si="6"/>
        <v>175882017145</v>
      </c>
      <c r="L9" s="22">
        <f t="shared" si="7"/>
        <v>9.1093818800084575E-31</v>
      </c>
    </row>
    <row r="10" spans="1:13" ht="12.75" x14ac:dyDescent="0.2">
      <c r="A10" s="8">
        <v>240</v>
      </c>
      <c r="B10" s="8">
        <v>-1.4</v>
      </c>
      <c r="C10" s="8">
        <v>4</v>
      </c>
      <c r="D10" s="10">
        <f t="shared" si="0"/>
        <v>283791802850.40668</v>
      </c>
      <c r="E10" s="10">
        <f t="shared" si="1"/>
        <v>-1.02816E-3</v>
      </c>
      <c r="F10" s="10">
        <f t="shared" si="2"/>
        <v>8</v>
      </c>
      <c r="G10" s="8">
        <f t="shared" si="3"/>
        <v>0.04</v>
      </c>
      <c r="H10" s="11">
        <f t="shared" si="4"/>
        <v>5.6456051369621294E-31</v>
      </c>
      <c r="I10" s="12">
        <f t="shared" si="5"/>
        <v>9.1093818800000024E-31</v>
      </c>
      <c r="J10" s="11">
        <f>I10 - H10</f>
        <v>3.463776743037873E-31</v>
      </c>
      <c r="K10" s="22">
        <f t="shared" si="6"/>
        <v>175882017145</v>
      </c>
      <c r="L10" s="22">
        <f t="shared" si="7"/>
        <v>9.1093818800084575E-31</v>
      </c>
    </row>
    <row r="11" spans="1:13" ht="12.75" x14ac:dyDescent="0.2">
      <c r="A11" s="8">
        <v>180</v>
      </c>
      <c r="B11" s="8">
        <v>-1.4</v>
      </c>
      <c r="C11" s="8">
        <v>3.5</v>
      </c>
      <c r="D11" s="10">
        <f t="shared" si="0"/>
        <v>278000133404.47998</v>
      </c>
      <c r="E11" s="10">
        <f>7.344 * 10^(-4) * B11</f>
        <v>-1.02816E-3</v>
      </c>
      <c r="F11" s="10">
        <f t="shared" si="2"/>
        <v>7</v>
      </c>
      <c r="G11" s="8">
        <f t="shared" si="3"/>
        <v>3.5000000000000003E-2</v>
      </c>
      <c r="H11" s="11">
        <f t="shared" si="4"/>
        <v>5.7632219106488414E-31</v>
      </c>
      <c r="I11" s="12">
        <f t="shared" si="5"/>
        <v>9.1093818800000024E-31</v>
      </c>
      <c r="J11" s="11">
        <f>I11 - H11</f>
        <v>3.346159969351161E-31</v>
      </c>
      <c r="K11" s="22">
        <f t="shared" si="6"/>
        <v>175882017145</v>
      </c>
      <c r="L11" s="22">
        <f t="shared" si="7"/>
        <v>9.1093818800084575E-31</v>
      </c>
    </row>
    <row r="12" spans="1:13" ht="12.75" x14ac:dyDescent="0.2">
      <c r="A12" s="8">
        <v>140</v>
      </c>
      <c r="B12" s="8">
        <v>-1.4</v>
      </c>
      <c r="C12" s="8">
        <v>3</v>
      </c>
      <c r="D12" s="10">
        <f t="shared" si="0"/>
        <v>294302610363.3847</v>
      </c>
      <c r="E12" s="10">
        <f t="shared" si="1"/>
        <v>-1.02816E-3</v>
      </c>
      <c r="F12" s="10">
        <f t="shared" si="2"/>
        <v>6</v>
      </c>
      <c r="G12" s="8">
        <f t="shared" si="3"/>
        <v>0.03</v>
      </c>
      <c r="H12" s="11">
        <f t="shared" si="4"/>
        <v>5.4439763820706251E-31</v>
      </c>
      <c r="I12" s="12">
        <f t="shared" si="5"/>
        <v>9.1093818800000024E-31</v>
      </c>
      <c r="J12" s="11">
        <f>I12 - H12</f>
        <v>3.6654054979293773E-31</v>
      </c>
      <c r="K12" s="22">
        <f t="shared" si="6"/>
        <v>175882017145</v>
      </c>
      <c r="L12" s="22">
        <f t="shared" si="7"/>
        <v>9.1093818800084575E-31</v>
      </c>
    </row>
    <row r="13" spans="1:13" ht="12.75" x14ac:dyDescent="0.2">
      <c r="A13" s="8">
        <v>100</v>
      </c>
      <c r="B13" s="8">
        <v>-1.4</v>
      </c>
      <c r="C13" s="8">
        <v>2.5</v>
      </c>
      <c r="D13" s="10">
        <f t="shared" si="0"/>
        <v>302711256373.76715</v>
      </c>
      <c r="E13" s="10">
        <f t="shared" si="1"/>
        <v>-1.02816E-3</v>
      </c>
      <c r="F13" s="10">
        <f t="shared" si="2"/>
        <v>5</v>
      </c>
      <c r="G13" s="8">
        <f t="shared" si="3"/>
        <v>2.5000000000000001E-2</v>
      </c>
      <c r="H13" s="11">
        <f t="shared" si="4"/>
        <v>5.292754815901996E-31</v>
      </c>
      <c r="I13" s="12">
        <f t="shared" si="5"/>
        <v>9.1093818800000024E-31</v>
      </c>
      <c r="J13" s="11">
        <f>I13 - H13</f>
        <v>3.8166270640980064E-31</v>
      </c>
      <c r="K13" s="22">
        <f t="shared" si="6"/>
        <v>175882017145</v>
      </c>
      <c r="L13" s="22">
        <f t="shared" si="7"/>
        <v>9.1093818800084575E-31</v>
      </c>
    </row>
    <row r="14" spans="1:13" ht="12.75" x14ac:dyDescent="0.2">
      <c r="A14" s="8">
        <v>80</v>
      </c>
      <c r="B14" s="8">
        <v>-1.42</v>
      </c>
      <c r="C14" s="8">
        <v>2</v>
      </c>
      <c r="D14" s="10">
        <f t="shared" si="0"/>
        <v>367805285715.00171</v>
      </c>
      <c r="E14" s="10">
        <f t="shared" si="1"/>
        <v>-1.0428480000000001E-3</v>
      </c>
      <c r="F14" s="10">
        <f t="shared" si="2"/>
        <v>4</v>
      </c>
      <c r="G14" s="8">
        <f t="shared" si="3"/>
        <v>0.02</v>
      </c>
      <c r="H14" s="11">
        <f t="shared" si="4"/>
        <v>4.3560452288917491E-31</v>
      </c>
      <c r="I14" s="12">
        <f t="shared" si="5"/>
        <v>9.1093818800000024E-31</v>
      </c>
      <c r="J14" s="11">
        <f>I14 - H14</f>
        <v>4.7533366511082533E-31</v>
      </c>
      <c r="K14" s="22">
        <f t="shared" si="6"/>
        <v>175882017145</v>
      </c>
      <c r="L14" s="22">
        <f t="shared" si="7"/>
        <v>9.1093818800084575E-31</v>
      </c>
    </row>
    <row r="15" spans="1:13" ht="12.75" x14ac:dyDescent="0.2">
      <c r="A15" s="8">
        <v>80</v>
      </c>
      <c r="B15" s="8">
        <v>-2</v>
      </c>
      <c r="C15" s="8">
        <v>1.5</v>
      </c>
      <c r="D15" s="10">
        <f t="shared" si="0"/>
        <v>329618923606.99084</v>
      </c>
      <c r="E15" s="10">
        <f t="shared" si="1"/>
        <v>-1.4688000000000001E-3</v>
      </c>
      <c r="F15" s="10">
        <f t="shared" si="2"/>
        <v>3</v>
      </c>
      <c r="G15" s="8">
        <f t="shared" si="3"/>
        <v>1.4999999999999999E-2</v>
      </c>
      <c r="H15" s="11">
        <f t="shared" si="4"/>
        <v>4.8606931982773435E-31</v>
      </c>
      <c r="I15" s="12">
        <f t="shared" si="5"/>
        <v>9.1093818800000024E-31</v>
      </c>
      <c r="J15" s="11">
        <f>I15 - H15</f>
        <v>4.2486886817226589E-31</v>
      </c>
      <c r="K15" s="22">
        <f t="shared" si="6"/>
        <v>175882017145</v>
      </c>
      <c r="L15" s="22">
        <f t="shared" si="7"/>
        <v>9.1093818800084575E-31</v>
      </c>
    </row>
    <row r="16" spans="1:13" ht="12.75" x14ac:dyDescent="0.2">
      <c r="A16" s="8">
        <v>100</v>
      </c>
      <c r="B16" s="8">
        <v>-2</v>
      </c>
      <c r="C16" s="8">
        <v>2</v>
      </c>
      <c r="D16" s="10">
        <f t="shared" si="0"/>
        <v>231763305661.16537</v>
      </c>
      <c r="E16" s="10">
        <f t="shared" si="1"/>
        <v>-1.4688000000000001E-3</v>
      </c>
      <c r="F16" s="10">
        <f t="shared" si="2"/>
        <v>4</v>
      </c>
      <c r="G16" s="8">
        <f t="shared" si="3"/>
        <v>0.02</v>
      </c>
      <c r="H16" s="11">
        <f t="shared" si="4"/>
        <v>6.9129858819944465E-31</v>
      </c>
      <c r="I16" s="12">
        <f t="shared" si="5"/>
        <v>9.1093818800000024E-31</v>
      </c>
      <c r="J16" s="11">
        <f>I16 - H16</f>
        <v>2.1963959980055559E-31</v>
      </c>
      <c r="K16" s="22">
        <f t="shared" si="6"/>
        <v>175882017145</v>
      </c>
      <c r="L16" s="22">
        <f t="shared" si="7"/>
        <v>9.1093818800084575E-31</v>
      </c>
    </row>
    <row r="17" spans="1:13" ht="12.75" x14ac:dyDescent="0.2">
      <c r="A17" s="8">
        <v>180</v>
      </c>
      <c r="B17" s="8">
        <v>-2</v>
      </c>
      <c r="C17" s="8">
        <v>2.5</v>
      </c>
      <c r="D17" s="10">
        <f t="shared" si="0"/>
        <v>266991328121.66248</v>
      </c>
      <c r="E17" s="10">
        <f t="shared" si="1"/>
        <v>-1.4688000000000001E-3</v>
      </c>
      <c r="F17" s="10">
        <f t="shared" si="2"/>
        <v>5</v>
      </c>
      <c r="G17" s="8">
        <f t="shared" si="3"/>
        <v>2.5000000000000001E-2</v>
      </c>
      <c r="H17" s="11">
        <f t="shared" si="4"/>
        <v>6.0008558003424023E-31</v>
      </c>
      <c r="I17" s="12">
        <f t="shared" si="5"/>
        <v>9.1093818800000024E-31</v>
      </c>
      <c r="J17" s="11">
        <f>I17 - H17</f>
        <v>3.1085260796576E-31</v>
      </c>
      <c r="K17" s="22">
        <f t="shared" si="6"/>
        <v>175882017145</v>
      </c>
      <c r="L17" s="22">
        <f t="shared" si="7"/>
        <v>9.1093818800084575E-31</v>
      </c>
    </row>
    <row r="18" spans="1:13" ht="12.75" x14ac:dyDescent="0.2">
      <c r="A18" s="8">
        <v>240</v>
      </c>
      <c r="B18" s="8">
        <v>-1.98</v>
      </c>
      <c r="C18" s="8">
        <v>2</v>
      </c>
      <c r="D18" s="10">
        <f t="shared" si="0"/>
        <v>567525694915.61792</v>
      </c>
      <c r="E18" s="10">
        <f t="shared" si="1"/>
        <v>-1.454112E-3</v>
      </c>
      <c r="F18" s="10">
        <f t="shared" si="2"/>
        <v>4</v>
      </c>
      <c r="G18" s="8">
        <f t="shared" si="3"/>
        <v>0.02</v>
      </c>
      <c r="H18" s="11">
        <f t="shared" si="4"/>
        <v>2.8230906095594811E-31</v>
      </c>
      <c r="I18" s="12">
        <f t="shared" si="5"/>
        <v>9.1093818800000024E-31</v>
      </c>
      <c r="J18" s="11">
        <f>I18 - H18</f>
        <v>6.2862912704405213E-31</v>
      </c>
      <c r="K18" s="22">
        <f t="shared" si="6"/>
        <v>175882017145</v>
      </c>
      <c r="L18" s="22">
        <f t="shared" si="7"/>
        <v>9.1093818800084575E-31</v>
      </c>
    </row>
    <row r="20" spans="1:13" ht="15.75" customHeight="1" x14ac:dyDescent="0.2">
      <c r="A20" s="14" t="s">
        <v>21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3" ht="15.75" customHeight="1" x14ac:dyDescent="0.2">
      <c r="A21" s="15">
        <v>5</v>
      </c>
      <c r="B21" s="15">
        <v>0.01</v>
      </c>
      <c r="C21" s="15">
        <v>0.25</v>
      </c>
      <c r="D21" t="s">
        <v>22</v>
      </c>
      <c r="E21" s="16">
        <f t="shared" ref="E21" si="8">7.344 * 10^(-4) * B21</f>
        <v>7.3440000000000012E-6</v>
      </c>
      <c r="F21" s="10">
        <f t="shared" ref="F21" si="9">2 * C21</f>
        <v>0.5</v>
      </c>
      <c r="G21" s="17">
        <f t="shared" ref="G21" si="10">F21 / 200</f>
        <v>2.5000000000000001E-3</v>
      </c>
    </row>
    <row r="23" spans="1:13" ht="15.75" customHeight="1" x14ac:dyDescent="0.2">
      <c r="A23" s="24" t="s">
        <v>39</v>
      </c>
      <c r="B23" s="18"/>
      <c r="C23" s="18"/>
      <c r="D23" s="18"/>
      <c r="E23" s="18"/>
      <c r="F23" s="18"/>
      <c r="G23" s="18"/>
      <c r="H23" s="18"/>
      <c r="I23" s="18"/>
      <c r="J23" s="18"/>
      <c r="L23" t="s">
        <v>37</v>
      </c>
    </row>
    <row r="24" spans="1:13" ht="15.75" customHeight="1" x14ac:dyDescent="0.2">
      <c r="A24">
        <f>MAX(A2:A18)</f>
        <v>290</v>
      </c>
      <c r="B24">
        <f t="shared" ref="B24:J24" si="11">MAX(B2:B18)</f>
        <v>-0.89</v>
      </c>
      <c r="C24">
        <f t="shared" si="11"/>
        <v>5</v>
      </c>
      <c r="D24">
        <f t="shared" si="11"/>
        <v>686420082480.19739</v>
      </c>
      <c r="E24">
        <f t="shared" si="11"/>
        <v>-6.5361600000000009E-4</v>
      </c>
      <c r="F24">
        <f t="shared" si="11"/>
        <v>10</v>
      </c>
      <c r="G24">
        <f>MIN(G2:G18)</f>
        <v>1.4999999999999999E-2</v>
      </c>
      <c r="H24">
        <f t="shared" si="11"/>
        <v>6.9129858819944465E-31</v>
      </c>
      <c r="J24">
        <f>MAX(J2:J18)</f>
        <v>6.7752770061872213E-31</v>
      </c>
      <c r="L24">
        <v>3.0271125637376701</v>
      </c>
    </row>
    <row r="25" spans="1:13" ht="15.75" customHeight="1" x14ac:dyDescent="0.2">
      <c r="A25" s="21" t="s">
        <v>32</v>
      </c>
      <c r="B25" s="21"/>
      <c r="C25" s="21"/>
      <c r="D25" s="21"/>
      <c r="E25" s="21"/>
      <c r="F25" s="21"/>
      <c r="G25" s="21"/>
    </row>
    <row r="26" spans="1:13" ht="15.75" customHeight="1" x14ac:dyDescent="0.2">
      <c r="A26">
        <f>MEDIAN(A2:A18)</f>
        <v>110</v>
      </c>
      <c r="B26">
        <f t="shared" ref="B26:G26" si="12">MEDIAN(B2:B18)</f>
        <v>-1.4</v>
      </c>
      <c r="C26">
        <f t="shared" si="12"/>
        <v>2.5</v>
      </c>
      <c r="D26">
        <f t="shared" si="12"/>
        <v>302711256373.76715</v>
      </c>
      <c r="E26">
        <f t="shared" si="12"/>
        <v>-1.02816E-3</v>
      </c>
      <c r="F26">
        <f t="shared" si="12"/>
        <v>5</v>
      </c>
      <c r="G26">
        <f t="shared" si="12"/>
        <v>2.5000000000000001E-2</v>
      </c>
    </row>
    <row r="27" spans="1:13" ht="15.75" customHeight="1" x14ac:dyDescent="0.25">
      <c r="A27" s="19" t="s">
        <v>26</v>
      </c>
      <c r="B27" s="19"/>
      <c r="C27" s="19"/>
      <c r="D27" s="2" t="s">
        <v>3</v>
      </c>
      <c r="E27" s="19"/>
      <c r="F27" s="19"/>
      <c r="G27" s="19"/>
      <c r="H27" s="5" t="s">
        <v>5</v>
      </c>
      <c r="I27" s="19"/>
      <c r="J27" s="7" t="s">
        <v>7</v>
      </c>
    </row>
    <row r="28" spans="1:13" ht="15.75" customHeight="1" x14ac:dyDescent="0.2">
      <c r="A28" t="s">
        <v>25</v>
      </c>
      <c r="D28">
        <f>MEDIAN(D2:D18)</f>
        <v>302711256373.76715</v>
      </c>
      <c r="H28">
        <f>MEDIAN(H2:H18)</f>
        <v>5.292754815901996E-31</v>
      </c>
      <c r="J28">
        <f>MEDIAN(J2:J18)</f>
        <v>3.8166270640980064E-31</v>
      </c>
      <c r="L28">
        <v>-1.02816E-3</v>
      </c>
    </row>
    <row r="29" spans="1:13" ht="15.75" customHeight="1" x14ac:dyDescent="0.2">
      <c r="A29" t="s">
        <v>27</v>
      </c>
      <c r="D29">
        <f>AVERAGE(D2:D18)</f>
        <v>370155203471.06775</v>
      </c>
      <c r="H29">
        <f>AVERAGE(H2:H18)</f>
        <v>4.794683778213629E-31</v>
      </c>
      <c r="J29">
        <f>AVERAGE(J2:J18)</f>
        <v>4.3146981017863734E-31</v>
      </c>
    </row>
    <row r="30" spans="1:13" ht="15.75" customHeight="1" x14ac:dyDescent="0.2">
      <c r="A30" s="19" t="s">
        <v>28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ht="15.75" customHeight="1" x14ac:dyDescent="0.2">
      <c r="D31">
        <f>_xlfn.STDEV.S(D2:D18)</f>
        <v>136831276470.61775</v>
      </c>
      <c r="H31">
        <f>_xlfn.STDEV.S(H2:H18)</f>
        <v>1.3835738637096331E-31</v>
      </c>
      <c r="J31">
        <f>_xlfn.STDEV.S(J2:J18)</f>
        <v>1.3835738637096331E-31</v>
      </c>
      <c r="L31" t="s">
        <v>38</v>
      </c>
      <c r="M31" s="25" t="s">
        <v>40</v>
      </c>
    </row>
    <row r="32" spans="1:13" ht="15.75" customHeight="1" x14ac:dyDescent="0.25">
      <c r="G32" t="s">
        <v>29</v>
      </c>
      <c r="H32">
        <f>3*H31</f>
        <v>4.1507215911288996E-31</v>
      </c>
      <c r="L32" s="23">
        <v>68473825279.374603</v>
      </c>
      <c r="M32" s="23">
        <v>2018931854086.74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B66-C8A0-4ECE-AC5B-6336266A554F}">
  <dimension ref="A1:B18"/>
  <sheetViews>
    <sheetView workbookViewId="0">
      <selection activeCell="D8" sqref="D8"/>
    </sheetView>
  </sheetViews>
  <sheetFormatPr defaultRowHeight="12.75" x14ac:dyDescent="0.2"/>
  <cols>
    <col min="1" max="1" width="11.85546875" customWidth="1"/>
    <col min="2" max="2" width="19.5703125" customWidth="1"/>
  </cols>
  <sheetData>
    <row r="1" spans="1:2" x14ac:dyDescent="0.2">
      <c r="A1" t="s">
        <v>30</v>
      </c>
      <c r="B1" t="s">
        <v>31</v>
      </c>
    </row>
    <row r="2" spans="1:2" x14ac:dyDescent="0.2">
      <c r="A2">
        <v>262163769564.9592</v>
      </c>
      <c r="B2" s="20">
        <f xml:space="preserve"> A2*10^(-11)</f>
        <v>2.6216376956495919</v>
      </c>
    </row>
    <row r="3" spans="1:2" x14ac:dyDescent="0.2">
      <c r="A3">
        <v>278115966793.39844</v>
      </c>
      <c r="B3" s="20">
        <f t="shared" ref="B3:B18" si="0" xml:space="preserve"> A3*10^(-11)</f>
        <v>2.7811596679339843</v>
      </c>
    </row>
    <row r="4" spans="1:2" x14ac:dyDescent="0.2">
      <c r="A4">
        <v>339743273146.7644</v>
      </c>
      <c r="B4" s="20">
        <f t="shared" si="0"/>
        <v>3.397432731467644</v>
      </c>
    </row>
    <row r="5" spans="1:2" x14ac:dyDescent="0.2">
      <c r="A5">
        <v>420389403641.19849</v>
      </c>
      <c r="B5" s="20">
        <f t="shared" si="0"/>
        <v>4.2038940364119846</v>
      </c>
    </row>
    <row r="6" spans="1:2" x14ac:dyDescent="0.2">
      <c r="A6">
        <v>544824667118.9931</v>
      </c>
      <c r="B6" s="20">
        <f t="shared" si="0"/>
        <v>5.4482466711899304</v>
      </c>
    </row>
    <row r="7" spans="1:2" x14ac:dyDescent="0.2">
      <c r="A7">
        <v>567525694915.61792</v>
      </c>
      <c r="B7" s="20">
        <f t="shared" si="0"/>
        <v>5.6752569491561786</v>
      </c>
    </row>
    <row r="8" spans="1:2" x14ac:dyDescent="0.2">
      <c r="A8">
        <v>686420082480.19739</v>
      </c>
      <c r="B8" s="20">
        <f t="shared" si="0"/>
        <v>6.8642008248019737</v>
      </c>
    </row>
    <row r="9" spans="1:2" x14ac:dyDescent="0.2">
      <c r="A9">
        <v>270945260334.54471</v>
      </c>
      <c r="B9" s="20">
        <f t="shared" si="0"/>
        <v>2.7094526033454471</v>
      </c>
    </row>
    <row r="10" spans="1:2" x14ac:dyDescent="0.2">
      <c r="A10">
        <v>283791802850.40668</v>
      </c>
      <c r="B10" s="20">
        <f t="shared" si="0"/>
        <v>2.8379180285040664</v>
      </c>
    </row>
    <row r="11" spans="1:2" x14ac:dyDescent="0.2">
      <c r="A11">
        <v>278000133404.47998</v>
      </c>
      <c r="B11" s="20">
        <f t="shared" si="0"/>
        <v>2.7800013340447998</v>
      </c>
    </row>
    <row r="12" spans="1:2" x14ac:dyDescent="0.2">
      <c r="A12">
        <v>294302610363.3847</v>
      </c>
      <c r="B12" s="20">
        <f t="shared" si="0"/>
        <v>2.943026103633847</v>
      </c>
    </row>
    <row r="13" spans="1:2" x14ac:dyDescent="0.2">
      <c r="A13">
        <v>302711256373.76715</v>
      </c>
      <c r="B13" s="20">
        <f t="shared" si="0"/>
        <v>3.0271125637376715</v>
      </c>
    </row>
    <row r="14" spans="1:2" x14ac:dyDescent="0.2">
      <c r="A14">
        <v>367805285715.00171</v>
      </c>
      <c r="B14" s="20">
        <f t="shared" si="0"/>
        <v>3.6780528571500168</v>
      </c>
    </row>
    <row r="15" spans="1:2" x14ac:dyDescent="0.2">
      <c r="A15">
        <v>329618923606.99084</v>
      </c>
      <c r="B15" s="20">
        <f t="shared" si="0"/>
        <v>3.2961892360699081</v>
      </c>
    </row>
    <row r="16" spans="1:2" x14ac:dyDescent="0.2">
      <c r="A16">
        <v>231763305661.16537</v>
      </c>
      <c r="B16" s="20">
        <f t="shared" si="0"/>
        <v>2.3176330566116534</v>
      </c>
    </row>
    <row r="17" spans="1:2" x14ac:dyDescent="0.2">
      <c r="A17">
        <v>266991328121.66248</v>
      </c>
      <c r="B17" s="20">
        <f t="shared" si="0"/>
        <v>2.6699132812166244</v>
      </c>
    </row>
    <row r="18" spans="1:2" x14ac:dyDescent="0.2">
      <c r="A18">
        <v>567525694915.61792</v>
      </c>
      <c r="B18" s="20">
        <f t="shared" si="0"/>
        <v>5.6752569491561786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2.5703125" defaultRowHeight="15.75" customHeight="1" x14ac:dyDescent="0.2"/>
  <cols>
    <col min="1" max="1" width="22.5703125" customWidth="1"/>
  </cols>
  <sheetData>
    <row r="1" spans="1:2" x14ac:dyDescent="0.2">
      <c r="A1" s="8" t="s">
        <v>8</v>
      </c>
      <c r="B1" s="8">
        <v>124</v>
      </c>
    </row>
    <row r="2" spans="1:2" x14ac:dyDescent="0.2">
      <c r="A2" s="8" t="s">
        <v>9</v>
      </c>
      <c r="B2" s="8" t="s">
        <v>10</v>
      </c>
    </row>
    <row r="3" spans="1:2" x14ac:dyDescent="0.2">
      <c r="A3" s="8" t="s">
        <v>11</v>
      </c>
      <c r="B3" s="8" t="s">
        <v>12</v>
      </c>
    </row>
    <row r="4" spans="1:2" x14ac:dyDescent="0.2">
      <c r="A4" s="8" t="s">
        <v>4</v>
      </c>
      <c r="B4" s="8" t="s">
        <v>13</v>
      </c>
    </row>
    <row r="6" spans="1:2" x14ac:dyDescent="0.2">
      <c r="A6" s="8" t="s">
        <v>14</v>
      </c>
      <c r="B6" s="8" t="s">
        <v>15</v>
      </c>
    </row>
    <row r="7" spans="1:2" x14ac:dyDescent="0.2">
      <c r="A7" s="8" t="s">
        <v>16</v>
      </c>
      <c r="B7" s="8" t="s">
        <v>17</v>
      </c>
    </row>
    <row r="8" spans="1:2" x14ac:dyDescent="0.2">
      <c r="A8" s="8" t="s">
        <v>18</v>
      </c>
    </row>
    <row r="10" spans="1:2" x14ac:dyDescent="0.2">
      <c r="A10" s="8" t="s">
        <v>19</v>
      </c>
      <c r="B10" s="13">
        <v>5.0000000000000001E-3</v>
      </c>
    </row>
    <row r="12" spans="1:2" x14ac:dyDescent="0.2">
      <c r="A12" s="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DatosTomados</vt:lpstr>
      <vt:lpstr>qm import</vt:lpstr>
      <vt:lpstr>BoundaryConditions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Trigo</cp:lastModifiedBy>
  <dcterms:modified xsi:type="dcterms:W3CDTF">2022-10-11T18:09:51Z</dcterms:modified>
</cp:coreProperties>
</file>