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bien.DESKTOP-6FMEAR7\Documents\GitHub\lab4\lab_fisica\Datos Lab4\1007 ElectronMass\"/>
    </mc:Choice>
  </mc:AlternateContent>
  <xr:revisionPtr revIDLastSave="0" documentId="13_ncr:1_{7A843C14-3A77-489F-9DE4-D1DAA82FAF8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osTomados" sheetId="1" r:id="rId1"/>
    <sheet name="qm import" sheetId="3" r:id="rId2"/>
    <sheet name="BoundaryCondit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0" i="1" l="1"/>
  <c r="P3" i="1"/>
  <c r="P4" i="1"/>
  <c r="P5" i="1"/>
  <c r="P6" i="1"/>
  <c r="P7" i="1"/>
  <c r="P9" i="1"/>
  <c r="P10" i="1"/>
  <c r="P11" i="1"/>
  <c r="P12" i="1"/>
  <c r="P13" i="1"/>
  <c r="P14" i="1"/>
  <c r="P15" i="1"/>
  <c r="P16" i="1"/>
  <c r="P17" i="1"/>
  <c r="P18" i="1"/>
  <c r="P2" i="1"/>
  <c r="O20" i="1"/>
  <c r="O4" i="1"/>
  <c r="O5" i="1"/>
  <c r="O6" i="1"/>
  <c r="O7" i="1"/>
  <c r="O9" i="1"/>
  <c r="O10" i="1"/>
  <c r="O11" i="1"/>
  <c r="O12" i="1"/>
  <c r="O13" i="1"/>
  <c r="O14" i="1"/>
  <c r="O15" i="1"/>
  <c r="O16" i="1"/>
  <c r="O17" i="1"/>
  <c r="O18" i="1"/>
  <c r="O3" i="1"/>
  <c r="O2" i="1"/>
  <c r="N3" i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N18" i="1"/>
  <c r="N2" i="1"/>
  <c r="M17" i="1"/>
  <c r="M3" i="1"/>
  <c r="M4" i="1"/>
  <c r="M5" i="1"/>
  <c r="M6" i="1"/>
  <c r="M7" i="1"/>
  <c r="M9" i="1"/>
  <c r="M10" i="1"/>
  <c r="M11" i="1"/>
  <c r="M12" i="1"/>
  <c r="M13" i="1"/>
  <c r="M14" i="1"/>
  <c r="M15" i="1"/>
  <c r="M16" i="1"/>
  <c r="M18" i="1"/>
  <c r="M2" i="1"/>
  <c r="D2" i="1"/>
  <c r="H2" i="1" s="1"/>
  <c r="H24" i="1" s="1"/>
  <c r="G24" i="1"/>
  <c r="K2" i="1"/>
  <c r="K3" i="1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18" i="1"/>
  <c r="B26" i="1"/>
  <c r="C26" i="1"/>
  <c r="D26" i="1"/>
  <c r="E26" i="1"/>
  <c r="F26" i="1"/>
  <c r="G26" i="1"/>
  <c r="A26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2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D31" i="1"/>
  <c r="D29" i="1"/>
  <c r="D28" i="1"/>
  <c r="B24" i="1"/>
  <c r="C24" i="1"/>
  <c r="D24" i="1"/>
  <c r="E24" i="1"/>
  <c r="F24" i="1"/>
  <c r="A24" i="1"/>
  <c r="E21" i="1"/>
  <c r="F21" i="1"/>
  <c r="G21" i="1"/>
  <c r="G2" i="1"/>
  <c r="F3" i="1"/>
  <c r="G3" i="1" s="1"/>
  <c r="D3" i="1" s="1"/>
  <c r="E11" i="1"/>
  <c r="F18" i="1"/>
  <c r="G18" i="1" s="1"/>
  <c r="D18" i="1" s="1"/>
  <c r="E18" i="1"/>
  <c r="F17" i="1"/>
  <c r="G17" i="1" s="1"/>
  <c r="D17" i="1" s="1"/>
  <c r="E17" i="1"/>
  <c r="F16" i="1"/>
  <c r="G16" i="1" s="1"/>
  <c r="D16" i="1" s="1"/>
  <c r="E16" i="1"/>
  <c r="J15" i="1"/>
  <c r="G15" i="1"/>
  <c r="D15" i="1" s="1"/>
  <c r="F15" i="1"/>
  <c r="E15" i="1"/>
  <c r="F14" i="1"/>
  <c r="G14" i="1" s="1"/>
  <c r="D14" i="1" s="1"/>
  <c r="E14" i="1"/>
  <c r="F13" i="1"/>
  <c r="G13" i="1" s="1"/>
  <c r="D13" i="1" s="1"/>
  <c r="J13" i="1" s="1"/>
  <c r="E13" i="1"/>
  <c r="F12" i="1"/>
  <c r="G12" i="1" s="1"/>
  <c r="D12" i="1" s="1"/>
  <c r="J12" i="1" s="1"/>
  <c r="E12" i="1"/>
  <c r="F11" i="1"/>
  <c r="G11" i="1" s="1"/>
  <c r="G10" i="1"/>
  <c r="D10" i="1" s="1"/>
  <c r="F10" i="1"/>
  <c r="E10" i="1"/>
  <c r="F9" i="1"/>
  <c r="G9" i="1" s="1"/>
  <c r="D9" i="1" s="1"/>
  <c r="E9" i="1"/>
  <c r="G7" i="1"/>
  <c r="D7" i="1" s="1"/>
  <c r="F7" i="1"/>
  <c r="E7" i="1"/>
  <c r="J6" i="1"/>
  <c r="F6" i="1"/>
  <c r="G6" i="1" s="1"/>
  <c r="D6" i="1" s="1"/>
  <c r="E6" i="1"/>
  <c r="F5" i="1"/>
  <c r="G5" i="1" s="1"/>
  <c r="D5" i="1" s="1"/>
  <c r="J5" i="1" s="1"/>
  <c r="E5" i="1"/>
  <c r="F4" i="1"/>
  <c r="G4" i="1" s="1"/>
  <c r="D4" i="1" s="1"/>
  <c r="E4" i="1"/>
  <c r="E3" i="1"/>
  <c r="F2" i="1"/>
  <c r="E2" i="1"/>
  <c r="H28" i="1" l="1"/>
  <c r="J10" i="1"/>
  <c r="J18" i="1"/>
  <c r="H29" i="1"/>
  <c r="H31" i="1"/>
  <c r="H32" i="1" s="1"/>
  <c r="J2" i="1"/>
  <c r="D11" i="1"/>
  <c r="J16" i="1"/>
  <c r="J11" i="1"/>
  <c r="J4" i="1"/>
  <c r="J9" i="1"/>
  <c r="J14" i="1"/>
  <c r="J7" i="1"/>
  <c r="J17" i="1"/>
  <c r="J3" i="1"/>
  <c r="J28" i="1" l="1"/>
  <c r="J31" i="1"/>
  <c r="J29" i="1"/>
  <c r="J24" i="1"/>
</calcChain>
</file>

<file path=xl/sharedStrings.xml><?xml version="1.0" encoding="utf-8"?>
<sst xmlns="http://schemas.openxmlformats.org/spreadsheetml/2006/main" count="49" uniqueCount="44">
  <si>
    <t>Volts</t>
  </si>
  <si>
    <t>Corriente</t>
  </si>
  <si>
    <t>Lineas</t>
  </si>
  <si>
    <t>q/m</t>
  </si>
  <si>
    <t>B</t>
  </si>
  <si>
    <t>Masa Calculada</t>
  </si>
  <si>
    <t>Masa Real</t>
  </si>
  <si>
    <t>Error</t>
  </si>
  <si>
    <t>Numero Espiras por Bobina</t>
  </si>
  <si>
    <t>Radio media Bobina</t>
  </si>
  <si>
    <t>311 mm</t>
  </si>
  <si>
    <t>Distancia Entre Bobinas</t>
  </si>
  <si>
    <t>150 mm</t>
  </si>
  <si>
    <t>7.433 x 10(-4) x I</t>
  </si>
  <si>
    <t>Incertidumbre Voltaje</t>
  </si>
  <si>
    <t>10 Volts</t>
  </si>
  <si>
    <t>Separacion Lineas</t>
  </si>
  <si>
    <t>2 cm</t>
  </si>
  <si>
    <t>Incertidumbre Radio Lineas</t>
  </si>
  <si>
    <t>Incertidumbre Ampere</t>
  </si>
  <si>
    <t>Gota de Milligan para la carga del electron, ete experimento es para obtener la carga, con este exp obtenemos entonces la masa</t>
  </si>
  <si>
    <t>Delta</t>
  </si>
  <si>
    <t>F</t>
  </si>
  <si>
    <t>Diam [cm]</t>
  </si>
  <si>
    <t>Radio [m]</t>
  </si>
  <si>
    <t>Mediana</t>
  </si>
  <si>
    <t>Medidas de Posicion</t>
  </si>
  <si>
    <t>Promedio</t>
  </si>
  <si>
    <t>Medidas de Dispersión</t>
  </si>
  <si>
    <t>3 sigmas:</t>
  </si>
  <si>
    <t>Medianas:</t>
  </si>
  <si>
    <t>q/m real</t>
  </si>
  <si>
    <t>Error Masa</t>
  </si>
  <si>
    <t>Error QM</t>
  </si>
  <si>
    <t>Mediana qm</t>
  </si>
  <si>
    <t>SQRT Error Python</t>
  </si>
  <si>
    <t>Maximizar error</t>
  </si>
  <si>
    <t>max</t>
  </si>
  <si>
    <t>Error10^11</t>
  </si>
  <si>
    <t>Porcentual</t>
  </si>
  <si>
    <t>valor / literatu = 0.7</t>
  </si>
  <si>
    <t>Dividiendolo</t>
  </si>
  <si>
    <t>q/m [10^11]</t>
  </si>
  <si>
    <t>Corriente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</si>
</sst>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E+00"/>
  </numFmts>
  <fonts count="7" x14ac:knownFonts="1">
    <font>
      <sz val="10"/>
      <color rgb="FF000000"/>
      <name val="Arial"/>
      <scheme val="minor"/>
    </font>
    <font>
      <b/>
      <sz val="14"/>
      <color theme="1"/>
      <name val="Impact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Inconsolata"/>
    </font>
    <font>
      <sz val="11"/>
      <color rgb="FFBBBBBB"/>
      <name val="Consolas"/>
      <family val="3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2" borderId="0" xfId="0" applyFont="1" applyFill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0" borderId="0" xfId="0" applyFont="1" applyAlignment="1"/>
    <xf numFmtId="0" fontId="4" fillId="0" borderId="0" xfId="0" applyFont="1"/>
    <xf numFmtId="0" fontId="2" fillId="0" borderId="0" xfId="0" applyFont="1"/>
    <xf numFmtId="11" fontId="2" fillId="0" borderId="0" xfId="0" applyNumberFormat="1" applyFont="1"/>
    <xf numFmtId="11" fontId="2" fillId="0" borderId="0" xfId="0" applyNumberFormat="1" applyFont="1" applyAlignment="1"/>
    <xf numFmtId="164" fontId="2" fillId="0" borderId="0" xfId="0" applyNumberFormat="1" applyFont="1" applyAlignment="1"/>
    <xf numFmtId="0" fontId="0" fillId="8" borderId="0" xfId="0" applyFont="1" applyFill="1" applyAlignment="1"/>
    <xf numFmtId="0" fontId="2" fillId="9" borderId="0" xfId="0" applyFont="1" applyFill="1" applyAlignment="1"/>
    <xf numFmtId="11" fontId="2" fillId="10" borderId="0" xfId="0" applyNumberFormat="1" applyFont="1" applyFill="1"/>
    <xf numFmtId="11" fontId="2" fillId="10" borderId="0" xfId="0" applyNumberFormat="1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2" fontId="0" fillId="0" borderId="0" xfId="0" applyNumberFormat="1" applyFont="1" applyAlignment="1"/>
    <xf numFmtId="0" fontId="0" fillId="13" borderId="0" xfId="0" applyFont="1" applyFill="1" applyAlignment="1"/>
    <xf numFmtId="11" fontId="0" fillId="0" borderId="0" xfId="0" applyNumberFormat="1" applyFont="1" applyAlignment="1"/>
    <xf numFmtId="0" fontId="5" fillId="0" borderId="0" xfId="0" applyFont="1" applyAlignment="1"/>
    <xf numFmtId="0" fontId="6" fillId="11" borderId="0" xfId="0" applyFont="1" applyFill="1" applyAlignment="1"/>
    <xf numFmtId="0" fontId="6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166" fontId="1" fillId="3" borderId="0" xfId="0" applyNumberFormat="1" applyFont="1" applyFill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165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2"/>
  <sheetViews>
    <sheetView zoomScale="130" zoomScaleNormal="130" workbookViewId="0">
      <selection activeCellId="1" sqref="A9:A18 A1:A7"/>
    </sheetView>
  </sheetViews>
  <sheetFormatPr defaultColWidth="12.5703125" defaultRowHeight="15.75" customHeight="1" x14ac:dyDescent="0.2"/>
  <cols>
    <col min="4" max="4" width="13.7109375" bestFit="1" customWidth="1"/>
    <col min="6" max="6" width="10.8554687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23</v>
      </c>
      <c r="G1" s="4" t="s">
        <v>24</v>
      </c>
      <c r="H1" s="5" t="s">
        <v>5</v>
      </c>
      <c r="I1" s="6" t="s">
        <v>6</v>
      </c>
      <c r="J1" s="7" t="s">
        <v>32</v>
      </c>
      <c r="K1" s="14" t="s">
        <v>31</v>
      </c>
      <c r="M1" t="s">
        <v>33</v>
      </c>
      <c r="N1" t="s">
        <v>38</v>
      </c>
      <c r="O1" t="s">
        <v>39</v>
      </c>
      <c r="P1" t="s">
        <v>41</v>
      </c>
    </row>
    <row r="2" spans="1:16" ht="14.25" x14ac:dyDescent="0.2">
      <c r="A2" s="8">
        <v>140</v>
      </c>
      <c r="B2" s="8">
        <v>-0.89</v>
      </c>
      <c r="C2" s="8">
        <v>5</v>
      </c>
      <c r="D2" s="9">
        <f>2 * A2 / ( G2 * E2*( G2 * E2))</f>
        <v>262163769564.9592</v>
      </c>
      <c r="E2" s="10">
        <f t="shared" ref="E2:E18" si="0">7.344 * 10^(-4) * B2</f>
        <v>-6.5361600000000009E-4</v>
      </c>
      <c r="F2" s="10">
        <f t="shared" ref="F2:F18" si="1">2 * C2</f>
        <v>10</v>
      </c>
      <c r="G2" s="8">
        <f t="shared" ref="G2:G18" si="2">F2 / 200</f>
        <v>0.05</v>
      </c>
      <c r="H2" s="11">
        <f>1.60217646 * 10^(-19) / D2</f>
        <v>6.1113572735801353E-31</v>
      </c>
      <c r="I2" s="12">
        <f>9.10938188 * 10^(-31)</f>
        <v>9.1093818800000024E-31</v>
      </c>
      <c r="J2" s="11">
        <f t="shared" ref="J2:J18" si="3">I2 - H2</f>
        <v>2.9980246064198671E-31</v>
      </c>
      <c r="K2" s="22">
        <f>1.75882017145 * 10^11</f>
        <v>175882017145</v>
      </c>
      <c r="L2" s="22"/>
      <c r="M2" s="22">
        <f>ABS( D2 - K2)</f>
        <v>86281752419.959198</v>
      </c>
      <c r="N2" s="20">
        <f xml:space="preserve"> M2 / 10^(11)</f>
        <v>0.86281752419959201</v>
      </c>
      <c r="O2" s="20">
        <f xml:space="preserve"> 8.65/17.6</f>
        <v>0.49147727272727271</v>
      </c>
      <c r="P2" s="22">
        <f xml:space="preserve"> D2/K2</f>
        <v>1.4905660841314272</v>
      </c>
    </row>
    <row r="3" spans="1:16" ht="12.75" x14ac:dyDescent="0.2">
      <c r="A3" s="8">
        <v>120</v>
      </c>
      <c r="B3" s="8">
        <v>-1</v>
      </c>
      <c r="C3" s="8">
        <v>4</v>
      </c>
      <c r="D3" s="10">
        <f t="shared" ref="D3:D18" si="4">2 * A3 / ( G3 * E3*( G3 * E3))</f>
        <v>278115966793.39844</v>
      </c>
      <c r="E3" s="10">
        <f t="shared" si="0"/>
        <v>-7.3440000000000007E-4</v>
      </c>
      <c r="F3" s="10">
        <f>2 * C3</f>
        <v>8</v>
      </c>
      <c r="G3" s="8">
        <f t="shared" si="2"/>
        <v>0.04</v>
      </c>
      <c r="H3" s="11">
        <f t="shared" ref="H3:H18" si="5">1.60217646 * 10^(-19) / D3</f>
        <v>5.7608215683287061E-31</v>
      </c>
      <c r="I3" s="12">
        <f t="shared" ref="I3:I18" si="6">9.10938188 * 10^(-31)</f>
        <v>9.1093818800000024E-31</v>
      </c>
      <c r="J3" s="11">
        <f t="shared" si="3"/>
        <v>3.3485603116712963E-31</v>
      </c>
      <c r="K3" s="22">
        <f t="shared" ref="K3:K18" si="7">1.75882017145 * 10^11</f>
        <v>175882017145</v>
      </c>
      <c r="L3" s="22"/>
      <c r="M3" s="22">
        <f t="shared" ref="M3:M18" si="8">ABS( D3 - K3)</f>
        <v>102233949648.39844</v>
      </c>
      <c r="N3" s="20">
        <f t="shared" ref="N3:N18" si="9" xml:space="preserve"> M3 / 10^(11)</f>
        <v>1.0223394964839845</v>
      </c>
      <c r="O3" s="20">
        <f>M3/K3</f>
        <v>0.58126436862567421</v>
      </c>
      <c r="P3" s="22">
        <f t="shared" ref="P3:P18" si="10" xml:space="preserve"> D3/K3</f>
        <v>1.5812643686256742</v>
      </c>
    </row>
    <row r="4" spans="1:16" ht="12.75" x14ac:dyDescent="0.2">
      <c r="A4" s="8">
        <v>110</v>
      </c>
      <c r="B4" s="8">
        <v>-0.99</v>
      </c>
      <c r="C4" s="8">
        <v>3.5</v>
      </c>
      <c r="D4" s="10">
        <f t="shared" si="4"/>
        <v>339743273146.7644</v>
      </c>
      <c r="E4" s="10">
        <f t="shared" si="0"/>
        <v>-7.2705600000000001E-4</v>
      </c>
      <c r="F4" s="10">
        <f t="shared" si="1"/>
        <v>7</v>
      </c>
      <c r="G4" s="8">
        <f t="shared" si="2"/>
        <v>3.5000000000000003E-2</v>
      </c>
      <c r="H4" s="11">
        <f t="shared" si="5"/>
        <v>4.7158445409686791E-31</v>
      </c>
      <c r="I4" s="12">
        <f t="shared" si="6"/>
        <v>9.1093818800000024E-31</v>
      </c>
      <c r="J4" s="11">
        <f t="shared" si="3"/>
        <v>4.3935373390313233E-31</v>
      </c>
      <c r="K4" s="22">
        <f t="shared" si="7"/>
        <v>175882017145</v>
      </c>
      <c r="L4" s="22"/>
      <c r="M4" s="22">
        <f t="shared" si="8"/>
        <v>163861256001.7644</v>
      </c>
      <c r="N4" s="20">
        <f t="shared" si="9"/>
        <v>1.638612560017644</v>
      </c>
      <c r="O4" s="20">
        <f t="shared" ref="O4:O18" si="11">M4/K4</f>
        <v>0.93165440481999084</v>
      </c>
      <c r="P4" s="22">
        <f t="shared" si="10"/>
        <v>1.9316544048199908</v>
      </c>
    </row>
    <row r="5" spans="1:16" ht="12.75" x14ac:dyDescent="0.2">
      <c r="A5" s="8">
        <v>100</v>
      </c>
      <c r="B5" s="8">
        <v>-0.99</v>
      </c>
      <c r="C5" s="26">
        <v>3</v>
      </c>
      <c r="D5" s="27">
        <f t="shared" si="4"/>
        <v>420389403641.19849</v>
      </c>
      <c r="E5" s="27">
        <f t="shared" si="0"/>
        <v>-7.2705600000000001E-4</v>
      </c>
      <c r="F5" s="27">
        <f t="shared" si="1"/>
        <v>6</v>
      </c>
      <c r="G5" s="26">
        <f t="shared" si="2"/>
        <v>0.03</v>
      </c>
      <c r="H5" s="11">
        <f t="shared" si="5"/>
        <v>3.8111723229052993E-31</v>
      </c>
      <c r="I5" s="12">
        <f t="shared" si="6"/>
        <v>9.1093818800000024E-31</v>
      </c>
      <c r="J5" s="11">
        <f t="shared" si="3"/>
        <v>5.2982095570947027E-31</v>
      </c>
      <c r="K5" s="22">
        <f t="shared" si="7"/>
        <v>175882017145</v>
      </c>
      <c r="L5" s="22"/>
      <c r="M5" s="22">
        <f t="shared" si="8"/>
        <v>244507386496.19849</v>
      </c>
      <c r="N5" s="20">
        <f t="shared" si="9"/>
        <v>2.445073864961985</v>
      </c>
      <c r="O5" s="20">
        <f t="shared" si="11"/>
        <v>1.390178430206555</v>
      </c>
      <c r="P5" s="22">
        <f t="shared" si="10"/>
        <v>2.390178430206555</v>
      </c>
    </row>
    <row r="6" spans="1:16" ht="12.75" x14ac:dyDescent="0.2">
      <c r="A6" s="8">
        <v>90</v>
      </c>
      <c r="B6" s="8">
        <v>-0.99</v>
      </c>
      <c r="C6" s="26">
        <v>2.5</v>
      </c>
      <c r="D6" s="27">
        <f t="shared" si="4"/>
        <v>544824667118.9931</v>
      </c>
      <c r="E6" s="27">
        <f t="shared" si="0"/>
        <v>-7.2705600000000001E-4</v>
      </c>
      <c r="F6" s="27">
        <f t="shared" si="1"/>
        <v>5</v>
      </c>
      <c r="G6" s="26">
        <f t="shared" si="2"/>
        <v>2.5000000000000001E-2</v>
      </c>
      <c r="H6" s="11">
        <f t="shared" si="5"/>
        <v>2.9407193849577934E-31</v>
      </c>
      <c r="I6" s="12">
        <f t="shared" si="6"/>
        <v>9.1093818800000024E-31</v>
      </c>
      <c r="J6" s="11">
        <f t="shared" si="3"/>
        <v>6.168662495042209E-31</v>
      </c>
      <c r="K6" s="22">
        <f t="shared" si="7"/>
        <v>175882017145</v>
      </c>
      <c r="L6" s="22"/>
      <c r="M6" s="22">
        <f t="shared" si="8"/>
        <v>368942649973.9931</v>
      </c>
      <c r="N6" s="20">
        <f t="shared" si="9"/>
        <v>3.6894264997399309</v>
      </c>
      <c r="O6" s="20">
        <f t="shared" si="11"/>
        <v>2.0976712455476947</v>
      </c>
      <c r="P6" s="22">
        <f t="shared" si="10"/>
        <v>3.0976712455476947</v>
      </c>
    </row>
    <row r="7" spans="1:16" ht="12.75" x14ac:dyDescent="0.2">
      <c r="A7" s="8">
        <v>60</v>
      </c>
      <c r="B7" s="8">
        <v>-0.99</v>
      </c>
      <c r="C7" s="26">
        <v>2</v>
      </c>
      <c r="D7" s="27">
        <f t="shared" si="4"/>
        <v>567525694915.61792</v>
      </c>
      <c r="E7" s="27">
        <f t="shared" si="0"/>
        <v>-7.2705600000000001E-4</v>
      </c>
      <c r="F7" s="27">
        <f t="shared" si="1"/>
        <v>4</v>
      </c>
      <c r="G7" s="26">
        <f t="shared" si="2"/>
        <v>0.02</v>
      </c>
      <c r="H7" s="11">
        <f t="shared" si="5"/>
        <v>2.8230906095594811E-31</v>
      </c>
      <c r="I7" s="12">
        <f t="shared" si="6"/>
        <v>9.1093818800000024E-31</v>
      </c>
      <c r="J7" s="11">
        <f t="shared" si="3"/>
        <v>6.2862912704405213E-31</v>
      </c>
      <c r="K7" s="22">
        <f t="shared" si="7"/>
        <v>175882017145</v>
      </c>
      <c r="L7" s="22"/>
      <c r="M7" s="22">
        <f t="shared" si="8"/>
        <v>391643677770.61792</v>
      </c>
      <c r="N7" s="20">
        <f t="shared" si="9"/>
        <v>3.916436777706179</v>
      </c>
      <c r="O7" s="20">
        <f t="shared" si="11"/>
        <v>2.2267408807788489</v>
      </c>
      <c r="P7" s="22">
        <f t="shared" si="10"/>
        <v>3.2267408807788489</v>
      </c>
    </row>
    <row r="8" spans="1:16" ht="12.75" x14ac:dyDescent="0.2">
      <c r="A8" s="8">
        <v>40</v>
      </c>
      <c r="B8" s="8">
        <v>-0.98</v>
      </c>
      <c r="C8" s="26">
        <v>1.5</v>
      </c>
      <c r="D8" s="27"/>
      <c r="E8" s="27"/>
      <c r="F8" s="27"/>
      <c r="G8" s="26"/>
      <c r="H8" s="11"/>
      <c r="I8" s="12"/>
      <c r="J8" s="11"/>
      <c r="K8" s="22"/>
      <c r="L8" s="22"/>
      <c r="M8" s="22"/>
      <c r="N8" s="20"/>
      <c r="O8" s="20"/>
      <c r="P8" s="22"/>
    </row>
    <row r="9" spans="1:16" ht="12.75" x14ac:dyDescent="0.2">
      <c r="A9" s="8">
        <v>290</v>
      </c>
      <c r="B9" s="8">
        <v>-1.4</v>
      </c>
      <c r="C9" s="8">
        <v>4.5</v>
      </c>
      <c r="D9" s="10">
        <f t="shared" si="4"/>
        <v>270945260334.54471</v>
      </c>
      <c r="E9" s="10">
        <f t="shared" si="0"/>
        <v>-1.02816E-3</v>
      </c>
      <c r="F9" s="10">
        <f t="shared" si="1"/>
        <v>9</v>
      </c>
      <c r="G9" s="8">
        <f t="shared" si="2"/>
        <v>4.4999999999999998E-2</v>
      </c>
      <c r="H9" s="11">
        <f t="shared" si="5"/>
        <v>5.913284690869815E-31</v>
      </c>
      <c r="I9" s="12">
        <f t="shared" si="6"/>
        <v>9.1093818800000024E-31</v>
      </c>
      <c r="J9" s="11">
        <f t="shared" si="3"/>
        <v>3.1960971891301873E-31</v>
      </c>
      <c r="K9" s="22">
        <f t="shared" si="7"/>
        <v>175882017145</v>
      </c>
      <c r="L9" s="22"/>
      <c r="M9" s="22">
        <f t="shared" si="8"/>
        <v>95063243189.544708</v>
      </c>
      <c r="N9" s="20">
        <f t="shared" si="9"/>
        <v>0.95063243189544711</v>
      </c>
      <c r="O9" s="20">
        <f t="shared" si="11"/>
        <v>0.54049438784394321</v>
      </c>
      <c r="P9" s="22">
        <f t="shared" si="10"/>
        <v>1.5404943878439432</v>
      </c>
    </row>
    <row r="10" spans="1:16" ht="12.75" x14ac:dyDescent="0.2">
      <c r="A10" s="8">
        <v>240</v>
      </c>
      <c r="B10" s="8">
        <v>-1.4</v>
      </c>
      <c r="C10" s="8">
        <v>4</v>
      </c>
      <c r="D10" s="10">
        <f t="shared" si="4"/>
        <v>283791802850.40668</v>
      </c>
      <c r="E10" s="10">
        <f t="shared" si="0"/>
        <v>-1.02816E-3</v>
      </c>
      <c r="F10" s="10">
        <f t="shared" si="1"/>
        <v>8</v>
      </c>
      <c r="G10" s="8">
        <f t="shared" si="2"/>
        <v>0.04</v>
      </c>
      <c r="H10" s="11">
        <f t="shared" si="5"/>
        <v>5.6456051369621294E-31</v>
      </c>
      <c r="I10" s="12">
        <f t="shared" si="6"/>
        <v>9.1093818800000024E-31</v>
      </c>
      <c r="J10" s="11">
        <f t="shared" si="3"/>
        <v>3.463776743037873E-31</v>
      </c>
      <c r="K10" s="22">
        <f t="shared" si="7"/>
        <v>175882017145</v>
      </c>
      <c r="L10" s="22"/>
      <c r="M10" s="22">
        <f t="shared" si="8"/>
        <v>107909785705.40668</v>
      </c>
      <c r="N10" s="20">
        <f t="shared" si="9"/>
        <v>1.0790978570540668</v>
      </c>
      <c r="O10" s="20">
        <f t="shared" si="11"/>
        <v>0.61353507002619878</v>
      </c>
      <c r="P10" s="22">
        <f t="shared" si="10"/>
        <v>1.6135350700261988</v>
      </c>
    </row>
    <row r="11" spans="1:16" ht="12.75" x14ac:dyDescent="0.2">
      <c r="A11" s="8">
        <v>180</v>
      </c>
      <c r="B11" s="8">
        <v>-1.4</v>
      </c>
      <c r="C11" s="8">
        <v>3.5</v>
      </c>
      <c r="D11" s="10">
        <f t="shared" si="4"/>
        <v>278000133404.47998</v>
      </c>
      <c r="E11" s="10">
        <f>7.344 * 10^(-4) * B11</f>
        <v>-1.02816E-3</v>
      </c>
      <c r="F11" s="10">
        <f t="shared" si="1"/>
        <v>7</v>
      </c>
      <c r="G11" s="8">
        <f t="shared" si="2"/>
        <v>3.5000000000000003E-2</v>
      </c>
      <c r="H11" s="11">
        <f t="shared" si="5"/>
        <v>5.7632219106488414E-31</v>
      </c>
      <c r="I11" s="12">
        <f t="shared" si="6"/>
        <v>9.1093818800000024E-31</v>
      </c>
      <c r="J11" s="11">
        <f t="shared" si="3"/>
        <v>3.346159969351161E-31</v>
      </c>
      <c r="K11" s="22">
        <f t="shared" si="7"/>
        <v>175882017145</v>
      </c>
      <c r="L11" s="22"/>
      <c r="M11" s="22">
        <f t="shared" si="8"/>
        <v>102118116259.47998</v>
      </c>
      <c r="N11" s="20">
        <f t="shared" si="9"/>
        <v>1.0211811625947997</v>
      </c>
      <c r="O11" s="20">
        <f t="shared" si="11"/>
        <v>0.58060578288280684</v>
      </c>
      <c r="P11" s="22">
        <f t="shared" si="10"/>
        <v>1.5806057828828068</v>
      </c>
    </row>
    <row r="12" spans="1:16" ht="12.75" x14ac:dyDescent="0.2">
      <c r="A12" s="8">
        <v>140</v>
      </c>
      <c r="B12" s="8">
        <v>-1.4</v>
      </c>
      <c r="C12" s="8">
        <v>3</v>
      </c>
      <c r="D12" s="10">
        <f t="shared" si="4"/>
        <v>294302610363.3847</v>
      </c>
      <c r="E12" s="10">
        <f t="shared" si="0"/>
        <v>-1.02816E-3</v>
      </c>
      <c r="F12" s="10">
        <f t="shared" si="1"/>
        <v>6</v>
      </c>
      <c r="G12" s="8">
        <f t="shared" si="2"/>
        <v>0.03</v>
      </c>
      <c r="H12" s="11">
        <f t="shared" si="5"/>
        <v>5.4439763820706251E-31</v>
      </c>
      <c r="I12" s="12">
        <f t="shared" si="6"/>
        <v>9.1093818800000024E-31</v>
      </c>
      <c r="J12" s="11">
        <f t="shared" si="3"/>
        <v>3.6654054979293773E-31</v>
      </c>
      <c r="K12" s="22">
        <f t="shared" si="7"/>
        <v>175882017145</v>
      </c>
      <c r="L12" s="22"/>
      <c r="M12" s="22">
        <f t="shared" si="8"/>
        <v>118420593218.3847</v>
      </c>
      <c r="N12" s="20">
        <f t="shared" si="9"/>
        <v>1.184205932183847</v>
      </c>
      <c r="O12" s="20">
        <f t="shared" si="11"/>
        <v>0.6732956281753173</v>
      </c>
      <c r="P12" s="22">
        <f t="shared" si="10"/>
        <v>1.6732956281753173</v>
      </c>
    </row>
    <row r="13" spans="1:16" ht="12.75" x14ac:dyDescent="0.2">
      <c r="A13" s="8">
        <v>100</v>
      </c>
      <c r="B13" s="8">
        <v>-1.4</v>
      </c>
      <c r="C13" s="8">
        <v>2.5</v>
      </c>
      <c r="D13" s="10">
        <f t="shared" si="4"/>
        <v>302711256373.76715</v>
      </c>
      <c r="E13" s="10">
        <f t="shared" si="0"/>
        <v>-1.02816E-3</v>
      </c>
      <c r="F13" s="10">
        <f t="shared" si="1"/>
        <v>5</v>
      </c>
      <c r="G13" s="8">
        <f t="shared" si="2"/>
        <v>2.5000000000000001E-2</v>
      </c>
      <c r="H13" s="11">
        <f t="shared" si="5"/>
        <v>5.292754815901996E-31</v>
      </c>
      <c r="I13" s="12">
        <f t="shared" si="6"/>
        <v>9.1093818800000024E-31</v>
      </c>
      <c r="J13" s="11">
        <f t="shared" si="3"/>
        <v>3.8166270640980064E-31</v>
      </c>
      <c r="K13" s="22">
        <f t="shared" si="7"/>
        <v>175882017145</v>
      </c>
      <c r="L13" s="22"/>
      <c r="M13" s="22">
        <f t="shared" si="8"/>
        <v>126829239228.76715</v>
      </c>
      <c r="N13" s="20">
        <f t="shared" si="9"/>
        <v>1.2682923922876714</v>
      </c>
      <c r="O13" s="20">
        <f t="shared" si="11"/>
        <v>0.72110407469461224</v>
      </c>
      <c r="P13" s="22">
        <f t="shared" si="10"/>
        <v>1.7211040746946122</v>
      </c>
    </row>
    <row r="14" spans="1:16" ht="12.75" x14ac:dyDescent="0.2">
      <c r="A14" s="8">
        <v>80</v>
      </c>
      <c r="B14" s="8">
        <v>-1.42</v>
      </c>
      <c r="C14" s="8">
        <v>2</v>
      </c>
      <c r="D14" s="10">
        <f t="shared" si="4"/>
        <v>367805285715.00171</v>
      </c>
      <c r="E14" s="10">
        <f t="shared" si="0"/>
        <v>-1.0428480000000001E-3</v>
      </c>
      <c r="F14" s="10">
        <f t="shared" si="1"/>
        <v>4</v>
      </c>
      <c r="G14" s="8">
        <f t="shared" si="2"/>
        <v>0.02</v>
      </c>
      <c r="H14" s="11">
        <f t="shared" si="5"/>
        <v>4.3560452288917491E-31</v>
      </c>
      <c r="I14" s="12">
        <f t="shared" si="6"/>
        <v>9.1093818800000024E-31</v>
      </c>
      <c r="J14" s="11">
        <f t="shared" si="3"/>
        <v>4.7533366511082533E-31</v>
      </c>
      <c r="K14" s="22">
        <f t="shared" si="7"/>
        <v>175882017145</v>
      </c>
      <c r="L14" s="22"/>
      <c r="M14" s="22">
        <f t="shared" si="8"/>
        <v>191923268570.00171</v>
      </c>
      <c r="N14" s="20">
        <f t="shared" si="9"/>
        <v>1.919232685700017</v>
      </c>
      <c r="O14" s="20">
        <f t="shared" si="11"/>
        <v>1.0912046136688156</v>
      </c>
      <c r="P14" s="22">
        <f t="shared" si="10"/>
        <v>2.0912046136688156</v>
      </c>
    </row>
    <row r="15" spans="1:16" ht="12.75" x14ac:dyDescent="0.2">
      <c r="A15" s="8">
        <v>80</v>
      </c>
      <c r="B15" s="8">
        <v>-2</v>
      </c>
      <c r="C15" s="8">
        <v>1.5</v>
      </c>
      <c r="D15" s="10">
        <f t="shared" si="4"/>
        <v>329618923606.99084</v>
      </c>
      <c r="E15" s="10">
        <f t="shared" si="0"/>
        <v>-1.4688000000000001E-3</v>
      </c>
      <c r="F15" s="10">
        <f t="shared" si="1"/>
        <v>3</v>
      </c>
      <c r="G15" s="8">
        <f t="shared" si="2"/>
        <v>1.4999999999999999E-2</v>
      </c>
      <c r="H15" s="11">
        <f t="shared" si="5"/>
        <v>4.8606931982773435E-31</v>
      </c>
      <c r="I15" s="12">
        <f t="shared" si="6"/>
        <v>9.1093818800000024E-31</v>
      </c>
      <c r="J15" s="11">
        <f t="shared" si="3"/>
        <v>4.2486886817226589E-31</v>
      </c>
      <c r="K15" s="22">
        <f t="shared" si="7"/>
        <v>175882017145</v>
      </c>
      <c r="L15" s="22"/>
      <c r="M15" s="22">
        <f t="shared" si="8"/>
        <v>153736906461.99084</v>
      </c>
      <c r="N15" s="20">
        <f t="shared" si="9"/>
        <v>1.5373690646199085</v>
      </c>
      <c r="O15" s="20">
        <f t="shared" si="11"/>
        <v>0.87409110355635522</v>
      </c>
      <c r="P15" s="22">
        <f t="shared" si="10"/>
        <v>1.8740911035563552</v>
      </c>
    </row>
    <row r="16" spans="1:16" ht="12.75" x14ac:dyDescent="0.2">
      <c r="A16" s="8">
        <v>100</v>
      </c>
      <c r="B16" s="8">
        <v>-2</v>
      </c>
      <c r="C16" s="8">
        <v>2</v>
      </c>
      <c r="D16" s="10">
        <f t="shared" si="4"/>
        <v>231763305661.16537</v>
      </c>
      <c r="E16" s="10">
        <f t="shared" si="0"/>
        <v>-1.4688000000000001E-3</v>
      </c>
      <c r="F16" s="10">
        <f t="shared" si="1"/>
        <v>4</v>
      </c>
      <c r="G16" s="8">
        <f t="shared" si="2"/>
        <v>0.02</v>
      </c>
      <c r="H16" s="11">
        <f t="shared" si="5"/>
        <v>6.9129858819944465E-31</v>
      </c>
      <c r="I16" s="12">
        <f t="shared" si="6"/>
        <v>9.1093818800000024E-31</v>
      </c>
      <c r="J16" s="11">
        <f t="shared" si="3"/>
        <v>2.1963959980055559E-31</v>
      </c>
      <c r="K16" s="22">
        <f t="shared" si="7"/>
        <v>175882017145</v>
      </c>
      <c r="L16" s="22"/>
      <c r="M16" s="22">
        <f t="shared" si="8"/>
        <v>55881288516.165375</v>
      </c>
      <c r="N16" s="20">
        <f t="shared" si="9"/>
        <v>0.55881288516165373</v>
      </c>
      <c r="O16" s="20">
        <f t="shared" si="11"/>
        <v>0.31772030718806193</v>
      </c>
      <c r="P16" s="22">
        <f t="shared" si="10"/>
        <v>1.3177203071880619</v>
      </c>
    </row>
    <row r="17" spans="1:16" ht="12.75" x14ac:dyDescent="0.2">
      <c r="A17" s="8">
        <v>180</v>
      </c>
      <c r="B17" s="8">
        <v>-2</v>
      </c>
      <c r="C17" s="8">
        <v>2.5</v>
      </c>
      <c r="D17" s="10">
        <f t="shared" si="4"/>
        <v>266991328121.66248</v>
      </c>
      <c r="E17" s="10">
        <f t="shared" si="0"/>
        <v>-1.4688000000000001E-3</v>
      </c>
      <c r="F17" s="10">
        <f t="shared" si="1"/>
        <v>5</v>
      </c>
      <c r="G17" s="8">
        <f t="shared" si="2"/>
        <v>2.5000000000000001E-2</v>
      </c>
      <c r="H17" s="11">
        <f t="shared" si="5"/>
        <v>6.0008558003424023E-31</v>
      </c>
      <c r="I17" s="12">
        <f t="shared" si="6"/>
        <v>9.1093818800000024E-31</v>
      </c>
      <c r="J17" s="11">
        <f t="shared" si="3"/>
        <v>3.1085260796576E-31</v>
      </c>
      <c r="K17" s="22">
        <f t="shared" si="7"/>
        <v>175882017145</v>
      </c>
      <c r="L17" s="22"/>
      <c r="M17" s="22">
        <f>ABS( D17 - K17)</f>
        <v>91109310976.662476</v>
      </c>
      <c r="N17" s="20">
        <f t="shared" si="9"/>
        <v>0.91109310976662472</v>
      </c>
      <c r="O17" s="20">
        <f t="shared" si="11"/>
        <v>0.51801379388064717</v>
      </c>
      <c r="P17" s="22">
        <f t="shared" si="10"/>
        <v>1.5180137938806471</v>
      </c>
    </row>
    <row r="18" spans="1:16" ht="12.75" x14ac:dyDescent="0.2">
      <c r="A18" s="8">
        <v>240</v>
      </c>
      <c r="B18" s="8">
        <v>-1.98</v>
      </c>
      <c r="C18" s="26">
        <v>2</v>
      </c>
      <c r="D18" s="27">
        <f t="shared" si="4"/>
        <v>567525694915.61792</v>
      </c>
      <c r="E18" s="27">
        <f t="shared" si="0"/>
        <v>-1.454112E-3</v>
      </c>
      <c r="F18" s="27">
        <f t="shared" si="1"/>
        <v>4</v>
      </c>
      <c r="G18" s="26">
        <f t="shared" si="2"/>
        <v>0.02</v>
      </c>
      <c r="H18" s="11">
        <f t="shared" si="5"/>
        <v>2.8230906095594811E-31</v>
      </c>
      <c r="I18" s="12">
        <f t="shared" si="6"/>
        <v>9.1093818800000024E-31</v>
      </c>
      <c r="J18" s="11">
        <f t="shared" si="3"/>
        <v>6.2862912704405213E-31</v>
      </c>
      <c r="K18" s="22">
        <f t="shared" si="7"/>
        <v>175882017145</v>
      </c>
      <c r="L18" s="22"/>
      <c r="M18" s="22">
        <f t="shared" si="8"/>
        <v>391643677770.61792</v>
      </c>
      <c r="N18" s="20">
        <f t="shared" si="9"/>
        <v>3.916436777706179</v>
      </c>
      <c r="O18" s="20">
        <f t="shared" si="11"/>
        <v>2.2267408807788489</v>
      </c>
      <c r="P18" s="22">
        <f t="shared" si="10"/>
        <v>3.2267408807788489</v>
      </c>
    </row>
    <row r="20" spans="1:16" ht="15.75" customHeight="1" x14ac:dyDescent="0.2">
      <c r="A20" s="14" t="s">
        <v>21</v>
      </c>
      <c r="B20" s="14"/>
      <c r="C20" s="14"/>
      <c r="D20" s="14"/>
      <c r="E20" s="14"/>
      <c r="F20" s="14"/>
      <c r="G20" s="14"/>
      <c r="H20" s="14"/>
      <c r="I20" s="14"/>
      <c r="J20" s="14"/>
      <c r="O20" s="20">
        <f xml:space="preserve"> MEDIAN(O2:O18)</f>
        <v>0.69719985143496477</v>
      </c>
      <c r="P20" s="20">
        <f xml:space="preserve"> MEDIAN(P2:P18)</f>
        <v>1.6971998514349647</v>
      </c>
    </row>
    <row r="21" spans="1:16" ht="15.75" customHeight="1" x14ac:dyDescent="0.2">
      <c r="A21" s="15">
        <v>5</v>
      </c>
      <c r="B21" s="15">
        <v>0.01</v>
      </c>
      <c r="C21" s="15">
        <v>0.25</v>
      </c>
      <c r="D21" t="s">
        <v>22</v>
      </c>
      <c r="E21" s="16">
        <f t="shared" ref="E21" si="12">7.344 * 10^(-4) * B21</f>
        <v>7.3440000000000012E-6</v>
      </c>
      <c r="F21" s="10">
        <f t="shared" ref="F21" si="13">2 * C21</f>
        <v>0.5</v>
      </c>
      <c r="G21" s="17">
        <f t="shared" ref="G21" si="14">F21 / 200</f>
        <v>2.5000000000000001E-3</v>
      </c>
      <c r="N21" t="s">
        <v>40</v>
      </c>
      <c r="O21">
        <v>1.7</v>
      </c>
    </row>
    <row r="23" spans="1:16" ht="15.75" customHeight="1" x14ac:dyDescent="0.2">
      <c r="A23" s="24" t="s">
        <v>36</v>
      </c>
      <c r="B23" s="18"/>
      <c r="C23" s="18"/>
      <c r="D23" s="18"/>
      <c r="E23" s="18"/>
      <c r="F23" s="18"/>
      <c r="G23" s="18"/>
      <c r="H23" s="18"/>
      <c r="I23" s="18"/>
      <c r="J23" s="18"/>
      <c r="L23" t="s">
        <v>34</v>
      </c>
    </row>
    <row r="24" spans="1:16" ht="15.75" customHeight="1" x14ac:dyDescent="0.2">
      <c r="A24">
        <f>MAX(A2:A18)</f>
        <v>290</v>
      </c>
      <c r="B24">
        <f t="shared" ref="B24:H24" si="15">MAX(B2:B18)</f>
        <v>-0.89</v>
      </c>
      <c r="C24">
        <f t="shared" si="15"/>
        <v>5</v>
      </c>
      <c r="D24">
        <f t="shared" si="15"/>
        <v>567525694915.61792</v>
      </c>
      <c r="E24">
        <f t="shared" si="15"/>
        <v>-6.5361600000000009E-4</v>
      </c>
      <c r="F24">
        <f t="shared" si="15"/>
        <v>10</v>
      </c>
      <c r="G24">
        <f>MIN(G2:G18)</f>
        <v>1.4999999999999999E-2</v>
      </c>
      <c r="H24">
        <f t="shared" si="15"/>
        <v>6.9129858819944465E-31</v>
      </c>
      <c r="J24">
        <f>MAX(J2:J18)</f>
        <v>6.2862912704405213E-31</v>
      </c>
      <c r="L24">
        <v>3.0271125637376701</v>
      </c>
    </row>
    <row r="25" spans="1:16" ht="15.75" customHeight="1" x14ac:dyDescent="0.2">
      <c r="A25" s="21" t="s">
        <v>30</v>
      </c>
      <c r="B25" s="21"/>
      <c r="C25" s="21"/>
      <c r="D25" s="21"/>
      <c r="E25" s="21"/>
      <c r="F25" s="21"/>
      <c r="G25" s="21"/>
    </row>
    <row r="26" spans="1:16" ht="15.75" customHeight="1" x14ac:dyDescent="0.2">
      <c r="A26">
        <f>MEDIAN(A2:A18)</f>
        <v>110</v>
      </c>
      <c r="B26">
        <f t="shared" ref="B26:G26" si="16">MEDIAN(B2:B18)</f>
        <v>-1.4</v>
      </c>
      <c r="C26">
        <f t="shared" si="16"/>
        <v>2.5</v>
      </c>
      <c r="D26">
        <f t="shared" si="16"/>
        <v>298506933368.57593</v>
      </c>
      <c r="E26">
        <f t="shared" si="16"/>
        <v>-1.02816E-3</v>
      </c>
      <c r="F26">
        <f t="shared" si="16"/>
        <v>5.5</v>
      </c>
      <c r="G26">
        <f t="shared" si="16"/>
        <v>2.75E-2</v>
      </c>
    </row>
    <row r="27" spans="1:16" ht="15.75" customHeight="1" x14ac:dyDescent="0.25">
      <c r="A27" s="19" t="s">
        <v>26</v>
      </c>
      <c r="B27" s="19"/>
      <c r="C27" s="19"/>
      <c r="D27" s="2" t="s">
        <v>3</v>
      </c>
      <c r="E27" s="19"/>
      <c r="F27" s="19"/>
      <c r="G27" s="19"/>
      <c r="H27" s="5" t="s">
        <v>5</v>
      </c>
      <c r="I27" s="19"/>
      <c r="J27" s="7" t="s">
        <v>7</v>
      </c>
    </row>
    <row r="28" spans="1:16" ht="15.75" customHeight="1" x14ac:dyDescent="0.2">
      <c r="A28" t="s">
        <v>25</v>
      </c>
      <c r="D28">
        <f>MEDIAN(D2:D18)</f>
        <v>298506933368.57593</v>
      </c>
      <c r="H28">
        <f>MEDIAN(H2:H18)</f>
        <v>5.3683655989863105E-31</v>
      </c>
      <c r="J28">
        <f>MEDIAN(J2:J18)</f>
        <v>3.7410162810136918E-31</v>
      </c>
      <c r="L28">
        <v>-1.02816E-3</v>
      </c>
    </row>
    <row r="29" spans="1:16" ht="15.75" customHeight="1" x14ac:dyDescent="0.2">
      <c r="A29" t="s">
        <v>27</v>
      </c>
      <c r="D29">
        <f>AVERAGE(D2:D18)</f>
        <v>350388648532.99707</v>
      </c>
      <c r="H29">
        <f>AVERAGE(H2:H18)</f>
        <v>4.9484699597386816E-31</v>
      </c>
      <c r="J29">
        <f>AVERAGE(J2:J18)</f>
        <v>4.160911920261319E-31</v>
      </c>
    </row>
    <row r="30" spans="1:16" ht="15.75" customHeight="1" x14ac:dyDescent="0.2">
      <c r="A30" s="19" t="s">
        <v>28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6" ht="15.75" customHeight="1" x14ac:dyDescent="0.2">
      <c r="D31">
        <f>_xlfn.STDEV.S(D2:D18)</f>
        <v>113516468916.38914</v>
      </c>
      <c r="H31">
        <f>_xlfn.STDEV.S(H2:H18)</f>
        <v>1.2700544503449462E-31</v>
      </c>
      <c r="J31">
        <f>_xlfn.STDEV.S(J2:J18)</f>
        <v>1.2700544503449462E-31</v>
      </c>
      <c r="L31" t="s">
        <v>35</v>
      </c>
      <c r="M31" s="25" t="s">
        <v>37</v>
      </c>
    </row>
    <row r="32" spans="1:16" ht="15.75" customHeight="1" x14ac:dyDescent="0.25">
      <c r="G32" t="s">
        <v>29</v>
      </c>
      <c r="H32">
        <f>3*H31</f>
        <v>3.8101633510348387E-31</v>
      </c>
      <c r="L32" s="23">
        <v>68473825279.374603</v>
      </c>
      <c r="M32" s="23">
        <v>2018931854086.74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6B66-C8A0-4ECE-AC5B-6336266A554F}">
  <dimension ref="A1:D18"/>
  <sheetViews>
    <sheetView tabSelected="1" workbookViewId="0">
      <selection sqref="A1:D17"/>
    </sheetView>
  </sheetViews>
  <sheetFormatPr defaultRowHeight="12.75" x14ac:dyDescent="0.2"/>
  <cols>
    <col min="1" max="1" width="11.85546875" customWidth="1"/>
    <col min="2" max="2" width="19.5703125" customWidth="1"/>
    <col min="3" max="3" width="17.28515625" customWidth="1"/>
    <col min="4" max="4" width="13.7109375" customWidth="1"/>
  </cols>
  <sheetData>
    <row r="1" spans="1:4" ht="18" x14ac:dyDescent="0.25">
      <c r="A1" s="1" t="s">
        <v>0</v>
      </c>
      <c r="B1" s="1" t="s">
        <v>43</v>
      </c>
      <c r="C1" s="4" t="s">
        <v>24</v>
      </c>
      <c r="D1" s="28" t="s">
        <v>42</v>
      </c>
    </row>
    <row r="2" spans="1:4" x14ac:dyDescent="0.2">
      <c r="A2" s="8">
        <v>140</v>
      </c>
      <c r="B2" s="29">
        <v>-0.89</v>
      </c>
      <c r="C2" s="30">
        <v>0.05</v>
      </c>
      <c r="D2" s="20">
        <v>2.6216376956495919</v>
      </c>
    </row>
    <row r="3" spans="1:4" x14ac:dyDescent="0.2">
      <c r="A3" s="8">
        <v>120</v>
      </c>
      <c r="B3" s="29">
        <v>-1</v>
      </c>
      <c r="C3" s="30">
        <v>0.04</v>
      </c>
      <c r="D3" s="20">
        <v>2.7811596679339843</v>
      </c>
    </row>
    <row r="4" spans="1:4" x14ac:dyDescent="0.2">
      <c r="A4" s="8">
        <v>110</v>
      </c>
      <c r="B4" s="29">
        <v>-0.99</v>
      </c>
      <c r="C4" s="30">
        <v>3.5000000000000003E-2</v>
      </c>
      <c r="D4" s="20">
        <v>3.397432731467644</v>
      </c>
    </row>
    <row r="5" spans="1:4" x14ac:dyDescent="0.2">
      <c r="A5" s="8">
        <v>100</v>
      </c>
      <c r="B5" s="29">
        <v>-0.99</v>
      </c>
      <c r="C5" s="31">
        <v>0.03</v>
      </c>
      <c r="D5" s="20">
        <v>4.2038940364119846</v>
      </c>
    </row>
    <row r="6" spans="1:4" x14ac:dyDescent="0.2">
      <c r="A6" s="8">
        <v>90</v>
      </c>
      <c r="B6" s="29">
        <v>-0.99</v>
      </c>
      <c r="C6" s="31">
        <v>2.5000000000000001E-2</v>
      </c>
      <c r="D6" s="20">
        <v>5.4482466711899313</v>
      </c>
    </row>
    <row r="7" spans="1:4" x14ac:dyDescent="0.2">
      <c r="A7" s="8">
        <v>60</v>
      </c>
      <c r="B7" s="29">
        <v>-0.99</v>
      </c>
      <c r="C7" s="31">
        <v>0.02</v>
      </c>
      <c r="D7" s="20">
        <v>5.6752569491561795</v>
      </c>
    </row>
    <row r="8" spans="1:4" x14ac:dyDescent="0.2">
      <c r="A8" s="8">
        <v>290</v>
      </c>
      <c r="B8" s="29">
        <v>-1.4</v>
      </c>
      <c r="C8" s="30">
        <v>4.4999999999999998E-2</v>
      </c>
      <c r="D8" s="20">
        <v>2.7094526033454471</v>
      </c>
    </row>
    <row r="9" spans="1:4" x14ac:dyDescent="0.2">
      <c r="A9" s="8">
        <v>240</v>
      </c>
      <c r="B9" s="29">
        <v>-1.4</v>
      </c>
      <c r="C9" s="30">
        <v>0.04</v>
      </c>
      <c r="D9" s="20">
        <v>2.8379180285040668</v>
      </c>
    </row>
    <row r="10" spans="1:4" x14ac:dyDescent="0.2">
      <c r="A10" s="8">
        <v>180</v>
      </c>
      <c r="B10" s="29">
        <v>-1.4</v>
      </c>
      <c r="C10" s="30">
        <v>3.5000000000000003E-2</v>
      </c>
      <c r="D10" s="20">
        <v>2.7800013340447998</v>
      </c>
    </row>
    <row r="11" spans="1:4" x14ac:dyDescent="0.2">
      <c r="A11" s="8">
        <v>140</v>
      </c>
      <c r="B11" s="29">
        <v>-1.4</v>
      </c>
      <c r="C11" s="30">
        <v>0.03</v>
      </c>
      <c r="D11" s="20">
        <v>2.943026103633847</v>
      </c>
    </row>
    <row r="12" spans="1:4" x14ac:dyDescent="0.2">
      <c r="A12" s="8">
        <v>100</v>
      </c>
      <c r="B12" s="29">
        <v>-1.4</v>
      </c>
      <c r="C12" s="30">
        <v>2.5000000000000001E-2</v>
      </c>
      <c r="D12" s="20">
        <v>3.0271125637376715</v>
      </c>
    </row>
    <row r="13" spans="1:4" x14ac:dyDescent="0.2">
      <c r="A13" s="8">
        <v>80</v>
      </c>
      <c r="B13" s="29">
        <v>-1.42</v>
      </c>
      <c r="C13" s="30">
        <v>0.02</v>
      </c>
      <c r="D13" s="20">
        <v>3.6780528571500173</v>
      </c>
    </row>
    <row r="14" spans="1:4" x14ac:dyDescent="0.2">
      <c r="A14" s="8">
        <v>80</v>
      </c>
      <c r="B14" s="29">
        <v>-2</v>
      </c>
      <c r="C14" s="30">
        <v>1.4999999999999999E-2</v>
      </c>
      <c r="D14" s="20">
        <v>3.2961892360699085</v>
      </c>
    </row>
    <row r="15" spans="1:4" x14ac:dyDescent="0.2">
      <c r="A15" s="8">
        <v>100</v>
      </c>
      <c r="B15" s="29">
        <v>-2</v>
      </c>
      <c r="C15" s="30">
        <v>0.02</v>
      </c>
      <c r="D15" s="20">
        <v>2.3176330566116539</v>
      </c>
    </row>
    <row r="16" spans="1:4" x14ac:dyDescent="0.2">
      <c r="A16" s="8">
        <v>180</v>
      </c>
      <c r="B16" s="29">
        <v>-2</v>
      </c>
      <c r="C16" s="30">
        <v>2.5000000000000001E-2</v>
      </c>
      <c r="D16" s="20">
        <v>2.6699132812166249</v>
      </c>
    </row>
    <row r="17" spans="1:4" x14ac:dyDescent="0.2">
      <c r="A17" s="8">
        <v>240</v>
      </c>
      <c r="B17" s="29">
        <v>-1.98</v>
      </c>
      <c r="C17" s="31">
        <v>0.02</v>
      </c>
      <c r="D17" s="20">
        <v>5.6752569491561795</v>
      </c>
    </row>
    <row r="18" spans="1:4" x14ac:dyDescent="0.2">
      <c r="D1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2.5703125" defaultRowHeight="15.75" customHeight="1" x14ac:dyDescent="0.2"/>
  <cols>
    <col min="1" max="1" width="22.5703125" customWidth="1"/>
  </cols>
  <sheetData>
    <row r="1" spans="1:2" x14ac:dyDescent="0.2">
      <c r="A1" s="8" t="s">
        <v>8</v>
      </c>
      <c r="B1" s="8">
        <v>124</v>
      </c>
    </row>
    <row r="2" spans="1:2" x14ac:dyDescent="0.2">
      <c r="A2" s="8" t="s">
        <v>9</v>
      </c>
      <c r="B2" s="8" t="s">
        <v>10</v>
      </c>
    </row>
    <row r="3" spans="1:2" x14ac:dyDescent="0.2">
      <c r="A3" s="8" t="s">
        <v>11</v>
      </c>
      <c r="B3" s="8" t="s">
        <v>12</v>
      </c>
    </row>
    <row r="4" spans="1:2" x14ac:dyDescent="0.2">
      <c r="A4" s="8" t="s">
        <v>4</v>
      </c>
      <c r="B4" s="8" t="s">
        <v>13</v>
      </c>
    </row>
    <row r="6" spans="1:2" x14ac:dyDescent="0.2">
      <c r="A6" s="8" t="s">
        <v>14</v>
      </c>
      <c r="B6" s="8" t="s">
        <v>15</v>
      </c>
    </row>
    <row r="7" spans="1:2" x14ac:dyDescent="0.2">
      <c r="A7" s="8" t="s">
        <v>16</v>
      </c>
      <c r="B7" s="8" t="s">
        <v>17</v>
      </c>
    </row>
    <row r="8" spans="1:2" x14ac:dyDescent="0.2">
      <c r="A8" s="8" t="s">
        <v>18</v>
      </c>
    </row>
    <row r="10" spans="1:2" x14ac:dyDescent="0.2">
      <c r="A10" s="8" t="s">
        <v>19</v>
      </c>
      <c r="B10" s="13">
        <v>5.0000000000000001E-3</v>
      </c>
    </row>
    <row r="12" spans="1:2" x14ac:dyDescent="0.2">
      <c r="A12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DatosTomados</vt:lpstr>
      <vt:lpstr>qm import</vt:lpstr>
      <vt:lpstr>BoundaryConditions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Trigo</cp:lastModifiedBy>
  <dcterms:modified xsi:type="dcterms:W3CDTF">2022-10-14T15:25:21Z</dcterms:modified>
</cp:coreProperties>
</file>