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drawings/drawing11.xml" ContentType="application/vnd.openxmlformats-officedocument.drawing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abriel Lacombe\Desktop\"/>
    </mc:Choice>
  </mc:AlternateContent>
  <xr:revisionPtr revIDLastSave="0" documentId="13_ncr:1_{A73AD984-8B1B-44BE-B318-04E8401EA258}" xr6:coauthVersionLast="47" xr6:coauthVersionMax="47" xr10:uidLastSave="{00000000-0000-0000-0000-000000000000}"/>
  <bookViews>
    <workbookView xWindow="-120" yWindow="-120" windowWidth="29040" windowHeight="15720" tabRatio="817" xr2:uid="{00000000-000D-0000-FFFF-FFFF00000000}"/>
  </bookViews>
  <sheets>
    <sheet name="Dashboard" sheetId="20" r:id="rId1"/>
    <sheet name="WACC" sheetId="21" r:id="rId2"/>
    <sheet name="DRE + DCF" sheetId="24" r:id="rId3"/>
    <sheet name="DRE - Contas Abertas" sheetId="33" r:id="rId4"/>
    <sheet name="Balanço Patrimonial" sheetId="26" r:id="rId5"/>
    <sheet name="Projeções - Receita" sheetId="28" r:id="rId6"/>
    <sheet name="Lojas" sheetId="31" r:id="rId7"/>
    <sheet name="Capex + K. Giro" sheetId="29" r:id="rId8"/>
    <sheet name="Projeções Trimestrais" sheetId="32" r:id="rId9"/>
    <sheet name="Painel de Índices" sheetId="36" r:id="rId10"/>
    <sheet name="Provisões e Processos" sheetId="35" state="hidden" r:id="rId11"/>
  </sheets>
  <externalReferences>
    <externalReference r:id="rId12"/>
  </externalReferences>
  <definedNames>
    <definedName name="_xlnm._FilterDatabase" localSheetId="6" hidden="1">Lojas!$E$9:$R$750</definedName>
    <definedName name="_xlnm._FilterDatabase" localSheetId="9" hidden="1">'Painel de Índices'!#REF!</definedName>
    <definedName name="_xlnm._FilterDatabase" localSheetId="8" hidden="1">'Projeções Trimestrais'!#REF!</definedName>
    <definedName name="Consulta_2FCF" localSheetId="3">+'[1]CF Consol'!#REF!&amp;" de "&amp;('[1]CF Consol'!$B$5-1)</definedName>
    <definedName name="Consulta_2FCF" localSheetId="8">+'[1]CF Consol'!#REF!&amp;" de "&amp;('[1]CF Consol'!$B$5-1)</definedName>
    <definedName name="Consulta_2FCF">+'[1]CF Consol'!#REF!&amp;" de "&amp;('[1]CF Consol'!$B$5-1)</definedName>
    <definedName name="Consulta_FCF" localSheetId="3">+'[1]CF Consol'!#REF!&amp;" de "&amp;'[1]CF Consol'!#REF!</definedName>
    <definedName name="Consulta_FCF" localSheetId="8">+'[1]CF Consol'!#REF!&amp;" de "&amp;'[1]CF Consol'!#REF!</definedName>
    <definedName name="Consulta_FCF">+'[1]CF Consol'!#REF!&amp;" de "&amp;'[1]CF Consol'!#REF!</definedName>
    <definedName name="InfImp22">#REF!</definedName>
    <definedName name="InfImp23">#REF!</definedName>
    <definedName name="InfImp24">#REF!</definedName>
    <definedName name="InfImp25">#REF!</definedName>
    <definedName name="InfImp26">#REF!</definedName>
    <definedName name="InfImp27">#REF!</definedName>
    <definedName name="InfImp28">#REF!</definedName>
    <definedName name="InfImp29">#REF!</definedName>
    <definedName name="InfImp30">#REF!</definedName>
    <definedName name="InfImp31">#REF!</definedName>
    <definedName name="InfImp32">#REF!</definedName>
    <definedName name="PIB22_China">#REF!</definedName>
    <definedName name="PIB22_Mundo">#REF!</definedName>
    <definedName name="PIB23_China">#REF!</definedName>
    <definedName name="PIB23_Mundo">#REF!</definedName>
    <definedName name="PIB24_China">#REF!</definedName>
    <definedName name="PIB24_Mundo">#REF!</definedName>
    <definedName name="PIB25_China">#REF!</definedName>
    <definedName name="PIB25_Mundo">#REF!</definedName>
    <definedName name="PIB26_ARGENTINA">#REF!</definedName>
    <definedName name="PIB26_BRASIL">#REF!</definedName>
    <definedName name="PIB26_CHINA">#REF!</definedName>
    <definedName name="PIB26_EUA">#REF!</definedName>
    <definedName name="PIB26_EUROPA">#REF!</definedName>
    <definedName name="PIB26_INDIA">#REF!</definedName>
    <definedName name="PIB26_MEXICO">#REF!</definedName>
    <definedName name="PIB26_MUNDO">#REF!</definedName>
    <definedName name="PIB27_ARGENTINA">#REF!</definedName>
    <definedName name="PIB27_BRASIL">#REF!</definedName>
    <definedName name="PIB27_CHINA">#REF!</definedName>
    <definedName name="PIB27_EUA">#REF!</definedName>
    <definedName name="PIB27_EUROPA">#REF!</definedName>
    <definedName name="PIB27_INDIA">#REF!</definedName>
    <definedName name="PIB27_MEXICO">#REF!</definedName>
    <definedName name="PIB27_MUND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1" i="33" l="1"/>
  <c r="O84" i="32"/>
  <c r="O85" i="32" s="1"/>
  <c r="N84" i="32"/>
  <c r="N85" i="32" s="1"/>
  <c r="M84" i="32"/>
  <c r="M85" i="32" s="1"/>
  <c r="L84" i="32"/>
  <c r="L85" i="32" s="1"/>
  <c r="O66" i="32"/>
  <c r="O67" i="32" s="1"/>
  <c r="N66" i="32"/>
  <c r="N67" i="32" s="1"/>
  <c r="M66" i="32"/>
  <c r="M67" i="32" s="1"/>
  <c r="L66" i="32"/>
  <c r="L67" i="32" s="1"/>
  <c r="O50" i="32"/>
  <c r="O51" i="32" s="1"/>
  <c r="N50" i="32"/>
  <c r="N51" i="32" s="1"/>
  <c r="M50" i="32"/>
  <c r="M51" i="32" s="1"/>
  <c r="L50" i="32"/>
  <c r="L51" i="32" s="1"/>
  <c r="L37" i="32"/>
  <c r="M37" i="32"/>
  <c r="N37" i="32"/>
  <c r="O37" i="32"/>
  <c r="O38" i="32"/>
  <c r="N38" i="32"/>
  <c r="M38" i="32"/>
  <c r="L38" i="32"/>
  <c r="M25" i="32"/>
  <c r="N25" i="32"/>
  <c r="O25" i="32"/>
  <c r="L25" i="32"/>
  <c r="L24" i="32"/>
  <c r="M24" i="32"/>
  <c r="N24" i="32"/>
  <c r="O24" i="32"/>
  <c r="F15" i="20" l="1"/>
  <c r="F14" i="20"/>
  <c r="T50" i="24" l="1"/>
  <c r="T43" i="24"/>
  <c r="S49" i="24"/>
  <c r="S46" i="24" s="1"/>
  <c r="S51" i="24"/>
  <c r="S47" i="24"/>
  <c r="S17" i="29"/>
  <c r="S19" i="29"/>
  <c r="S21" i="29"/>
  <c r="S23" i="29"/>
  <c r="S25" i="29"/>
  <c r="S13" i="29"/>
  <c r="S16" i="26"/>
  <c r="S10" i="26" s="1"/>
  <c r="S11" i="29" s="1"/>
  <c r="S11" i="26"/>
  <c r="T30" i="24"/>
  <c r="U30" i="24" s="1"/>
  <c r="V30" i="24" s="1"/>
  <c r="W30" i="24"/>
  <c r="T76" i="28"/>
  <c r="S75" i="28"/>
  <c r="S59" i="28" l="1"/>
  <c r="S61" i="28"/>
  <c r="S62" i="28"/>
  <c r="S64" i="28"/>
  <c r="S65" i="28"/>
  <c r="S66" i="28"/>
  <c r="S67" i="28"/>
  <c r="S68" i="28"/>
  <c r="S47" i="28"/>
  <c r="S48" i="28"/>
  <c r="S49" i="28"/>
  <c r="S50" i="28"/>
  <c r="S51" i="28"/>
  <c r="S43" i="28" s="1"/>
  <c r="S42" i="28"/>
  <c r="Q44" i="28"/>
  <c r="R44" i="28"/>
  <c r="S44" i="28"/>
  <c r="S30" i="28"/>
  <c r="S31" i="28"/>
  <c r="S32" i="28"/>
  <c r="S33" i="28"/>
  <c r="S34" i="28"/>
  <c r="S27" i="28"/>
  <c r="S25" i="28"/>
  <c r="S37" i="24"/>
  <c r="S36" i="24"/>
  <c r="S34" i="24"/>
  <c r="S31" i="24"/>
  <c r="S29" i="24"/>
  <c r="S28" i="24"/>
  <c r="S22" i="24"/>
  <c r="S20" i="24"/>
  <c r="S17" i="24"/>
  <c r="S18" i="24" s="1"/>
  <c r="S16" i="24"/>
  <c r="S15" i="24"/>
  <c r="S13" i="24"/>
  <c r="S94" i="33"/>
  <c r="S58" i="33"/>
  <c r="S84" i="26"/>
  <c r="S70" i="26"/>
  <c r="S40" i="26"/>
  <c r="S32" i="26"/>
  <c r="S24" i="26"/>
  <c r="S20" i="26"/>
  <c r="S12" i="26" s="1"/>
  <c r="S15" i="26"/>
  <c r="F11" i="20"/>
  <c r="S63" i="28" l="1"/>
  <c r="S60" i="28"/>
  <c r="S26" i="24"/>
  <c r="S27" i="24" s="1"/>
  <c r="S39" i="26"/>
  <c r="F19" i="21" l="1"/>
  <c r="S53" i="33"/>
  <c r="S87" i="33"/>
  <c r="S74" i="33"/>
  <c r="S36" i="33"/>
  <c r="S22" i="33"/>
  <c r="S59" i="33" l="1"/>
  <c r="U10" i="29"/>
  <c r="V10" i="29"/>
  <c r="W10" i="29"/>
  <c r="X10" i="29"/>
  <c r="Y10" i="29"/>
  <c r="Z10" i="29"/>
  <c r="AA10" i="29"/>
  <c r="AB10" i="29"/>
  <c r="AC10" i="29"/>
  <c r="AD10" i="29" s="1"/>
  <c r="AE10" i="29" s="1"/>
  <c r="T10" i="29"/>
  <c r="S62" i="33" l="1"/>
  <c r="S60" i="33"/>
  <c r="G17" i="29"/>
  <c r="H17" i="29"/>
  <c r="I17" i="29"/>
  <c r="J17" i="29"/>
  <c r="K17" i="29"/>
  <c r="L17" i="29"/>
  <c r="M17" i="29"/>
  <c r="N17" i="29"/>
  <c r="O17" i="29"/>
  <c r="P17" i="29"/>
  <c r="Q17" i="29"/>
  <c r="R17" i="29"/>
  <c r="F17" i="29"/>
  <c r="R10" i="28"/>
  <c r="R41" i="33"/>
  <c r="S93" i="33" l="1"/>
  <c r="S95" i="33" s="1"/>
  <c r="S92" i="33"/>
  <c r="S63" i="33"/>
  <c r="S99" i="33"/>
  <c r="S101" i="33" s="1"/>
  <c r="S124" i="33" l="1"/>
  <c r="S125" i="33" s="1"/>
  <c r="S120" i="33"/>
  <c r="S121" i="33" s="1"/>
  <c r="S122" i="33"/>
  <c r="S123" i="33" s="1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T19" i="29"/>
  <c r="U19" i="29" s="1"/>
  <c r="V19" i="29" s="1"/>
  <c r="W19" i="29" s="1"/>
  <c r="X19" i="29" s="1"/>
  <c r="Y19" i="29" s="1"/>
  <c r="Z19" i="29" s="1"/>
  <c r="AA19" i="29" s="1"/>
  <c r="AB19" i="29" s="1"/>
  <c r="AC19" i="29" s="1"/>
  <c r="AD19" i="29" s="1"/>
  <c r="AE19" i="29" s="1"/>
  <c r="P20" i="24" l="1"/>
  <c r="R20" i="24"/>
  <c r="Q20" i="24"/>
  <c r="O20" i="24"/>
  <c r="N20" i="24"/>
  <c r="M20" i="24"/>
  <c r="L20" i="24"/>
  <c r="K20" i="24"/>
  <c r="J20" i="24"/>
  <c r="I20" i="24"/>
  <c r="H20" i="24"/>
  <c r="G20" i="24"/>
  <c r="F20" i="24"/>
  <c r="R85" i="28"/>
  <c r="R84" i="28"/>
  <c r="R83" i="28"/>
  <c r="R82" i="28"/>
  <c r="N75" i="28"/>
  <c r="R7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AE44" i="28"/>
  <c r="AD44" i="28"/>
  <c r="AC44" i="28"/>
  <c r="AB44" i="28"/>
  <c r="AA44" i="28"/>
  <c r="Z44" i="28"/>
  <c r="Y44" i="28"/>
  <c r="X44" i="28"/>
  <c r="W44" i="28"/>
  <c r="V44" i="28"/>
  <c r="U44" i="28"/>
  <c r="T44" i="28"/>
  <c r="F13" i="20" l="1"/>
  <c r="G18" i="21"/>
  <c r="H18" i="21"/>
  <c r="I18" i="21"/>
  <c r="J18" i="21"/>
  <c r="K18" i="21"/>
  <c r="L18" i="21"/>
  <c r="M18" i="21"/>
  <c r="N18" i="21"/>
  <c r="O18" i="21"/>
  <c r="P18" i="21"/>
  <c r="F18" i="21"/>
  <c r="AH41" i="24" l="1"/>
  <c r="R34" i="36" l="1"/>
  <c r="R35" i="36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G9" i="21"/>
  <c r="H9" i="21" s="1"/>
  <c r="I9" i="21" s="1"/>
  <c r="J9" i="21" s="1"/>
  <c r="K9" i="21" s="1"/>
  <c r="L9" i="21" s="1"/>
  <c r="M9" i="21" s="1"/>
  <c r="N9" i="21" s="1"/>
  <c r="O9" i="21" s="1"/>
  <c r="P9" i="21" s="1"/>
  <c r="L47" i="24" l="1"/>
  <c r="T23" i="29"/>
  <c r="T25" i="29"/>
  <c r="T21" i="29" l="1"/>
  <c r="U21" i="29" s="1"/>
  <c r="U25" i="29"/>
  <c r="U23" i="29"/>
  <c r="V23" i="29" l="1"/>
  <c r="V25" i="29"/>
  <c r="V21" i="29"/>
  <c r="R11" i="24"/>
  <c r="R47" i="24"/>
  <c r="W25" i="29" l="1"/>
  <c r="W21" i="29"/>
  <c r="W23" i="29"/>
  <c r="R48" i="24"/>
  <c r="R74" i="28"/>
  <c r="R77" i="28" s="1"/>
  <c r="R59" i="28"/>
  <c r="R61" i="28"/>
  <c r="R62" i="28"/>
  <c r="R64" i="28"/>
  <c r="R65" i="28"/>
  <c r="R66" i="28"/>
  <c r="R67" i="28"/>
  <c r="R68" i="28"/>
  <c r="R42" i="28"/>
  <c r="R45" i="28"/>
  <c r="R47" i="28"/>
  <c r="R48" i="28"/>
  <c r="R49" i="28"/>
  <c r="R50" i="28"/>
  <c r="R51" i="28"/>
  <c r="R28" i="28"/>
  <c r="R27" i="28"/>
  <c r="R30" i="28"/>
  <c r="R31" i="28"/>
  <c r="R32" i="28"/>
  <c r="R33" i="28"/>
  <c r="R34" i="28"/>
  <c r="R25" i="28"/>
  <c r="Q25" i="28"/>
  <c r="R76" i="28" l="1"/>
  <c r="R43" i="28"/>
  <c r="R15" i="29"/>
  <c r="R16" i="29" s="1"/>
  <c r="R60" i="28"/>
  <c r="R46" i="28"/>
  <c r="R63" i="28"/>
  <c r="R26" i="28"/>
  <c r="X21" i="29"/>
  <c r="X23" i="29"/>
  <c r="X25" i="29"/>
  <c r="T60" i="28" l="1"/>
  <c r="U60" i="28" s="1"/>
  <c r="V60" i="28" s="1"/>
  <c r="W60" i="28" s="1"/>
  <c r="X60" i="28" s="1"/>
  <c r="Y23" i="29"/>
  <c r="Y21" i="29"/>
  <c r="Y25" i="29"/>
  <c r="R84" i="26"/>
  <c r="R70" i="26"/>
  <c r="R28" i="36" l="1"/>
  <c r="R29" i="36"/>
  <c r="Z21" i="29"/>
  <c r="Z25" i="29"/>
  <c r="Z23" i="29"/>
  <c r="R40" i="26"/>
  <c r="R39" i="26" s="1"/>
  <c r="R32" i="26"/>
  <c r="R28" i="26"/>
  <c r="R25" i="26" s="1"/>
  <c r="R20" i="26"/>
  <c r="R12" i="26" s="1"/>
  <c r="R16" i="26"/>
  <c r="R94" i="33"/>
  <c r="R53" i="33"/>
  <c r="R49" i="24"/>
  <c r="R46" i="24" s="1"/>
  <c r="R43" i="24"/>
  <c r="R31" i="24"/>
  <c r="R25" i="24"/>
  <c r="R17" i="24" s="1"/>
  <c r="R18" i="24" s="1"/>
  <c r="R22" i="24"/>
  <c r="R15" i="24"/>
  <c r="R58" i="33" s="1"/>
  <c r="R13" i="24"/>
  <c r="R15" i="26" l="1"/>
  <c r="R36" i="36"/>
  <c r="R37" i="36" s="1"/>
  <c r="R50" i="24"/>
  <c r="AA21" i="29"/>
  <c r="AA23" i="29"/>
  <c r="AA25" i="29"/>
  <c r="R16" i="24"/>
  <c r="R26" i="24"/>
  <c r="R24" i="26"/>
  <c r="R11" i="26" s="1"/>
  <c r="R27" i="36" s="1"/>
  <c r="R10" i="26"/>
  <c r="R11" i="29" s="1"/>
  <c r="R12" i="29" s="1"/>
  <c r="Q68" i="28"/>
  <c r="P68" i="28"/>
  <c r="O68" i="28"/>
  <c r="N68" i="28"/>
  <c r="M68" i="28"/>
  <c r="L68" i="28"/>
  <c r="K68" i="28"/>
  <c r="J68" i="28"/>
  <c r="I68" i="28"/>
  <c r="Q67" i="28"/>
  <c r="P67" i="28"/>
  <c r="O67" i="28"/>
  <c r="N67" i="28"/>
  <c r="M67" i="28"/>
  <c r="L67" i="28"/>
  <c r="K67" i="28"/>
  <c r="J67" i="28"/>
  <c r="I67" i="28"/>
  <c r="Q66" i="28"/>
  <c r="P66" i="28"/>
  <c r="O66" i="28"/>
  <c r="N66" i="28"/>
  <c r="M66" i="28"/>
  <c r="L66" i="28"/>
  <c r="K66" i="28"/>
  <c r="J66" i="28"/>
  <c r="I66" i="28"/>
  <c r="Q65" i="28"/>
  <c r="P65" i="28"/>
  <c r="O65" i="28"/>
  <c r="N65" i="28"/>
  <c r="M65" i="28"/>
  <c r="L65" i="28"/>
  <c r="K65" i="28"/>
  <c r="J65" i="28"/>
  <c r="I65" i="28"/>
  <c r="Q64" i="28"/>
  <c r="P64" i="28"/>
  <c r="O64" i="28"/>
  <c r="N64" i="28"/>
  <c r="M64" i="28"/>
  <c r="L64" i="28"/>
  <c r="K64" i="28"/>
  <c r="J64" i="28"/>
  <c r="I64" i="28"/>
  <c r="Q62" i="28"/>
  <c r="P62" i="28"/>
  <c r="O62" i="28"/>
  <c r="N62" i="28"/>
  <c r="M62" i="28"/>
  <c r="L62" i="28"/>
  <c r="K62" i="28"/>
  <c r="J62" i="28"/>
  <c r="I62" i="28"/>
  <c r="Q61" i="28"/>
  <c r="P61" i="28"/>
  <c r="O61" i="28"/>
  <c r="N61" i="28"/>
  <c r="M61" i="28"/>
  <c r="L61" i="28"/>
  <c r="K61" i="28"/>
  <c r="J61" i="28"/>
  <c r="I61" i="28"/>
  <c r="Q59" i="28"/>
  <c r="P59" i="28"/>
  <c r="O59" i="28"/>
  <c r="N59" i="28"/>
  <c r="M59" i="28"/>
  <c r="L59" i="28"/>
  <c r="K59" i="28"/>
  <c r="J59" i="28"/>
  <c r="I59" i="28"/>
  <c r="Q51" i="28"/>
  <c r="P51" i="28"/>
  <c r="O51" i="28"/>
  <c r="N51" i="28"/>
  <c r="M51" i="28"/>
  <c r="L51" i="28"/>
  <c r="K51" i="28"/>
  <c r="J51" i="28"/>
  <c r="I51" i="28"/>
  <c r="Q50" i="28"/>
  <c r="P50" i="28"/>
  <c r="O50" i="28"/>
  <c r="N50" i="28"/>
  <c r="M50" i="28"/>
  <c r="L50" i="28"/>
  <c r="K50" i="28"/>
  <c r="J50" i="28"/>
  <c r="I50" i="28"/>
  <c r="Q49" i="28"/>
  <c r="P49" i="28"/>
  <c r="O49" i="28"/>
  <c r="N49" i="28"/>
  <c r="M49" i="28"/>
  <c r="L49" i="28"/>
  <c r="K49" i="28"/>
  <c r="J49" i="28"/>
  <c r="I49" i="28"/>
  <c r="Q48" i="28"/>
  <c r="P48" i="28"/>
  <c r="O48" i="28"/>
  <c r="N48" i="28"/>
  <c r="M48" i="28"/>
  <c r="L48" i="28"/>
  <c r="K48" i="28"/>
  <c r="J48" i="28"/>
  <c r="I48" i="28"/>
  <c r="Q47" i="28"/>
  <c r="P47" i="28"/>
  <c r="O47" i="28"/>
  <c r="N47" i="28"/>
  <c r="M47" i="28"/>
  <c r="L47" i="28"/>
  <c r="K47" i="28"/>
  <c r="J47" i="28"/>
  <c r="I47" i="28"/>
  <c r="Q45" i="28"/>
  <c r="P45" i="28"/>
  <c r="O45" i="28"/>
  <c r="N45" i="28"/>
  <c r="M45" i="28"/>
  <c r="L45" i="28"/>
  <c r="K45" i="28"/>
  <c r="J45" i="28"/>
  <c r="I45" i="28"/>
  <c r="P44" i="28"/>
  <c r="O44" i="28"/>
  <c r="N44" i="28"/>
  <c r="M44" i="28"/>
  <c r="L44" i="28"/>
  <c r="K44" i="28"/>
  <c r="J44" i="28"/>
  <c r="I44" i="28"/>
  <c r="Q42" i="28"/>
  <c r="P42" i="28"/>
  <c r="O42" i="28"/>
  <c r="N42" i="28"/>
  <c r="M42" i="28"/>
  <c r="L42" i="28"/>
  <c r="K42" i="28"/>
  <c r="J42" i="28"/>
  <c r="Q34" i="28"/>
  <c r="P34" i="28"/>
  <c r="O34" i="28"/>
  <c r="N34" i="28"/>
  <c r="M34" i="28"/>
  <c r="L34" i="28"/>
  <c r="K34" i="28"/>
  <c r="K15" i="29" s="1"/>
  <c r="K16" i="29" s="1"/>
  <c r="J34" i="28"/>
  <c r="J15" i="29" s="1"/>
  <c r="J16" i="29" s="1"/>
  <c r="I34" i="28"/>
  <c r="H34" i="28"/>
  <c r="H15" i="29" s="1"/>
  <c r="H16" i="29" s="1"/>
  <c r="G34" i="28"/>
  <c r="G15" i="29" s="1"/>
  <c r="G16" i="29" s="1"/>
  <c r="F34" i="28"/>
  <c r="F15" i="29" s="1"/>
  <c r="F16" i="29" s="1"/>
  <c r="Q33" i="28"/>
  <c r="P33" i="28"/>
  <c r="O33" i="28"/>
  <c r="N33" i="28"/>
  <c r="M33" i="28"/>
  <c r="L33" i="28"/>
  <c r="K33" i="28"/>
  <c r="J33" i="28"/>
  <c r="I33" i="28"/>
  <c r="H33" i="28"/>
  <c r="G33" i="28"/>
  <c r="F33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Q31" i="28"/>
  <c r="P31" i="28"/>
  <c r="O31" i="28"/>
  <c r="N31" i="28"/>
  <c r="M31" i="28"/>
  <c r="L31" i="28"/>
  <c r="K31" i="28"/>
  <c r="J31" i="28"/>
  <c r="I31" i="28"/>
  <c r="H31" i="28"/>
  <c r="G31" i="28"/>
  <c r="F31" i="28"/>
  <c r="Q30" i="28"/>
  <c r="P30" i="28"/>
  <c r="O30" i="28"/>
  <c r="N30" i="28"/>
  <c r="M30" i="28"/>
  <c r="L30" i="28"/>
  <c r="K30" i="28"/>
  <c r="J30" i="28"/>
  <c r="I30" i="28"/>
  <c r="H30" i="28"/>
  <c r="G30" i="28"/>
  <c r="F30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P25" i="28"/>
  <c r="O25" i="28"/>
  <c r="N25" i="28"/>
  <c r="M25" i="28"/>
  <c r="L25" i="28"/>
  <c r="K25" i="28"/>
  <c r="J25" i="28"/>
  <c r="I25" i="28"/>
  <c r="H25" i="28"/>
  <c r="G25" i="28"/>
  <c r="F25" i="28"/>
  <c r="S35" i="28" l="1"/>
  <c r="S69" i="28"/>
  <c r="S70" i="28" s="1"/>
  <c r="M15" i="29"/>
  <c r="M16" i="29" s="1"/>
  <c r="O15" i="29"/>
  <c r="O16" i="29" s="1"/>
  <c r="P15" i="29"/>
  <c r="P16" i="29" s="1"/>
  <c r="L15" i="29"/>
  <c r="L16" i="29" s="1"/>
  <c r="R52" i="28"/>
  <c r="R53" i="28" s="1"/>
  <c r="R35" i="28"/>
  <c r="R69" i="28"/>
  <c r="R70" i="28" s="1"/>
  <c r="N15" i="29"/>
  <c r="N16" i="29" s="1"/>
  <c r="I15" i="29"/>
  <c r="I16" i="29" s="1"/>
  <c r="Q15" i="29"/>
  <c r="Q16" i="29" s="1"/>
  <c r="R41" i="24"/>
  <c r="R44" i="24" s="1"/>
  <c r="R25" i="36"/>
  <c r="R26" i="36"/>
  <c r="AB25" i="29"/>
  <c r="AB23" i="29"/>
  <c r="AB21" i="29"/>
  <c r="R34" i="24"/>
  <c r="R36" i="24" s="1"/>
  <c r="R27" i="24"/>
  <c r="R37" i="24" l="1"/>
  <c r="R18" i="36"/>
  <c r="R19" i="36"/>
  <c r="R55" i="24"/>
  <c r="R20" i="36"/>
  <c r="AC21" i="29"/>
  <c r="AC23" i="29"/>
  <c r="AC25" i="29"/>
  <c r="G14" i="21"/>
  <c r="H14" i="21" l="1"/>
  <c r="AD21" i="29"/>
  <c r="AD23" i="29"/>
  <c r="AD25" i="29"/>
  <c r="G19" i="21"/>
  <c r="R13" i="36"/>
  <c r="Q41" i="33"/>
  <c r="P41" i="33"/>
  <c r="O41" i="33"/>
  <c r="N41" i="33"/>
  <c r="M41" i="33"/>
  <c r="L41" i="33"/>
  <c r="K41" i="33"/>
  <c r="I14" i="21" l="1"/>
  <c r="AE21" i="29"/>
  <c r="AE25" i="29"/>
  <c r="AE23" i="29"/>
  <c r="R12" i="36"/>
  <c r="R11" i="36"/>
  <c r="F23" i="32"/>
  <c r="H10" i="35"/>
  <c r="F13" i="35"/>
  <c r="F12" i="35"/>
  <c r="F11" i="35"/>
  <c r="F10" i="35"/>
  <c r="Q35" i="36"/>
  <c r="P35" i="36"/>
  <c r="O35" i="36"/>
  <c r="N35" i="36"/>
  <c r="M35" i="36"/>
  <c r="L35" i="36"/>
  <c r="K35" i="36"/>
  <c r="J35" i="36"/>
  <c r="I35" i="36"/>
  <c r="H35" i="36"/>
  <c r="G35" i="36"/>
  <c r="F35" i="36"/>
  <c r="J14" i="21" l="1"/>
  <c r="R10" i="36"/>
  <c r="F11" i="24"/>
  <c r="G34" i="36"/>
  <c r="H34" i="36"/>
  <c r="L34" i="36"/>
  <c r="M34" i="36"/>
  <c r="N34" i="36"/>
  <c r="O34" i="36"/>
  <c r="P34" i="36"/>
  <c r="Q34" i="36"/>
  <c r="F34" i="36"/>
  <c r="H11" i="24"/>
  <c r="I11" i="24"/>
  <c r="J11" i="24"/>
  <c r="K11" i="24"/>
  <c r="L11" i="24"/>
  <c r="M11" i="24"/>
  <c r="N11" i="24"/>
  <c r="O11" i="24"/>
  <c r="P11" i="24"/>
  <c r="Q11" i="24"/>
  <c r="G11" i="24"/>
  <c r="K14" i="21" l="1"/>
  <c r="G14" i="35"/>
  <c r="H14" i="35"/>
  <c r="L14" i="21" l="1"/>
  <c r="I14" i="35"/>
  <c r="F14" i="35" s="1"/>
  <c r="M14" i="21" l="1"/>
  <c r="I58" i="28"/>
  <c r="J58" i="28" s="1"/>
  <c r="K58" i="28" s="1"/>
  <c r="L58" i="28" s="1"/>
  <c r="M58" i="28" s="1"/>
  <c r="N58" i="28" s="1"/>
  <c r="O58" i="28" s="1"/>
  <c r="P58" i="28" s="1"/>
  <c r="Q58" i="28" s="1"/>
  <c r="R58" i="28" s="1"/>
  <c r="S58" i="28" s="1"/>
  <c r="G24" i="28"/>
  <c r="H24" i="28" s="1"/>
  <c r="I24" i="28" s="1"/>
  <c r="J24" i="28" s="1"/>
  <c r="K24" i="28" s="1"/>
  <c r="L24" i="28" s="1"/>
  <c r="M24" i="28" s="1"/>
  <c r="N24" i="28" s="1"/>
  <c r="O24" i="28" s="1"/>
  <c r="P24" i="28" s="1"/>
  <c r="Q24" i="28" s="1"/>
  <c r="R24" i="28" s="1"/>
  <c r="S24" i="28" s="1"/>
  <c r="J41" i="28"/>
  <c r="K41" i="28" s="1"/>
  <c r="L41" i="28" s="1"/>
  <c r="M41" i="28" s="1"/>
  <c r="N41" i="28" s="1"/>
  <c r="O41" i="28" s="1"/>
  <c r="P41" i="28" s="1"/>
  <c r="Q41" i="28" s="1"/>
  <c r="R41" i="28" s="1"/>
  <c r="S41" i="28" s="1"/>
  <c r="T41" i="28" l="1"/>
  <c r="U41" i="28" s="1"/>
  <c r="V41" i="28" s="1"/>
  <c r="W41" i="28" s="1"/>
  <c r="X41" i="28" s="1"/>
  <c r="N14" i="21"/>
  <c r="L11" i="32"/>
  <c r="F15" i="28"/>
  <c r="Q49" i="24"/>
  <c r="O14" i="21" l="1"/>
  <c r="F75" i="28"/>
  <c r="G75" i="28"/>
  <c r="H75" i="28"/>
  <c r="I75" i="28"/>
  <c r="J75" i="28"/>
  <c r="K75" i="28"/>
  <c r="L75" i="28"/>
  <c r="M75" i="28"/>
  <c r="O75" i="28"/>
  <c r="P75" i="28"/>
  <c r="Q75" i="28"/>
  <c r="P14" i="21" l="1"/>
  <c r="J60" i="28"/>
  <c r="J69" i="28"/>
  <c r="K60" i="28"/>
  <c r="K69" i="28"/>
  <c r="L60" i="28"/>
  <c r="L69" i="28"/>
  <c r="M60" i="28"/>
  <c r="M69" i="28"/>
  <c r="N60" i="28"/>
  <c r="N69" i="28"/>
  <c r="O60" i="28"/>
  <c r="O69" i="28"/>
  <c r="P69" i="28"/>
  <c r="I69" i="28"/>
  <c r="Q60" i="28"/>
  <c r="Q69" i="28"/>
  <c r="I52" i="28"/>
  <c r="Q43" i="28"/>
  <c r="T43" i="28" s="1"/>
  <c r="Q52" i="28"/>
  <c r="J43" i="28"/>
  <c r="J52" i="28"/>
  <c r="K43" i="28"/>
  <c r="K52" i="28"/>
  <c r="L43" i="28"/>
  <c r="L52" i="28"/>
  <c r="M43" i="28"/>
  <c r="M52" i="28"/>
  <c r="N43" i="28"/>
  <c r="N52" i="28"/>
  <c r="O43" i="28"/>
  <c r="O52" i="28"/>
  <c r="P52" i="28"/>
  <c r="J26" i="28"/>
  <c r="J35" i="28"/>
  <c r="J36" i="28" s="1"/>
  <c r="Q26" i="28"/>
  <c r="Q35" i="28"/>
  <c r="I26" i="28"/>
  <c r="I35" i="28"/>
  <c r="I36" i="28" s="1"/>
  <c r="H26" i="28"/>
  <c r="H35" i="28"/>
  <c r="H36" i="28" s="1"/>
  <c r="O26" i="28"/>
  <c r="O35" i="28"/>
  <c r="G26" i="28"/>
  <c r="G35" i="28"/>
  <c r="G36" i="28" s="1"/>
  <c r="K26" i="28"/>
  <c r="K35" i="28"/>
  <c r="K36" i="28" s="1"/>
  <c r="N26" i="28"/>
  <c r="N35" i="28"/>
  <c r="M26" i="28"/>
  <c r="M35" i="28"/>
  <c r="P26" i="28"/>
  <c r="P35" i="28"/>
  <c r="F35" i="28"/>
  <c r="L26" i="28"/>
  <c r="L35" i="28"/>
  <c r="L36" i="28" s="1"/>
  <c r="I60" i="28"/>
  <c r="F26" i="28"/>
  <c r="G29" i="28"/>
  <c r="Q84" i="26" l="1"/>
  <c r="G43" i="24"/>
  <c r="H43" i="24"/>
  <c r="I43" i="24"/>
  <c r="J43" i="24"/>
  <c r="K43" i="24"/>
  <c r="L43" i="24"/>
  <c r="M43" i="24"/>
  <c r="N43" i="24"/>
  <c r="O43" i="24"/>
  <c r="P43" i="24"/>
  <c r="Q43" i="24"/>
  <c r="F43" i="24"/>
  <c r="Q28" i="36" l="1"/>
  <c r="Q29" i="36"/>
  <c r="AC62" i="28"/>
  <c r="AD62" i="28"/>
  <c r="AE62" i="28"/>
  <c r="R87" i="33"/>
  <c r="R74" i="33"/>
  <c r="R28" i="24"/>
  <c r="P94" i="33"/>
  <c r="O94" i="33"/>
  <c r="N94" i="33"/>
  <c r="M94" i="33"/>
  <c r="L94" i="33"/>
  <c r="K94" i="33"/>
  <c r="J94" i="33"/>
  <c r="I94" i="33"/>
  <c r="H94" i="33"/>
  <c r="G94" i="33"/>
  <c r="F94" i="33"/>
  <c r="Q94" i="33"/>
  <c r="F74" i="33"/>
  <c r="F87" i="33"/>
  <c r="K86" i="33"/>
  <c r="K87" i="33" s="1"/>
  <c r="K73" i="33"/>
  <c r="K74" i="33" s="1"/>
  <c r="L87" i="33"/>
  <c r="M87" i="33"/>
  <c r="N87" i="33"/>
  <c r="O87" i="33"/>
  <c r="P87" i="33"/>
  <c r="Q87" i="33"/>
  <c r="P74" i="33"/>
  <c r="O74" i="33"/>
  <c r="N74" i="33"/>
  <c r="M74" i="33"/>
  <c r="L74" i="33"/>
  <c r="Q74" i="33"/>
  <c r="F61" i="33"/>
  <c r="F28" i="24" s="1"/>
  <c r="G61" i="33"/>
  <c r="G28" i="24" s="1"/>
  <c r="H61" i="33"/>
  <c r="H28" i="24" s="1"/>
  <c r="I61" i="33"/>
  <c r="I28" i="24" s="1"/>
  <c r="J61" i="33"/>
  <c r="J28" i="24" s="1"/>
  <c r="K28" i="24"/>
  <c r="L28" i="24"/>
  <c r="M28" i="24"/>
  <c r="N28" i="24"/>
  <c r="O28" i="24"/>
  <c r="P28" i="24"/>
  <c r="Q28" i="24"/>
  <c r="F53" i="33"/>
  <c r="G53" i="33"/>
  <c r="H53" i="33"/>
  <c r="I53" i="33"/>
  <c r="J53" i="33"/>
  <c r="R22" i="33"/>
  <c r="P22" i="33"/>
  <c r="O22" i="33"/>
  <c r="N22" i="33"/>
  <c r="M22" i="33"/>
  <c r="L22" i="33"/>
  <c r="K22" i="33"/>
  <c r="Q22" i="33"/>
  <c r="R36" i="33"/>
  <c r="R59" i="33" s="1"/>
  <c r="P36" i="33"/>
  <c r="O36" i="33"/>
  <c r="N36" i="33"/>
  <c r="M36" i="33"/>
  <c r="L36" i="33"/>
  <c r="K36" i="33"/>
  <c r="Q36" i="33"/>
  <c r="K53" i="33"/>
  <c r="L53" i="33"/>
  <c r="M53" i="33"/>
  <c r="N53" i="33"/>
  <c r="O53" i="33"/>
  <c r="P53" i="33"/>
  <c r="Q53" i="33"/>
  <c r="R29" i="24" l="1"/>
  <c r="R30" i="24" s="1"/>
  <c r="M11" i="32" l="1"/>
  <c r="N11" i="32"/>
  <c r="O11" i="32"/>
  <c r="L12" i="32"/>
  <c r="M12" i="32"/>
  <c r="N12" i="32"/>
  <c r="O12" i="32"/>
  <c r="L13" i="32"/>
  <c r="M13" i="32"/>
  <c r="N13" i="32"/>
  <c r="O13" i="32"/>
  <c r="L14" i="32"/>
  <c r="M14" i="32"/>
  <c r="N14" i="32"/>
  <c r="O14" i="32"/>
  <c r="L15" i="32"/>
  <c r="M15" i="32"/>
  <c r="N15" i="32"/>
  <c r="O15" i="32"/>
  <c r="L16" i="32"/>
  <c r="M16" i="32"/>
  <c r="N16" i="32"/>
  <c r="O16" i="32"/>
  <c r="L17" i="32"/>
  <c r="M17" i="32"/>
  <c r="N17" i="32"/>
  <c r="O17" i="32"/>
  <c r="L18" i="32"/>
  <c r="M18" i="32"/>
  <c r="N18" i="32"/>
  <c r="O18" i="32"/>
  <c r="L19" i="32"/>
  <c r="M19" i="32"/>
  <c r="N19" i="32"/>
  <c r="O19" i="32"/>
  <c r="L20" i="32"/>
  <c r="M20" i="32"/>
  <c r="N20" i="32"/>
  <c r="O20" i="32"/>
  <c r="L21" i="32"/>
  <c r="M21" i="32"/>
  <c r="N21" i="32"/>
  <c r="O21" i="32"/>
  <c r="L22" i="32"/>
  <c r="M22" i="32"/>
  <c r="N22" i="32"/>
  <c r="O22" i="32"/>
  <c r="L27" i="32"/>
  <c r="M27" i="32"/>
  <c r="N27" i="32"/>
  <c r="O27" i="32"/>
  <c r="L28" i="32"/>
  <c r="M28" i="32"/>
  <c r="N28" i="32"/>
  <c r="O28" i="32"/>
  <c r="L29" i="32"/>
  <c r="M29" i="32"/>
  <c r="N29" i="32"/>
  <c r="O29" i="32"/>
  <c r="L30" i="32"/>
  <c r="M30" i="32"/>
  <c r="N30" i="32"/>
  <c r="O30" i="32"/>
  <c r="L31" i="32"/>
  <c r="M31" i="32"/>
  <c r="N31" i="32"/>
  <c r="O31" i="32"/>
  <c r="L32" i="32"/>
  <c r="M32" i="32"/>
  <c r="N32" i="32"/>
  <c r="O32" i="32"/>
  <c r="L33" i="32"/>
  <c r="M33" i="32"/>
  <c r="N33" i="32"/>
  <c r="O33" i="32"/>
  <c r="L34" i="32"/>
  <c r="M34" i="32"/>
  <c r="N34" i="32"/>
  <c r="O34" i="32"/>
  <c r="L35" i="32"/>
  <c r="M35" i="32"/>
  <c r="N35" i="32"/>
  <c r="O35" i="32"/>
  <c r="L40" i="32"/>
  <c r="M40" i="32"/>
  <c r="N40" i="32"/>
  <c r="O40" i="32"/>
  <c r="L41" i="32"/>
  <c r="M41" i="32"/>
  <c r="N41" i="32"/>
  <c r="O41" i="32"/>
  <c r="L42" i="32"/>
  <c r="M42" i="32"/>
  <c r="N42" i="32"/>
  <c r="O42" i="32"/>
  <c r="L43" i="32"/>
  <c r="M43" i="32"/>
  <c r="N43" i="32"/>
  <c r="O43" i="32"/>
  <c r="L44" i="32"/>
  <c r="M44" i="32"/>
  <c r="N44" i="32"/>
  <c r="O44" i="32"/>
  <c r="L45" i="32"/>
  <c r="M45" i="32"/>
  <c r="N45" i="32"/>
  <c r="O45" i="32"/>
  <c r="L46" i="32"/>
  <c r="M46" i="32"/>
  <c r="N46" i="32"/>
  <c r="O46" i="32"/>
  <c r="L47" i="32"/>
  <c r="M47" i="32"/>
  <c r="N47" i="32"/>
  <c r="O47" i="32"/>
  <c r="L48" i="32"/>
  <c r="M48" i="32"/>
  <c r="N48" i="32"/>
  <c r="O48" i="32"/>
  <c r="L53" i="32"/>
  <c r="M53" i="32"/>
  <c r="N53" i="32"/>
  <c r="O53" i="32"/>
  <c r="L54" i="32"/>
  <c r="M54" i="32"/>
  <c r="N54" i="32"/>
  <c r="O54" i="32"/>
  <c r="L55" i="32"/>
  <c r="M55" i="32"/>
  <c r="N55" i="32"/>
  <c r="O55" i="32"/>
  <c r="L56" i="32"/>
  <c r="M56" i="32"/>
  <c r="N56" i="32"/>
  <c r="O56" i="32"/>
  <c r="L57" i="32"/>
  <c r="M57" i="32"/>
  <c r="N57" i="32"/>
  <c r="O57" i="32"/>
  <c r="L58" i="32"/>
  <c r="M58" i="32"/>
  <c r="N58" i="32"/>
  <c r="O58" i="32"/>
  <c r="L59" i="32"/>
  <c r="M59" i="32"/>
  <c r="N59" i="32"/>
  <c r="O59" i="32"/>
  <c r="L60" i="32"/>
  <c r="M60" i="32"/>
  <c r="N60" i="32"/>
  <c r="O60" i="32"/>
  <c r="L61" i="32"/>
  <c r="M61" i="32"/>
  <c r="N61" i="32"/>
  <c r="O61" i="32"/>
  <c r="L62" i="32"/>
  <c r="M62" i="32"/>
  <c r="N62" i="32"/>
  <c r="O62" i="32"/>
  <c r="L63" i="32"/>
  <c r="M63" i="32"/>
  <c r="N63" i="32"/>
  <c r="O63" i="32"/>
  <c r="L64" i="32"/>
  <c r="M64" i="32"/>
  <c r="N64" i="32"/>
  <c r="O64" i="32"/>
  <c r="L71" i="32"/>
  <c r="M71" i="32"/>
  <c r="N71" i="32"/>
  <c r="O71" i="32"/>
  <c r="L72" i="32"/>
  <c r="M72" i="32"/>
  <c r="N72" i="32"/>
  <c r="O72" i="32"/>
  <c r="L73" i="32"/>
  <c r="M73" i="32"/>
  <c r="N73" i="32"/>
  <c r="O73" i="32"/>
  <c r="L74" i="32"/>
  <c r="M74" i="32"/>
  <c r="N74" i="32"/>
  <c r="O74" i="32"/>
  <c r="L75" i="32"/>
  <c r="M75" i="32"/>
  <c r="N75" i="32"/>
  <c r="O75" i="32"/>
  <c r="L76" i="32"/>
  <c r="M76" i="32"/>
  <c r="N76" i="32"/>
  <c r="O76" i="32"/>
  <c r="L77" i="32"/>
  <c r="M77" i="32"/>
  <c r="N77" i="32"/>
  <c r="O77" i="32"/>
  <c r="L78" i="32"/>
  <c r="M78" i="32"/>
  <c r="N78" i="32"/>
  <c r="O78" i="32"/>
  <c r="L79" i="32"/>
  <c r="M79" i="32"/>
  <c r="N79" i="32"/>
  <c r="O79" i="32"/>
  <c r="L80" i="32"/>
  <c r="M80" i="32"/>
  <c r="N80" i="32"/>
  <c r="O80" i="32"/>
  <c r="E81" i="32"/>
  <c r="E80" i="32" s="1"/>
  <c r="E79" i="32" s="1"/>
  <c r="E78" i="32" s="1"/>
  <c r="E77" i="32" s="1"/>
  <c r="E76" i="32" s="1"/>
  <c r="E75" i="32" s="1"/>
  <c r="E74" i="32" s="1"/>
  <c r="E73" i="32" s="1"/>
  <c r="E72" i="32" s="1"/>
  <c r="E71" i="32" s="1"/>
  <c r="L81" i="32"/>
  <c r="M81" i="32"/>
  <c r="N81" i="32"/>
  <c r="O81" i="32"/>
  <c r="L82" i="32"/>
  <c r="M82" i="32"/>
  <c r="N82" i="32"/>
  <c r="O82" i="32"/>
  <c r="M23" i="32" l="1"/>
  <c r="O23" i="32"/>
  <c r="N49" i="32"/>
  <c r="L49" i="32"/>
  <c r="M49" i="32"/>
  <c r="L23" i="32"/>
  <c r="L36" i="32"/>
  <c r="O49" i="32"/>
  <c r="N23" i="32"/>
  <c r="N65" i="32"/>
  <c r="L65" i="32"/>
  <c r="M65" i="32"/>
  <c r="O65" i="32"/>
  <c r="M36" i="32" l="1"/>
  <c r="N36" i="32"/>
  <c r="N83" i="32"/>
  <c r="M83" i="32"/>
  <c r="O83" i="32"/>
  <c r="L83" i="32"/>
  <c r="O36" i="32"/>
  <c r="R60" i="33"/>
  <c r="O49" i="24"/>
  <c r="P49" i="24"/>
  <c r="F17" i="24"/>
  <c r="F18" i="24" s="1"/>
  <c r="G17" i="24"/>
  <c r="G18" i="24" s="1"/>
  <c r="H17" i="24"/>
  <c r="H18" i="24" s="1"/>
  <c r="I17" i="24"/>
  <c r="I18" i="24" s="1"/>
  <c r="J17" i="24"/>
  <c r="J18" i="24" s="1"/>
  <c r="K17" i="24"/>
  <c r="K18" i="24" s="1"/>
  <c r="L17" i="24"/>
  <c r="L18" i="24" s="1"/>
  <c r="M17" i="24"/>
  <c r="M18" i="24" s="1"/>
  <c r="N17" i="24"/>
  <c r="N18" i="24" s="1"/>
  <c r="O17" i="24"/>
  <c r="O18" i="24" s="1"/>
  <c r="P17" i="24"/>
  <c r="P18" i="24" s="1"/>
  <c r="Q17" i="24"/>
  <c r="Q18" i="24" s="1"/>
  <c r="F16" i="26"/>
  <c r="F10" i="26" s="1"/>
  <c r="F11" i="29" s="1"/>
  <c r="F12" i="29" s="1"/>
  <c r="G16" i="26"/>
  <c r="G10" i="26" s="1"/>
  <c r="G11" i="29" s="1"/>
  <c r="G12" i="29" s="1"/>
  <c r="H16" i="26"/>
  <c r="H10" i="26" s="1"/>
  <c r="H11" i="29" s="1"/>
  <c r="H12" i="29" s="1"/>
  <c r="I16" i="26"/>
  <c r="J16" i="26"/>
  <c r="K16" i="26"/>
  <c r="L16" i="26"/>
  <c r="L10" i="26" s="1"/>
  <c r="L11" i="29" s="1"/>
  <c r="L12" i="29" s="1"/>
  <c r="M16" i="26"/>
  <c r="M10" i="26" s="1"/>
  <c r="M11" i="29" s="1"/>
  <c r="M12" i="29" s="1"/>
  <c r="N16" i="26"/>
  <c r="N10" i="26" s="1"/>
  <c r="N11" i="29" s="1"/>
  <c r="N12" i="29" s="1"/>
  <c r="O16" i="26"/>
  <c r="O10" i="26" s="1"/>
  <c r="O11" i="29" s="1"/>
  <c r="O12" i="29" s="1"/>
  <c r="P16" i="26"/>
  <c r="P10" i="26" s="1"/>
  <c r="P11" i="29" s="1"/>
  <c r="P12" i="29" s="1"/>
  <c r="Q16" i="26"/>
  <c r="Q10" i="26" s="1"/>
  <c r="Q11" i="29" s="1"/>
  <c r="Q12" i="29" s="1"/>
  <c r="L36" i="36" l="1"/>
  <c r="L37" i="36" s="1"/>
  <c r="J36" i="36"/>
  <c r="Q36" i="36"/>
  <c r="Q37" i="36" s="1"/>
  <c r="I36" i="36"/>
  <c r="K36" i="36"/>
  <c r="H36" i="36"/>
  <c r="H37" i="36" s="1"/>
  <c r="G36" i="36"/>
  <c r="G37" i="36" s="1"/>
  <c r="N36" i="36"/>
  <c r="N37" i="36" s="1"/>
  <c r="F36" i="36"/>
  <c r="F37" i="36" s="1"/>
  <c r="M36" i="36"/>
  <c r="M37" i="36" s="1"/>
  <c r="R15" i="28"/>
  <c r="P36" i="36"/>
  <c r="P37" i="36" s="1"/>
  <c r="O36" i="36"/>
  <c r="O37" i="36" s="1"/>
  <c r="R62" i="33"/>
  <c r="S10" i="28" l="1"/>
  <c r="S84" i="28" s="1"/>
  <c r="S15" i="28"/>
  <c r="T15" i="28" s="1"/>
  <c r="R93" i="33"/>
  <c r="R95" i="33" s="1"/>
  <c r="R99" i="33" s="1"/>
  <c r="R101" i="33" s="1"/>
  <c r="R92" i="33"/>
  <c r="R63" i="33"/>
  <c r="H19" i="21"/>
  <c r="S74" i="28" l="1"/>
  <c r="S85" i="28"/>
  <c r="S82" i="28"/>
  <c r="S83" i="28"/>
  <c r="R120" i="33"/>
  <c r="R121" i="33" s="1"/>
  <c r="R124" i="33"/>
  <c r="R125" i="33" s="1"/>
  <c r="R122" i="33"/>
  <c r="R123" i="33" s="1"/>
  <c r="I19" i="21"/>
  <c r="J19" i="21" l="1"/>
  <c r="K19" i="21" l="1"/>
  <c r="L19" i="21" l="1"/>
  <c r="M19" i="21" s="1"/>
  <c r="Z42" i="28" l="1"/>
  <c r="N19" i="21"/>
  <c r="AA42" i="28" l="1"/>
  <c r="O19" i="21"/>
  <c r="AB42" i="28" l="1"/>
  <c r="P19" i="21"/>
  <c r="AC42" i="28" l="1"/>
  <c r="AD42" i="28" l="1"/>
  <c r="G47" i="24"/>
  <c r="H47" i="24"/>
  <c r="I47" i="24"/>
  <c r="J47" i="24"/>
  <c r="K47" i="24"/>
  <c r="M47" i="24"/>
  <c r="N47" i="24"/>
  <c r="O47" i="24"/>
  <c r="P47" i="24"/>
  <c r="Q47" i="24"/>
  <c r="F47" i="24"/>
  <c r="F46" i="24" s="1"/>
  <c r="H15" i="28"/>
  <c r="I15" i="28"/>
  <c r="J15" i="28"/>
  <c r="K15" i="28"/>
  <c r="L15" i="28"/>
  <c r="M15" i="28"/>
  <c r="N15" i="28"/>
  <c r="O15" i="28"/>
  <c r="P15" i="28"/>
  <c r="Q15" i="28"/>
  <c r="G15" i="28"/>
  <c r="T62" i="28"/>
  <c r="U62" i="28"/>
  <c r="V62" i="28"/>
  <c r="W62" i="28"/>
  <c r="X62" i="28"/>
  <c r="Y62" i="28"/>
  <c r="Z62" i="28"/>
  <c r="AA62" i="28"/>
  <c r="AB62" i="28"/>
  <c r="U15" i="28" l="1"/>
  <c r="V15" i="28" s="1"/>
  <c r="W15" i="28" s="1"/>
  <c r="X15" i="28" s="1"/>
  <c r="Y15" i="28" s="1"/>
  <c r="Z15" i="28" s="1"/>
  <c r="AA15" i="28" s="1"/>
  <c r="AB15" i="28" s="1"/>
  <c r="AC15" i="28" s="1"/>
  <c r="AD15" i="28" s="1"/>
  <c r="AE15" i="28" s="1"/>
  <c r="AE42" i="28"/>
  <c r="T65" i="28" l="1"/>
  <c r="P63" i="28"/>
  <c r="O63" i="28"/>
  <c r="M46" i="28"/>
  <c r="M36" i="28"/>
  <c r="N46" i="28"/>
  <c r="K46" i="28"/>
  <c r="I46" i="28"/>
  <c r="Q46" i="28"/>
  <c r="J46" i="28"/>
  <c r="I63" i="28"/>
  <c r="Q63" i="28"/>
  <c r="P70" i="28"/>
  <c r="M63" i="28"/>
  <c r="O70" i="28"/>
  <c r="N70" i="28"/>
  <c r="L70" i="28"/>
  <c r="AF70" i="28" s="1"/>
  <c r="K63" i="28"/>
  <c r="J70" i="28"/>
  <c r="Q70" i="28"/>
  <c r="I70" i="28"/>
  <c r="L46" i="28"/>
  <c r="K70" i="28"/>
  <c r="N63" i="28"/>
  <c r="J63" i="28"/>
  <c r="L63" i="28"/>
  <c r="M70" i="28"/>
  <c r="O36" i="28"/>
  <c r="N36" i="28"/>
  <c r="Q36" i="28"/>
  <c r="P36" i="28"/>
  <c r="F36" i="28"/>
  <c r="I53" i="28"/>
  <c r="T47" i="28"/>
  <c r="J53" i="28"/>
  <c r="O46" i="28"/>
  <c r="P46" i="28"/>
  <c r="Z41" i="28"/>
  <c r="AA41" i="28" s="1"/>
  <c r="AB41" i="28" s="1"/>
  <c r="AC41" i="28" s="1"/>
  <c r="AD41" i="28" s="1"/>
  <c r="AE41" i="28" s="1"/>
  <c r="W25" i="28" l="1"/>
  <c r="X25" i="28"/>
  <c r="V25" i="28"/>
  <c r="Y25" i="28"/>
  <c r="T25" i="28"/>
  <c r="U25" i="28"/>
  <c r="Z24" i="28"/>
  <c r="AA24" i="28" s="1"/>
  <c r="AB24" i="28" s="1"/>
  <c r="AC24" i="28" s="1"/>
  <c r="AD24" i="28" s="1"/>
  <c r="AE24" i="28" s="1"/>
  <c r="L53" i="28"/>
  <c r="P53" i="28"/>
  <c r="O53" i="28"/>
  <c r="K53" i="28"/>
  <c r="N53" i="28"/>
  <c r="Q53" i="28"/>
  <c r="M53" i="28"/>
  <c r="T48" i="28"/>
  <c r="U47" i="28" s="1"/>
  <c r="T49" i="28"/>
  <c r="T24" i="28" l="1"/>
  <c r="U24" i="28" s="1"/>
  <c r="V24" i="28" s="1"/>
  <c r="W24" i="28" s="1"/>
  <c r="X24" i="28" s="1"/>
  <c r="U48" i="28"/>
  <c r="T64" i="28"/>
  <c r="U64" i="28" s="1"/>
  <c r="V47" i="28" l="1"/>
  <c r="G10" i="28" l="1"/>
  <c r="H10" i="28"/>
  <c r="I10" i="28"/>
  <c r="J10" i="28"/>
  <c r="K10" i="28"/>
  <c r="L10" i="28"/>
  <c r="M10" i="28"/>
  <c r="N10" i="28"/>
  <c r="O10" i="28"/>
  <c r="P10" i="28"/>
  <c r="Q10" i="28"/>
  <c r="F10" i="28"/>
  <c r="I74" i="28" l="1"/>
  <c r="I76" i="28" s="1"/>
  <c r="I85" i="28"/>
  <c r="I84" i="28"/>
  <c r="I83" i="28"/>
  <c r="I82" i="28"/>
  <c r="Q74" i="28"/>
  <c r="Q76" i="28" s="1"/>
  <c r="Q85" i="28"/>
  <c r="Q84" i="28"/>
  <c r="Q83" i="28"/>
  <c r="Q82" i="28"/>
  <c r="P74" i="28"/>
  <c r="P83" i="28"/>
  <c r="P82" i="28"/>
  <c r="P85" i="28"/>
  <c r="P84" i="28"/>
  <c r="H74" i="28"/>
  <c r="H77" i="28" s="1"/>
  <c r="H83" i="28"/>
  <c r="H82" i="28"/>
  <c r="H85" i="28"/>
  <c r="H84" i="28"/>
  <c r="K74" i="28"/>
  <c r="K77" i="28" s="1"/>
  <c r="K85" i="28"/>
  <c r="K84" i="28"/>
  <c r="K83" i="28"/>
  <c r="K82" i="28"/>
  <c r="J74" i="28"/>
  <c r="J76" i="28" s="1"/>
  <c r="J83" i="28"/>
  <c r="J82" i="28"/>
  <c r="J85" i="28"/>
  <c r="J84" i="28"/>
  <c r="O74" i="28"/>
  <c r="O77" i="28" s="1"/>
  <c r="O85" i="28"/>
  <c r="O84" i="28"/>
  <c r="O83" i="28"/>
  <c r="O82" i="28"/>
  <c r="G74" i="28"/>
  <c r="G77" i="28" s="1"/>
  <c r="G85" i="28"/>
  <c r="G84" i="28"/>
  <c r="G83" i="28"/>
  <c r="G82" i="28"/>
  <c r="N74" i="28"/>
  <c r="N77" i="28" s="1"/>
  <c r="N83" i="28"/>
  <c r="N82" i="28"/>
  <c r="N85" i="28"/>
  <c r="N84" i="28"/>
  <c r="M74" i="28"/>
  <c r="M76" i="28" s="1"/>
  <c r="M85" i="28"/>
  <c r="M84" i="28"/>
  <c r="M83" i="28"/>
  <c r="M82" i="28"/>
  <c r="L74" i="28"/>
  <c r="L77" i="28" s="1"/>
  <c r="L83" i="28"/>
  <c r="L82" i="28"/>
  <c r="L85" i="28"/>
  <c r="L84" i="28"/>
  <c r="F74" i="28"/>
  <c r="F76" i="28" s="1"/>
  <c r="F82" i="28"/>
  <c r="G76" i="28"/>
  <c r="P77" i="28"/>
  <c r="P76" i="28"/>
  <c r="J77" i="28"/>
  <c r="F85" i="28"/>
  <c r="F84" i="28"/>
  <c r="F83" i="28"/>
  <c r="G31" i="24"/>
  <c r="H31" i="24"/>
  <c r="I31" i="24"/>
  <c r="J31" i="24"/>
  <c r="K31" i="24"/>
  <c r="L31" i="24"/>
  <c r="M31" i="24"/>
  <c r="N31" i="24"/>
  <c r="O31" i="24"/>
  <c r="P31" i="24"/>
  <c r="Q31" i="24"/>
  <c r="F31" i="24"/>
  <c r="P84" i="26"/>
  <c r="O84" i="26"/>
  <c r="N84" i="26"/>
  <c r="M84" i="26"/>
  <c r="L84" i="26"/>
  <c r="K84" i="26"/>
  <c r="J84" i="26"/>
  <c r="I84" i="26"/>
  <c r="H84" i="26"/>
  <c r="G84" i="26"/>
  <c r="F84" i="26"/>
  <c r="K74" i="26"/>
  <c r="J74" i="26"/>
  <c r="I74" i="26"/>
  <c r="K71" i="26"/>
  <c r="J71" i="26"/>
  <c r="I71" i="26"/>
  <c r="Q70" i="26"/>
  <c r="P70" i="26"/>
  <c r="O70" i="26"/>
  <c r="N70" i="26"/>
  <c r="M70" i="26"/>
  <c r="L70" i="26"/>
  <c r="H70" i="26"/>
  <c r="G70" i="26"/>
  <c r="F70" i="26"/>
  <c r="N58" i="26"/>
  <c r="M58" i="26"/>
  <c r="L58" i="26"/>
  <c r="K58" i="26"/>
  <c r="J58" i="26"/>
  <c r="I58" i="26"/>
  <c r="N53" i="26"/>
  <c r="M53" i="26"/>
  <c r="L53" i="26"/>
  <c r="K53" i="26"/>
  <c r="J53" i="26"/>
  <c r="I53" i="26"/>
  <c r="Q40" i="26"/>
  <c r="Q13" i="36" s="1"/>
  <c r="P40" i="26"/>
  <c r="P13" i="36" s="1"/>
  <c r="O40" i="26"/>
  <c r="O13" i="36" s="1"/>
  <c r="H40" i="26"/>
  <c r="G40" i="26"/>
  <c r="G13" i="36" s="1"/>
  <c r="F40" i="26"/>
  <c r="F13" i="36" s="1"/>
  <c r="Q24" i="26"/>
  <c r="P24" i="26"/>
  <c r="O24" i="26"/>
  <c r="N24" i="26"/>
  <c r="M24" i="26"/>
  <c r="L24" i="26"/>
  <c r="K24" i="26"/>
  <c r="J24" i="26"/>
  <c r="I24" i="26"/>
  <c r="H24" i="26"/>
  <c r="G24" i="26"/>
  <c r="F24" i="26"/>
  <c r="K17" i="26"/>
  <c r="J17" i="26"/>
  <c r="I17" i="26"/>
  <c r="Q15" i="26"/>
  <c r="P15" i="26"/>
  <c r="N15" i="26"/>
  <c r="M15" i="26"/>
  <c r="L15" i="26"/>
  <c r="K15" i="26"/>
  <c r="J15" i="26"/>
  <c r="I15" i="26"/>
  <c r="H15" i="26"/>
  <c r="F15" i="26"/>
  <c r="O15" i="26"/>
  <c r="G15" i="26"/>
  <c r="Q12" i="26"/>
  <c r="P12" i="26"/>
  <c r="O12" i="26"/>
  <c r="N12" i="26"/>
  <c r="M12" i="26"/>
  <c r="L12" i="26"/>
  <c r="H12" i="26"/>
  <c r="G12" i="26"/>
  <c r="F12" i="26"/>
  <c r="Q77" i="28" l="1"/>
  <c r="L76" i="28"/>
  <c r="I77" i="28"/>
  <c r="O76" i="28"/>
  <c r="K76" i="28"/>
  <c r="H76" i="28"/>
  <c r="N76" i="28"/>
  <c r="M77" i="28"/>
  <c r="K28" i="36"/>
  <c r="K29" i="36"/>
  <c r="L28" i="36"/>
  <c r="L29" i="36"/>
  <c r="O11" i="36"/>
  <c r="O12" i="36"/>
  <c r="J34" i="36"/>
  <c r="J37" i="36" s="1"/>
  <c r="J10" i="26"/>
  <c r="J11" i="29" s="1"/>
  <c r="J12" i="29" s="1"/>
  <c r="M29" i="36"/>
  <c r="M28" i="36"/>
  <c r="O28" i="36"/>
  <c r="O29" i="36"/>
  <c r="P11" i="36"/>
  <c r="P12" i="36"/>
  <c r="K34" i="36"/>
  <c r="K37" i="36" s="1"/>
  <c r="K10" i="26"/>
  <c r="K11" i="29" s="1"/>
  <c r="K12" i="29" s="1"/>
  <c r="N29" i="36"/>
  <c r="N28" i="36"/>
  <c r="H28" i="36"/>
  <c r="H29" i="36"/>
  <c r="P28" i="36"/>
  <c r="P29" i="36"/>
  <c r="I34" i="36"/>
  <c r="I37" i="36" s="1"/>
  <c r="I10" i="26"/>
  <c r="I11" i="29" s="1"/>
  <c r="I12" i="29" s="1"/>
  <c r="F11" i="36"/>
  <c r="F12" i="36"/>
  <c r="Q11" i="36"/>
  <c r="Q12" i="36"/>
  <c r="H39" i="26"/>
  <c r="H13" i="36"/>
  <c r="H11" i="36"/>
  <c r="H12" i="36"/>
  <c r="I28" i="36"/>
  <c r="I29" i="36"/>
  <c r="F28" i="36"/>
  <c r="F29" i="36"/>
  <c r="G28" i="36"/>
  <c r="G29" i="36"/>
  <c r="G11" i="36"/>
  <c r="G12" i="36"/>
  <c r="J28" i="36"/>
  <c r="J29" i="36"/>
  <c r="K12" i="26"/>
  <c r="I40" i="26"/>
  <c r="I13" i="36" s="1"/>
  <c r="I12" i="26"/>
  <c r="J12" i="26"/>
  <c r="J70" i="26"/>
  <c r="L40" i="26"/>
  <c r="L13" i="36" s="1"/>
  <c r="J40" i="26"/>
  <c r="J13" i="36" s="1"/>
  <c r="I70" i="26"/>
  <c r="F39" i="26"/>
  <c r="G39" i="26"/>
  <c r="N40" i="26"/>
  <c r="N12" i="36" s="1"/>
  <c r="Q39" i="26"/>
  <c r="K70" i="26"/>
  <c r="M40" i="26"/>
  <c r="M12" i="36" s="1"/>
  <c r="P39" i="26"/>
  <c r="O39" i="26"/>
  <c r="K40" i="26"/>
  <c r="K13" i="36" s="1"/>
  <c r="T12" i="29" l="1"/>
  <c r="S12" i="29"/>
  <c r="J39" i="26"/>
  <c r="I39" i="26"/>
  <c r="L11" i="36"/>
  <c r="L39" i="26"/>
  <c r="M11" i="36"/>
  <c r="L12" i="36"/>
  <c r="N11" i="36"/>
  <c r="J11" i="36"/>
  <c r="J12" i="36"/>
  <c r="K11" i="36"/>
  <c r="K12" i="36"/>
  <c r="I11" i="36"/>
  <c r="I12" i="36"/>
  <c r="N39" i="26"/>
  <c r="N13" i="36"/>
  <c r="M39" i="26"/>
  <c r="M13" i="36"/>
  <c r="K39" i="26"/>
  <c r="U12" i="29" l="1"/>
  <c r="F48" i="24"/>
  <c r="G48" i="24"/>
  <c r="H48" i="24"/>
  <c r="I48" i="24"/>
  <c r="K48" i="24"/>
  <c r="L48" i="24"/>
  <c r="M48" i="24"/>
  <c r="N48" i="24"/>
  <c r="O48" i="24"/>
  <c r="P48" i="24"/>
  <c r="Q48" i="24"/>
  <c r="J48" i="24"/>
  <c r="V12" i="29" l="1"/>
  <c r="P13" i="21"/>
  <c r="P16" i="21" s="1"/>
  <c r="O13" i="21"/>
  <c r="O16" i="21" s="1"/>
  <c r="N13" i="21"/>
  <c r="N16" i="21" s="1"/>
  <c r="M13" i="21"/>
  <c r="M16" i="21" s="1"/>
  <c r="L13" i="21"/>
  <c r="L16" i="21" s="1"/>
  <c r="K13" i="21"/>
  <c r="K16" i="21" s="1"/>
  <c r="J13" i="21"/>
  <c r="J16" i="21" s="1"/>
  <c r="I13" i="21"/>
  <c r="I16" i="21" s="1"/>
  <c r="H13" i="21"/>
  <c r="H16" i="21" s="1"/>
  <c r="G13" i="21"/>
  <c r="G16" i="21" s="1"/>
  <c r="F13" i="21"/>
  <c r="F16" i="21" s="1"/>
  <c r="W12" i="29" l="1"/>
  <c r="Q50" i="24"/>
  <c r="X12" i="29" l="1"/>
  <c r="K46" i="24"/>
  <c r="J46" i="24"/>
  <c r="I46" i="24"/>
  <c r="G46" i="24"/>
  <c r="Y12" i="29" l="1"/>
  <c r="H46" i="24"/>
  <c r="Z12" i="29" l="1"/>
  <c r="Q11" i="26"/>
  <c r="P11" i="26"/>
  <c r="AA12" i="29" l="1"/>
  <c r="P27" i="36"/>
  <c r="P10" i="36"/>
  <c r="Q27" i="36"/>
  <c r="Q10" i="36"/>
  <c r="Q22" i="24"/>
  <c r="Q15" i="24"/>
  <c r="AB12" i="29" l="1"/>
  <c r="Q26" i="24"/>
  <c r="Q58" i="33"/>
  <c r="Q59" i="33" s="1"/>
  <c r="Q60" i="33" s="1"/>
  <c r="Q16" i="24"/>
  <c r="AC12" i="29" l="1"/>
  <c r="Q25" i="36"/>
  <c r="Q26" i="36"/>
  <c r="Q62" i="33"/>
  <c r="Q63" i="33" s="1"/>
  <c r="Q27" i="24"/>
  <c r="Q41" i="24"/>
  <c r="Q44" i="24" s="1"/>
  <c r="Q29" i="24"/>
  <c r="Q34" i="24"/>
  <c r="Q36" i="24" s="1"/>
  <c r="AD12" i="29" l="1"/>
  <c r="Q18" i="36"/>
  <c r="Q19" i="36"/>
  <c r="Q20" i="36"/>
  <c r="Q55" i="24"/>
  <c r="Q92" i="33"/>
  <c r="Q93" i="33"/>
  <c r="Q95" i="33" s="1"/>
  <c r="Q99" i="33" s="1"/>
  <c r="Q101" i="33" s="1"/>
  <c r="Q30" i="24"/>
  <c r="Q37" i="24"/>
  <c r="AE12" i="29" l="1"/>
  <c r="Q120" i="33"/>
  <c r="Q121" i="33" s="1"/>
  <c r="Q122" i="33"/>
  <c r="Q123" i="33" s="1"/>
  <c r="Q124" i="33"/>
  <c r="Q125" i="33" s="1"/>
  <c r="J29" i="28" l="1"/>
  <c r="N29" i="28"/>
  <c r="L29" i="28"/>
  <c r="K29" i="28"/>
  <c r="H29" i="28"/>
  <c r="O29" i="28"/>
  <c r="F29" i="28"/>
  <c r="I29" i="28"/>
  <c r="P29" i="28"/>
  <c r="M29" i="28"/>
  <c r="K11" i="26" l="1"/>
  <c r="F11" i="26"/>
  <c r="H11" i="26"/>
  <c r="J11" i="26"/>
  <c r="I11" i="26"/>
  <c r="G11" i="26"/>
  <c r="G27" i="36" l="1"/>
  <c r="G10" i="36"/>
  <c r="F27" i="36"/>
  <c r="F10" i="36"/>
  <c r="I10" i="36"/>
  <c r="I27" i="36"/>
  <c r="J10" i="36"/>
  <c r="J27" i="36"/>
  <c r="H27" i="36"/>
  <c r="H10" i="36"/>
  <c r="K10" i="36"/>
  <c r="K27" i="36"/>
  <c r="J50" i="24"/>
  <c r="F50" i="24"/>
  <c r="I50" i="24"/>
  <c r="G50" i="24"/>
  <c r="H50" i="24"/>
  <c r="K50" i="24"/>
  <c r="R36" i="28"/>
  <c r="Q29" i="28"/>
  <c r="T30" i="28"/>
  <c r="F15" i="24"/>
  <c r="L13" i="24"/>
  <c r="K13" i="24"/>
  <c r="K15" i="24"/>
  <c r="K58" i="33" s="1"/>
  <c r="K59" i="33" s="1"/>
  <c r="K60" i="33" s="1"/>
  <c r="J13" i="24"/>
  <c r="J15" i="24"/>
  <c r="J58" i="33" s="1"/>
  <c r="J59" i="33" s="1"/>
  <c r="J60" i="33" s="1"/>
  <c r="I15" i="24"/>
  <c r="I58" i="33" s="1"/>
  <c r="I59" i="33" s="1"/>
  <c r="I60" i="33" s="1"/>
  <c r="I13" i="24"/>
  <c r="H13" i="24"/>
  <c r="H15" i="24"/>
  <c r="H58" i="33" s="1"/>
  <c r="H59" i="33" s="1"/>
  <c r="H60" i="33" s="1"/>
  <c r="G15" i="24"/>
  <c r="G58" i="33" s="1"/>
  <c r="G59" i="33" s="1"/>
  <c r="G60" i="33" s="1"/>
  <c r="G13" i="24"/>
  <c r="F22" i="24"/>
  <c r="K22" i="24"/>
  <c r="J22" i="24"/>
  <c r="I22" i="24"/>
  <c r="H22" i="24"/>
  <c r="G22" i="24"/>
  <c r="F58" i="33" l="1"/>
  <c r="F59" i="33" s="1"/>
  <c r="F60" i="33" s="1"/>
  <c r="F16" i="24"/>
  <c r="K62" i="33"/>
  <c r="K63" i="33" s="1"/>
  <c r="J62" i="33"/>
  <c r="J63" i="33" s="1"/>
  <c r="H62" i="33"/>
  <c r="H63" i="33" s="1"/>
  <c r="G62" i="33"/>
  <c r="G63" i="33" s="1"/>
  <c r="I62" i="33"/>
  <c r="I63" i="33" s="1"/>
  <c r="T32" i="28"/>
  <c r="R29" i="28"/>
  <c r="K16" i="24"/>
  <c r="G26" i="24"/>
  <c r="I16" i="24"/>
  <c r="G16" i="24"/>
  <c r="J16" i="24"/>
  <c r="H16" i="24"/>
  <c r="I26" i="24"/>
  <c r="J26" i="24"/>
  <c r="K26" i="24"/>
  <c r="H26" i="24"/>
  <c r="F26" i="24"/>
  <c r="F26" i="36" s="1"/>
  <c r="F62" i="33" l="1"/>
  <c r="F63" i="33" s="1"/>
  <c r="G25" i="36"/>
  <c r="G26" i="36"/>
  <c r="K25" i="36"/>
  <c r="K26" i="36"/>
  <c r="I25" i="36"/>
  <c r="I26" i="36"/>
  <c r="H25" i="36"/>
  <c r="H26" i="36"/>
  <c r="J25" i="36"/>
  <c r="J26" i="36"/>
  <c r="F25" i="36"/>
  <c r="H93" i="33"/>
  <c r="H95" i="33" s="1"/>
  <c r="H99" i="33" s="1"/>
  <c r="H101" i="33" s="1"/>
  <c r="H92" i="33"/>
  <c r="I92" i="33"/>
  <c r="I93" i="33"/>
  <c r="I95" i="33" s="1"/>
  <c r="I99" i="33" s="1"/>
  <c r="I101" i="33" s="1"/>
  <c r="J93" i="33"/>
  <c r="J95" i="33" s="1"/>
  <c r="J99" i="33" s="1"/>
  <c r="J101" i="33" s="1"/>
  <c r="J92" i="33"/>
  <c r="G92" i="33"/>
  <c r="G93" i="33"/>
  <c r="G95" i="33" s="1"/>
  <c r="G99" i="33" s="1"/>
  <c r="G101" i="33" s="1"/>
  <c r="K93" i="33"/>
  <c r="K95" i="33" s="1"/>
  <c r="K99" i="33" s="1"/>
  <c r="K101" i="33" s="1"/>
  <c r="K92" i="33"/>
  <c r="F29" i="24"/>
  <c r="F30" i="24" s="1"/>
  <c r="F44" i="24"/>
  <c r="G29" i="24"/>
  <c r="G44" i="24"/>
  <c r="K29" i="24"/>
  <c r="K44" i="24"/>
  <c r="J29" i="24"/>
  <c r="J30" i="24" s="1"/>
  <c r="J44" i="24"/>
  <c r="I29" i="24"/>
  <c r="I30" i="24" s="1"/>
  <c r="I44" i="24"/>
  <c r="H29" i="24"/>
  <c r="H30" i="24" s="1"/>
  <c r="H44" i="24"/>
  <c r="U31" i="28"/>
  <c r="K27" i="24"/>
  <c r="J27" i="24"/>
  <c r="I27" i="24"/>
  <c r="F27" i="24"/>
  <c r="H27" i="24"/>
  <c r="G27" i="24"/>
  <c r="O51" i="24"/>
  <c r="I51" i="24"/>
  <c r="L51" i="24"/>
  <c r="K51" i="24"/>
  <c r="J51" i="24"/>
  <c r="H51" i="24"/>
  <c r="G51" i="24"/>
  <c r="K41" i="24"/>
  <c r="M51" i="24"/>
  <c r="P51" i="24"/>
  <c r="N51" i="24"/>
  <c r="I34" i="24"/>
  <c r="I36" i="24" s="1"/>
  <c r="I41" i="24"/>
  <c r="G34" i="24"/>
  <c r="G36" i="24" s="1"/>
  <c r="G41" i="24"/>
  <c r="F34" i="24"/>
  <c r="F36" i="24" s="1"/>
  <c r="F41" i="24"/>
  <c r="H34" i="24"/>
  <c r="H36" i="24" s="1"/>
  <c r="H41" i="24"/>
  <c r="J34" i="24"/>
  <c r="J36" i="24" s="1"/>
  <c r="J41" i="24"/>
  <c r="K34" i="24"/>
  <c r="K36" i="24" s="1"/>
  <c r="T31" i="28"/>
  <c r="F93" i="33" l="1"/>
  <c r="F95" i="33" s="1"/>
  <c r="F99" i="33" s="1"/>
  <c r="F101" i="33" s="1"/>
  <c r="F122" i="33" s="1"/>
  <c r="F92" i="33"/>
  <c r="J20" i="36"/>
  <c r="J55" i="24"/>
  <c r="F18" i="36"/>
  <c r="F19" i="36"/>
  <c r="K20" i="36"/>
  <c r="K55" i="24"/>
  <c r="G18" i="36"/>
  <c r="G19" i="36"/>
  <c r="H20" i="36"/>
  <c r="H55" i="24"/>
  <c r="G20" i="36"/>
  <c r="G55" i="24"/>
  <c r="K18" i="36"/>
  <c r="K19" i="36"/>
  <c r="J19" i="36"/>
  <c r="J18" i="36"/>
  <c r="I18" i="36"/>
  <c r="I19" i="36"/>
  <c r="I20" i="36"/>
  <c r="I55" i="24"/>
  <c r="F20" i="36"/>
  <c r="F55" i="24"/>
  <c r="H18" i="36"/>
  <c r="H19" i="36"/>
  <c r="J120" i="33"/>
  <c r="J121" i="33" s="1"/>
  <c r="J122" i="33"/>
  <c r="J123" i="33" s="1"/>
  <c r="J124" i="33"/>
  <c r="J125" i="33" s="1"/>
  <c r="I120" i="33"/>
  <c r="I121" i="33" s="1"/>
  <c r="I122" i="33"/>
  <c r="I123" i="33" s="1"/>
  <c r="I124" i="33"/>
  <c r="I125" i="33" s="1"/>
  <c r="K120" i="33"/>
  <c r="K121" i="33" s="1"/>
  <c r="K124" i="33"/>
  <c r="K125" i="33" s="1"/>
  <c r="K122" i="33"/>
  <c r="K123" i="33" s="1"/>
  <c r="G120" i="33"/>
  <c r="G121" i="33" s="1"/>
  <c r="G122" i="33"/>
  <c r="G123" i="33" s="1"/>
  <c r="G124" i="33"/>
  <c r="G125" i="33" s="1"/>
  <c r="H120" i="33"/>
  <c r="H121" i="33" s="1"/>
  <c r="H122" i="33"/>
  <c r="H123" i="33" s="1"/>
  <c r="H124" i="33"/>
  <c r="H125" i="33" s="1"/>
  <c r="J37" i="24"/>
  <c r="H37" i="24"/>
  <c r="K37" i="24"/>
  <c r="F37" i="24"/>
  <c r="I37" i="24"/>
  <c r="G37" i="24"/>
  <c r="I45" i="24"/>
  <c r="I52" i="24" s="1"/>
  <c r="J45" i="24"/>
  <c r="J52" i="24" s="1"/>
  <c r="G45" i="24"/>
  <c r="G52" i="24" s="1"/>
  <c r="F45" i="24"/>
  <c r="F52" i="24" s="1"/>
  <c r="H45" i="24"/>
  <c r="H52" i="24" s="1"/>
  <c r="K45" i="24"/>
  <c r="K52" i="24" s="1"/>
  <c r="U30" i="28"/>
  <c r="F123" i="33" l="1"/>
  <c r="F120" i="33"/>
  <c r="F121" i="33" s="1"/>
  <c r="F124" i="33"/>
  <c r="F125" i="33" s="1"/>
  <c r="G30" i="24"/>
  <c r="K30" i="24"/>
  <c r="V30" i="28"/>
  <c r="M13" i="24"/>
  <c r="N13" i="24"/>
  <c r="O13" i="24"/>
  <c r="P13" i="24"/>
  <c r="L15" i="24" l="1"/>
  <c r="L58" i="33" s="1"/>
  <c r="L59" i="33" s="1"/>
  <c r="L60" i="33" s="1"/>
  <c r="M15" i="24"/>
  <c r="M58" i="33" s="1"/>
  <c r="M59" i="33" s="1"/>
  <c r="M60" i="33" s="1"/>
  <c r="N15" i="24"/>
  <c r="N58" i="33" s="1"/>
  <c r="N59" i="33" s="1"/>
  <c r="N60" i="33" s="1"/>
  <c r="O15" i="24"/>
  <c r="P15" i="24"/>
  <c r="N62" i="33" l="1"/>
  <c r="N63" i="33" s="1"/>
  <c r="L62" i="33"/>
  <c r="L63" i="33" s="1"/>
  <c r="P26" i="24"/>
  <c r="P58" i="33"/>
  <c r="P59" i="33" s="1"/>
  <c r="P60" i="33" s="1"/>
  <c r="M62" i="33"/>
  <c r="M63" i="33" s="1"/>
  <c r="O26" i="24"/>
  <c r="O58" i="33"/>
  <c r="O59" i="33" s="1"/>
  <c r="O60" i="33" s="1"/>
  <c r="N16" i="24"/>
  <c r="M16" i="24"/>
  <c r="P16" i="24"/>
  <c r="O16" i="24"/>
  <c r="L16" i="24"/>
  <c r="P44" i="24" l="1"/>
  <c r="P25" i="36"/>
  <c r="P26" i="36"/>
  <c r="P29" i="24"/>
  <c r="O44" i="24"/>
  <c r="O25" i="36"/>
  <c r="O26" i="36"/>
  <c r="M93" i="33"/>
  <c r="M95" i="33" s="1"/>
  <c r="M99" i="33" s="1"/>
  <c r="M101" i="33" s="1"/>
  <c r="M92" i="33"/>
  <c r="P62" i="33"/>
  <c r="P63" i="33" s="1"/>
  <c r="L92" i="33"/>
  <c r="L93" i="33"/>
  <c r="L95" i="33" s="1"/>
  <c r="L99" i="33" s="1"/>
  <c r="L101" i="33" s="1"/>
  <c r="O62" i="33"/>
  <c r="O63" i="33" s="1"/>
  <c r="N92" i="33"/>
  <c r="N93" i="33"/>
  <c r="N95" i="33" s="1"/>
  <c r="L22" i="24"/>
  <c r="M22" i="24"/>
  <c r="N22" i="24"/>
  <c r="O22" i="24"/>
  <c r="P22" i="24"/>
  <c r="O20" i="36" l="1"/>
  <c r="O55" i="24"/>
  <c r="P20" i="36"/>
  <c r="P55" i="24"/>
  <c r="M120" i="33"/>
  <c r="M121" i="33" s="1"/>
  <c r="M122" i="33"/>
  <c r="M123" i="33" s="1"/>
  <c r="M124" i="33"/>
  <c r="M125" i="33" s="1"/>
  <c r="L120" i="33"/>
  <c r="L121" i="33" s="1"/>
  <c r="L124" i="33"/>
  <c r="L125" i="33" s="1"/>
  <c r="L122" i="33"/>
  <c r="L123" i="33" s="1"/>
  <c r="N99" i="33"/>
  <c r="N101" i="33" s="1"/>
  <c r="P92" i="33"/>
  <c r="P93" i="33"/>
  <c r="P95" i="33" s="1"/>
  <c r="P99" i="33" s="1"/>
  <c r="P101" i="33" s="1"/>
  <c r="O93" i="33"/>
  <c r="O95" i="33" s="1"/>
  <c r="O99" i="33" s="1"/>
  <c r="O101" i="33" s="1"/>
  <c r="O92" i="33"/>
  <c r="N26" i="24"/>
  <c r="M26" i="24"/>
  <c r="L26" i="24"/>
  <c r="L50" i="24"/>
  <c r="M50" i="24"/>
  <c r="N50" i="24"/>
  <c r="O50" i="24"/>
  <c r="P50" i="24"/>
  <c r="N44" i="24" l="1"/>
  <c r="N25" i="36"/>
  <c r="N26" i="36"/>
  <c r="L26" i="36"/>
  <c r="L25" i="36"/>
  <c r="M26" i="36"/>
  <c r="M25" i="36"/>
  <c r="P120" i="33"/>
  <c r="P121" i="33" s="1"/>
  <c r="P122" i="33"/>
  <c r="P123" i="33" s="1"/>
  <c r="P124" i="33"/>
  <c r="P125" i="33" s="1"/>
  <c r="O120" i="33"/>
  <c r="O121" i="33" s="1"/>
  <c r="O122" i="33"/>
  <c r="O123" i="33" s="1"/>
  <c r="O124" i="33"/>
  <c r="O125" i="33" s="1"/>
  <c r="N120" i="33"/>
  <c r="N121" i="33" s="1"/>
  <c r="N122" i="33"/>
  <c r="N123" i="33" s="1"/>
  <c r="N124" i="33"/>
  <c r="N125" i="33" s="1"/>
  <c r="M41" i="24"/>
  <c r="M44" i="24"/>
  <c r="L29" i="24"/>
  <c r="L30" i="24" s="1"/>
  <c r="L44" i="24"/>
  <c r="L55" i="24" s="1"/>
  <c r="P41" i="24"/>
  <c r="M27" i="24"/>
  <c r="M29" i="24"/>
  <c r="N27" i="24"/>
  <c r="N29" i="24"/>
  <c r="M34" i="24"/>
  <c r="M36" i="24" s="1"/>
  <c r="N34" i="24"/>
  <c r="N36" i="24" s="1"/>
  <c r="N41" i="24"/>
  <c r="P34" i="24"/>
  <c r="P36" i="24" s="1"/>
  <c r="L34" i="24"/>
  <c r="L36" i="24" s="1"/>
  <c r="L27" i="24"/>
  <c r="L41" i="24"/>
  <c r="P27" i="24"/>
  <c r="AC41" i="24" l="1"/>
  <c r="AD41" i="24" s="1"/>
  <c r="AE41" i="24" s="1"/>
  <c r="T41" i="24"/>
  <c r="U41" i="24" s="1"/>
  <c r="V41" i="24" s="1"/>
  <c r="W41" i="24" s="1"/>
  <c r="X41" i="24" s="1"/>
  <c r="Y41" i="24" s="1"/>
  <c r="Z41" i="24" s="1"/>
  <c r="AA41" i="24" s="1"/>
  <c r="AB41" i="24" s="1"/>
  <c r="L18" i="36"/>
  <c r="M20" i="36"/>
  <c r="M55" i="24"/>
  <c r="P37" i="24"/>
  <c r="P18" i="36"/>
  <c r="P19" i="36"/>
  <c r="N37" i="24"/>
  <c r="N18" i="36"/>
  <c r="M37" i="24"/>
  <c r="M18" i="36"/>
  <c r="L20" i="36"/>
  <c r="N20" i="36"/>
  <c r="N55" i="24"/>
  <c r="M30" i="24"/>
  <c r="N30" i="24"/>
  <c r="P30" i="24"/>
  <c r="L37" i="24"/>
  <c r="M46" i="24"/>
  <c r="O46" i="24"/>
  <c r="N46" i="24"/>
  <c r="P46" i="24"/>
  <c r="L46" i="24"/>
  <c r="L45" i="24" s="1"/>
  <c r="L52" i="24" s="1"/>
  <c r="AF55" i="24" l="1"/>
  <c r="AG41" i="24" s="1"/>
  <c r="Q13" i="24"/>
  <c r="AF45" i="24" l="1"/>
  <c r="R51" i="24"/>
  <c r="R45" i="24" s="1"/>
  <c r="R52" i="24" s="1"/>
  <c r="Q51" i="24"/>
  <c r="N11" i="26" l="1"/>
  <c r="L11" i="26"/>
  <c r="O11" i="26"/>
  <c r="M11" i="26"/>
  <c r="O27" i="36" l="1"/>
  <c r="O10" i="36"/>
  <c r="L10" i="36"/>
  <c r="L27" i="36"/>
  <c r="L19" i="36"/>
  <c r="M10" i="36"/>
  <c r="M27" i="36"/>
  <c r="M19" i="36"/>
  <c r="N10" i="36"/>
  <c r="N27" i="36"/>
  <c r="N19" i="36"/>
  <c r="M45" i="24"/>
  <c r="M52" i="24" s="1"/>
  <c r="P45" i="24"/>
  <c r="P52" i="24" s="1"/>
  <c r="N45" i="24"/>
  <c r="N52" i="24" s="1"/>
  <c r="O29" i="24" l="1"/>
  <c r="O30" i="24" l="1"/>
  <c r="O27" i="24"/>
  <c r="O41" i="24"/>
  <c r="O34" i="24"/>
  <c r="O36" i="24" s="1"/>
  <c r="O18" i="36" l="1"/>
  <c r="O19" i="36"/>
  <c r="O37" i="24"/>
  <c r="O45" i="24"/>
  <c r="O52" i="24" s="1"/>
  <c r="Q46" i="24" l="1"/>
  <c r="Q45" i="24" s="1"/>
  <c r="Q52" i="24" s="1"/>
  <c r="X30" i="24" l="1"/>
  <c r="Y30" i="24" l="1"/>
  <c r="Z30" i="24" l="1"/>
  <c r="AA30" i="24" l="1"/>
  <c r="AB30" i="24" l="1"/>
  <c r="N18" i="20" l="1"/>
  <c r="U50" i="24" l="1"/>
  <c r="M18" i="20"/>
  <c r="O18" i="20"/>
  <c r="V50" i="24" l="1"/>
  <c r="L18" i="20"/>
  <c r="P18" i="20"/>
  <c r="W50" i="24" l="1"/>
  <c r="Q18" i="20"/>
  <c r="K18" i="20"/>
  <c r="X50" i="24" l="1"/>
  <c r="R18" i="20"/>
  <c r="J18" i="20"/>
  <c r="Y50" i="24" l="1"/>
  <c r="S18" i="20"/>
  <c r="Z50" i="24" l="1"/>
  <c r="AA50" i="24" l="1"/>
  <c r="AB50" i="24" l="1"/>
  <c r="AC50" i="24" l="1"/>
  <c r="AD50" i="24" l="1"/>
  <c r="AE50" i="24" l="1"/>
  <c r="T66" i="28" l="1"/>
  <c r="U65" i="28" l="1"/>
  <c r="V64" i="28" l="1"/>
  <c r="Y60" i="28" l="1"/>
  <c r="Z60" i="28" l="1"/>
  <c r="AA60" i="28" l="1"/>
  <c r="AB60" i="28" l="1"/>
  <c r="S76" i="28" l="1"/>
  <c r="S77" i="28"/>
  <c r="S30" i="24"/>
  <c r="AC60" i="28"/>
  <c r="U76" i="28" l="1"/>
  <c r="V76" i="28" s="1"/>
  <c r="W76" i="28" s="1"/>
  <c r="X76" i="28" s="1"/>
  <c r="Y76" i="28" s="1"/>
  <c r="Z76" i="28" s="1"/>
  <c r="AA76" i="28" s="1"/>
  <c r="AB76" i="28" s="1"/>
  <c r="AC76" i="28" s="1"/>
  <c r="AD76" i="28" s="1"/>
  <c r="AE76" i="28" s="1"/>
  <c r="AD60" i="28"/>
  <c r="AE60" i="28" l="1"/>
  <c r="X68" i="28" l="1"/>
  <c r="W68" i="28"/>
  <c r="X67" i="28" s="1"/>
  <c r="Y66" i="28" s="1"/>
  <c r="Z65" i="28" s="1"/>
  <c r="V68" i="28"/>
  <c r="W67" i="28" s="1"/>
  <c r="X66" i="28" s="1"/>
  <c r="Y65" i="28" s="1"/>
  <c r="U68" i="28"/>
  <c r="T68" i="28"/>
  <c r="Y59" i="28"/>
  <c r="Y68" i="28" s="1"/>
  <c r="Z59" i="28" l="1"/>
  <c r="Z68" i="28" s="1"/>
  <c r="AA67" i="28" s="1"/>
  <c r="AB66" i="28" s="1"/>
  <c r="AC65" i="28" s="1"/>
  <c r="V67" i="28"/>
  <c r="W66" i="28" s="1"/>
  <c r="X65" i="28" s="1"/>
  <c r="Z67" i="28"/>
  <c r="AA66" i="28" s="1"/>
  <c r="AB65" i="28" s="1"/>
  <c r="Y67" i="28"/>
  <c r="Z66" i="28" s="1"/>
  <c r="AA65" i="28" s="1"/>
  <c r="AA59" i="28"/>
  <c r="U67" i="28"/>
  <c r="V66" i="28" s="1"/>
  <c r="W65" i="28" s="1"/>
  <c r="AA68" i="28" l="1"/>
  <c r="AB59" i="28"/>
  <c r="AB67" i="28" l="1"/>
  <c r="AC66" i="28" s="1"/>
  <c r="AD65" i="28" s="1"/>
  <c r="AB68" i="28"/>
  <c r="AC59" i="28"/>
  <c r="AC67" i="28" l="1"/>
  <c r="AD66" i="28" s="1"/>
  <c r="AE65" i="28" s="1"/>
  <c r="AD59" i="28"/>
  <c r="AC68" i="28"/>
  <c r="AE59" i="28" l="1"/>
  <c r="AE68" i="28" s="1"/>
  <c r="AD68" i="28"/>
  <c r="AD67" i="28"/>
  <c r="AE66" i="28" s="1"/>
  <c r="AE67" i="28" l="1"/>
  <c r="Z58" i="28"/>
  <c r="AA58" i="28" s="1"/>
  <c r="AB58" i="28" s="1"/>
  <c r="AC58" i="28" s="1"/>
  <c r="AD58" i="28" s="1"/>
  <c r="AE58" i="28" s="1"/>
  <c r="T70" i="28"/>
  <c r="U70" i="28" s="1"/>
  <c r="V70" i="28" s="1"/>
  <c r="W70" i="28" s="1"/>
  <c r="X70" i="28" s="1"/>
  <c r="Y70" i="28" s="1"/>
  <c r="Z70" i="28" s="1"/>
  <c r="AA70" i="28" s="1"/>
  <c r="AB70" i="28" s="1"/>
  <c r="AC70" i="28" s="1"/>
  <c r="AD70" i="28" s="1"/>
  <c r="AE70" i="28" s="1"/>
  <c r="T67" i="28" l="1"/>
  <c r="T69" i="28" s="1"/>
  <c r="T58" i="28"/>
  <c r="U58" i="28" s="1"/>
  <c r="V58" i="28" s="1"/>
  <c r="W58" i="28" s="1"/>
  <c r="X58" i="28" s="1"/>
  <c r="T13" i="28" l="1"/>
  <c r="U66" i="28"/>
  <c r="T63" i="28"/>
  <c r="U63" i="28" l="1"/>
  <c r="V65" i="28"/>
  <c r="U69" i="28"/>
  <c r="U13" i="28" s="1"/>
  <c r="V69" i="28" l="1"/>
  <c r="V13" i="28" s="1"/>
  <c r="V63" i="28"/>
  <c r="W64" i="28"/>
  <c r="W69" i="28" l="1"/>
  <c r="W13" i="28" s="1"/>
  <c r="X64" i="28"/>
  <c r="W63" i="28"/>
  <c r="Y64" i="28" l="1"/>
  <c r="X63" i="28"/>
  <c r="X69" i="28"/>
  <c r="X13" i="28" s="1"/>
  <c r="Y63" i="28" l="1"/>
  <c r="Y69" i="28"/>
  <c r="Y13" i="28" s="1"/>
  <c r="Z64" i="28"/>
  <c r="Z69" i="28" l="1"/>
  <c r="Z13" i="28" s="1"/>
  <c r="Z63" i="28"/>
  <c r="AA64" i="28"/>
  <c r="AA69" i="28" l="1"/>
  <c r="AA13" i="28" s="1"/>
  <c r="AB64" i="28"/>
  <c r="AA63" i="28"/>
  <c r="AB63" i="28" l="1"/>
  <c r="AB69" i="28"/>
  <c r="AB13" i="28" s="1"/>
  <c r="AC64" i="28"/>
  <c r="AC69" i="28" l="1"/>
  <c r="AC13" i="28" s="1"/>
  <c r="AD64" i="28"/>
  <c r="AC63" i="28"/>
  <c r="AE64" i="28" l="1"/>
  <c r="AD63" i="28"/>
  <c r="AD69" i="28"/>
  <c r="AD13" i="28" s="1"/>
  <c r="AE63" i="28" l="1"/>
  <c r="AE69" i="28"/>
  <c r="AE13" i="28" s="1"/>
  <c r="S48" i="24" l="1"/>
  <c r="S50" i="24" l="1"/>
  <c r="S43" i="24"/>
  <c r="S41" i="24" l="1"/>
  <c r="S44" i="24"/>
  <c r="S45" i="24" l="1"/>
  <c r="S52" i="24" s="1"/>
  <c r="S55" i="24"/>
  <c r="U43" i="24"/>
  <c r="V43" i="24" l="1"/>
  <c r="W43" i="24" l="1"/>
  <c r="X43" i="24" l="1"/>
  <c r="Y43" i="24" l="1"/>
  <c r="Z43" i="24" l="1"/>
  <c r="AA43" i="24" l="1"/>
  <c r="AB43" i="24" l="1"/>
  <c r="AC43" i="24" l="1"/>
  <c r="AD43" i="24" l="1"/>
  <c r="AE43" i="24" l="1"/>
  <c r="S36" i="28"/>
  <c r="T33" i="28"/>
  <c r="U32" i="28" s="1"/>
  <c r="S26" i="28"/>
  <c r="T26" i="28" s="1"/>
  <c r="S29" i="28"/>
  <c r="AF36" i="28" l="1"/>
  <c r="T36" i="28" s="1"/>
  <c r="U36" i="28" s="1"/>
  <c r="V36" i="28" s="1"/>
  <c r="W36" i="28" s="1"/>
  <c r="X36" i="28" s="1"/>
  <c r="Y36" i="28" s="1"/>
  <c r="Z36" i="28" s="1"/>
  <c r="AA36" i="28" s="1"/>
  <c r="AB36" i="28" s="1"/>
  <c r="AC36" i="28" s="1"/>
  <c r="AD36" i="28" s="1"/>
  <c r="AE36" i="28" s="1"/>
  <c r="T34" i="28"/>
  <c r="U26" i="28"/>
  <c r="V31" i="28"/>
  <c r="T29" i="28"/>
  <c r="V26" i="28" l="1"/>
  <c r="U34" i="28"/>
  <c r="W30" i="28"/>
  <c r="U33" i="28"/>
  <c r="T35" i="28"/>
  <c r="T11" i="28" s="1"/>
  <c r="V32" i="28" l="1"/>
  <c r="U29" i="28"/>
  <c r="U35" i="28"/>
  <c r="U11" i="28" s="1"/>
  <c r="V33" i="28"/>
  <c r="W32" i="28" s="1"/>
  <c r="X31" i="28" s="1"/>
  <c r="V34" i="28"/>
  <c r="W26" i="28"/>
  <c r="W34" i="28" l="1"/>
  <c r="X26" i="28"/>
  <c r="V35" i="28"/>
  <c r="V11" i="28" s="1"/>
  <c r="W33" i="28"/>
  <c r="X32" i="28" s="1"/>
  <c r="Y31" i="28" s="1"/>
  <c r="W31" i="28"/>
  <c r="V29" i="28"/>
  <c r="W35" i="28" l="1"/>
  <c r="W11" i="28" s="1"/>
  <c r="X33" i="28"/>
  <c r="Y32" i="28" s="1"/>
  <c r="Z31" i="28" s="1"/>
  <c r="Y26" i="28"/>
  <c r="X34" i="28"/>
  <c r="X30" i="28"/>
  <c r="W29" i="28"/>
  <c r="X35" i="28" l="1"/>
  <c r="X11" i="28" s="1"/>
  <c r="Y33" i="28"/>
  <c r="Z32" i="28" s="1"/>
  <c r="AA31" i="28" s="1"/>
  <c r="Y34" i="28"/>
  <c r="Z26" i="28"/>
  <c r="X29" i="28"/>
  <c r="Y30" i="28"/>
  <c r="Z34" i="28" l="1"/>
  <c r="AA26" i="28"/>
  <c r="Y35" i="28"/>
  <c r="Y11" i="28" s="1"/>
  <c r="Z33" i="28"/>
  <c r="AA32" i="28" s="1"/>
  <c r="AB31" i="28" s="1"/>
  <c r="Y29" i="28"/>
  <c r="Z30" i="28"/>
  <c r="AA34" i="28" l="1"/>
  <c r="AB26" i="28"/>
  <c r="AA33" i="28"/>
  <c r="AB32" i="28" s="1"/>
  <c r="AC31" i="28" s="1"/>
  <c r="Z35" i="28"/>
  <c r="Z11" i="28" s="1"/>
  <c r="Z29" i="28"/>
  <c r="AA30" i="28"/>
  <c r="AC26" i="28" l="1"/>
  <c r="AB34" i="28"/>
  <c r="AA35" i="28"/>
  <c r="AA11" i="28" s="1"/>
  <c r="AB33" i="28"/>
  <c r="AC32" i="28" s="1"/>
  <c r="AD31" i="28" s="1"/>
  <c r="AA29" i="28"/>
  <c r="AB30" i="28"/>
  <c r="AC34" i="28" l="1"/>
  <c r="AD26" i="28"/>
  <c r="AB29" i="28"/>
  <c r="AC30" i="28"/>
  <c r="AC33" i="28"/>
  <c r="AD32" i="28" s="1"/>
  <c r="AE31" i="28" s="1"/>
  <c r="AB35" i="28"/>
  <c r="AB11" i="28" s="1"/>
  <c r="AD34" i="28" l="1"/>
  <c r="AE26" i="28"/>
  <c r="AE34" i="28" s="1"/>
  <c r="AC29" i="28"/>
  <c r="AD30" i="28"/>
  <c r="AC35" i="28"/>
  <c r="AC11" i="28" s="1"/>
  <c r="AD33" i="28"/>
  <c r="AE32" i="28" s="1"/>
  <c r="AE33" i="28" l="1"/>
  <c r="AD35" i="28"/>
  <c r="AD11" i="28" s="1"/>
  <c r="AD29" i="28"/>
  <c r="AE30" i="28"/>
  <c r="AE29" i="28" s="1"/>
  <c r="AE35" i="28" l="1"/>
  <c r="AE11" i="28" s="1"/>
  <c r="S52" i="28"/>
  <c r="S53" i="28" s="1"/>
  <c r="S15" i="29"/>
  <c r="S16" i="29" s="1"/>
  <c r="T16" i="29" s="1"/>
  <c r="U16" i="29" s="1"/>
  <c r="V16" i="29" s="1"/>
  <c r="W16" i="29" s="1"/>
  <c r="X16" i="29" s="1"/>
  <c r="Y16" i="29" s="1"/>
  <c r="Z16" i="29" s="1"/>
  <c r="AA16" i="29" s="1"/>
  <c r="AB16" i="29" s="1"/>
  <c r="AC16" i="29" s="1"/>
  <c r="AD16" i="29" s="1"/>
  <c r="AE16" i="29" s="1"/>
  <c r="S46" i="28"/>
  <c r="T50" i="28"/>
  <c r="U49" i="28" s="1"/>
  <c r="T51" i="28"/>
  <c r="AF53" i="28" l="1"/>
  <c r="T53" i="28"/>
  <c r="U53" i="28" s="1"/>
  <c r="V53" i="28" s="1"/>
  <c r="W53" i="28" s="1"/>
  <c r="X53" i="28" s="1"/>
  <c r="Y53" i="28" s="1"/>
  <c r="Z53" i="28" s="1"/>
  <c r="AA53" i="28" s="1"/>
  <c r="AB53" i="28" s="1"/>
  <c r="AC53" i="28" s="1"/>
  <c r="AD53" i="28" s="1"/>
  <c r="AE53" i="28" s="1"/>
  <c r="U50" i="28"/>
  <c r="V49" i="28" s="1"/>
  <c r="W48" i="28" s="1"/>
  <c r="T15" i="29"/>
  <c r="T14" i="29" s="1"/>
  <c r="T52" i="28"/>
  <c r="T12" i="28" s="1"/>
  <c r="U43" i="28"/>
  <c r="T46" i="28"/>
  <c r="V48" i="28"/>
  <c r="T14" i="28" l="1"/>
  <c r="T10" i="28" s="1"/>
  <c r="W47" i="28"/>
  <c r="U51" i="28"/>
  <c r="U46" i="28" s="1"/>
  <c r="V43" i="28"/>
  <c r="T85" i="28" l="1"/>
  <c r="T74" i="28"/>
  <c r="T84" i="28"/>
  <c r="T82" i="28"/>
  <c r="T12" i="24"/>
  <c r="X47" i="28"/>
  <c r="V51" i="28"/>
  <c r="W43" i="28"/>
  <c r="T83" i="28"/>
  <c r="U15" i="29"/>
  <c r="U14" i="29" s="1"/>
  <c r="V50" i="28"/>
  <c r="U52" i="28"/>
  <c r="U12" i="28" s="1"/>
  <c r="W49" i="28" l="1"/>
  <c r="V46" i="28"/>
  <c r="W50" i="28"/>
  <c r="X49" i="28" s="1"/>
  <c r="Y48" i="28" s="1"/>
  <c r="V15" i="29"/>
  <c r="V14" i="29" s="1"/>
  <c r="V52" i="28"/>
  <c r="V12" i="28" s="1"/>
  <c r="U14" i="28"/>
  <c r="U10" i="28" s="1"/>
  <c r="U83" i="28" s="1"/>
  <c r="T75" i="28"/>
  <c r="T77" i="28" s="1"/>
  <c r="T11" i="29"/>
  <c r="T51" i="24" s="1"/>
  <c r="T24" i="29"/>
  <c r="T18" i="29"/>
  <c r="T22" i="29"/>
  <c r="T42" i="24"/>
  <c r="T49" i="24"/>
  <c r="T13" i="24"/>
  <c r="T20" i="29"/>
  <c r="T29" i="24"/>
  <c r="T17" i="29"/>
  <c r="W51" i="28"/>
  <c r="X43" i="28"/>
  <c r="X48" i="28" l="1"/>
  <c r="W46" i="28"/>
  <c r="U82" i="28"/>
  <c r="U84" i="28"/>
  <c r="U74" i="28"/>
  <c r="U12" i="24"/>
  <c r="U85" i="28"/>
  <c r="X51" i="28"/>
  <c r="Y43" i="28"/>
  <c r="T13" i="29"/>
  <c r="T47" i="24" s="1"/>
  <c r="V14" i="28"/>
  <c r="V10" i="28" s="1"/>
  <c r="X50" i="28"/>
  <c r="Y49" i="28" s="1"/>
  <c r="Z48" i="28" s="1"/>
  <c r="W15" i="29"/>
  <c r="W14" i="29" s="1"/>
  <c r="W52" i="28"/>
  <c r="W12" i="28" s="1"/>
  <c r="T35" i="24"/>
  <c r="T44" i="24" s="1"/>
  <c r="Y47" i="28" l="1"/>
  <c r="X46" i="28"/>
  <c r="Y51" i="28"/>
  <c r="Z43" i="28"/>
  <c r="Y50" i="28"/>
  <c r="Z49" i="28" s="1"/>
  <c r="AA48" i="28" s="1"/>
  <c r="X52" i="28"/>
  <c r="X12" i="28" s="1"/>
  <c r="X15" i="29"/>
  <c r="X14" i="29" s="1"/>
  <c r="V74" i="28"/>
  <c r="V82" i="28"/>
  <c r="V84" i="28"/>
  <c r="V12" i="24"/>
  <c r="U49" i="24"/>
  <c r="U22" i="29"/>
  <c r="U18" i="29"/>
  <c r="U42" i="24"/>
  <c r="U24" i="29"/>
  <c r="U11" i="29"/>
  <c r="U51" i="24" s="1"/>
  <c r="U13" i="24"/>
  <c r="U20" i="29"/>
  <c r="U29" i="24"/>
  <c r="U17" i="29"/>
  <c r="V85" i="28"/>
  <c r="U75" i="28"/>
  <c r="U77" i="28" s="1"/>
  <c r="V83" i="28"/>
  <c r="W14" i="28"/>
  <c r="W10" i="28" s="1"/>
  <c r="T46" i="24"/>
  <c r="T45" i="24" s="1"/>
  <c r="T52" i="24" s="1"/>
  <c r="T48" i="24"/>
  <c r="Y46" i="28" l="1"/>
  <c r="Z47" i="28"/>
  <c r="U13" i="29"/>
  <c r="U47" i="24" s="1"/>
  <c r="U46" i="24" s="1"/>
  <c r="W74" i="28"/>
  <c r="W12" i="24"/>
  <c r="W84" i="28"/>
  <c r="W82" i="28"/>
  <c r="X14" i="28"/>
  <c r="X10" i="28" s="1"/>
  <c r="X83" i="28" s="1"/>
  <c r="V11" i="29"/>
  <c r="V51" i="24" s="1"/>
  <c r="V24" i="29"/>
  <c r="V18" i="29"/>
  <c r="V49" i="24"/>
  <c r="V13" i="24"/>
  <c r="V20" i="29"/>
  <c r="V22" i="29"/>
  <c r="V42" i="24"/>
  <c r="V29" i="24"/>
  <c r="V17" i="29"/>
  <c r="W85" i="28"/>
  <c r="Z51" i="28"/>
  <c r="AA43" i="28"/>
  <c r="W83" i="28"/>
  <c r="U35" i="24"/>
  <c r="U44" i="24" s="1"/>
  <c r="Z50" i="28"/>
  <c r="AA49" i="28" s="1"/>
  <c r="AB48" i="28" s="1"/>
  <c r="Y52" i="28"/>
  <c r="Y12" i="28" s="1"/>
  <c r="Y15" i="29"/>
  <c r="Y14" i="29" s="1"/>
  <c r="V75" i="28"/>
  <c r="V77" i="28" s="1"/>
  <c r="U48" i="24" l="1"/>
  <c r="Z46" i="28"/>
  <c r="AA47" i="28"/>
  <c r="V35" i="24"/>
  <c r="V44" i="24" s="1"/>
  <c r="AA51" i="28"/>
  <c r="AB43" i="28"/>
  <c r="X74" i="28"/>
  <c r="X84" i="28"/>
  <c r="X82" i="28"/>
  <c r="X12" i="24"/>
  <c r="W75" i="28"/>
  <c r="W77" i="28" s="1"/>
  <c r="X85" i="28"/>
  <c r="Y14" i="28"/>
  <c r="Y10" i="28" s="1"/>
  <c r="AA50" i="28"/>
  <c r="AB49" i="28" s="1"/>
  <c r="AC48" i="28" s="1"/>
  <c r="Z52" i="28"/>
  <c r="Z12" i="28" s="1"/>
  <c r="Z15" i="29"/>
  <c r="Z14" i="29" s="1"/>
  <c r="U45" i="24"/>
  <c r="U52" i="24" s="1"/>
  <c r="V13" i="29"/>
  <c r="V47" i="24" s="1"/>
  <c r="W11" i="29"/>
  <c r="W51" i="24" s="1"/>
  <c r="W42" i="24"/>
  <c r="W18" i="29"/>
  <c r="W49" i="24"/>
  <c r="W13" i="24"/>
  <c r="W20" i="29"/>
  <c r="W29" i="24"/>
  <c r="W22" i="29"/>
  <c r="W24" i="29"/>
  <c r="W17" i="29"/>
  <c r="AA46" i="28" l="1"/>
  <c r="AB47" i="28"/>
  <c r="X75" i="28"/>
  <c r="X77" i="28" s="1"/>
  <c r="Z14" i="28"/>
  <c r="Z10" i="28" s="1"/>
  <c r="AB51" i="28"/>
  <c r="AC43" i="28"/>
  <c r="AB50" i="28"/>
  <c r="AC49" i="28" s="1"/>
  <c r="AD48" i="28" s="1"/>
  <c r="AA15" i="29"/>
  <c r="AA14" i="29" s="1"/>
  <c r="AA52" i="28"/>
  <c r="AA12" i="28" s="1"/>
  <c r="W13" i="29"/>
  <c r="W47" i="24" s="1"/>
  <c r="Y74" i="28"/>
  <c r="Y82" i="28"/>
  <c r="Y84" i="28"/>
  <c r="Y12" i="24"/>
  <c r="V48" i="24"/>
  <c r="V46" i="24"/>
  <c r="V45" i="24" s="1"/>
  <c r="V52" i="24" s="1"/>
  <c r="W35" i="24"/>
  <c r="W44" i="24" s="1"/>
  <c r="Y83" i="28"/>
  <c r="Y85" i="28"/>
  <c r="X11" i="29"/>
  <c r="X51" i="24" s="1"/>
  <c r="X18" i="29"/>
  <c r="X29" i="24"/>
  <c r="X42" i="24"/>
  <c r="X24" i="29"/>
  <c r="X22" i="29"/>
  <c r="X20" i="29"/>
  <c r="X49" i="24"/>
  <c r="X13" i="24"/>
  <c r="X17" i="29"/>
  <c r="X13" i="29" l="1"/>
  <c r="X47" i="24" s="1"/>
  <c r="X48" i="24" s="1"/>
  <c r="AB46" i="28"/>
  <c r="AC47" i="28"/>
  <c r="Z74" i="28"/>
  <c r="Z12" i="24"/>
  <c r="Z82" i="28"/>
  <c r="Z84" i="28"/>
  <c r="Z83" i="28"/>
  <c r="Z85" i="28"/>
  <c r="AC51" i="28"/>
  <c r="AD43" i="28"/>
  <c r="Y75" i="28"/>
  <c r="Y77" i="28" s="1"/>
  <c r="AC50" i="28"/>
  <c r="AD49" i="28" s="1"/>
  <c r="AE48" i="28" s="1"/>
  <c r="AB52" i="28"/>
  <c r="AB12" i="28" s="1"/>
  <c r="AB15" i="29"/>
  <c r="AB14" i="29" s="1"/>
  <c r="W48" i="24"/>
  <c r="W46" i="24"/>
  <c r="W45" i="24" s="1"/>
  <c r="W52" i="24" s="1"/>
  <c r="Y11" i="29"/>
  <c r="Y51" i="24" s="1"/>
  <c r="Y20" i="29"/>
  <c r="Y22" i="29"/>
  <c r="Y29" i="24"/>
  <c r="Y42" i="24"/>
  <c r="Y49" i="24"/>
  <c r="Y13" i="24"/>
  <c r="Y24" i="29"/>
  <c r="Y18" i="29"/>
  <c r="Y17" i="29"/>
  <c r="AA14" i="28"/>
  <c r="AA10" i="28" s="1"/>
  <c r="X35" i="24"/>
  <c r="X44" i="24" s="1"/>
  <c r="X46" i="24" l="1"/>
  <c r="X45" i="24" s="1"/>
  <c r="X52" i="24" s="1"/>
  <c r="AC46" i="28"/>
  <c r="AD47" i="28"/>
  <c r="AA74" i="28"/>
  <c r="AA84" i="28"/>
  <c r="AA82" i="28"/>
  <c r="AA12" i="24"/>
  <c r="AA83" i="28"/>
  <c r="AB14" i="28"/>
  <c r="AB10" i="28" s="1"/>
  <c r="Y13" i="29"/>
  <c r="Y47" i="24" s="1"/>
  <c r="AE43" i="28"/>
  <c r="AE51" i="28" s="1"/>
  <c r="AD51" i="28"/>
  <c r="Z11" i="29"/>
  <c r="Z51" i="24" s="1"/>
  <c r="Z42" i="24"/>
  <c r="Z20" i="29"/>
  <c r="Z22" i="29"/>
  <c r="Z29" i="24"/>
  <c r="Z24" i="29"/>
  <c r="Z13" i="24"/>
  <c r="Z49" i="24"/>
  <c r="Z18" i="29"/>
  <c r="Z17" i="29"/>
  <c r="AD50" i="28"/>
  <c r="AE49" i="28" s="1"/>
  <c r="AC15" i="29"/>
  <c r="AC14" i="29" s="1"/>
  <c r="AC52" i="28"/>
  <c r="AC12" i="28" s="1"/>
  <c r="Z75" i="28"/>
  <c r="Z77" i="28" s="1"/>
  <c r="AA85" i="28"/>
  <c r="Y35" i="24"/>
  <c r="Y44" i="24" s="1"/>
  <c r="AD46" i="28" l="1"/>
  <c r="AE47" i="28"/>
  <c r="AE15" i="29"/>
  <c r="AE14" i="29" s="1"/>
  <c r="AA11" i="29"/>
  <c r="AA51" i="24" s="1"/>
  <c r="AA49" i="24"/>
  <c r="AA13" i="24"/>
  <c r="AA24" i="29"/>
  <c r="AA29" i="24"/>
  <c r="AA20" i="29"/>
  <c r="AA18" i="29"/>
  <c r="AA22" i="29"/>
  <c r="AA42" i="24"/>
  <c r="AA17" i="29"/>
  <c r="Y46" i="24"/>
  <c r="Y45" i="24" s="1"/>
  <c r="Y52" i="24" s="1"/>
  <c r="Y48" i="24"/>
  <c r="AA75" i="28"/>
  <c r="AA77" i="28" s="1"/>
  <c r="AB82" i="28"/>
  <c r="AB74" i="28"/>
  <c r="AB84" i="28"/>
  <c r="AB12" i="24"/>
  <c r="Z35" i="24"/>
  <c r="Z44" i="24" s="1"/>
  <c r="AB85" i="28"/>
  <c r="AC14" i="28"/>
  <c r="Z13" i="29"/>
  <c r="Z47" i="24" s="1"/>
  <c r="AE50" i="28"/>
  <c r="AD15" i="29"/>
  <c r="AD14" i="29" s="1"/>
  <c r="AD52" i="28"/>
  <c r="AD12" i="28" s="1"/>
  <c r="AB83" i="28"/>
  <c r="AE52" i="28" l="1"/>
  <c r="AE12" i="28" s="1"/>
  <c r="AE14" i="28" s="1"/>
  <c r="AE10" i="28" s="1"/>
  <c r="AE46" i="28"/>
  <c r="AF13" i="28"/>
  <c r="AA13" i="29"/>
  <c r="AA47" i="24" s="1"/>
  <c r="AD14" i="28"/>
  <c r="AD10" i="28" s="1"/>
  <c r="AD83" i="28" s="1"/>
  <c r="Z46" i="24"/>
  <c r="Z45" i="24" s="1"/>
  <c r="Z52" i="24" s="1"/>
  <c r="Z48" i="24"/>
  <c r="AB49" i="24"/>
  <c r="AB24" i="29"/>
  <c r="AB11" i="29"/>
  <c r="AB51" i="24" s="1"/>
  <c r="AB42" i="24"/>
  <c r="AB13" i="24"/>
  <c r="AB20" i="29"/>
  <c r="AB22" i="29"/>
  <c r="AB18" i="29"/>
  <c r="AB29" i="24"/>
  <c r="AB17" i="29"/>
  <c r="AA35" i="24"/>
  <c r="AA44" i="24" s="1"/>
  <c r="AC10" i="28"/>
  <c r="AB75" i="28"/>
  <c r="AB77" i="28" s="1"/>
  <c r="AF12" i="28" l="1"/>
  <c r="AD85" i="28"/>
  <c r="AE82" i="28"/>
  <c r="AF10" i="28"/>
  <c r="AE84" i="28"/>
  <c r="AE74" i="28"/>
  <c r="AF11" i="28"/>
  <c r="AA46" i="24"/>
  <c r="AA45" i="24" s="1"/>
  <c r="AA52" i="24" s="1"/>
  <c r="AA48" i="24"/>
  <c r="AE83" i="28"/>
  <c r="AD84" i="28"/>
  <c r="AD82" i="28"/>
  <c r="AD74" i="28"/>
  <c r="AC74" i="28"/>
  <c r="AC82" i="28"/>
  <c r="AC84" i="28"/>
  <c r="AC83" i="28"/>
  <c r="AF14" i="28"/>
  <c r="AE85" i="28"/>
  <c r="AB35" i="24"/>
  <c r="AB44" i="24" s="1"/>
  <c r="AB13" i="29"/>
  <c r="AB47" i="24" s="1"/>
  <c r="AC85" i="28"/>
  <c r="AD75" i="28" l="1"/>
  <c r="AD77" i="28" s="1"/>
  <c r="AD12" i="24" s="1"/>
  <c r="AC75" i="28"/>
  <c r="AC77" i="28" s="1"/>
  <c r="AC12" i="24" s="1"/>
  <c r="AB48" i="24"/>
  <c r="AB46" i="24"/>
  <c r="AB45" i="24" s="1"/>
  <c r="AB52" i="24" s="1"/>
  <c r="AE75" i="28"/>
  <c r="AE77" i="28" s="1"/>
  <c r="AE12" i="24" s="1"/>
  <c r="AC11" i="29" l="1"/>
  <c r="AC51" i="24" s="1"/>
  <c r="AC20" i="29"/>
  <c r="AC29" i="24"/>
  <c r="AC24" i="29"/>
  <c r="AC22" i="29"/>
  <c r="AC42" i="24"/>
  <c r="AC18" i="29"/>
  <c r="AC49" i="24"/>
  <c r="AC13" i="24"/>
  <c r="AC17" i="29"/>
  <c r="AD22" i="29"/>
  <c r="AD18" i="29"/>
  <c r="AD49" i="24"/>
  <c r="AD42" i="24"/>
  <c r="AD11" i="29"/>
  <c r="AD13" i="24"/>
  <c r="AD20" i="29"/>
  <c r="AD24" i="29"/>
  <c r="AD29" i="24"/>
  <c r="AD17" i="29"/>
  <c r="AE11" i="29"/>
  <c r="AE49" i="24"/>
  <c r="AE42" i="24"/>
  <c r="AE20" i="29"/>
  <c r="AE22" i="29"/>
  <c r="AE13" i="24"/>
  <c r="AE24" i="29"/>
  <c r="AE18" i="29"/>
  <c r="AE29" i="24"/>
  <c r="AE17" i="29"/>
  <c r="AD51" i="24" l="1"/>
  <c r="AC13" i="29"/>
  <c r="AC47" i="24" s="1"/>
  <c r="AC48" i="24" s="1"/>
  <c r="AE13" i="29"/>
  <c r="AE47" i="24" s="1"/>
  <c r="AE46" i="24" s="1"/>
  <c r="AE51" i="24"/>
  <c r="AD13" i="29"/>
  <c r="AD47" i="24" s="1"/>
  <c r="AD48" i="24" s="1"/>
  <c r="AE30" i="24"/>
  <c r="AE35" i="24"/>
  <c r="AE44" i="24" s="1"/>
  <c r="AD30" i="24"/>
  <c r="AD35" i="24"/>
  <c r="AD44" i="24" s="1"/>
  <c r="AC35" i="24"/>
  <c r="AC44" i="24" s="1"/>
  <c r="AC30" i="24"/>
  <c r="AE48" i="24" l="1"/>
  <c r="AC46" i="24"/>
  <c r="AC45" i="24" s="1"/>
  <c r="AC52" i="24" s="1"/>
  <c r="AD46" i="24"/>
  <c r="AD45" i="24" s="1"/>
  <c r="AD52" i="24" s="1"/>
  <c r="AF44" i="24"/>
  <c r="AF52" i="24" s="1"/>
  <c r="AE45" i="24"/>
  <c r="AE52" i="24" s="1"/>
  <c r="F20" i="21" l="1"/>
  <c r="F21" i="21" l="1"/>
  <c r="T53" i="24" s="1"/>
  <c r="G20" i="21"/>
  <c r="H20" i="21" l="1"/>
  <c r="G21" i="21"/>
  <c r="T54" i="24" l="1"/>
  <c r="U53" i="24"/>
  <c r="H21" i="21"/>
  <c r="I20" i="21"/>
  <c r="U54" i="24" l="1"/>
  <c r="V53" i="24"/>
  <c r="I21" i="21"/>
  <c r="J20" i="21"/>
  <c r="V54" i="24" l="1"/>
  <c r="W53" i="24"/>
  <c r="J21" i="21"/>
  <c r="K20" i="21"/>
  <c r="W54" i="24" l="1"/>
  <c r="X53" i="24"/>
  <c r="K21" i="21"/>
  <c r="L20" i="21"/>
  <c r="X54" i="24" l="1"/>
  <c r="Y53" i="24"/>
  <c r="L21" i="21"/>
  <c r="M20" i="21"/>
  <c r="Y54" i="24" l="1"/>
  <c r="Z53" i="24"/>
  <c r="M21" i="21"/>
  <c r="N20" i="21"/>
  <c r="Z54" i="24" l="1"/>
  <c r="AA53" i="24"/>
  <c r="O20" i="21"/>
  <c r="N21" i="21"/>
  <c r="AA54" i="24" l="1"/>
  <c r="AB53" i="24"/>
  <c r="O21" i="21"/>
  <c r="AC53" i="24" s="1"/>
  <c r="P20" i="21"/>
  <c r="I13" i="20" l="1"/>
  <c r="Q13" i="20" l="1"/>
  <c r="J13" i="20"/>
  <c r="R13" i="20"/>
  <c r="K13" i="20"/>
  <c r="S13" i="20"/>
  <c r="P13" i="20"/>
  <c r="L13" i="20"/>
  <c r="M13" i="20"/>
  <c r="N13" i="20"/>
  <c r="O13" i="20"/>
  <c r="P21" i="21"/>
  <c r="AD53" i="24" s="1"/>
  <c r="AE53" i="24" s="1"/>
  <c r="I14" i="20"/>
  <c r="I15" i="20" s="1"/>
  <c r="I12" i="20"/>
  <c r="AB54" i="24"/>
  <c r="M15" i="20" l="1"/>
  <c r="N15" i="20"/>
  <c r="O15" i="20"/>
  <c r="P15" i="20"/>
  <c r="Q15" i="20"/>
  <c r="L15" i="20"/>
  <c r="J15" i="20"/>
  <c r="R15" i="20"/>
  <c r="K15" i="20"/>
  <c r="S15" i="20"/>
  <c r="O14" i="20"/>
  <c r="P14" i="20"/>
  <c r="N14" i="20"/>
  <c r="Q14" i="20"/>
  <c r="J14" i="20"/>
  <c r="R14" i="20"/>
  <c r="K14" i="20"/>
  <c r="S14" i="20"/>
  <c r="L14" i="20"/>
  <c r="M14" i="20"/>
  <c r="K12" i="20"/>
  <c r="S12" i="20"/>
  <c r="R12" i="20"/>
  <c r="L12" i="20"/>
  <c r="M12" i="20"/>
  <c r="N12" i="20"/>
  <c r="O12" i="20"/>
  <c r="P12" i="20"/>
  <c r="Q12" i="20"/>
  <c r="J12" i="20"/>
  <c r="I11" i="20"/>
  <c r="I16" i="20"/>
  <c r="AC54" i="24"/>
  <c r="K16" i="20" l="1"/>
  <c r="S16" i="20"/>
  <c r="L16" i="20"/>
  <c r="M16" i="20"/>
  <c r="N16" i="20"/>
  <c r="O16" i="20"/>
  <c r="R16" i="20"/>
  <c r="P16" i="20"/>
  <c r="Q16" i="20"/>
  <c r="J16" i="20"/>
  <c r="I10" i="20"/>
  <c r="M11" i="20"/>
  <c r="N11" i="20"/>
  <c r="O11" i="20"/>
  <c r="P11" i="20"/>
  <c r="Q11" i="20"/>
  <c r="L11" i="20"/>
  <c r="J11" i="20"/>
  <c r="R11" i="20"/>
  <c r="K11" i="20"/>
  <c r="S11" i="20"/>
  <c r="AD54" i="24"/>
  <c r="I9" i="20"/>
  <c r="I17" i="20"/>
  <c r="Q17" i="20" l="1"/>
  <c r="J17" i="20"/>
  <c r="R17" i="20"/>
  <c r="K17" i="20"/>
  <c r="S17" i="20"/>
  <c r="L17" i="20"/>
  <c r="M17" i="20"/>
  <c r="N17" i="20"/>
  <c r="P17" i="20"/>
  <c r="O17" i="20"/>
  <c r="P9" i="20"/>
  <c r="Q9" i="20"/>
  <c r="R9" i="20"/>
  <c r="K9" i="20"/>
  <c r="S9" i="20"/>
  <c r="L9" i="20"/>
  <c r="J9" i="20"/>
  <c r="M9" i="20"/>
  <c r="N9" i="20"/>
  <c r="O9" i="20"/>
  <c r="O10" i="20"/>
  <c r="P10" i="20"/>
  <c r="Q10" i="20"/>
  <c r="J10" i="20"/>
  <c r="R10" i="20"/>
  <c r="K10" i="20"/>
  <c r="S10" i="20"/>
  <c r="L10" i="20"/>
  <c r="N10" i="20"/>
  <c r="M10" i="20"/>
  <c r="AF53" i="24"/>
  <c r="AF54" i="24" s="1"/>
  <c r="AE54" i="24"/>
  <c r="F12" i="20" l="1"/>
  <c r="F16" i="20" s="1"/>
  <c r="F19" i="20" s="1"/>
  <c r="E19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tc={A87C3634-B483-4E57-9CB2-C035F95FD817}</author>
  </authors>
  <commentList>
    <comment ref="E18" authorId="0" shapeId="0" xr:uid="{A87C3634-B483-4E57-9CB2-C035F95FD81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Debêntures 12ª Emissão - série única - CDI+1,60%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Monnerat</author>
    <author>Leandro Siqueira</author>
  </authors>
  <commentList>
    <comment ref="O9" authorId="0" shapeId="0" xr:uid="{8C15F87A-85A2-4C85-83B1-0BDD8317E689}">
      <text>
        <r>
          <rPr>
            <b/>
            <sz val="9"/>
            <color rgb="FF000000"/>
            <rFont val="Tahoma"/>
            <family val="2"/>
          </rPr>
          <t>Rafael Monnerat: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Adoção do IFRS16</t>
        </r>
      </text>
    </comment>
    <comment ref="AB9" authorId="1" shapeId="0" xr:uid="{FA8D5239-E20C-8A4F-92C3-6EFD528780A0}">
      <text>
        <r>
          <rPr>
            <b/>
            <sz val="10"/>
            <color rgb="FF000000"/>
            <rFont val="Tahoma"/>
            <family val="2"/>
          </rPr>
          <t>Leandro Siqueira: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Fim do incentivo de ICMS.</t>
        </r>
      </text>
    </comment>
    <comment ref="AB40" authorId="1" shapeId="0" xr:uid="{38C878E8-16A7-4140-BBC2-50EE17EB1A16}">
      <text>
        <r>
          <rPr>
            <b/>
            <sz val="10"/>
            <color rgb="FF000000"/>
            <rFont val="Tahoma"/>
            <family val="2"/>
          </rPr>
          <t>Leandro Siqueira: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Fim do incentivo de ICMS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Lacombe</author>
  </authors>
  <commentList>
    <comment ref="O8" authorId="0" shapeId="0" xr:uid="{7664D941-FC1A-9D45-B9BD-E1D59F045069}">
      <text>
        <r>
          <rPr>
            <b/>
            <sz val="9"/>
            <color indexed="81"/>
            <rFont val="Segoe UI"/>
            <family val="2"/>
          </rPr>
          <t>Adoção do IFRS 16</t>
        </r>
      </text>
    </comment>
    <comment ref="O9" authorId="0" shapeId="0" xr:uid="{D13DA5D6-4D82-4195-A108-18B65F72603C}">
      <text>
        <r>
          <rPr>
            <b/>
            <sz val="9"/>
            <color indexed="81"/>
            <rFont val="Segoe UI"/>
            <family val="2"/>
          </rPr>
          <t>Adoção do IFRS 16</t>
        </r>
      </text>
    </comment>
    <comment ref="O26" authorId="0" shapeId="0" xr:uid="{049F0CE3-5C14-4049-A747-7B5DC155D489}">
      <text>
        <r>
          <rPr>
            <b/>
            <sz val="9"/>
            <color indexed="81"/>
            <rFont val="Segoe UI"/>
            <family val="2"/>
          </rPr>
          <t>Adoção do IFRS 16</t>
        </r>
      </text>
    </comment>
    <comment ref="O40" authorId="0" shapeId="0" xr:uid="{49676DC9-18A8-4004-89B8-7B41D77D97D6}">
      <text>
        <r>
          <rPr>
            <b/>
            <sz val="9"/>
            <color indexed="81"/>
            <rFont val="Segoe UI"/>
            <family val="2"/>
          </rPr>
          <t>Adoção do IFRS 16</t>
        </r>
      </text>
    </comment>
    <comment ref="E41" authorId="0" shapeId="0" xr:uid="{56DB503D-FB60-47E8-B392-BE7A37278480}">
      <text>
        <r>
          <rPr>
            <b/>
            <sz val="9"/>
            <color indexed="81"/>
            <rFont val="Segoe UI"/>
            <family val="2"/>
          </rPr>
          <t>Gabriel Lacombe:</t>
        </r>
        <r>
          <rPr>
            <sz val="9"/>
            <color indexed="81"/>
            <rFont val="Segoe UI"/>
            <family val="2"/>
          </rPr>
          <t xml:space="preserve">
Esse item não está nas Outras despesas. Estava separado na DRE. Colocamos aqui pra ficar mais fácil de visualizar.
</t>
        </r>
      </text>
    </comment>
    <comment ref="O57" authorId="0" shapeId="0" xr:uid="{DF40E2E0-74CA-4ACD-A74B-DB9EC77C5EEB}">
      <text>
        <r>
          <rPr>
            <b/>
            <sz val="9"/>
            <color indexed="81"/>
            <rFont val="Segoe UI"/>
            <family val="2"/>
          </rPr>
          <t>Adoção do IFRS 16</t>
        </r>
      </text>
    </comment>
    <comment ref="O66" authorId="0" shapeId="0" xr:uid="{5350C7AD-C107-433C-BE75-B396C0165CB3}">
      <text>
        <r>
          <rPr>
            <b/>
            <sz val="9"/>
            <color indexed="81"/>
            <rFont val="Segoe UI"/>
            <family val="2"/>
          </rPr>
          <t>Adoção do IFRS 16</t>
        </r>
      </text>
    </comment>
    <comment ref="O78" authorId="0" shapeId="0" xr:uid="{3C3918C1-7CA1-4105-9FD4-4D6BEDC3A65E}">
      <text>
        <r>
          <rPr>
            <b/>
            <sz val="9"/>
            <color indexed="81"/>
            <rFont val="Segoe UI"/>
            <family val="2"/>
          </rPr>
          <t>Adoção do IFRS 16</t>
        </r>
      </text>
    </comment>
    <comment ref="O91" authorId="0" shapeId="0" xr:uid="{1F4A48A9-2D52-4008-9DEC-444C331901AC}">
      <text>
        <r>
          <rPr>
            <b/>
            <sz val="9"/>
            <color indexed="81"/>
            <rFont val="Segoe UI"/>
            <family val="2"/>
          </rPr>
          <t>Adoção do IFRS 16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Lacombe</author>
    <author>Leandro Siqueira</author>
  </authors>
  <commentList>
    <comment ref="V9" authorId="0" shapeId="0" xr:uid="{4BBB8773-2704-46DE-9835-2821B2079738}">
      <text>
        <r>
          <rPr>
            <b/>
            <sz val="9"/>
            <color rgb="FF000000"/>
            <rFont val="Segoe UI"/>
            <family val="2"/>
            <charset val="1"/>
          </rPr>
          <t>Gabriel Lacombe: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Fim do Incentivo de IRPJ</t>
        </r>
      </text>
    </comment>
    <comment ref="AB73" authorId="1" shapeId="0" xr:uid="{EC5CFDC8-6D38-5549-9DA1-21A00245EA95}">
      <text>
        <r>
          <rPr>
            <b/>
            <sz val="10"/>
            <color rgb="FF000000"/>
            <rFont val="Tahoma"/>
            <family val="2"/>
          </rPr>
          <t>Leandro Siqueira: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 incentivo fiscal acaba termina aqui.</t>
        </r>
      </text>
    </comment>
    <comment ref="M75" authorId="1" shapeId="0" xr:uid="{166D92F2-1D5E-2C41-A0BE-D654F4EC986E}">
      <text>
        <r>
          <rPr>
            <b/>
            <sz val="10"/>
            <color rgb="FF000000"/>
            <rFont val="Tahoma"/>
            <family val="2"/>
          </rPr>
          <t>Leandro Siqueira: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Eles recebem um incentivo fiscal que reduz o ICMS em Santa Catarina e Rio Janeiro. O valor que a empresa divulga é apenas o que é abatido do IRPJ + CSLL (34%). Logo, dividimos o valor por 34% para encontrar o incentivo total.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Lacombe</author>
  </authors>
  <commentList>
    <comment ref="V9" authorId="0" shapeId="0" xr:uid="{86D9E951-703F-4456-9CE5-22577BF007D7}">
      <text>
        <r>
          <rPr>
            <b/>
            <sz val="9"/>
            <color indexed="81"/>
            <rFont val="Segoe UI"/>
            <family val="2"/>
          </rPr>
          <t>Gabriel Lacombe:</t>
        </r>
        <r>
          <rPr>
            <sz val="9"/>
            <color indexed="81"/>
            <rFont val="Segoe UI"/>
            <family val="2"/>
          </rPr>
          <t xml:space="preserve">
Fim do Incentivo de IRPJ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Lacombe</author>
    <author>Rafael Monnerat</author>
  </authors>
  <commentList>
    <comment ref="E10" authorId="0" shapeId="0" xr:uid="{386A17EB-C656-42C9-9FF6-5FD8DF723455}">
      <text>
        <r>
          <rPr>
            <b/>
            <sz val="9"/>
            <color rgb="FF000000"/>
            <rFont val="Segoe UI"/>
            <family val="2"/>
            <charset val="1"/>
          </rPr>
          <t>Gabriel Lacombe: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Ativo Total/ Passivo Total</t>
        </r>
      </text>
    </comment>
    <comment ref="E11" authorId="0" shapeId="0" xr:uid="{6D7CF78E-3B8D-425E-A1F6-6EFE35FCB692}">
      <text>
        <r>
          <rPr>
            <b/>
            <sz val="9"/>
            <color indexed="81"/>
            <rFont val="Segoe UI"/>
            <family val="2"/>
          </rPr>
          <t>Gabriel Lacombe:</t>
        </r>
        <r>
          <rPr>
            <sz val="9"/>
            <color indexed="81"/>
            <rFont val="Segoe UI"/>
            <family val="2"/>
          </rPr>
          <t xml:space="preserve">
Ativo Circulante/ Passivo Circulante
</t>
        </r>
      </text>
    </comment>
    <comment ref="E12" authorId="0" shapeId="0" xr:uid="{3E0528D0-E023-4F6F-BDEE-195C42F0C451}">
      <text>
        <r>
          <rPr>
            <b/>
            <sz val="9"/>
            <color rgb="FF000000"/>
            <rFont val="Segoe UI"/>
            <family val="2"/>
            <charset val="1"/>
          </rPr>
          <t>Gabriel Lacombe: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(Ativo Circulante - Estoques)/ Passivo Circulante</t>
        </r>
      </text>
    </comment>
    <comment ref="E13" authorId="0" shapeId="0" xr:uid="{DEC4111D-9D4E-4CDB-8A98-E3E9FB3BD5B3}">
      <text>
        <r>
          <rPr>
            <b/>
            <sz val="9"/>
            <color rgb="FF000000"/>
            <rFont val="Segoe UI"/>
            <family val="2"/>
            <charset val="1"/>
          </rPr>
          <t>Gabriel Lacombe: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 xml:space="preserve">Caixa/ Passivo Circulante
</t>
        </r>
      </text>
    </comment>
    <comment ref="E18" authorId="0" shapeId="0" xr:uid="{1EA04277-3BC7-4597-A5E5-022BE86BE23E}">
      <text>
        <r>
          <rPr>
            <b/>
            <sz val="9"/>
            <color rgb="FF000000"/>
            <rFont val="Segoe UI"/>
            <family val="2"/>
            <charset val="1"/>
          </rPr>
          <t>Gabriel Lacombe: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Lucro Líquido/ Patrimônio Líquido</t>
        </r>
      </text>
    </comment>
    <comment ref="E19" authorId="0" shapeId="0" xr:uid="{CE3009B0-F81E-489F-8CCF-A4646E5D1D34}">
      <text>
        <r>
          <rPr>
            <b/>
            <sz val="9"/>
            <color indexed="81"/>
            <rFont val="Segoe UI"/>
            <family val="2"/>
          </rPr>
          <t>Gabriel Lacombe:</t>
        </r>
        <r>
          <rPr>
            <sz val="9"/>
            <color indexed="81"/>
            <rFont val="Segoe UI"/>
            <family val="2"/>
          </rPr>
          <t xml:space="preserve">
Lucro Líquido/ Ativo Total</t>
        </r>
      </text>
    </comment>
    <comment ref="E20" authorId="0" shapeId="0" xr:uid="{542E870C-5D41-424D-A50E-6EB4808F607F}">
      <text>
        <r>
          <rPr>
            <b/>
            <sz val="9"/>
            <color rgb="FF000000"/>
            <rFont val="Segoe UI"/>
            <family val="2"/>
            <charset val="1"/>
          </rPr>
          <t>Gabriel Lacombe: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NOPAT/(Dívida Bruta + Patrimônio Líquido - Excesso de caixa)</t>
        </r>
      </text>
    </comment>
    <comment ref="O24" authorId="1" shapeId="0" xr:uid="{3DAAC67F-4372-450D-8881-1FAF3C536ACE}">
      <text>
        <r>
          <rPr>
            <b/>
            <sz val="9"/>
            <color indexed="81"/>
            <rFont val="Tahoma"/>
            <family val="2"/>
          </rPr>
          <t>Rafael Monnerat:</t>
        </r>
        <r>
          <rPr>
            <sz val="9"/>
            <color indexed="81"/>
            <rFont val="Tahoma"/>
            <family val="2"/>
          </rPr>
          <t xml:space="preserve">
Adoção do IFRS16</t>
        </r>
      </text>
    </comment>
    <comment ref="E26" authorId="0" shapeId="0" xr:uid="{355A6FBA-D834-4008-B7AD-A58580E06903}">
      <text>
        <r>
          <rPr>
            <b/>
            <sz val="9"/>
            <color rgb="FF000000"/>
            <rFont val="Segoe UI"/>
            <family val="2"/>
            <charset val="1"/>
          </rPr>
          <t>Gabriel Lacombe: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EBIT/ Despesas Financeiras</t>
        </r>
      </text>
    </comment>
    <comment ref="E34" authorId="0" shapeId="0" xr:uid="{C033C967-3BB1-4916-8656-A6FF4EF13572}">
      <text>
        <r>
          <rPr>
            <b/>
            <sz val="9"/>
            <color rgb="FF000000"/>
            <rFont val="Segoe UI"/>
            <family val="2"/>
            <charset val="1"/>
          </rPr>
          <t>Gabriel Lacombe: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Contas a Receber*365/Receita Bruta</t>
        </r>
      </text>
    </comment>
    <comment ref="E35" authorId="0" shapeId="0" xr:uid="{1A3A87C3-95D7-4787-9DEB-2D391B37084F}">
      <text>
        <r>
          <rPr>
            <b/>
            <sz val="9"/>
            <color indexed="81"/>
            <rFont val="Segoe UI"/>
            <family val="2"/>
          </rPr>
          <t>Gabriel Lacombe:</t>
        </r>
        <r>
          <rPr>
            <sz val="9"/>
            <color indexed="81"/>
            <rFont val="Segoe UI"/>
            <family val="2"/>
          </rPr>
          <t xml:space="preserve">
Estoques*365/-despesas</t>
        </r>
      </text>
    </comment>
    <comment ref="E36" authorId="0" shapeId="0" xr:uid="{B4C50FE9-79A6-404A-9357-929A22B41104}">
      <text>
        <r>
          <rPr>
            <b/>
            <sz val="9"/>
            <color rgb="FF000000"/>
            <rFont val="Segoe UI"/>
            <family val="2"/>
            <charset val="1"/>
          </rPr>
          <t>Gabriel Lacombe: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(Fornecedores + Obrigações Trabalhistas)*365/-(Custos de mercadoria + despesas + D&amp;A + D&amp;A do arrendamento)</t>
        </r>
      </text>
    </comment>
    <comment ref="E37" authorId="0" shapeId="0" xr:uid="{177DF9C0-9B89-4BEA-94F1-2A45A866F7D3}">
      <text>
        <r>
          <rPr>
            <b/>
            <sz val="9"/>
            <color rgb="FF000000"/>
            <rFont val="Segoe UI"/>
            <family val="2"/>
            <charset val="1"/>
          </rPr>
          <t>Gabriel Lacombe: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Prazo médio de recebimento + Prazo médio de estoques - prazo médio de pagamento</t>
        </r>
      </text>
    </comment>
    <comment ref="P41" authorId="1" shapeId="0" xr:uid="{F52D8FAE-3969-4488-BA4C-270A87D63BD5}">
      <text>
        <r>
          <rPr>
            <b/>
            <sz val="9"/>
            <color rgb="FF000000"/>
            <rFont val="Tahoma"/>
            <family val="2"/>
          </rPr>
          <t>Rafael Monnerat: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Houve um Split de 5 pra 1 em 2020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Monnerat</author>
  </authors>
  <commentList>
    <comment ref="I14" authorId="0" shapeId="0" xr:uid="{65CAF9F5-71FF-49C3-A79F-8FBB295EA225}">
      <text>
        <r>
          <rPr>
            <b/>
            <sz val="9"/>
            <color indexed="81"/>
            <rFont val="Tahoma"/>
            <family val="2"/>
          </rPr>
          <t>Rafael Monnerat:</t>
        </r>
        <r>
          <rPr>
            <sz val="9"/>
            <color indexed="81"/>
            <rFont val="Tahoma"/>
            <family val="2"/>
          </rPr>
          <t xml:space="preserve">
A Renner não deu a abertura dos valores dos processos com chances remotas de perdas</t>
        </r>
      </text>
    </comment>
  </commentList>
</comments>
</file>

<file path=xl/sharedStrings.xml><?xml version="1.0" encoding="utf-8"?>
<sst xmlns="http://schemas.openxmlformats.org/spreadsheetml/2006/main" count="8071" uniqueCount="1360">
  <si>
    <t>Ativo Total</t>
  </si>
  <si>
    <t>Passivo Total</t>
  </si>
  <si>
    <t>Passivo Não Circulante</t>
  </si>
  <si>
    <t>Patrimônio Líquido</t>
  </si>
  <si>
    <t>Ativo Circulante</t>
  </si>
  <si>
    <t>Ativo Não Circulante</t>
  </si>
  <si>
    <t>Imobilizado</t>
  </si>
  <si>
    <t>Passivo Circulante</t>
  </si>
  <si>
    <t>Receita Líquida</t>
  </si>
  <si>
    <t>Custos das Vendas e Serviços</t>
  </si>
  <si>
    <t>Lucro Bruto</t>
  </si>
  <si>
    <t>Despesas/ Receitas Operacionais</t>
  </si>
  <si>
    <t>EBIT</t>
  </si>
  <si>
    <t>Resultado Financeiro</t>
  </si>
  <si>
    <t>Resultado Antes dos Tributos Sobre o Lucro</t>
  </si>
  <si>
    <t>Lucro Líquido</t>
  </si>
  <si>
    <t>Custo de Capital Próprio (Ke)</t>
  </si>
  <si>
    <t>CDS</t>
  </si>
  <si>
    <t>Taxa Livre de Risco</t>
  </si>
  <si>
    <t>Prêmio de Risco</t>
  </si>
  <si>
    <t>Custo de Capital de Terceiros (Kd)</t>
  </si>
  <si>
    <t>-</t>
  </si>
  <si>
    <t>WACC</t>
  </si>
  <si>
    <t>Alíquota Efetiva</t>
  </si>
  <si>
    <t>NOPAT</t>
  </si>
  <si>
    <t>Taxa de Reinvestimento</t>
  </si>
  <si>
    <t>CAPEX Líquido</t>
  </si>
  <si>
    <t>CAPEX</t>
  </si>
  <si>
    <t>Depreciação &amp; Amortização</t>
  </si>
  <si>
    <t>ROIC</t>
  </si>
  <si>
    <t>Caixa Operacional</t>
  </si>
  <si>
    <t>Ativos Não-Operacionais</t>
  </si>
  <si>
    <t>Perpetuidade</t>
  </si>
  <si>
    <t>Growth</t>
  </si>
  <si>
    <t>(%) da Receita Líquida</t>
  </si>
  <si>
    <t>∆ Capital de Giro</t>
  </si>
  <si>
    <t>Imposto de Renda e CSLL</t>
  </si>
  <si>
    <t>Capital de Giro</t>
  </si>
  <si>
    <t>Premissa</t>
  </si>
  <si>
    <t>Páginas</t>
  </si>
  <si>
    <t>Dashboard</t>
  </si>
  <si>
    <t>Beta</t>
  </si>
  <si>
    <t>DRE + DCF</t>
  </si>
  <si>
    <t>Balanço Patrimonial</t>
  </si>
  <si>
    <t>Despesas com Vendas</t>
  </si>
  <si>
    <t>Despesas Gerais e Administrativas</t>
  </si>
  <si>
    <t>Despesas Financeiras</t>
  </si>
  <si>
    <t>Receitas Financeiras</t>
  </si>
  <si>
    <t>Crescimento da Receita (YoY)¹</t>
  </si>
  <si>
    <t>¹- "YoY", ou "year over year", significa "de um ano pro outro".</t>
  </si>
  <si>
    <t>FCFF</t>
  </si>
  <si>
    <t>Margem Líquida</t>
  </si>
  <si>
    <t>Margem EBIT</t>
  </si>
  <si>
    <t>Margem Bruta</t>
  </si>
  <si>
    <t>Ticker</t>
  </si>
  <si>
    <t>Cotação</t>
  </si>
  <si>
    <t>Valor da Ação</t>
  </si>
  <si>
    <t>Ações Emitidas (mil)</t>
  </si>
  <si>
    <t>Valor da Empresa (mil)</t>
  </si>
  <si>
    <t>Dívida (mil)</t>
  </si>
  <si>
    <t>Ano 4</t>
  </si>
  <si>
    <t>Ano 3</t>
  </si>
  <si>
    <t>Ano 2</t>
  </si>
  <si>
    <t>Ano 1</t>
  </si>
  <si>
    <t>Receita Média por m² 100% Maduro (R$ mil)</t>
  </si>
  <si>
    <t>Tamanho (m²)</t>
  </si>
  <si>
    <t>Cidade</t>
  </si>
  <si>
    <t>Local</t>
  </si>
  <si>
    <t>Estado</t>
  </si>
  <si>
    <t>Região</t>
  </si>
  <si>
    <t>Como % da Receita Líquida</t>
  </si>
  <si>
    <t>Margem EBIT Recorrente</t>
  </si>
  <si>
    <t>Nível de Otimismo (0-5)</t>
  </si>
  <si>
    <t>Lojas</t>
  </si>
  <si>
    <t>Número de Lojas Abertas</t>
  </si>
  <si>
    <t>Eventos não recorrentes</t>
  </si>
  <si>
    <t>EBIT Recorrente</t>
  </si>
  <si>
    <t>Créditos Fiscais</t>
  </si>
  <si>
    <t>Excesso de Caixa</t>
  </si>
  <si>
    <t>Investimentos</t>
  </si>
  <si>
    <t>Ano 5</t>
  </si>
  <si>
    <t>Shopping/Rua</t>
  </si>
  <si>
    <t>Bahia</t>
  </si>
  <si>
    <t>Lauro de Freitas</t>
  </si>
  <si>
    <t>Parque Shopping Bahia</t>
  </si>
  <si>
    <t>São Paulo</t>
  </si>
  <si>
    <t>Shopping Ibirapuera</t>
  </si>
  <si>
    <t>Shopping Eldorado</t>
  </si>
  <si>
    <t>Rio de Janeiro</t>
  </si>
  <si>
    <t>Shopping Center Norte</t>
  </si>
  <si>
    <t>Shopping Anália Franco</t>
  </si>
  <si>
    <t>Ourinhos</t>
  </si>
  <si>
    <t>Paraíba</t>
  </si>
  <si>
    <t>Campinas</t>
  </si>
  <si>
    <t>Carapicuíba</t>
  </si>
  <si>
    <t>Paraná</t>
  </si>
  <si>
    <t>Curitiba</t>
  </si>
  <si>
    <t>Park Shopping Barigui</t>
  </si>
  <si>
    <t>Umuarama</t>
  </si>
  <si>
    <t>Shopping Pátio Paulista</t>
  </si>
  <si>
    <t>Barra Shopping</t>
  </si>
  <si>
    <t>Plaza Shopping Niterói</t>
  </si>
  <si>
    <t>Rio Grande do Norte</t>
  </si>
  <si>
    <t>Natal</t>
  </si>
  <si>
    <t>Sorocaba</t>
  </si>
  <si>
    <t>Morumbi Shopping</t>
  </si>
  <si>
    <t>Santa Catarina</t>
  </si>
  <si>
    <t>Joinville</t>
  </si>
  <si>
    <t>Minas Gerais</t>
  </si>
  <si>
    <t>Belo Horizonte</t>
  </si>
  <si>
    <t>BH Shopping</t>
  </si>
  <si>
    <t>Acre</t>
  </si>
  <si>
    <t>Rio Branco</t>
  </si>
  <si>
    <t>Via Verde Shopping</t>
  </si>
  <si>
    <t>Alagoas</t>
  </si>
  <si>
    <t>Maceió</t>
  </si>
  <si>
    <t>Maceió Shopping</t>
  </si>
  <si>
    <t>Parque Shopping Maceió</t>
  </si>
  <si>
    <t>Arapiraca</t>
  </si>
  <si>
    <t>Amazonas</t>
  </si>
  <si>
    <t>Manaus</t>
  </si>
  <si>
    <t>Sumaúma Park Shopping</t>
  </si>
  <si>
    <t>Amapá</t>
  </si>
  <si>
    <t>Macapá</t>
  </si>
  <si>
    <t>Amapá Garden Shopping</t>
  </si>
  <si>
    <t>Macapá Shopping</t>
  </si>
  <si>
    <t>Camaçari</t>
  </si>
  <si>
    <t>Boulevard Shopping Camaçari</t>
  </si>
  <si>
    <t>Feira de Santana</t>
  </si>
  <si>
    <t>Itabuna</t>
  </si>
  <si>
    <t>Salvador</t>
  </si>
  <si>
    <t>Shopping Bela Vista</t>
  </si>
  <si>
    <t>Salvador Shopping</t>
  </si>
  <si>
    <t>Vitória da Conquista</t>
  </si>
  <si>
    <t>Shopping Conquista Sul</t>
  </si>
  <si>
    <t>Ceará</t>
  </si>
  <si>
    <t>Fortaleza</t>
  </si>
  <si>
    <t>Shopping Iguatemi</t>
  </si>
  <si>
    <t>North Shopping Jóquei</t>
  </si>
  <si>
    <t>Shopping Parangaba</t>
  </si>
  <si>
    <t>Juazeiro do Norte</t>
  </si>
  <si>
    <t>Sobral</t>
  </si>
  <si>
    <t>North Shopping Sobral</t>
  </si>
  <si>
    <t>Distrito Federal</t>
  </si>
  <si>
    <t>Brasília</t>
  </si>
  <si>
    <t>Shopping Conjunto Nacional</t>
  </si>
  <si>
    <t>Park Shopping</t>
  </si>
  <si>
    <t>Pátio Brasil Shopping</t>
  </si>
  <si>
    <t>Taguatinga Shopping</t>
  </si>
  <si>
    <t>Cariacica</t>
  </si>
  <si>
    <t>Linhares</t>
  </si>
  <si>
    <t>Serra</t>
  </si>
  <si>
    <t>Shopping Montserrat</t>
  </si>
  <si>
    <t>Vila Velha</t>
  </si>
  <si>
    <t>Shopping Vila Velha</t>
  </si>
  <si>
    <t>Vitória</t>
  </si>
  <si>
    <t>Shopping Vitória</t>
  </si>
  <si>
    <t>Goiás</t>
  </si>
  <si>
    <t>Aparecida de Goiânia</t>
  </si>
  <si>
    <t>Goiânia</t>
  </si>
  <si>
    <t>Shopping Cerrado</t>
  </si>
  <si>
    <t>Goiânia Shopping</t>
  </si>
  <si>
    <t>Passeio das Águas Shopping</t>
  </si>
  <si>
    <t>Rio Verde</t>
  </si>
  <si>
    <t>Buriti Shopping Rio Verde</t>
  </si>
  <si>
    <t>Anápolis</t>
  </si>
  <si>
    <t>Shopping Sul</t>
  </si>
  <si>
    <t>Maranhão</t>
  </si>
  <si>
    <t>Imperatriz</t>
  </si>
  <si>
    <t>São Luís</t>
  </si>
  <si>
    <t>Shopping da Ilha</t>
  </si>
  <si>
    <t>Rio Anil Shopping</t>
  </si>
  <si>
    <t>Betim</t>
  </si>
  <si>
    <t>Shopping Estação BH</t>
  </si>
  <si>
    <t>Shopping Del Rey</t>
  </si>
  <si>
    <t>Minas Shopping</t>
  </si>
  <si>
    <t>Contagem</t>
  </si>
  <si>
    <t>Shopping Contagem</t>
  </si>
  <si>
    <t>Juiz de Fora</t>
  </si>
  <si>
    <t>Ipatinga</t>
  </si>
  <si>
    <t>Montes Claros</t>
  </si>
  <si>
    <t>Pouso Alegre</t>
  </si>
  <si>
    <t>Uberaba</t>
  </si>
  <si>
    <t>Uberlândia</t>
  </si>
  <si>
    <t>Center Shopping Uberlândia</t>
  </si>
  <si>
    <t>Uberlândia Shopping</t>
  </si>
  <si>
    <t>Mato Grosso do Sul</t>
  </si>
  <si>
    <t>Campo Grande</t>
  </si>
  <si>
    <t>Park Shopping Campo Grande</t>
  </si>
  <si>
    <t>Dourados</t>
  </si>
  <si>
    <t>Cuiabá</t>
  </si>
  <si>
    <t>Pantanal Shopping</t>
  </si>
  <si>
    <t>Várzea Grande</t>
  </si>
  <si>
    <t>Várzea Grande Shopping</t>
  </si>
  <si>
    <t>Pará</t>
  </si>
  <si>
    <t>Ananindeua</t>
  </si>
  <si>
    <t>Belém</t>
  </si>
  <si>
    <t>Parque Shopping Belém</t>
  </si>
  <si>
    <t>Shopping Pátio Belém</t>
  </si>
  <si>
    <t>Marabá</t>
  </si>
  <si>
    <t>Shopping Pátio Marabá</t>
  </si>
  <si>
    <t>Santarém</t>
  </si>
  <si>
    <t>Rio Tapajós Shopping</t>
  </si>
  <si>
    <t>Campina Grande</t>
  </si>
  <si>
    <t>Partage Shopping Campina Grande</t>
  </si>
  <si>
    <t>João Pessoa</t>
  </si>
  <si>
    <t>Mangabeira Shopping</t>
  </si>
  <si>
    <t>Pernambuco</t>
  </si>
  <si>
    <t>Camaragibe</t>
  </si>
  <si>
    <t>Caruaru</t>
  </si>
  <si>
    <t>Olinda</t>
  </si>
  <si>
    <t>Recife</t>
  </si>
  <si>
    <t>Paulista</t>
  </si>
  <si>
    <t>Paulista North Way Shopping</t>
  </si>
  <si>
    <t>Jaboatão dos Guararapes</t>
  </si>
  <si>
    <t>Shopping Guararapes</t>
  </si>
  <si>
    <t>Piauí</t>
  </si>
  <si>
    <t>Parnaíba</t>
  </si>
  <si>
    <t>Parnaíba Shopping</t>
  </si>
  <si>
    <t>Teresina</t>
  </si>
  <si>
    <t>Shopping Rio Poty</t>
  </si>
  <si>
    <t>Cascavel</t>
  </si>
  <si>
    <t>Shopping Estação</t>
  </si>
  <si>
    <t>Shopping Curitiba</t>
  </si>
  <si>
    <t>Londrina</t>
  </si>
  <si>
    <t>Boulevard Londrina Shopping</t>
  </si>
  <si>
    <t>Maringá</t>
  </si>
  <si>
    <t>Ponta Grossa</t>
  </si>
  <si>
    <t>São José dos Pinhais</t>
  </si>
  <si>
    <t>Shopping São José</t>
  </si>
  <si>
    <t>Américas Shopping</t>
  </si>
  <si>
    <t>Bangu Shopping</t>
  </si>
  <si>
    <t>Carioca Shopping</t>
  </si>
  <si>
    <t>Norte Shopping</t>
  </si>
  <si>
    <t>Shopping Nova América</t>
  </si>
  <si>
    <t>Shopping Metropolitano Barra</t>
  </si>
  <si>
    <t>Campos dos Goytacazes</t>
  </si>
  <si>
    <t>Duque de Caxias</t>
  </si>
  <si>
    <t>Caxias Shopping</t>
  </si>
  <si>
    <t>Itaboraí</t>
  </si>
  <si>
    <t>Niterói</t>
  </si>
  <si>
    <t>São Gonçalo</t>
  </si>
  <si>
    <t>Nova Iguaçu</t>
  </si>
  <si>
    <t>Shopping Nova Iguaçu</t>
  </si>
  <si>
    <t>Resende</t>
  </si>
  <si>
    <t>Parque Shopping Sulacap</t>
  </si>
  <si>
    <t>Mossoró</t>
  </si>
  <si>
    <t>Rondônia</t>
  </si>
  <si>
    <t>Porto Velho</t>
  </si>
  <si>
    <t>Porto Velho Shopping</t>
  </si>
  <si>
    <t>Roraima</t>
  </si>
  <si>
    <t>Boa Vista</t>
  </si>
  <si>
    <t>Roraima Garden Shopping</t>
  </si>
  <si>
    <t>Rio Grande do Sul</t>
  </si>
  <si>
    <t>Canoas</t>
  </si>
  <si>
    <t>Caxias do Sul</t>
  </si>
  <si>
    <t>Pelotas</t>
  </si>
  <si>
    <t>Shopping Pelotas</t>
  </si>
  <si>
    <t>Porto Alegre</t>
  </si>
  <si>
    <t>Barra Shopping Sul</t>
  </si>
  <si>
    <t>Bourbon Shopping Wallig</t>
  </si>
  <si>
    <t>Praia de Belas Shopping</t>
  </si>
  <si>
    <t>Santa Maria</t>
  </si>
  <si>
    <t>Shopping Praça Nova Santa Maria</t>
  </si>
  <si>
    <t>Rio Grande</t>
  </si>
  <si>
    <t>Partage Shopping Rio Grande</t>
  </si>
  <si>
    <t>Loja Santa Maria</t>
  </si>
  <si>
    <t>Gravataí</t>
  </si>
  <si>
    <t>Florianópolis</t>
  </si>
  <si>
    <t>Floripa Shopping</t>
  </si>
  <si>
    <t>Balneário Camboriú</t>
  </si>
  <si>
    <t>Blumenau Norte Shopping</t>
  </si>
  <si>
    <t>Blumenau</t>
  </si>
  <si>
    <t>Chapecó</t>
  </si>
  <si>
    <t>Shopping Pátio Chapecó</t>
  </si>
  <si>
    <t>Criciúma</t>
  </si>
  <si>
    <t>Itajaí</t>
  </si>
  <si>
    <t>Itajaí Shopping</t>
  </si>
  <si>
    <t>Jaraguá do Sul</t>
  </si>
  <si>
    <t>Jaraguá do Sul Park Shopping</t>
  </si>
  <si>
    <t>Lages</t>
  </si>
  <si>
    <t>Lages Garden Shopping</t>
  </si>
  <si>
    <t>Tubarão</t>
  </si>
  <si>
    <t>Sergipe</t>
  </si>
  <si>
    <t>Aracajú</t>
  </si>
  <si>
    <t>Shopping Jardins</t>
  </si>
  <si>
    <t>Loja Avenida Paulista</t>
  </si>
  <si>
    <t>Shopping Frei Caneca</t>
  </si>
  <si>
    <t>Shopping Interlagos</t>
  </si>
  <si>
    <t>Shopping Metrô Itaquera</t>
  </si>
  <si>
    <t>Shopping SP Market</t>
  </si>
  <si>
    <t>Mooca Plaza Shopping</t>
  </si>
  <si>
    <t>Santana Parque Shopping</t>
  </si>
  <si>
    <t>Shopping Metrô Tucuruvi</t>
  </si>
  <si>
    <t>Shopping Vila Olímpia</t>
  </si>
  <si>
    <t>Tietê Plaza Shopping</t>
  </si>
  <si>
    <t>Araçatuba</t>
  </si>
  <si>
    <t>Araraquara</t>
  </si>
  <si>
    <t>Shopping Jaraguá Araraquara</t>
  </si>
  <si>
    <t>Barueri</t>
  </si>
  <si>
    <t>Bauru</t>
  </si>
  <si>
    <t>Barretos</t>
  </si>
  <si>
    <t>North Shopping Barretos</t>
  </si>
  <si>
    <t>Botucatu</t>
  </si>
  <si>
    <t>Caraguatatuba</t>
  </si>
  <si>
    <t>Serramar Shopping</t>
  </si>
  <si>
    <t>Parque das Bandeiras Shopping</t>
  </si>
  <si>
    <t>Cotia</t>
  </si>
  <si>
    <t>Diadema</t>
  </si>
  <si>
    <t>Franca</t>
  </si>
  <si>
    <t>Franca Shopping</t>
  </si>
  <si>
    <t>Guarulhos</t>
  </si>
  <si>
    <t>Parque Shopping Maia</t>
  </si>
  <si>
    <t>Itu</t>
  </si>
  <si>
    <t>Plaza Shopping Itu</t>
  </si>
  <si>
    <t>Jacareí</t>
  </si>
  <si>
    <t>Jundiaí</t>
  </si>
  <si>
    <t>Jundiaí Shopping</t>
  </si>
  <si>
    <t>Mauá</t>
  </si>
  <si>
    <t>Mauá Plaza Shopping</t>
  </si>
  <si>
    <t>Marília</t>
  </si>
  <si>
    <t>Mogi das Cruzes</t>
  </si>
  <si>
    <t>Mogi Guaçu</t>
  </si>
  <si>
    <t>Mogi Shopping</t>
  </si>
  <si>
    <t>Osasco</t>
  </si>
  <si>
    <t>Shopping União de Osasco</t>
  </si>
  <si>
    <t>Pindamonhangaba</t>
  </si>
  <si>
    <t>Shopping Pátio Pinda</t>
  </si>
  <si>
    <t>Piracicaba</t>
  </si>
  <si>
    <t>Shopping Piracicaba</t>
  </si>
  <si>
    <t>Presidente Prudente</t>
  </si>
  <si>
    <t>Ribeirão Preto</t>
  </si>
  <si>
    <t>Shopping Santa Úrsula</t>
  </si>
  <si>
    <t>Ribeirão Shopping</t>
  </si>
  <si>
    <t>São Bernardo do Campo</t>
  </si>
  <si>
    <t>São Bernardo Plaza Shopping</t>
  </si>
  <si>
    <t>Golden Square Shopping</t>
  </si>
  <si>
    <t>São Carlos</t>
  </si>
  <si>
    <t>Iguatemi São Carlos</t>
  </si>
  <si>
    <t>São Caetano do Sul</t>
  </si>
  <si>
    <t>Park Shopping São Caetano</t>
  </si>
  <si>
    <t>São José dos Campos</t>
  </si>
  <si>
    <t>Vale Sul Shopping</t>
  </si>
  <si>
    <t>São José do Rio Preto</t>
  </si>
  <si>
    <t>Santa Bárbara D'Oeste</t>
  </si>
  <si>
    <t>Santo André</t>
  </si>
  <si>
    <t>Shopping ABC</t>
  </si>
  <si>
    <t>Grand Plaza Shopping</t>
  </si>
  <si>
    <t>Santos</t>
  </si>
  <si>
    <t>Praiamar Shopping</t>
  </si>
  <si>
    <t>CenterVale Shopping</t>
  </si>
  <si>
    <t>Iguatemi Esplanada</t>
  </si>
  <si>
    <t>Shopping Cidade Sorocaba</t>
  </si>
  <si>
    <t>Taboão da Serra</t>
  </si>
  <si>
    <t>Shopping Taboão</t>
  </si>
  <si>
    <t>Shopping Tamboré</t>
  </si>
  <si>
    <t>Taubaté</t>
  </si>
  <si>
    <t>Tocantins</t>
  </si>
  <si>
    <t>Palmas</t>
  </si>
  <si>
    <t>Galleria Shopping</t>
  </si>
  <si>
    <t>Volta Redonda</t>
  </si>
  <si>
    <t>Shopping Park Sul</t>
  </si>
  <si>
    <t>Guarapuava</t>
  </si>
  <si>
    <t>Passo Fundo</t>
  </si>
  <si>
    <t>Passo Fundo Shopping</t>
  </si>
  <si>
    <t>São José</t>
  </si>
  <si>
    <t>Limeira</t>
  </si>
  <si>
    <t>Pátio Limeira Shopping</t>
  </si>
  <si>
    <t>Praia Grande</t>
  </si>
  <si>
    <t>Litoral Plaza Shopping</t>
  </si>
  <si>
    <t>Parauapebas</t>
  </si>
  <si>
    <t>Partage Shopping Parauapebas</t>
  </si>
  <si>
    <t>Shopping Grande Rio</t>
  </si>
  <si>
    <t>Via Café Garden Shopping</t>
  </si>
  <si>
    <t>Loja São Bento</t>
  </si>
  <si>
    <t>Três Lagoas</t>
  </si>
  <si>
    <t>Número de Lojas no final do período</t>
  </si>
  <si>
    <t>TIR</t>
  </si>
  <si>
    <t>ROIC Perp.</t>
  </si>
  <si>
    <t>DI</t>
  </si>
  <si>
    <t>Desconto</t>
  </si>
  <si>
    <t>FCFF Descontado</t>
  </si>
  <si>
    <t>Capex + Capital de Giro</t>
  </si>
  <si>
    <t>Contas a Receber</t>
  </si>
  <si>
    <t>ParkShopping São Caetano</t>
  </si>
  <si>
    <t>Projeções - Receita</t>
  </si>
  <si>
    <t>Lojas Renner ($LREN3)</t>
  </si>
  <si>
    <t>Caixa e Equivalentes de Caixa</t>
  </si>
  <si>
    <t>Aplicações Financeiras</t>
  </si>
  <si>
    <t>Estoques</t>
  </si>
  <si>
    <t>Tributos a Recuperar</t>
  </si>
  <si>
    <t>Outros Ativos Circulantes</t>
  </si>
  <si>
    <t>Instrumentos financeiros derivativos</t>
  </si>
  <si>
    <t>Outros ativos</t>
  </si>
  <si>
    <t>Despesas Antecipadas</t>
  </si>
  <si>
    <t>Ativo Realizável a Longo Prazo</t>
  </si>
  <si>
    <t>Tributos Diferidos</t>
  </si>
  <si>
    <t>Outros Ativos Não Circulantes</t>
  </si>
  <si>
    <t>Tributos a recuperar</t>
  </si>
  <si>
    <t>Imobilizado em Operação</t>
  </si>
  <si>
    <t>Direito de Uso em Arrendamento</t>
  </si>
  <si>
    <t>Imobilizado em Andamento</t>
  </si>
  <si>
    <t>Intangível</t>
  </si>
  <si>
    <t>Intangíveis</t>
  </si>
  <si>
    <t>Goodwill</t>
  </si>
  <si>
    <t>Obrigações Sociais e Trabalhistas</t>
  </si>
  <si>
    <t>Obrigações Sociais</t>
  </si>
  <si>
    <t>Obrigações Trabalhistas</t>
  </si>
  <si>
    <t>Fornecedores</t>
  </si>
  <si>
    <t>Fornecedores Nacionais</t>
  </si>
  <si>
    <t>Fornecedores Estrangeiros</t>
  </si>
  <si>
    <t>Obrigações Fiscais</t>
  </si>
  <si>
    <t>Obrigações Fiscais Federais</t>
  </si>
  <si>
    <t>Imposto de Renda e Contribuição Social a Pagar</t>
  </si>
  <si>
    <t>Demais Obrigações Federais</t>
  </si>
  <si>
    <t>Obrigações Fiscais Estaduais</t>
  </si>
  <si>
    <t>Obrigações Fiscais Municipais</t>
  </si>
  <si>
    <t>Empréstimos e Financiamentos</t>
  </si>
  <si>
    <t>Em Moeda Nacional</t>
  </si>
  <si>
    <t>Em Moeda Estrangeira</t>
  </si>
  <si>
    <t>Debêntures</t>
  </si>
  <si>
    <t>Outras Obrigações</t>
  </si>
  <si>
    <t>Dividendos e JCP a Pagar</t>
  </si>
  <si>
    <t>Dividendo Mínimo Obrigatório a Pagar</t>
  </si>
  <si>
    <t>Aluguéis a Pagar</t>
  </si>
  <si>
    <t>Outras obrigações</t>
  </si>
  <si>
    <t>Participações Estatutárias</t>
  </si>
  <si>
    <t>Obrigações com Administradoras de Cartões</t>
  </si>
  <si>
    <t>Arrendamentos a pagar</t>
  </si>
  <si>
    <t>Provisões</t>
  </si>
  <si>
    <t>Provisões Cíveis</t>
  </si>
  <si>
    <t>Provisões Trabalhistas</t>
  </si>
  <si>
    <t>Impostos a Recolher</t>
  </si>
  <si>
    <t>Provisões Fiscais</t>
  </si>
  <si>
    <t>Capital Social Realizado</t>
  </si>
  <si>
    <t>Reservas de Capital</t>
  </si>
  <si>
    <t>Reserva Especial de Ágio na Incorporação</t>
  </si>
  <si>
    <t>Opções Outorgadas</t>
  </si>
  <si>
    <t>Ações em Tesouraria</t>
  </si>
  <si>
    <t>Reservas de Lucros</t>
  </si>
  <si>
    <t>Reserva Legal</t>
  </si>
  <si>
    <t>Reserva de Incentivos Fiscais</t>
  </si>
  <si>
    <t>Dividendo Adicional Proposto</t>
  </si>
  <si>
    <t>Reserva para Investimento e Expansão</t>
  </si>
  <si>
    <t>Ajustes de Avaliação Patrimonial</t>
  </si>
  <si>
    <t>Ajustes Acumulados de Conversão</t>
  </si>
  <si>
    <t>Outros Resultados Abrangentes</t>
  </si>
  <si>
    <t>Perdas pela não recuperabilidade de ativos</t>
  </si>
  <si>
    <t>Outras Receitas Operacionais</t>
  </si>
  <si>
    <t>Outras Despesas Operacionais</t>
  </si>
  <si>
    <t>Lojas Renner</t>
  </si>
  <si>
    <t>Camicado</t>
  </si>
  <si>
    <t>Youcom</t>
  </si>
  <si>
    <t>Realize</t>
  </si>
  <si>
    <t>Renner</t>
  </si>
  <si>
    <t>Uruguay</t>
  </si>
  <si>
    <t>UY</t>
  </si>
  <si>
    <t>Montevidéu</t>
  </si>
  <si>
    <t>Shopping Montevideo</t>
  </si>
  <si>
    <t>Shopping Mall</t>
  </si>
  <si>
    <t>Brazil</t>
  </si>
  <si>
    <t>RS</t>
  </si>
  <si>
    <t>Esteio</t>
  </si>
  <si>
    <t>Loja Esteio</t>
  </si>
  <si>
    <t>Street</t>
  </si>
  <si>
    <t>SC</t>
  </si>
  <si>
    <t>São Bento</t>
  </si>
  <si>
    <t>Santa Rosa</t>
  </si>
  <si>
    <t>Loja Santa Rosa</t>
  </si>
  <si>
    <t>SP</t>
  </si>
  <si>
    <t>Baurú</t>
  </si>
  <si>
    <t>Shopping Boulevard Baurú</t>
  </si>
  <si>
    <t>Ijuí</t>
  </si>
  <si>
    <t>Loja Ijuí</t>
  </si>
  <si>
    <t>PR</t>
  </si>
  <si>
    <t>Campo Mourão</t>
  </si>
  <si>
    <t>Loja Campo Mourão</t>
  </si>
  <si>
    <t>Ashua</t>
  </si>
  <si>
    <t>PE</t>
  </si>
  <si>
    <t>Shopping Riomar Recife</t>
  </si>
  <si>
    <t>RN</t>
  </si>
  <si>
    <t>Shopping Midway Mall</t>
  </si>
  <si>
    <t>AL</t>
  </si>
  <si>
    <t>Shopping Park Maceió</t>
  </si>
  <si>
    <t>Shopping Villa Lobos</t>
  </si>
  <si>
    <t>MA</t>
  </si>
  <si>
    <t>SE</t>
  </si>
  <si>
    <t>Shopping Riomar Aracajú</t>
  </si>
  <si>
    <t>CE</t>
  </si>
  <si>
    <t>Shopping Riomar Fortaleza</t>
  </si>
  <si>
    <t>Assis</t>
  </si>
  <si>
    <t>Loja Assis</t>
  </si>
  <si>
    <t>ES</t>
  </si>
  <si>
    <t>Shopping Bourbon Teresópolis</t>
  </si>
  <si>
    <t>Bento Gonçalves</t>
  </si>
  <si>
    <t>Shopping Piazza Salton</t>
  </si>
  <si>
    <t>Pato Branco</t>
  </si>
  <si>
    <t>Sapucaia do Sul</t>
  </si>
  <si>
    <t>Loja Sapucaia do Sul</t>
  </si>
  <si>
    <t>RJ</t>
  </si>
  <si>
    <t>Rio de janeiro</t>
  </si>
  <si>
    <t>Jacarepaguá</t>
  </si>
  <si>
    <t>Shopping Jacarepaguá</t>
  </si>
  <si>
    <t>MT</t>
  </si>
  <si>
    <t>Sinop</t>
  </si>
  <si>
    <t>Shopping Sinop</t>
  </si>
  <si>
    <t>Torres</t>
  </si>
  <si>
    <t>Shopping Vesta</t>
  </si>
  <si>
    <t>Shopping Plaza Casa Forte</t>
  </si>
  <si>
    <t>GO</t>
  </si>
  <si>
    <t>Catalão</t>
  </si>
  <si>
    <t>Shopping Catalão</t>
  </si>
  <si>
    <t>Shopping Natal Norte</t>
  </si>
  <si>
    <t>Shopping Iguatemi Florianópolis</t>
  </si>
  <si>
    <t>Shopping Palladium Uruamama</t>
  </si>
  <si>
    <t>Macaé</t>
  </si>
  <si>
    <t>Shopping Plaza Macaé</t>
  </si>
  <si>
    <t>Araras</t>
  </si>
  <si>
    <t>Loja Araras</t>
  </si>
  <si>
    <t>MS</t>
  </si>
  <si>
    <t>Shopping Campo Grande</t>
  </si>
  <si>
    <t>Loja Quitanda</t>
  </si>
  <si>
    <t>Shopping Buriti Mogi Guaçu</t>
  </si>
  <si>
    <t>Farroupilha</t>
  </si>
  <si>
    <t>Loja Farroupilha</t>
  </si>
  <si>
    <t>Maricá</t>
  </si>
  <si>
    <t>Boulevard Maricá</t>
  </si>
  <si>
    <t>PA</t>
  </si>
  <si>
    <t>Shopping Bosque Grão Pará</t>
  </si>
  <si>
    <t>Rio do Sul</t>
  </si>
  <si>
    <t>AP</t>
  </si>
  <si>
    <t>Bagé</t>
  </si>
  <si>
    <t>Loja Bagé</t>
  </si>
  <si>
    <t>Shopping Rio Sul</t>
  </si>
  <si>
    <t>Shopping Muller</t>
  </si>
  <si>
    <t>Shopping Santa Cruz</t>
  </si>
  <si>
    <t>Garibaldi</t>
  </si>
  <si>
    <t>Shopping Cariri Garden</t>
  </si>
  <si>
    <t>Shopping Rio Design Leblon</t>
  </si>
  <si>
    <t>RO</t>
  </si>
  <si>
    <t>Cacoal</t>
  </si>
  <si>
    <t>Shopping Cacoal</t>
  </si>
  <si>
    <t>Shopping Iguatemi Ribeirão Preto</t>
  </si>
  <si>
    <t>Village Mall</t>
  </si>
  <si>
    <t>Aeroporto de Guarulhos</t>
  </si>
  <si>
    <t>Sorriso</t>
  </si>
  <si>
    <t>Shopping Sorriso</t>
  </si>
  <si>
    <t>Shopping Barra Rio</t>
  </si>
  <si>
    <t>Shopping Recife</t>
  </si>
  <si>
    <t>Tangará da Serra</t>
  </si>
  <si>
    <t>Tangará Shopping</t>
  </si>
  <si>
    <t>Jataí</t>
  </si>
  <si>
    <t>Jatahy Shopping</t>
  </si>
  <si>
    <t>BA</t>
  </si>
  <si>
    <t>Parque Shopping da Bahia</t>
  </si>
  <si>
    <t>Argentina</t>
  </si>
  <si>
    <t>AR</t>
  </si>
  <si>
    <t>Buenos Aires</t>
  </si>
  <si>
    <t>Calle Florida</t>
  </si>
  <si>
    <t>Calle Santa Fé</t>
  </si>
  <si>
    <t>Córdoba</t>
  </si>
  <si>
    <t>Paseo del Jockey</t>
  </si>
  <si>
    <t>MG</t>
  </si>
  <si>
    <t>Shopping Diamond</t>
  </si>
  <si>
    <t>Shopping Três Lagoas</t>
  </si>
  <si>
    <t>Aeroporto Salgado Filho</t>
  </si>
  <si>
    <t>Shopping Tres Cruces</t>
  </si>
  <si>
    <t>Shopping Patio Olmos</t>
  </si>
  <si>
    <t>Santo Ándré</t>
  </si>
  <si>
    <t>Shopping Nuevo Centro</t>
  </si>
  <si>
    <t>Santo Ângelo</t>
  </si>
  <si>
    <t>Loja de Santo Ângelo</t>
  </si>
  <si>
    <t>Shopping D</t>
  </si>
  <si>
    <t>Tramandaí</t>
  </si>
  <si>
    <t>Loja de Tramandaí</t>
  </si>
  <si>
    <t>DF</t>
  </si>
  <si>
    <t xml:space="preserve">Park Shopping Brasília </t>
  </si>
  <si>
    <t>Nova Friburgo</t>
  </si>
  <si>
    <t>Cadima Shopping</t>
  </si>
  <si>
    <t>Shopping Boa Vista</t>
  </si>
  <si>
    <t>Sumaré</t>
  </si>
  <si>
    <t>Shopping Park City Sumaré</t>
  </si>
  <si>
    <t>Sete Lagoas</t>
  </si>
  <si>
    <t>Shopping Sete Lagoas</t>
  </si>
  <si>
    <t>BeiraMar Shopping</t>
  </si>
  <si>
    <t>Shopping Iguatemi POA</t>
  </si>
  <si>
    <t>Shopping Jockey Plaza</t>
  </si>
  <si>
    <t>Aracaju</t>
  </si>
  <si>
    <t>Cachoeiro De Itapemirim</t>
  </si>
  <si>
    <t>São José De Ribamar</t>
  </si>
  <si>
    <t>Shopping Pátio Norte</t>
  </si>
  <si>
    <t>Shopping Iguatemi Caxias</t>
  </si>
  <si>
    <t>Loja Rua Oscar Freire</t>
  </si>
  <si>
    <t>Shopping Center Ourinhos</t>
  </si>
  <si>
    <t>Cruz Alta</t>
  </si>
  <si>
    <t>Loja de Cruz Alta</t>
  </si>
  <si>
    <t>Shopping Catuaí Maringá</t>
  </si>
  <si>
    <t>Shopping Flamboyant</t>
  </si>
  <si>
    <t>Shopping Penha</t>
  </si>
  <si>
    <t xml:space="preserve">Ribeirão Shopping </t>
  </si>
  <si>
    <t>TO</t>
  </si>
  <si>
    <t>Shopping Capim Dourado</t>
  </si>
  <si>
    <t>Shopping Cidade Jardim</t>
  </si>
  <si>
    <t>Jaú</t>
  </si>
  <si>
    <t>Jaú Shopping</t>
  </si>
  <si>
    <t>Brasília Shopping</t>
  </si>
  <si>
    <t>Shopping Praia da Costa</t>
  </si>
  <si>
    <t>Shopping Las Piedras</t>
  </si>
  <si>
    <t>Loja Centro de Floripa</t>
  </si>
  <si>
    <t>Poços de Caldas</t>
  </si>
  <si>
    <t>Shopping Poços de Caldas</t>
  </si>
  <si>
    <t>Barbacena</t>
  </si>
  <si>
    <t>Parque Barbacena Shopping</t>
  </si>
  <si>
    <t>Rondonópolis</t>
  </si>
  <si>
    <t>Rondon Plaza Shopping</t>
  </si>
  <si>
    <t>Punta del Este</t>
  </si>
  <si>
    <t>Loja Punta del Este</t>
  </si>
  <si>
    <t>Shopping Litoral Plaza</t>
  </si>
  <si>
    <t>Paranavaí</t>
  </si>
  <si>
    <t>Shopping Cidade Paranavaí</t>
  </si>
  <si>
    <t>Shopping Estação Cuiabá</t>
  </si>
  <si>
    <t>Palladium Ponta Grossa</t>
  </si>
  <si>
    <t>AM</t>
  </si>
  <si>
    <t>Shopping Manauara</t>
  </si>
  <si>
    <t>Itapetininga</t>
  </si>
  <si>
    <t>Itapê Shopping</t>
  </si>
  <si>
    <t>Uberaba Shopping Center</t>
  </si>
  <si>
    <t>Shopping Imperial</t>
  </si>
  <si>
    <t>Recreio Shopping Center</t>
  </si>
  <si>
    <t>Shopping Praia de Belas</t>
  </si>
  <si>
    <t>Divinópolis</t>
  </si>
  <si>
    <t>Shopping Pátio Divinópolis</t>
  </si>
  <si>
    <t>PB</t>
  </si>
  <si>
    <t>Shopping Neumarkt</t>
  </si>
  <si>
    <t>Shopping Riomar Aracaju</t>
  </si>
  <si>
    <t>Shopping Joinville Garten</t>
  </si>
  <si>
    <t>Conjunto Nacional</t>
  </si>
  <si>
    <t>Suzano</t>
  </si>
  <si>
    <t>Suzano Shopping</t>
  </si>
  <si>
    <t>Shopping Amazonas</t>
  </si>
  <si>
    <t>Shopping Patteo Olinda</t>
  </si>
  <si>
    <t>Portones Shopping</t>
  </si>
  <si>
    <t>Rivera</t>
  </si>
  <si>
    <t>Shopping Melancia (closed)</t>
  </si>
  <si>
    <t>Valinhos</t>
  </si>
  <si>
    <t>Shopping Valinhos</t>
  </si>
  <si>
    <t>Avenida Shopping Dourados</t>
  </si>
  <si>
    <t>Camará Shopping Center</t>
  </si>
  <si>
    <t>Shopping Boulevard Vitória da Conquista</t>
  </si>
  <si>
    <t>Shopping Cidade dos Lagos</t>
  </si>
  <si>
    <t>Shopping Boulevard Brasília</t>
  </si>
  <si>
    <t>São Caetano</t>
  </si>
  <si>
    <t>Shopping Tijuca</t>
  </si>
  <si>
    <t>Iguatemi Floripa</t>
  </si>
  <si>
    <t>Shopping Buriti</t>
  </si>
  <si>
    <t>PI</t>
  </si>
  <si>
    <t>Shopping Goiânia</t>
  </si>
  <si>
    <t>Varginha</t>
  </si>
  <si>
    <t>Via Café Shopping</t>
  </si>
  <si>
    <t>Shopping Metrópole Ananindeua</t>
  </si>
  <si>
    <t>Shopping Costa Urbana</t>
  </si>
  <si>
    <t>Shopping Estação Curitiba</t>
  </si>
  <si>
    <t>Shopping DF Plaza</t>
  </si>
  <si>
    <t>ParkShopping Canoas</t>
  </si>
  <si>
    <t>Punta Carretas Shopping</t>
  </si>
  <si>
    <t>Guarujá</t>
  </si>
  <si>
    <t>Shopping La Plage</t>
  </si>
  <si>
    <t>Shopping Jardim Pamplona</t>
  </si>
  <si>
    <t>Shopping Internacional Guarulhos</t>
  </si>
  <si>
    <t>Taubaté Shopping</t>
  </si>
  <si>
    <t>Shopping Iguatemi JK</t>
  </si>
  <si>
    <t>Shopping Castanheira</t>
  </si>
  <si>
    <t>Shopping Porto Alegre CenterLar</t>
  </si>
  <si>
    <t>Pátio Savassi</t>
  </si>
  <si>
    <t>Indaiatuba</t>
  </si>
  <si>
    <t>Polo Shopping Indaiatuba</t>
  </si>
  <si>
    <t>Shopping Via Sul</t>
  </si>
  <si>
    <t>Shopping Metrô Santa Cruz</t>
  </si>
  <si>
    <t>Shopping Golden Calhau</t>
  </si>
  <si>
    <t>Via Barreiro Shopping</t>
  </si>
  <si>
    <t>Shopping Metrô Tatuapé</t>
  </si>
  <si>
    <t>Gramado</t>
  </si>
  <si>
    <t>Loja de Gramado</t>
  </si>
  <si>
    <t>Loja 18 de Julio</t>
  </si>
  <si>
    <t>Shopping Catuaí Londrina</t>
  </si>
  <si>
    <t>Praça Nova Santa Maria</t>
  </si>
  <si>
    <t>São Leopoldo</t>
  </si>
  <si>
    <t>Bourbon São Leopoldo</t>
  </si>
  <si>
    <t>Loja Domingos de Moraes</t>
  </si>
  <si>
    <t xml:space="preserve">Shopping Rio Design Barra </t>
  </si>
  <si>
    <t>Shopping Miramar</t>
  </si>
  <si>
    <t>Jardim Pamplona Shopping</t>
  </si>
  <si>
    <t>Santa Cruz do Sul</t>
  </si>
  <si>
    <t>Loja Santa Cruz do Sul</t>
  </si>
  <si>
    <t>Loja Centro de Teresina</t>
  </si>
  <si>
    <t>Shopping Butantã</t>
  </si>
  <si>
    <t>Midway Mall Natal</t>
  </si>
  <si>
    <t>Shopping Jequitibá Itabuna</t>
  </si>
  <si>
    <t>Guaíba</t>
  </si>
  <si>
    <t>Loja de Guaíba</t>
  </si>
  <si>
    <t>Shopping Total</t>
  </si>
  <si>
    <t>Shopping Independência</t>
  </si>
  <si>
    <t>Independência Shopping</t>
  </si>
  <si>
    <t>Casa &amp; Gourmet Shopping</t>
  </si>
  <si>
    <t>Pátio Batel</t>
  </si>
  <si>
    <t>Top Shopping</t>
  </si>
  <si>
    <t>Shopping Barra Salvador</t>
  </si>
  <si>
    <t>Shopping Paralela</t>
  </si>
  <si>
    <t xml:space="preserve">Passo Fundo </t>
  </si>
  <si>
    <t>Itaquaquecetuba</t>
  </si>
  <si>
    <t>Itaquá Garden</t>
  </si>
  <si>
    <t>Shopping Iguatemi Alphaville</t>
  </si>
  <si>
    <t>Iguatemi Alphaville</t>
  </si>
  <si>
    <t xml:space="preserve">Shopping Iguatemi Caxias </t>
  </si>
  <si>
    <t>Continente Park Shopping</t>
  </si>
  <si>
    <t>Pátio Mix Linhares</t>
  </si>
  <si>
    <t>Governador Valadares</t>
  </si>
  <si>
    <t>GV Shopping</t>
  </si>
  <si>
    <t>Joinville Garten Shopping</t>
  </si>
  <si>
    <t>Shopping Center Penha (closed)</t>
  </si>
  <si>
    <t>Shopping Nações Criciúma</t>
  </si>
  <si>
    <t>Shopping Metrópole</t>
  </si>
  <si>
    <t>Shopping Manaíra</t>
  </si>
  <si>
    <t>Parque Dom Pedro</t>
  </si>
  <si>
    <t>Grand Shopping Messejana</t>
  </si>
  <si>
    <t>Shopping Maringá Park</t>
  </si>
  <si>
    <t>Bragança Paulista</t>
  </si>
  <si>
    <t>Bragança Garden Shopping</t>
  </si>
  <si>
    <t>Shopping Pátio Brasil</t>
  </si>
  <si>
    <t>Teresópolis</t>
  </si>
  <si>
    <t>Teresópolis Shopping Center</t>
  </si>
  <si>
    <t>Plaza Shopping Carapicuíba</t>
  </si>
  <si>
    <t>Riomar Presidente Kennedy</t>
  </si>
  <si>
    <t>Boulevard Belém</t>
  </si>
  <si>
    <t>Center Shopping Rio</t>
  </si>
  <si>
    <t>Balneário Shopping</t>
  </si>
  <si>
    <t>Shopping da Bahia</t>
  </si>
  <si>
    <t>Shopping Morumbi Town</t>
  </si>
  <si>
    <t>Shopping Taguatinga</t>
  </si>
  <si>
    <t>Capão da Canoa</t>
  </si>
  <si>
    <t>Loja em Capão da Canoa</t>
  </si>
  <si>
    <t>Boulevard Vila Velha</t>
  </si>
  <si>
    <t>Shopping Jardim Sul</t>
  </si>
  <si>
    <t>Shopping Recreio</t>
  </si>
  <si>
    <t>Loja Visconde de Pirajá (closed)</t>
  </si>
  <si>
    <t>Shopping Jardim Norte Juiz de Fora</t>
  </si>
  <si>
    <t>Foz do Iguaçu</t>
  </si>
  <si>
    <t>Palladium Foz do Iguaçú</t>
  </si>
  <si>
    <t>Patio Cianê Shopping</t>
  </si>
  <si>
    <t>Shopping União Osasco</t>
  </si>
  <si>
    <t xml:space="preserve">Shopping Palladium </t>
  </si>
  <si>
    <t>Campinas Shopping (closed)</t>
  </si>
  <si>
    <t>Itaú Power Shopping</t>
  </si>
  <si>
    <t>Shopping Dom Pedro</t>
  </si>
  <si>
    <t>Canoas Shopping (closed)</t>
  </si>
  <si>
    <t>Cantareira Norte Shopping</t>
  </si>
  <si>
    <t>Iguatemi Porto Alegre</t>
  </si>
  <si>
    <t>SP Market</t>
  </si>
  <si>
    <t>Shopping Light</t>
  </si>
  <si>
    <t>Juazeiro</t>
  </si>
  <si>
    <t>Juá Garden Shopping</t>
  </si>
  <si>
    <t>Uruguaiana</t>
  </si>
  <si>
    <t>Loja de Uruguaiana</t>
  </si>
  <si>
    <t>Mueller Shopping Joinville</t>
  </si>
  <si>
    <t>Maxi Shopping Jundiaí (closed)</t>
  </si>
  <si>
    <t>Valparaíso de Goiás</t>
  </si>
  <si>
    <t>Tacaruna Shopping</t>
  </si>
  <si>
    <t>Guaratinguetá</t>
  </si>
  <si>
    <t>Buriti Shopping Guará</t>
  </si>
  <si>
    <t>Angra dos Reis</t>
  </si>
  <si>
    <t>Shopping Piratas Mall</t>
  </si>
  <si>
    <t>Bourbon São Paulo</t>
  </si>
  <si>
    <t>Lorena</t>
  </si>
  <si>
    <t>Eco Valle Shopping</t>
  </si>
  <si>
    <t>Shopping Taboão (closed)</t>
  </si>
  <si>
    <t>West Plaza Shopping Center (closed)</t>
  </si>
  <si>
    <t>Shopping Center Itaguaçu</t>
  </si>
  <si>
    <t>Balneário Shopping Camboriú</t>
  </si>
  <si>
    <t>Shopping Metro Tucuruvi</t>
  </si>
  <si>
    <t>Shopping Vale do Aço</t>
  </si>
  <si>
    <t>Praça Uberaba Shopping Center (closed)</t>
  </si>
  <si>
    <t>Shopping Pantanal</t>
  </si>
  <si>
    <t>Novo Hamburgo</t>
  </si>
  <si>
    <t>Bourbon Shopping Novo Hamburgo</t>
  </si>
  <si>
    <t>Palhoça</t>
  </si>
  <si>
    <t>Shopping Via Catarina</t>
  </si>
  <si>
    <t>Plaza Shopping Avenida</t>
  </si>
  <si>
    <t>Tivoli Shopping Center</t>
  </si>
  <si>
    <t>Loja Rua Padre Chagas</t>
  </si>
  <si>
    <t>Iguatemi Fortaleza</t>
  </si>
  <si>
    <t>Itaboraí Plaza</t>
  </si>
  <si>
    <t>Loja Manaus Centro</t>
  </si>
  <si>
    <t>Pátio Arapiraca Garden</t>
  </si>
  <si>
    <t>RR</t>
  </si>
  <si>
    <t>Shopping Manaus Via Norte</t>
  </si>
  <si>
    <t>Loja Largo do Machado</t>
  </si>
  <si>
    <t>Colinas Shopping</t>
  </si>
  <si>
    <t>Terraço Shopping</t>
  </si>
  <si>
    <t>Pátio Roraima</t>
  </si>
  <si>
    <t>Shopping Plaza Sul</t>
  </si>
  <si>
    <t>Praça Nova Araçatuba</t>
  </si>
  <si>
    <t xml:space="preserve">Shopping Cidade </t>
  </si>
  <si>
    <t>Riomar Shopping Fortaleza</t>
  </si>
  <si>
    <t>Rio Claro</t>
  </si>
  <si>
    <t>Shopping Center Rio Claro</t>
  </si>
  <si>
    <t>Beiramar Shopping</t>
  </si>
  <si>
    <t>Boulevard Shopping Belo Horizonte</t>
  </si>
  <si>
    <t>Lajeado</t>
  </si>
  <si>
    <t>Shopping Lajeado</t>
  </si>
  <si>
    <t>Pátio Brasil</t>
  </si>
  <si>
    <t>Mogi Shopping Center</t>
  </si>
  <si>
    <t>Loja Sete de Setembro</t>
  </si>
  <si>
    <t>Shopping Patio Botucatu</t>
  </si>
  <si>
    <t>Passeio das Águas Shopping (closed)</t>
  </si>
  <si>
    <t>São Luis Shopping</t>
  </si>
  <si>
    <t xml:space="preserve">Moxuara Shopping </t>
  </si>
  <si>
    <t>Ribeirão Shopping (closed)</t>
  </si>
  <si>
    <t>Iguatemi São José do Rio Preto</t>
  </si>
  <si>
    <t xml:space="preserve">Rio Preto Shopping Iguatemi </t>
  </si>
  <si>
    <t>Iguatemi São José do Rio Preto (closed)</t>
  </si>
  <si>
    <t>Tietê Plaza Shopping (closed)</t>
  </si>
  <si>
    <t>Shopping Contagem (closed)</t>
  </si>
  <si>
    <t>West Shopping Mossoró</t>
  </si>
  <si>
    <t>Monte Carmo Shopping Betim (closed)</t>
  </si>
  <si>
    <t xml:space="preserve">Mooca Shopping </t>
  </si>
  <si>
    <t>Shopping Iguatemi Esplanada</t>
  </si>
  <si>
    <t>Natal Shopping</t>
  </si>
  <si>
    <t>Pátio Shopping Maceió</t>
  </si>
  <si>
    <t>Praia de Belas Shopping (closed)</t>
  </si>
  <si>
    <t>Shopping Gravataí</t>
  </si>
  <si>
    <t>Shopping Pátio Cianê</t>
  </si>
  <si>
    <t>JK Shopping &amp; Tower</t>
  </si>
  <si>
    <t>Centervale Shopping</t>
  </si>
  <si>
    <t>Bourbon Wallig (closed)</t>
  </si>
  <si>
    <t>Metrô Boulevard Tatuapé</t>
  </si>
  <si>
    <t xml:space="preserve">Shopping Center Norte </t>
  </si>
  <si>
    <t>Ponta Negra Shopping</t>
  </si>
  <si>
    <t>Shopping Iguatemi Campinas</t>
  </si>
  <si>
    <t>Iguatemi Brasília</t>
  </si>
  <si>
    <t>Metropolitan Shopping Betim</t>
  </si>
  <si>
    <t>Prudenshopping</t>
  </si>
  <si>
    <t>Shopping Teresina</t>
  </si>
  <si>
    <t>Shopping Serrasul</t>
  </si>
  <si>
    <t>Boulevard Shopping Nações Bauru</t>
  </si>
  <si>
    <t xml:space="preserve">Shopping Jardim das Américas </t>
  </si>
  <si>
    <t>Portal Shopping (closed)</t>
  </si>
  <si>
    <t>Center Shopping</t>
  </si>
  <si>
    <t>Super Shopping Osasco (closed)</t>
  </si>
  <si>
    <t>North Shopping Caruaru</t>
  </si>
  <si>
    <t>Loja Nossa Senhora de Copacabana</t>
  </si>
  <si>
    <t>Cataratas JL Shopping</t>
  </si>
  <si>
    <t>Jacareí Shopping Center</t>
  </si>
  <si>
    <t xml:space="preserve">Shopping Praça da Moça </t>
  </si>
  <si>
    <t>Shopping Mestre Álvaro</t>
  </si>
  <si>
    <t xml:space="preserve">Montes Claros Shopping </t>
  </si>
  <si>
    <t>Palladium Ponta Grossa Shopping</t>
  </si>
  <si>
    <t>Parque Shopping Baruerí</t>
  </si>
  <si>
    <t>AC</t>
  </si>
  <si>
    <t>Loja centro de Marília</t>
  </si>
  <si>
    <t>Erechim</t>
  </si>
  <si>
    <t>Loja de rua Erechim</t>
  </si>
  <si>
    <t>Loja centro de Natal (closed)</t>
  </si>
  <si>
    <t>Pátio Chapecó Shopping</t>
  </si>
  <si>
    <t>Boulevard Feira</t>
  </si>
  <si>
    <t>Novo Shopping Ribeirão</t>
  </si>
  <si>
    <t>Pátio Mix Resende</t>
  </si>
  <si>
    <t>Boulevard Campos</t>
  </si>
  <si>
    <t>Shopping Rio Mar Aracaju</t>
  </si>
  <si>
    <t>Norte Sul Plaza</t>
  </si>
  <si>
    <t>Royal Plaza Santa Maria</t>
  </si>
  <si>
    <t>Boulevard São Gonçalo</t>
  </si>
  <si>
    <t>Shopping Granja Viana</t>
  </si>
  <si>
    <t>San Pelegrino Mall</t>
  </si>
  <si>
    <t>Norte Shopping Salvador</t>
  </si>
  <si>
    <t>Boulevard Shopping BH</t>
  </si>
  <si>
    <t>Boulevard BH</t>
  </si>
  <si>
    <t>Shopping Raposo Tavares</t>
  </si>
  <si>
    <t>Shopping West Campo Grande</t>
  </si>
  <si>
    <t>Bourbon Shopping Ipiranga</t>
  </si>
  <si>
    <t>Boulevard Belém Shopping</t>
  </si>
  <si>
    <t>Park Shopping Brasília</t>
  </si>
  <si>
    <t>Suzano Shopping Center</t>
  </si>
  <si>
    <t>Shopping Bella Citta</t>
  </si>
  <si>
    <t>Shopping Boulevard Brasilia</t>
  </si>
  <si>
    <t>Bauru Shopping</t>
  </si>
  <si>
    <t xml:space="preserve">Manauara Shopping </t>
  </si>
  <si>
    <t>Praia da Costa</t>
  </si>
  <si>
    <t>Brasil Park Shopping</t>
  </si>
  <si>
    <t>Catuaí Shopping</t>
  </si>
  <si>
    <t>Campinas Shopping Center</t>
  </si>
  <si>
    <t>São José dos Pinhais Shopping</t>
  </si>
  <si>
    <t>Shopping Taubaté</t>
  </si>
  <si>
    <t>Palladium Shopping Center</t>
  </si>
  <si>
    <t>São João de Meriti</t>
  </si>
  <si>
    <t>Shopping Bourbon Pompéia</t>
  </si>
  <si>
    <t>Santana Parque Shopping (closed)</t>
  </si>
  <si>
    <t>Shopping Prataviera</t>
  </si>
  <si>
    <t>Shopping JL Cascavel</t>
  </si>
  <si>
    <t>Shopping Balneário Camboriu</t>
  </si>
  <si>
    <t xml:space="preserve">Shopping Iguatemi </t>
  </si>
  <si>
    <t>Shopping Bougainville</t>
  </si>
  <si>
    <t>Shopping Leblon</t>
  </si>
  <si>
    <t>Shopping Via Parque</t>
  </si>
  <si>
    <t>Shopping Farol</t>
  </si>
  <si>
    <t>Cachoeirinha</t>
  </si>
  <si>
    <t>Shopping do Vale</t>
  </si>
  <si>
    <t xml:space="preserve">North Shopping </t>
  </si>
  <si>
    <t>Maxi Shopping Jundiaí</t>
  </si>
  <si>
    <t>Shopping Iguatemi Fortaleza</t>
  </si>
  <si>
    <t>Loja Imperatriz (closed)</t>
  </si>
  <si>
    <t>Shopping Mueller</t>
  </si>
  <si>
    <t>Shopping Bourbon São Leopoldo</t>
  </si>
  <si>
    <t>Super Shopping Osasco</t>
  </si>
  <si>
    <t>Shopping Londrina</t>
  </si>
  <si>
    <t>Shopping Interlagos (closed)</t>
  </si>
  <si>
    <t>Shopping Aricanduva (closed)</t>
  </si>
  <si>
    <t>Shopping Itaú Power</t>
  </si>
  <si>
    <t>Shopping Barigui</t>
  </si>
  <si>
    <t>Shopping Leste Aricanduva</t>
  </si>
  <si>
    <t>Shopping Rio Preto</t>
  </si>
  <si>
    <t>Boulevard Rio Shopping</t>
  </si>
  <si>
    <t>West Plaza (closed)</t>
  </si>
  <si>
    <t>Shopping Center Iguatemi Campinas</t>
  </si>
  <si>
    <t>Plaza Sul</t>
  </si>
  <si>
    <t>Praiamar Shopping Center</t>
  </si>
  <si>
    <t>Flamboyant Shop. Center</t>
  </si>
  <si>
    <t>Loja centro de Campinas</t>
  </si>
  <si>
    <t>West Plaza Shop. Center</t>
  </si>
  <si>
    <t>Plaza Sul Shopping Center</t>
  </si>
  <si>
    <t>Anália Franco</t>
  </si>
  <si>
    <t>Miramar Shopping Center</t>
  </si>
  <si>
    <t>Sider Shopping Center</t>
  </si>
  <si>
    <t>Plaza Shopping</t>
  </si>
  <si>
    <t>Rio Sul Shopping</t>
  </si>
  <si>
    <t>Madureira Shopping Rio</t>
  </si>
  <si>
    <t>Pátio Higienópolis</t>
  </si>
  <si>
    <t>Ilha Plaza Shopping</t>
  </si>
  <si>
    <t>Central Plaza Shopping</t>
  </si>
  <si>
    <t>Internacional Shop. Guarulhos</t>
  </si>
  <si>
    <t>Internacional Guarulhos S.C</t>
  </si>
  <si>
    <t>Loja centro de Curitiba</t>
  </si>
  <si>
    <t>Shopping Esplanada</t>
  </si>
  <si>
    <t>Shopping Canoas</t>
  </si>
  <si>
    <t>Shopping Neumarket</t>
  </si>
  <si>
    <t>Shopping Continental</t>
  </si>
  <si>
    <t>Iguatemi Caxias</t>
  </si>
  <si>
    <t>Beira Mar Shopping</t>
  </si>
  <si>
    <t>Novo Shopping</t>
  </si>
  <si>
    <t>Shopping Lar Center</t>
  </si>
  <si>
    <t>Loja Rio Grande</t>
  </si>
  <si>
    <t>Iguatemi Shopping Center</t>
  </si>
  <si>
    <t>Otávio Rocha</t>
  </si>
  <si>
    <t>Centro Comercial Canoas</t>
  </si>
  <si>
    <t>Shopping João Pessoa</t>
  </si>
  <si>
    <t>Loja Pelotas</t>
  </si>
  <si>
    <t>Marca</t>
  </si>
  <si>
    <t>Trimestre de Abertura</t>
  </si>
  <si>
    <t>País</t>
  </si>
  <si>
    <t>UF</t>
  </si>
  <si>
    <t>Capital</t>
  </si>
  <si>
    <t>Total de lojas</t>
  </si>
  <si>
    <t>Data de Fechamento</t>
  </si>
  <si>
    <t>Ano de Abertura</t>
  </si>
  <si>
    <t>South</t>
  </si>
  <si>
    <t>S</t>
  </si>
  <si>
    <t>N</t>
  </si>
  <si>
    <t>Southest</t>
  </si>
  <si>
    <t>Northest</t>
  </si>
  <si>
    <t>Espírito Santo</t>
  </si>
  <si>
    <t>Midwest</t>
  </si>
  <si>
    <t>Mato Grosso</t>
  </si>
  <si>
    <t>North</t>
  </si>
  <si>
    <t>Receita Líquida Total</t>
  </si>
  <si>
    <t>Como % da Receita de Varejo</t>
  </si>
  <si>
    <t>Novas lojas</t>
  </si>
  <si>
    <t>Remodelação de instalações</t>
  </si>
  <si>
    <t>Sistemas e equipamentos de tecnologia</t>
  </si>
  <si>
    <t>Centro de Distribuição</t>
  </si>
  <si>
    <t>Outros Investimentos</t>
  </si>
  <si>
    <t>Inflação</t>
  </si>
  <si>
    <t>LREN3</t>
  </si>
  <si>
    <t>Média</t>
  </si>
  <si>
    <t>4º Trimestre</t>
  </si>
  <si>
    <t>3º Trimestre</t>
  </si>
  <si>
    <t>2º Trimestre</t>
  </si>
  <si>
    <t>1º Trimestre</t>
  </si>
  <si>
    <t>Projeções 2022</t>
  </si>
  <si>
    <t>Contas Abertas</t>
  </si>
  <si>
    <t>Serviços de terceiros</t>
  </si>
  <si>
    <t>Fretes</t>
  </si>
  <si>
    <t>Depreciação e amortização</t>
  </si>
  <si>
    <t>Total:</t>
  </si>
  <si>
    <t>EBIT recorrente</t>
  </si>
  <si>
    <t>Margem EBIT recorrente</t>
  </si>
  <si>
    <t>Outras receitas financeiras</t>
  </si>
  <si>
    <t>Juros passivos</t>
  </si>
  <si>
    <t>Variação cambial passiva</t>
  </si>
  <si>
    <t>Outras despesas financeiras</t>
  </si>
  <si>
    <t>Lucro antes do IR Não Recorrente</t>
  </si>
  <si>
    <t>Lucro Antes do IR Recorrente</t>
  </si>
  <si>
    <t>Alíquota Vigente</t>
  </si>
  <si>
    <t>Expectativa de despesa de acordo com alíquota vigente</t>
  </si>
  <si>
    <t>Efeito Fiscal das adiçoes e exclusões permanentes:</t>
  </si>
  <si>
    <t>IRPJ + CSLL</t>
  </si>
  <si>
    <t>Como % do EBIT Recorrente</t>
  </si>
  <si>
    <t xml:space="preserve">IRPJ + CSLL - Não-Recorrentes </t>
  </si>
  <si>
    <t>IRPJ + CSLL - Não-Recorrentes - Incentivos</t>
  </si>
  <si>
    <t>Pessoal</t>
  </si>
  <si>
    <t>Ocupação</t>
  </si>
  <si>
    <t>Descontos - Arrendamentos a pagar</t>
  </si>
  <si>
    <t>Utilidades e serviços</t>
  </si>
  <si>
    <t>Publicidade e Propaganda</t>
  </si>
  <si>
    <t>Depreciação e Amortização</t>
  </si>
  <si>
    <t>Depreciação - Direito de Uso</t>
  </si>
  <si>
    <t>Outras Despesas</t>
  </si>
  <si>
    <t>Perdas pela Não Recuperalidade de Ativos</t>
  </si>
  <si>
    <t>Pró-labore dos administradores</t>
  </si>
  <si>
    <t>Despesas Tributárias</t>
  </si>
  <si>
    <t>Despesas com produtos e serviços financeiros</t>
  </si>
  <si>
    <t>Resultado da baixa de ativos fixos</t>
  </si>
  <si>
    <t>Plano de opção de compra de ações</t>
  </si>
  <si>
    <t>Participação dos Administradores</t>
  </si>
  <si>
    <t>Outros resultados operacionais</t>
  </si>
  <si>
    <t>Recuperação de créditos fiscais</t>
  </si>
  <si>
    <t>Participação empregados</t>
  </si>
  <si>
    <t>Descontos - arrendamento a pagar</t>
  </si>
  <si>
    <t>Perdas em crédito, líquidas</t>
  </si>
  <si>
    <t>Produtos e serviços financeiros</t>
  </si>
  <si>
    <t>Rendimentos de equivalentes de caixa</t>
  </si>
  <si>
    <t>Variação cambial ativa</t>
  </si>
  <si>
    <t>Correções monetárias ativas</t>
  </si>
  <si>
    <t>Juros Selic  sobre créditos tributários</t>
  </si>
  <si>
    <t>Juros de empréstimos, financiamentos e swap</t>
  </si>
  <si>
    <t>Juros sobre arrendamentos</t>
  </si>
  <si>
    <t>Correções monetárias passivas</t>
  </si>
  <si>
    <t>Ganho com operações de hedge liquidadas</t>
  </si>
  <si>
    <t xml:space="preserve">Ganho com operações de hedge competência </t>
  </si>
  <si>
    <t xml:space="preserve">Perda com operações de hedge liquidadas (i) </t>
  </si>
  <si>
    <t>Perda com operações de hedge competência</t>
  </si>
  <si>
    <t>Despesa com plano de opção de compra de ações</t>
  </si>
  <si>
    <t xml:space="preserve">Juros sobre capital próprio </t>
  </si>
  <si>
    <t xml:space="preserve">Participação de administradores </t>
  </si>
  <si>
    <t xml:space="preserve">Incentivos fiscais (PAT) </t>
  </si>
  <si>
    <t>Subvenção para investimento (i)</t>
  </si>
  <si>
    <t xml:space="preserve">Diferenças de alíquotas IR e CS de controladas </t>
  </si>
  <si>
    <t>Recuperações operações de crédito</t>
  </si>
  <si>
    <t>Diferido não reconhecido por falta de expectativa de recuperabilidade</t>
  </si>
  <si>
    <t xml:space="preserve">Correção monetária </t>
  </si>
  <si>
    <t xml:space="preserve">Outras exclusões (ii) </t>
  </si>
  <si>
    <t>Parcela isenta do adicional de 10%</t>
  </si>
  <si>
    <t xml:space="preserve">Incentivo de inovação tecnológica (Lei 11.196/2005) </t>
  </si>
  <si>
    <t xml:space="preserve">Baixa por perdas em crédito indedutível </t>
  </si>
  <si>
    <t xml:space="preserve">Baixa ativo fixo indedutível </t>
  </si>
  <si>
    <t>Parcelamento - Lei n° 13.043/2014</t>
  </si>
  <si>
    <t>Redução Juros - Lei n° 11.941 Art° 4 - Parágrafo único</t>
  </si>
  <si>
    <t>Outras adições</t>
  </si>
  <si>
    <t>Depreciação do Arrendamento</t>
  </si>
  <si>
    <t>Lucros/Prejuízos Acumulados</t>
  </si>
  <si>
    <t xml:space="preserve"> </t>
  </si>
  <si>
    <t>Receita líquida com incentivos</t>
  </si>
  <si>
    <t>Receita líquida sem incentivos</t>
  </si>
  <si>
    <t>Incentivos fiscais</t>
  </si>
  <si>
    <t>m² totais</t>
  </si>
  <si>
    <t>Receita por m² 100% maduro vai crescer acompanhando o CAGR.</t>
  </si>
  <si>
    <t>Capex por m² aberto</t>
  </si>
  <si>
    <t>Quantidade de m² abertos</t>
  </si>
  <si>
    <t>LAIR Recorrente</t>
  </si>
  <si>
    <t>Número das lojas fechadas</t>
  </si>
  <si>
    <t>Tamanho total das lojas fechadas</t>
  </si>
  <si>
    <t>Tamanho médio das novas lojas</t>
  </si>
  <si>
    <t>Remota</t>
  </si>
  <si>
    <t>Tributário</t>
  </si>
  <si>
    <t>Possível</t>
  </si>
  <si>
    <t>Cível</t>
  </si>
  <si>
    <t>Provável</t>
  </si>
  <si>
    <t>Trabalhista</t>
  </si>
  <si>
    <t>Administrativo</t>
  </si>
  <si>
    <t>Valor dos Processos</t>
  </si>
  <si>
    <t>Valor das Provisões</t>
  </si>
  <si>
    <t>Valor de Perdas Possiveis</t>
  </si>
  <si>
    <t>Valor de Perdas Remotas</t>
  </si>
  <si>
    <t>Tributários</t>
  </si>
  <si>
    <t>Cíveis</t>
  </si>
  <si>
    <t>Trabalhistas</t>
  </si>
  <si>
    <t>Administrativos</t>
  </si>
  <si>
    <t>Total</t>
  </si>
  <si>
    <t>Painel de Índices</t>
  </si>
  <si>
    <t>Classificação</t>
  </si>
  <si>
    <t>Descrição</t>
  </si>
  <si>
    <t>Valor do Processo (R$ mil)</t>
  </si>
  <si>
    <t>Chance de Perda</t>
  </si>
  <si>
    <t>Comentário</t>
  </si>
  <si>
    <t>Provisões e Processos</t>
  </si>
  <si>
    <t xml:space="preserve">Mandado de segurança que questiona o aumento da alíquota do SAT, de 1% para 3%, e a aplicação do Fator Acidentário de Prevenção. Em 1ª instância, foi deferida liminar para suspensão da exigibilidade da cobrança e a sentença foi favorável. A União Federal interpôs recurso de apelação, ao qual foi dado parcial provimento. A liminar foi cassada, pelo que a Companhia efetuou o recolhimento do valor em discussão. Peticionado requerendo a desistência parcial do pedido apenas em relação ao FAP. Aguarda o julgamento do recurso especial e recurso extraordinário
</t>
  </si>
  <si>
    <t xml:space="preserve">Discute-se a exigência de IPÌ pela suposta ausência de recolhimento ou recolhimento a menor de IPI revenda, sem a observância do Valor Tributável Mínimo, na saída dos centros de distribuição para as lojas, relativas ao período de janeiro de 2017 a dezembro de 2020, cumuladas com multa e juros de mora. Apresentada impugnação pela Companhia, a qual aguarda julgamento. </t>
  </si>
  <si>
    <t>Discute-se a exigência de IPÌ pela suposta ausência de recolhimento ou recolhimento a menor de IPI revenda, sem a observância do Valor Tributável Mínimo, na saída dos centros de distribuição para as lojas, relativas ao período de julho de 2017 a dezembro de 2020, cumuladas com multa e juros de mora. Apresentada impugnação pela Companhia, a qual aguarda julgamento.</t>
  </si>
  <si>
    <t xml:space="preserve">Discute-se a exigência de IPÌ pela suposta ausência de recolhimento ou recolhimento a menor de IPI revenda, sem a observância do Valor Tributável Mínimo, na saída dos
centros de distribuição para as lojas, relativas ao período de janeiro de 2017 a dezembro de 2020, cumuladas com multa e juros de mora. Apresentada impugnação pela Companhia, a qual aguarda julgamento.
</t>
  </si>
  <si>
    <t>Discute-se a exigência de Contribuição para o Financiamento da Seguridade Social (“COFINS”) e Contribuição ao Programa de Integração Social (“PIS”), pela suposta tomada de crédito indevida, relativas ao período de 2018 e 2019, cumuladas com multa de ofício e juros de mora. Apresentada impugnação pela Companhia, a qual aguarda julgamento.</t>
  </si>
  <si>
    <t xml:space="preserve">Suposto crédito tributário originado da glosa de transferência de créditos de ICMS pela Cooperativa Cantagalo à Companhia em abril de 2007 e que foram utilizados entre 03/2007 e 02/2008 (períodos de apuração). A impugnação da Companhia foi julgada
improcedente. Foi apresentado recurso voluntário, o qual foi parcialmente provido no sentido de declarar a decadência parcial do crédito tributário exigido. Apresentado requerimento de revisão do acórdão e, posteriormente, contrarrazões ao recurso especial
apresentado pela Fazenda. Atualmente, aguarda julgamento quanto a esse requerimento.
</t>
  </si>
  <si>
    <t>Suposto crédito tributário originado da glosa de transferência de créditos de ICMS pela Cooperativa Cantagalo à Companhia em abril de 2007 e que foram utilizados entre 06/2007 e 05/2008 (períodos de apuração). A impugnação da Companhia foi julgada
improcedente. Foi apresentado recurso voluntário, o qual foi parcialmente provido no sentido de declarar a decadência parcial do crédito tributário exigido. Apresentado requerimento de revisão do acórdão e, posteriormente, contrarrazões ao recurso especial
apresentado pela Fazenda. Atualmente, aguarda julgamento quanto a esse requerimento.</t>
  </si>
  <si>
    <t xml:space="preserve">Discute-se a pretensa incidência de IRRF sobre os Planos de Opções de Compra de Ações da Companhia e a respectiva retenção do imposto de renda, cuja autuação foi referente aos períodos base 2009 e 2010, sendo aplicada multa e juros pela não retenção. A impugnação da Companhia foi julgada improcedente. Foi apresentado recurso voluntário pela Companhia. Aguarda-se distribuição no Conselho Administrativo de Recursos Fiscais - CARF. </t>
  </si>
  <si>
    <t xml:space="preserve">Discute-se pretensa incidência de contribuições previdenciárias sobre os Planos de Opções de Compra de Ações da Companhia e importâncias pagas a título de participação nos lucros aos seus administradores com relação aos períodos base 2009 e 2010. Ajuizada Ação Anulatória de Débito Fiscal visando cancelar integralmente o crédito tributário constante no Processo Administrativo 11080.732476/2013-18, que se encerrou na esfera administrativa, foi deferida a tutela provisória para suspender a exigibilidade do crédito tributário. Após apresentada contestação pela União e réplica por parte da Companhia, foi determinado o sobrestamento do feito. Desta decisão, foram opostos embargos de declaração pela Companhia, que aguardam julgamento. </t>
  </si>
  <si>
    <t xml:space="preserve">Discussão de crédito tributário originado da suposta infringência da legislação que dispõe sobre o pagamento de Juros sobre o Capital Próprio, lançado como despesa dedutível das bases de cálculo de IRPJ – Imposto de Renda Pessoa Jurídica e CSLL – Contribuição Social sobre o Lucro Líquido. Após ser citada e, tendo sido convertida em penhora a apólice de seguro-garantia apresentada pela Companhia, foram opostos embargos à
execução fiscal. Esses foram julgados improcedentes. Interposto recurso de apelação pela Companhia e remetidos os autos ao TRF4. Aguarda julgamento do recurso de apelação. </t>
  </si>
  <si>
    <t xml:space="preserve">Discute-se a não homologação de pedidos de compensação de PER/DCOMP’s que visavam a compensação de débitos de tributos federais com saldo credor decorrente de retificação de apuração de IRPJ devido no 4º trimestre de 2017. Apresentada
manifestação de inconformidade pela Companhia, a qual aguarda julgamento. </t>
  </si>
  <si>
    <t>Discute-se a cobrança de ICMS decorrente de supostos equívocos na centralização dos saldos devedores de estabelecimentos centralizados, em estabelecimento centralizador, do período de janeiro a dezembro de 2015. Apresentada impugnação, foi julgado
procedente o auto de infração. Desta decisão, foi apresentado recurso voluntário pela empresa, e remetido o processo ao TIT. Aguarda julgamento.</t>
  </si>
  <si>
    <t xml:space="preserve">Discute-se a cobrança de ICMS decorrente de supostos equívocos na centralização dos saldos devedores de estabelecimentos centralizados, em estabelecimento centralizador,
do período de janeiro a dezembro de 2015. Apresentada impugnação, foi julgado procedente o auto de infração. Desta decisão, foi apresentado recurso voluntário pela empresa, e remetido o processo ao TIT. Aguarda julgamento. </t>
  </si>
  <si>
    <t>Liquidez Geral</t>
  </si>
  <si>
    <t>Liquidez Corrente</t>
  </si>
  <si>
    <t>Liquidez Seca</t>
  </si>
  <si>
    <t>Liquidez Imediata</t>
  </si>
  <si>
    <t>Retorno sobre o Equity (ROE)</t>
  </si>
  <si>
    <t>Retorno sobre o Ativo (ROA)</t>
  </si>
  <si>
    <t>Divida Líquida/EBITDA</t>
  </si>
  <si>
    <t>Cobertura de Juros</t>
  </si>
  <si>
    <t>Dívida/Ativo</t>
  </si>
  <si>
    <t>Dívida/Patrimônio Líquido</t>
  </si>
  <si>
    <t>Dívida/(Dívida + Patrimônio Líquido)</t>
  </si>
  <si>
    <t>Prazo Médio de Recebimento</t>
  </si>
  <si>
    <t>Prazo Médio de Estoques</t>
  </si>
  <si>
    <t>Prazo Médio de Pagamento</t>
  </si>
  <si>
    <t>Ciclo de Caixa</t>
  </si>
  <si>
    <t>Proventos por ação</t>
  </si>
  <si>
    <t>Dividend Yield (12 meses)</t>
  </si>
  <si>
    <t>Payout</t>
  </si>
  <si>
    <t>Receita Bruta</t>
  </si>
  <si>
    <t>Deduções</t>
  </si>
  <si>
    <t>Cachoeira do Sul</t>
  </si>
  <si>
    <t>Loja Cachoeira do Sul</t>
  </si>
  <si>
    <t>Shopping Boulevard BH</t>
  </si>
  <si>
    <t>Alegrete</t>
  </si>
  <si>
    <t>Loja Alegrete</t>
  </si>
  <si>
    <t>Carazinho</t>
  </si>
  <si>
    <t>Loja Carazinho</t>
  </si>
  <si>
    <t>Loja Centro de Bento Gonçalves (closed)</t>
  </si>
  <si>
    <t>Estação BH (closed)</t>
  </si>
  <si>
    <t>Loja Av. Ibirapuera (closed)</t>
  </si>
  <si>
    <t>Shopping Jardim Guadalupe  (closed)</t>
  </si>
  <si>
    <t>Via Vale Shopping (closed)</t>
  </si>
  <si>
    <t>Barra Shopping Sul (closed)</t>
  </si>
  <si>
    <t>Maldonado</t>
  </si>
  <si>
    <t>Shopping Paseo del Este</t>
  </si>
  <si>
    <t>Shopping Salvador</t>
  </si>
  <si>
    <t>Petrópolis</t>
  </si>
  <si>
    <t>Shopping Pátio Petrópolis</t>
  </si>
  <si>
    <t>São Vicente</t>
  </si>
  <si>
    <t>Loja São Vicente</t>
  </si>
  <si>
    <t>Shopping Londrina Norte</t>
  </si>
  <si>
    <t>Teixeira de Freitas</t>
  </si>
  <si>
    <t>Shopping Pátio Mix Teixeira de Freitas</t>
  </si>
  <si>
    <t>Shopping Passo Fundo</t>
  </si>
  <si>
    <t>Shopping Bella Città (closed)</t>
  </si>
  <si>
    <t>Novas lojas terão o tamanho médio das lojas abertas entre 2019 a 21.</t>
  </si>
  <si>
    <t>m² 100% Maduros</t>
  </si>
  <si>
    <t>CAGR 23~35</t>
  </si>
  <si>
    <t>Vai manter o % médio em relação à receita de varejo visto em 2014~19.</t>
  </si>
  <si>
    <t>Receita por m² 100% maduro vai crescer acompanhando o CAGR de 2016 a 22. Usamos esse período porque, nos primeiros anos, o crescimento era muito alto, afinal, a base de comparação era baixa. Se usássemos o CAGR desde 2013,  a taxa de crescimento ficaria exageradamente distorcida.</t>
  </si>
  <si>
    <t>Novas lojas terão o tamanho médio das lojas abertas entre 2019 a 2021.</t>
  </si>
  <si>
    <t>Dívida Bruta (R$ milhões)</t>
  </si>
  <si>
    <t>Valor do Equity (R$ milhões)</t>
  </si>
  <si>
    <t>Retorno sobre o Capital Investido (ROIC)</t>
  </si>
  <si>
    <t>Inflação Implícita</t>
  </si>
  <si>
    <t>Trimestre Atual</t>
  </si>
  <si>
    <t>2T23</t>
  </si>
  <si>
    <t>3T23</t>
  </si>
  <si>
    <t>4T23</t>
  </si>
  <si>
    <t>Catanduva</t>
  </si>
  <si>
    <t>Shopping Garden Catanduva</t>
  </si>
  <si>
    <t>Shopping Patteo Urupema</t>
  </si>
  <si>
    <t>Aracaju Parque Shopping (closed)</t>
  </si>
  <si>
    <t>Shopping Jardins Aracaju (closed)</t>
  </si>
  <si>
    <t>Teresina Shopping (closed)</t>
  </si>
  <si>
    <t>Shopping Metrópole (closed)</t>
  </si>
  <si>
    <t>Shopping Natal (closed)</t>
  </si>
  <si>
    <t>Shopping São Luís (closed)</t>
  </si>
  <si>
    <t>Parque Shopping Maia (closed)</t>
  </si>
  <si>
    <t>Palladium Curitiba (closed)</t>
  </si>
  <si>
    <t>Golden Square Shopping (closed)</t>
  </si>
  <si>
    <t>Golden Square (closed)</t>
  </si>
  <si>
    <t>Shopping Cidade (closed)</t>
  </si>
  <si>
    <t>Bourbon Ipiranga (closed)</t>
  </si>
  <si>
    <t>Loja Centro Vitória (closed)</t>
  </si>
  <si>
    <t>Goiabeiras Shopping (closed)</t>
  </si>
  <si>
    <t>Park Shopping Campo Grande (closed)</t>
  </si>
  <si>
    <t>Shopping Santa Úrsula (closed)</t>
  </si>
  <si>
    <t>Bourbon Novo Hamburgo (closed)</t>
  </si>
  <si>
    <t>Shopping Vila Olímpia (closed)</t>
  </si>
  <si>
    <t>Shopping Nova América (closed)</t>
  </si>
  <si>
    <t>BH Centro (closed)</t>
  </si>
  <si>
    <t>Vai atingir o guidance de 573 lojas em 7 anos que a empresa  deu no FRE. Depois, o número de aberturas vai cair pela metade.</t>
  </si>
  <si>
    <t>Novas lojas terão o tamanho médio das lojas abertas entre 2019 a 2022.</t>
  </si>
  <si>
    <t>Vai atingir o guidance de 126 lojas em 7 anos que a empresa  deu no FRE. Mantivemos esse ritmo até a perpetuidade.</t>
  </si>
  <si>
    <t>Vai atingir o guidance de 200 lojas em 7 anos que a empresa  deu no FRE. Mantivemos esse ritmo até a perpetuidade.</t>
  </si>
  <si>
    <t>Shopping Palladium Curitiba</t>
  </si>
  <si>
    <t>Eusébio</t>
  </si>
  <si>
    <t>Shopping Terrazo</t>
  </si>
  <si>
    <t>Shopping Via Verde</t>
  </si>
  <si>
    <t>Mogi Mirim</t>
  </si>
  <si>
    <t>Shopping Park Mogi Mirim</t>
  </si>
  <si>
    <t>Shopping Plaza Niterói</t>
  </si>
  <si>
    <t>Penápolis</t>
  </si>
  <si>
    <t>Shopping Penápolis Garden</t>
  </si>
  <si>
    <t>Shopping Boulevard Bauru</t>
  </si>
  <si>
    <t>4T22</t>
  </si>
  <si>
    <t>3T22</t>
  </si>
  <si>
    <t>2T22</t>
  </si>
  <si>
    <t>1T22</t>
  </si>
  <si>
    <t>4T21</t>
  </si>
  <si>
    <t>3T21</t>
  </si>
  <si>
    <t>2T21</t>
  </si>
  <si>
    <t>1T21</t>
  </si>
  <si>
    <t>4T20</t>
  </si>
  <si>
    <t>3T20</t>
  </si>
  <si>
    <t>1T20</t>
  </si>
  <si>
    <t>4T19</t>
  </si>
  <si>
    <t>3T19</t>
  </si>
  <si>
    <t>2T19</t>
  </si>
  <si>
    <t>1T19</t>
  </si>
  <si>
    <t>4T18</t>
  </si>
  <si>
    <t>3T18</t>
  </si>
  <si>
    <t>2T18</t>
  </si>
  <si>
    <t>1T18</t>
  </si>
  <si>
    <t>4T17</t>
  </si>
  <si>
    <t>3T17</t>
  </si>
  <si>
    <t>2T17</t>
  </si>
  <si>
    <t>1T17</t>
  </si>
  <si>
    <t>4T16</t>
  </si>
  <si>
    <t>3T16</t>
  </si>
  <si>
    <t>2T16</t>
  </si>
  <si>
    <t>1T16</t>
  </si>
  <si>
    <t>4T15</t>
  </si>
  <si>
    <t>3T15</t>
  </si>
  <si>
    <t>2T15</t>
  </si>
  <si>
    <t>1T15</t>
  </si>
  <si>
    <t>4T14</t>
  </si>
  <si>
    <t>3T14</t>
  </si>
  <si>
    <t>2T14</t>
  </si>
  <si>
    <t>1T14</t>
  </si>
  <si>
    <t>4T13</t>
  </si>
  <si>
    <t>3T13</t>
  </si>
  <si>
    <t>2T13</t>
  </si>
  <si>
    <t>1T13</t>
  </si>
  <si>
    <t>4T12</t>
  </si>
  <si>
    <t>3T12</t>
  </si>
  <si>
    <t>2T12</t>
  </si>
  <si>
    <t>1T12</t>
  </si>
  <si>
    <t>4T11</t>
  </si>
  <si>
    <t>3T11</t>
  </si>
  <si>
    <t>2T11</t>
  </si>
  <si>
    <t>4T10</t>
  </si>
  <si>
    <t>3T10</t>
  </si>
  <si>
    <t>2T10</t>
  </si>
  <si>
    <t>1T10</t>
  </si>
  <si>
    <t>4T09</t>
  </si>
  <si>
    <t>3T09</t>
  </si>
  <si>
    <t>2T09</t>
  </si>
  <si>
    <t>4T08</t>
  </si>
  <si>
    <t>3T08</t>
  </si>
  <si>
    <t>2T08</t>
  </si>
  <si>
    <t>1T08</t>
  </si>
  <si>
    <t>4T07</t>
  </si>
  <si>
    <t>3T07</t>
  </si>
  <si>
    <t>2T07</t>
  </si>
  <si>
    <t>4T06</t>
  </si>
  <si>
    <t>3T06</t>
  </si>
  <si>
    <t>2T06</t>
  </si>
  <si>
    <t>1T06</t>
  </si>
  <si>
    <t>4T05</t>
  </si>
  <si>
    <t>2T05</t>
  </si>
  <si>
    <t>4T04</t>
  </si>
  <si>
    <t>3T04</t>
  </si>
  <si>
    <t>2T04</t>
  </si>
  <si>
    <t>1T04</t>
  </si>
  <si>
    <t>4T03</t>
  </si>
  <si>
    <t>2T03</t>
  </si>
  <si>
    <t>4T01</t>
  </si>
  <si>
    <t>3T01</t>
  </si>
  <si>
    <t>2T01</t>
  </si>
  <si>
    <t>1T01</t>
  </si>
  <si>
    <t>4T00</t>
  </si>
  <si>
    <t>3T00</t>
  </si>
  <si>
    <t>2T00</t>
  </si>
  <si>
    <t>1T00</t>
  </si>
  <si>
    <t>4T99</t>
  </si>
  <si>
    <t>3T99</t>
  </si>
  <si>
    <t>2T99</t>
  </si>
  <si>
    <t>1T99</t>
  </si>
  <si>
    <t>4T98</t>
  </si>
  <si>
    <t>3T98</t>
  </si>
  <si>
    <t>2T98</t>
  </si>
  <si>
    <t>1T98</t>
  </si>
  <si>
    <t>2T97</t>
  </si>
  <si>
    <t>4T96</t>
  </si>
  <si>
    <t>3T96</t>
  </si>
  <si>
    <t>2T96</t>
  </si>
  <si>
    <t>3T95</t>
  </si>
  <si>
    <t>4T94</t>
  </si>
  <si>
    <t>2T93</t>
  </si>
  <si>
    <t>4T91</t>
  </si>
  <si>
    <t>2T87</t>
  </si>
  <si>
    <t>1T87</t>
  </si>
  <si>
    <t>3T85</t>
  </si>
  <si>
    <t>2T83</t>
  </si>
  <si>
    <t>3T80</t>
  </si>
  <si>
    <t>4T77</t>
  </si>
  <si>
    <t>2T76</t>
  </si>
  <si>
    <t>4T70</t>
  </si>
  <si>
    <t>2T67</t>
  </si>
  <si>
    <t>Projeções Trimestrais</t>
  </si>
  <si>
    <t>Atualizado em: 14/03/2024</t>
  </si>
  <si>
    <t>Shopping Atlantico Punta</t>
  </si>
  <si>
    <t>Aracruz</t>
  </si>
  <si>
    <t>Shopping Orundi</t>
  </si>
  <si>
    <t>Shopping Cidade São Paulo</t>
  </si>
  <si>
    <t>Shopping Villa Lobos (troca de ponto)</t>
  </si>
  <si>
    <t>Shopping Praiamar</t>
  </si>
  <si>
    <t>Shopping Campo Limpo</t>
  </si>
  <si>
    <t>Shopping JK DF</t>
  </si>
  <si>
    <t>Montenegro</t>
  </si>
  <si>
    <t>Loja Montenegro</t>
  </si>
  <si>
    <t>Ituiutaba</t>
  </si>
  <si>
    <t>Shopping Ituiutaba</t>
  </si>
  <si>
    <t>Videira</t>
  </si>
  <si>
    <t>Shopping Videira</t>
  </si>
  <si>
    <t>Shopping Passeio da Águas</t>
  </si>
  <si>
    <t>Taquara</t>
  </si>
  <si>
    <t>Loja Taquara</t>
  </si>
  <si>
    <t>Cajamar</t>
  </si>
  <si>
    <t>Shopping Anhanguera</t>
  </si>
  <si>
    <t>Canela</t>
  </si>
  <si>
    <t>Loja Canela</t>
  </si>
  <si>
    <t>Alfenas</t>
  </si>
  <si>
    <t>Loja Alfenas</t>
  </si>
  <si>
    <t>Muriaé</t>
  </si>
  <si>
    <t>Shopping Muriaé</t>
  </si>
  <si>
    <t xml:space="preserve">Shopping Villa Lobos (closed) </t>
  </si>
  <si>
    <t>Loja Rio do Sul (closed)</t>
  </si>
  <si>
    <t>Shopping Garibaldi (closed)</t>
  </si>
  <si>
    <t>Shopping Tacaruna (closed)</t>
  </si>
  <si>
    <t>Partage Campina Grande (closed)</t>
  </si>
  <si>
    <t>Shopping Plaza Casa Forte (closed)</t>
  </si>
  <si>
    <t>Atrium Shopping (closed)</t>
  </si>
  <si>
    <t>Anchieta Garden Shopping (closed)</t>
  </si>
  <si>
    <t>Loja na Rua Barão do Rio Branco (closed)</t>
  </si>
  <si>
    <t>Shopping Bosque dos Ipês (closed)</t>
  </si>
  <si>
    <t>Shopping Center Itaguaçú (closed)</t>
  </si>
  <si>
    <t>Loja Rua dos Andradas (closed)</t>
  </si>
  <si>
    <t>Barra Shopping (closed)</t>
  </si>
  <si>
    <t>CAGR 10~23</t>
  </si>
  <si>
    <t>CAGR 13~23</t>
  </si>
  <si>
    <t>CAGR 16~23</t>
  </si>
  <si>
    <t>9,91%</t>
  </si>
  <si>
    <t>9,795%</t>
  </si>
  <si>
    <t>10,03%</t>
  </si>
  <si>
    <t>10,33%</t>
  </si>
  <si>
    <t>10,55%</t>
  </si>
  <si>
    <t>10,69%</t>
  </si>
  <si>
    <t>10,778%</t>
  </si>
  <si>
    <t>10,83%</t>
  </si>
  <si>
    <t>10,86%</t>
  </si>
  <si>
    <t>10,88%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</si>
</sst>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R$&quot;\ #,##0;\-&quot;R$&quot;\ #,##0"/>
    <numFmt numFmtId="6" formatCode="&quot;R$&quot;\ #,##0;[Red]\-&quot;R$&quot;\ #,##0"/>
    <numFmt numFmtId="8" formatCode="&quot;R$&quot;\ #,##0.00;[Red]\-&quot;R$&quot;\ #,##0.00"/>
    <numFmt numFmtId="164" formatCode="0.0%"/>
    <numFmt numFmtId="165" formatCode="General&quot;E&quot;"/>
    <numFmt numFmtId="166" formatCode="#,##0;\(#,##0\)"/>
    <numFmt numFmtId="167" formatCode="#,##0.0;\(#,##0.0\)"/>
    <numFmt numFmtId="168" formatCode="#,##0.00;\(#,##0.00\)"/>
    <numFmt numFmtId="169" formatCode="0.0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SF Pro Display"/>
      <family val="3"/>
    </font>
    <font>
      <b/>
      <sz val="22"/>
      <color theme="1" tint="0.249977111117893"/>
      <name val="SF Pro Display"/>
      <family val="3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rgb="FF00C556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b/>
      <sz val="20"/>
      <color theme="1" tint="0.249977111117893"/>
      <name val="Calibri"/>
      <family val="2"/>
      <scheme val="minor"/>
    </font>
    <font>
      <b/>
      <sz val="10"/>
      <color rgb="FFCBCBCB"/>
      <name val="Calibri"/>
      <family val="2"/>
      <scheme val="minor"/>
    </font>
    <font>
      <sz val="11"/>
      <color rgb="FF6B728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20"/>
      <color theme="1" tint="0.249977111117893"/>
      <name val="Calibri"/>
      <family val="2"/>
      <scheme val="major"/>
    </font>
    <font>
      <b/>
      <sz val="10"/>
      <color rgb="FFCBCBCB"/>
      <name val="Calibri"/>
      <family val="2"/>
      <scheme val="major"/>
    </font>
    <font>
      <sz val="11"/>
      <color rgb="FF6B7280"/>
      <name val="Calibri"/>
      <family val="2"/>
      <scheme val="major"/>
    </font>
    <font>
      <sz val="10"/>
      <color theme="1" tint="0.249977111117893"/>
      <name val="Calibri"/>
      <family val="2"/>
      <scheme val="major"/>
    </font>
    <font>
      <b/>
      <sz val="10"/>
      <color theme="1" tint="0.249977111117893"/>
      <name val="Calibri"/>
      <family val="2"/>
      <scheme val="major"/>
    </font>
    <font>
      <sz val="10"/>
      <color rgb="FF00C556"/>
      <name val="Calibri"/>
      <family val="2"/>
      <scheme val="major"/>
    </font>
    <font>
      <b/>
      <sz val="11"/>
      <color rgb="FF6B7280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22"/>
      <color theme="1" tint="0.249977111117893"/>
      <name val="Calibri"/>
      <family val="2"/>
      <scheme val="major"/>
    </font>
    <font>
      <sz val="10"/>
      <color theme="1"/>
      <name val="Calibri"/>
      <family val="2"/>
      <scheme val="major"/>
    </font>
    <font>
      <sz val="11"/>
      <color theme="1" tint="0.249977111117893"/>
      <name val="Calibri"/>
      <family val="2"/>
      <scheme val="major"/>
    </font>
    <font>
      <b/>
      <sz val="10"/>
      <color theme="2" tint="-0.749992370372631"/>
      <name val="Calibri"/>
      <family val="2"/>
      <scheme val="major"/>
    </font>
    <font>
      <sz val="11"/>
      <color rgb="FF6B7280"/>
      <name val="SF Pro Display"/>
      <family val="3"/>
    </font>
    <font>
      <b/>
      <sz val="10"/>
      <color rgb="FF00C556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</font>
    <font>
      <sz val="10"/>
      <color theme="0" tint="-0.34998626667073579"/>
      <name val="Calibri"/>
      <family val="2"/>
    </font>
    <font>
      <b/>
      <sz val="10"/>
      <color theme="1" tint="0.249977111117893"/>
      <name val="Calibri"/>
      <family val="2"/>
    </font>
    <font>
      <i/>
      <sz val="10"/>
      <color theme="1" tint="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434343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  <font>
      <sz val="10"/>
      <color theme="0" tint="-0.499984740745262"/>
      <name val="Calibri"/>
      <family val="2"/>
      <scheme val="maj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59BF59"/>
      <name val="Calibri"/>
      <family val="2"/>
      <scheme val="major"/>
    </font>
    <font>
      <sz val="10"/>
      <color theme="0" tint="-0.34998626667073579"/>
      <name val="Calibri"/>
      <family val="2"/>
      <scheme val="major"/>
    </font>
    <font>
      <i/>
      <sz val="11"/>
      <color theme="1"/>
      <name val="Calibri"/>
      <family val="2"/>
      <scheme val="major"/>
    </font>
    <font>
      <sz val="10"/>
      <color rgb="FF59BF59"/>
      <name val="Calibri"/>
      <family val="2"/>
    </font>
    <font>
      <b/>
      <sz val="10"/>
      <color rgb="FF59BF59"/>
      <name val="Calibri"/>
      <family val="2"/>
      <scheme val="minor"/>
    </font>
    <font>
      <sz val="11"/>
      <color rgb="FF59BF5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3AF43"/>
      <name val="Calibri"/>
      <family val="2"/>
      <scheme val="minor"/>
    </font>
    <font>
      <sz val="10"/>
      <color rgb="FF43AF43"/>
      <name val="Calibri"/>
      <family val="2"/>
      <scheme val="major"/>
    </font>
    <font>
      <sz val="11"/>
      <color rgb="FF43AF4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theme="0" tint="-4.9989318521683403E-2"/>
        <bgColor indexed="64"/>
      </patternFill>
    </fill>
  </fills>
  <borders count="97">
    <border>
      <left/>
      <right/>
      <top/>
      <bottom/>
      <diagonal/>
    </border>
    <border>
      <left/>
      <right style="thin">
        <color rgb="FFE5E7EB"/>
      </right>
      <top/>
      <bottom/>
      <diagonal/>
    </border>
    <border>
      <left/>
      <right/>
      <top/>
      <bottom style="thin">
        <color rgb="FFE5E7EB"/>
      </bottom>
      <diagonal/>
    </border>
    <border>
      <left/>
      <right/>
      <top style="thin">
        <color rgb="FFE5E7EB"/>
      </top>
      <bottom/>
      <diagonal/>
    </border>
    <border>
      <left style="medium">
        <color rgb="FFE5E7EB"/>
      </left>
      <right/>
      <top/>
      <bottom/>
      <diagonal/>
    </border>
    <border>
      <left/>
      <right style="medium">
        <color rgb="FFE5E7EB"/>
      </right>
      <top/>
      <bottom/>
      <diagonal/>
    </border>
    <border>
      <left/>
      <right/>
      <top/>
      <bottom style="medium">
        <color rgb="FFE5E7EB"/>
      </bottom>
      <diagonal/>
    </border>
    <border>
      <left/>
      <right style="medium">
        <color rgb="FFE5E7EB"/>
      </right>
      <top/>
      <bottom style="medium">
        <color rgb="FFE5E7EB"/>
      </bottom>
      <diagonal/>
    </border>
    <border>
      <left style="medium">
        <color rgb="FFE5E7EB"/>
      </left>
      <right/>
      <top style="thin">
        <color rgb="FFE5E7EB"/>
      </top>
      <bottom style="thin">
        <color rgb="FFE5E7EB"/>
      </bottom>
      <diagonal/>
    </border>
    <border>
      <left/>
      <right style="medium">
        <color rgb="FFE5E7EB"/>
      </right>
      <top style="thin">
        <color rgb="FFE5E7EB"/>
      </top>
      <bottom style="thin">
        <color rgb="FFE5E7EB"/>
      </bottom>
      <diagonal/>
    </border>
    <border>
      <left/>
      <right style="thin">
        <color rgb="FFE5E7EB"/>
      </right>
      <top style="thin">
        <color rgb="FFE5E7EB"/>
      </top>
      <bottom style="thin">
        <color rgb="FFE5E7EB"/>
      </bottom>
      <diagonal/>
    </border>
    <border>
      <left/>
      <right style="thin">
        <color rgb="FFE5E7EB"/>
      </right>
      <top/>
      <bottom style="thin">
        <color rgb="FFE5E7EB"/>
      </bottom>
      <diagonal/>
    </border>
    <border>
      <left style="medium">
        <color rgb="FFE5E7EB"/>
      </left>
      <right style="thin">
        <color rgb="FFE5E7EB"/>
      </right>
      <top/>
      <bottom style="thin">
        <color rgb="FFE5E7EB"/>
      </bottom>
      <diagonal/>
    </border>
    <border>
      <left style="thin">
        <color rgb="FFE5E7EB"/>
      </left>
      <right style="medium">
        <color rgb="FFE5E7EB"/>
      </right>
      <top style="thin">
        <color rgb="FFE5E7EB"/>
      </top>
      <bottom style="thin">
        <color rgb="FFE5E7EB"/>
      </bottom>
      <diagonal/>
    </border>
    <border>
      <left style="medium">
        <color rgb="FFE5E7EB"/>
      </left>
      <right style="thin">
        <color rgb="FFE5E7EB"/>
      </right>
      <top style="thin">
        <color rgb="FFE5E7EB"/>
      </top>
      <bottom style="thin">
        <color rgb="FFE5E7EB"/>
      </bottom>
      <diagonal/>
    </border>
    <border>
      <left style="thin">
        <color rgb="FFE5E7EB"/>
      </left>
      <right style="thin">
        <color rgb="FFE5E7EB"/>
      </right>
      <top style="thin">
        <color rgb="FFE5E7EB"/>
      </top>
      <bottom style="thin">
        <color rgb="FFE5E7EB"/>
      </bottom>
      <diagonal/>
    </border>
    <border>
      <left style="medium">
        <color rgb="FFE5E7EB"/>
      </left>
      <right style="thin">
        <color rgb="FFE5E7EB"/>
      </right>
      <top/>
      <bottom/>
      <diagonal/>
    </border>
    <border>
      <left style="thin">
        <color theme="2"/>
      </left>
      <right style="thin">
        <color rgb="FFE5E7EB"/>
      </right>
      <top style="thin">
        <color rgb="FFE5E7EB"/>
      </top>
      <bottom style="thin">
        <color rgb="FFE5E7EB"/>
      </bottom>
      <diagonal/>
    </border>
    <border>
      <left style="medium">
        <color rgb="FFE5E7EB"/>
      </left>
      <right style="thin">
        <color theme="2"/>
      </right>
      <top/>
      <bottom style="thin">
        <color rgb="FFE5E7EB"/>
      </bottom>
      <diagonal/>
    </border>
    <border>
      <left style="medium">
        <color rgb="FFE5E7EB"/>
      </left>
      <right style="thin">
        <color theme="2"/>
      </right>
      <top style="thin">
        <color rgb="FFE5E7EB"/>
      </top>
      <bottom style="thin">
        <color rgb="FFE5E7EB"/>
      </bottom>
      <diagonal/>
    </border>
    <border>
      <left/>
      <right/>
      <top style="thin">
        <color theme="2"/>
      </top>
      <bottom/>
      <diagonal/>
    </border>
    <border>
      <left style="thin">
        <color rgb="FFE5E7EB"/>
      </left>
      <right style="thin">
        <color rgb="FFE5E7EB"/>
      </right>
      <top/>
      <bottom style="thin">
        <color rgb="FFE5E7EB"/>
      </bottom>
      <diagonal/>
    </border>
    <border>
      <left style="thin">
        <color rgb="FFE5E7EB"/>
      </left>
      <right style="thin">
        <color rgb="FFE5E7EB"/>
      </right>
      <top/>
      <bottom/>
      <diagonal/>
    </border>
    <border>
      <left/>
      <right style="medium">
        <color rgb="FFE5E7EB"/>
      </right>
      <top/>
      <bottom style="thin">
        <color rgb="FFE5E7EB"/>
      </bottom>
      <diagonal/>
    </border>
    <border>
      <left/>
      <right style="medium">
        <color theme="2"/>
      </right>
      <top/>
      <bottom/>
      <diagonal/>
    </border>
    <border>
      <left style="medium">
        <color theme="2"/>
      </left>
      <right/>
      <top/>
      <bottom/>
      <diagonal/>
    </border>
    <border>
      <left style="thin">
        <color theme="2"/>
      </left>
      <right style="thin">
        <color rgb="FFE5E7EB"/>
      </right>
      <top style="thin">
        <color rgb="FFE5E7EB"/>
      </top>
      <bottom style="medium">
        <color theme="2"/>
      </bottom>
      <diagonal/>
    </border>
    <border>
      <left/>
      <right style="medium">
        <color rgb="FFE5E7EB"/>
      </right>
      <top style="thin">
        <color rgb="FFE5E7EB"/>
      </top>
      <bottom style="medium">
        <color theme="2"/>
      </bottom>
      <diagonal/>
    </border>
    <border>
      <left style="thin">
        <color rgb="FFE5E7EB"/>
      </left>
      <right style="medium">
        <color theme="2"/>
      </right>
      <top style="thin">
        <color rgb="FFE5E7EB"/>
      </top>
      <bottom style="thin">
        <color rgb="FFE5E7EB"/>
      </bottom>
      <diagonal/>
    </border>
    <border>
      <left style="medium">
        <color rgb="FFE5E7EB"/>
      </left>
      <right style="thin">
        <color rgb="FFE5E7EB"/>
      </right>
      <top style="thin">
        <color rgb="FFE5E7EB"/>
      </top>
      <bottom style="medium">
        <color theme="2"/>
      </bottom>
      <diagonal/>
    </border>
    <border>
      <left style="medium">
        <color rgb="FFE5E7EB"/>
      </left>
      <right style="thin">
        <color theme="2"/>
      </right>
      <top style="thin">
        <color rgb="FFE5E7EB"/>
      </top>
      <bottom style="medium">
        <color theme="2"/>
      </bottom>
      <diagonal/>
    </border>
    <border>
      <left/>
      <right style="medium">
        <color theme="2"/>
      </right>
      <top style="thin">
        <color rgb="FFE5E7EB"/>
      </top>
      <bottom style="medium">
        <color theme="2"/>
      </bottom>
      <diagonal/>
    </border>
    <border>
      <left style="thin">
        <color rgb="FFE5E7EB"/>
      </left>
      <right style="thin">
        <color rgb="FFE5E7EB"/>
      </right>
      <top style="thin">
        <color rgb="FFE5E7EB"/>
      </top>
      <bottom style="medium">
        <color rgb="FFE5E7EB"/>
      </bottom>
      <diagonal/>
    </border>
    <border>
      <left style="thin">
        <color rgb="FFE5E7EB"/>
      </left>
      <right style="medium">
        <color rgb="FFE5E7EB"/>
      </right>
      <top style="thin">
        <color rgb="FFE5E7EB"/>
      </top>
      <bottom style="medium">
        <color rgb="FFE5E7EB"/>
      </bottom>
      <diagonal/>
    </border>
    <border>
      <left style="thin">
        <color rgb="FFE5E7EB"/>
      </left>
      <right style="medium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rgb="FFE5E7EB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rgb="FFE5E7EB"/>
      </right>
      <top style="thin">
        <color theme="2"/>
      </top>
      <bottom style="thin">
        <color rgb="FFE5E7EB"/>
      </bottom>
      <diagonal/>
    </border>
    <border>
      <left style="thin">
        <color theme="2"/>
      </left>
      <right style="thin">
        <color theme="2"/>
      </right>
      <top style="thin">
        <color rgb="FFE5E7EB"/>
      </top>
      <bottom style="thin">
        <color theme="2"/>
      </bottom>
      <diagonal/>
    </border>
    <border>
      <left style="thin">
        <color theme="2"/>
      </left>
      <right style="medium">
        <color theme="2"/>
      </right>
      <top style="thin">
        <color rgb="FFE5E7EB"/>
      </top>
      <bottom style="thin">
        <color theme="2"/>
      </bottom>
      <diagonal/>
    </border>
    <border>
      <left/>
      <right style="thin">
        <color rgb="FFE5E7EB"/>
      </right>
      <top style="thin">
        <color rgb="FFE5E7EB"/>
      </top>
      <bottom style="medium">
        <color theme="2"/>
      </bottom>
      <diagonal/>
    </border>
    <border>
      <left style="thin">
        <color rgb="FFE5E7EB"/>
      </left>
      <right style="medium">
        <color rgb="FFE5E7EB"/>
      </right>
      <top style="thin">
        <color rgb="FFE5E7EB"/>
      </top>
      <bottom style="medium">
        <color theme="2"/>
      </bottom>
      <diagonal/>
    </border>
    <border>
      <left style="thin">
        <color rgb="FFE5E7EB"/>
      </left>
      <right style="thin">
        <color rgb="FFE5E7EB"/>
      </right>
      <top style="thin">
        <color rgb="FFE5E7EB"/>
      </top>
      <bottom style="medium">
        <color theme="2"/>
      </bottom>
      <diagonal/>
    </border>
    <border>
      <left/>
      <right style="medium">
        <color theme="2"/>
      </right>
      <top style="thin">
        <color theme="2"/>
      </top>
      <bottom/>
      <diagonal/>
    </border>
    <border>
      <left style="thin">
        <color rgb="FFE5E7EB"/>
      </left>
      <right style="medium">
        <color rgb="FFE5E7EB"/>
      </right>
      <top/>
      <bottom style="thin">
        <color theme="2"/>
      </bottom>
      <diagonal/>
    </border>
    <border>
      <left style="thin">
        <color rgb="FFE5E7EB"/>
      </left>
      <right style="thin">
        <color rgb="FFE5E7EB"/>
      </right>
      <top/>
      <bottom style="thin">
        <color theme="2"/>
      </bottom>
      <diagonal/>
    </border>
    <border>
      <left/>
      <right style="thin">
        <color rgb="FFE5E7EB"/>
      </right>
      <top/>
      <bottom style="thin">
        <color theme="2"/>
      </bottom>
      <diagonal/>
    </border>
    <border>
      <left style="thin">
        <color rgb="FFE5E7EB"/>
      </left>
      <right style="medium">
        <color theme="2"/>
      </right>
      <top style="thin">
        <color rgb="FFE5E7EB"/>
      </top>
      <bottom style="medium">
        <color theme="2"/>
      </bottom>
      <diagonal/>
    </border>
    <border>
      <left style="medium">
        <color rgb="FFE5E7EB"/>
      </left>
      <right style="thin">
        <color theme="2"/>
      </right>
      <top style="thin">
        <color theme="2"/>
      </top>
      <bottom style="medium">
        <color theme="2"/>
      </bottom>
      <diagonal/>
    </border>
    <border>
      <left style="thin">
        <color rgb="FFE5E7EB"/>
      </left>
      <right style="medium">
        <color theme="2"/>
      </right>
      <top/>
      <bottom style="medium">
        <color theme="2"/>
      </bottom>
      <diagonal/>
    </border>
    <border>
      <left/>
      <right style="thin">
        <color rgb="FFE5E7EB"/>
      </right>
      <top/>
      <bottom style="medium">
        <color theme="2"/>
      </bottom>
      <diagonal/>
    </border>
    <border>
      <left style="medium">
        <color theme="2"/>
      </left>
      <right style="thin">
        <color theme="2"/>
      </right>
      <top/>
      <bottom style="medium">
        <color theme="2"/>
      </bottom>
      <diagonal/>
    </border>
    <border>
      <left style="medium">
        <color rgb="FFE5E7EB"/>
      </left>
      <right style="thin">
        <color theme="2"/>
      </right>
      <top style="thin">
        <color rgb="FFE5E7EB"/>
      </top>
      <bottom style="thin">
        <color theme="2"/>
      </bottom>
      <diagonal/>
    </border>
    <border>
      <left style="medium">
        <color theme="2"/>
      </left>
      <right style="medium">
        <color rgb="FFE5E7EB"/>
      </right>
      <top/>
      <bottom/>
      <diagonal/>
    </border>
    <border>
      <left/>
      <right style="thin">
        <color rgb="FFE5E7EB"/>
      </right>
      <top style="thin">
        <color rgb="FFE5E7EB"/>
      </top>
      <bottom style="thin">
        <color theme="2"/>
      </bottom>
      <diagonal/>
    </border>
    <border>
      <left style="thin">
        <color rgb="FFE5E7EB"/>
      </left>
      <right style="medium">
        <color theme="2"/>
      </right>
      <top/>
      <bottom style="thin">
        <color rgb="FFE5E7EB"/>
      </bottom>
      <diagonal/>
    </border>
    <border>
      <left style="thin">
        <color rgb="FFE5E7EB"/>
      </left>
      <right style="medium">
        <color theme="2"/>
      </right>
      <top style="thin">
        <color rgb="FFE5E7EB"/>
      </top>
      <bottom style="thin">
        <color theme="2"/>
      </bottom>
      <diagonal/>
    </border>
    <border>
      <left style="thin">
        <color rgb="FFE5E7EB"/>
      </left>
      <right style="medium">
        <color theme="2"/>
      </right>
      <top/>
      <bottom/>
      <diagonal/>
    </border>
    <border>
      <left/>
      <right/>
      <top/>
      <bottom style="thin">
        <color theme="2"/>
      </bottom>
      <diagonal/>
    </border>
    <border>
      <left style="medium">
        <color rgb="FFE5E7EB"/>
      </left>
      <right style="thin">
        <color theme="2"/>
      </right>
      <top style="thin">
        <color rgb="FFE5E7EB"/>
      </top>
      <bottom style="medium">
        <color rgb="FFE5E7EB"/>
      </bottom>
      <diagonal/>
    </border>
    <border>
      <left style="thin">
        <color theme="2"/>
      </left>
      <right/>
      <top style="thin">
        <color rgb="FFE5E7EB"/>
      </top>
      <bottom style="medium">
        <color theme="2"/>
      </bottom>
      <diagonal/>
    </border>
    <border>
      <left style="thin">
        <color theme="2"/>
      </left>
      <right style="thin">
        <color theme="2"/>
      </right>
      <top style="thin">
        <color rgb="FFE5E7EB"/>
      </top>
      <bottom style="medium">
        <color theme="2"/>
      </bottom>
      <diagonal/>
    </border>
    <border>
      <left/>
      <right style="medium">
        <color theme="2"/>
      </right>
      <top style="thin">
        <color rgb="FFE5E7EB"/>
      </top>
      <bottom style="thin">
        <color rgb="FFE5E7EB"/>
      </bottom>
      <diagonal/>
    </border>
    <border>
      <left/>
      <right/>
      <top style="thin">
        <color rgb="FFE5E7EB"/>
      </top>
      <bottom style="thin">
        <color rgb="FFE5E7EB"/>
      </bottom>
      <diagonal/>
    </border>
    <border>
      <left/>
      <right/>
      <top style="thin">
        <color rgb="FFE5E7EB"/>
      </top>
      <bottom style="medium">
        <color theme="2"/>
      </bottom>
      <diagonal/>
    </border>
    <border>
      <left style="thin">
        <color rgb="FFE5E7EB"/>
      </left>
      <right style="thin">
        <color rgb="FFE5E7EB"/>
      </right>
      <top style="thin">
        <color rgb="FFE5E7EB"/>
      </top>
      <bottom style="thin">
        <color theme="2"/>
      </bottom>
      <diagonal/>
    </border>
    <border>
      <left style="thin">
        <color theme="2"/>
      </left>
      <right style="medium">
        <color theme="2"/>
      </right>
      <top style="thin">
        <color theme="2"/>
      </top>
      <bottom style="thin">
        <color rgb="FFE5E7EB"/>
      </bottom>
      <diagonal/>
    </border>
    <border>
      <left style="thin">
        <color rgb="FFE5E7EB"/>
      </left>
      <right style="medium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rgb="FFE5E7EB"/>
      </right>
      <top style="thin">
        <color rgb="FFE5E7EB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medium">
        <color theme="2"/>
      </right>
      <top style="thin">
        <color rgb="FFE5E7EB"/>
      </top>
      <bottom/>
      <diagonal/>
    </border>
    <border>
      <left/>
      <right/>
      <top style="medium">
        <color theme="2"/>
      </top>
      <bottom/>
      <diagonal/>
    </border>
    <border>
      <left style="medium">
        <color rgb="FFE5E7EB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rgb="FFE5E7EB"/>
      </left>
      <right style="medium">
        <color rgb="FFE5E7EB"/>
      </right>
      <top/>
      <bottom/>
      <diagonal/>
    </border>
    <border>
      <left style="medium">
        <color rgb="FFE5E7EB"/>
      </left>
      <right style="thin">
        <color rgb="FFE5E7EB"/>
      </right>
      <top style="thin">
        <color rgb="FFE5E7EB"/>
      </top>
      <bottom style="medium">
        <color rgb="FFE5E7EB"/>
      </bottom>
      <diagonal/>
    </border>
    <border>
      <left/>
      <right style="thin">
        <color rgb="FFE5E7EB"/>
      </right>
      <top style="thin">
        <color rgb="FFE5E7EB"/>
      </top>
      <bottom style="medium">
        <color rgb="FFE5E7EB"/>
      </bottom>
      <diagonal/>
    </border>
    <border>
      <left style="thin">
        <color rgb="FFE5E7EB"/>
      </left>
      <right style="medium">
        <color rgb="FFE5E7EB"/>
      </right>
      <top style="thin">
        <color rgb="FFE5E7EB"/>
      </top>
      <bottom/>
      <diagonal/>
    </border>
    <border>
      <left style="thin">
        <color rgb="FFE5E7EB"/>
      </left>
      <right style="thin">
        <color rgb="FFE5E7EB"/>
      </right>
      <top/>
      <bottom style="medium">
        <color theme="2"/>
      </bottom>
      <diagonal/>
    </border>
    <border>
      <left style="thin">
        <color rgb="FFE5E7EB"/>
      </left>
      <right/>
      <top/>
      <bottom style="thin">
        <color theme="2"/>
      </bottom>
      <diagonal/>
    </border>
    <border>
      <left style="medium">
        <color rgb="FFE5E7EB"/>
      </left>
      <right style="thin">
        <color rgb="FFE5E7EB"/>
      </right>
      <top/>
      <bottom style="medium">
        <color theme="2"/>
      </bottom>
      <diagonal/>
    </border>
    <border>
      <left/>
      <right/>
      <top/>
      <bottom style="medium">
        <color theme="2"/>
      </bottom>
      <diagonal/>
    </border>
    <border>
      <left style="medium">
        <color theme="2"/>
      </left>
      <right style="thin">
        <color rgb="FFE5E7EB"/>
      </right>
      <top/>
      <bottom/>
      <diagonal/>
    </border>
    <border>
      <left style="thin">
        <color theme="2"/>
      </left>
      <right style="thin">
        <color rgb="FFE5E7EB"/>
      </right>
      <top/>
      <bottom style="thin">
        <color rgb="FFE5E7EB"/>
      </bottom>
      <diagonal/>
    </border>
    <border>
      <left style="thin">
        <color rgb="FFE5E7EB"/>
      </left>
      <right/>
      <top/>
      <bottom/>
      <diagonal/>
    </border>
    <border>
      <left style="thin">
        <color rgb="FFE5E7EB"/>
      </left>
      <right/>
      <top/>
      <bottom style="medium">
        <color theme="2"/>
      </bottom>
      <diagonal/>
    </border>
    <border>
      <left style="thin">
        <color rgb="FFE5E7EB"/>
      </left>
      <right style="medium">
        <color rgb="FFE5E7EB"/>
      </right>
      <top/>
      <bottom style="thin">
        <color rgb="FFE5E7EB"/>
      </bottom>
      <diagonal/>
    </border>
    <border>
      <left style="medium">
        <color theme="2"/>
      </left>
      <right/>
      <top style="thin">
        <color rgb="FFE5E7EB"/>
      </top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/>
      <right style="medium">
        <color rgb="FFE5E7EB"/>
      </right>
      <top/>
      <bottom style="medium">
        <color theme="2"/>
      </bottom>
      <diagonal/>
    </border>
    <border>
      <left style="medium">
        <color theme="2"/>
      </left>
      <right/>
      <top style="thin">
        <color rgb="FFE5E7EB"/>
      </top>
      <bottom style="thin">
        <color rgb="FFE5E7EB"/>
      </bottom>
      <diagonal/>
    </border>
    <border>
      <left style="medium">
        <color theme="2"/>
      </left>
      <right/>
      <top/>
      <bottom style="thin">
        <color rgb="FFE5E7EB"/>
      </bottom>
      <diagonal/>
    </border>
    <border>
      <left style="thin">
        <color theme="2"/>
      </left>
      <right style="medium">
        <color theme="2"/>
      </right>
      <top style="thin">
        <color rgb="FFE5E7EB"/>
      </top>
      <bottom style="medium">
        <color theme="2"/>
      </bottom>
      <diagonal/>
    </border>
    <border>
      <left/>
      <right style="medium">
        <color theme="2"/>
      </right>
      <top/>
      <bottom style="thin">
        <color rgb="FFE5E7EB"/>
      </bottom>
      <diagonal/>
    </border>
    <border>
      <left style="thin">
        <color theme="2"/>
      </left>
      <right style="thin">
        <color rgb="FFE5E7EB"/>
      </right>
      <top style="thin">
        <color theme="2"/>
      </top>
      <bottom style="medium">
        <color theme="2"/>
      </bottom>
      <diagonal/>
    </border>
    <border>
      <left/>
      <right style="thin">
        <color rgb="FFE5E7EB"/>
      </right>
      <top style="thin">
        <color theme="2"/>
      </top>
      <bottom style="medium">
        <color theme="2"/>
      </bottom>
      <diagonal/>
    </border>
    <border>
      <left style="thin">
        <color rgb="FFE5E7EB"/>
      </left>
      <right style="medium">
        <color theme="2"/>
      </right>
      <top style="thin">
        <color theme="2"/>
      </top>
      <bottom style="medium">
        <color theme="2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/>
  </cellStyleXfs>
  <cellXfs count="455">
    <xf numFmtId="0" fontId="0" fillId="0" borderId="0" xfId="0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2"/>
    </xf>
    <xf numFmtId="10" fontId="11" fillId="2" borderId="37" xfId="1" applyNumberFormat="1" applyFont="1" applyFill="1" applyBorder="1" applyAlignment="1">
      <alignment horizontal="center" vertical="center"/>
    </xf>
    <xf numFmtId="10" fontId="11" fillId="2" borderId="1" xfId="1" applyNumberFormat="1" applyFont="1" applyFill="1" applyBorder="1" applyAlignment="1">
      <alignment horizontal="center" vertical="center"/>
    </xf>
    <xf numFmtId="168" fontId="10" fillId="2" borderId="15" xfId="0" applyNumberFormat="1" applyFont="1" applyFill="1" applyBorder="1" applyAlignment="1">
      <alignment horizontal="center" vertical="center"/>
    </xf>
    <xf numFmtId="164" fontId="10" fillId="2" borderId="35" xfId="1" applyNumberFormat="1" applyFont="1" applyFill="1" applyBorder="1" applyAlignment="1">
      <alignment horizontal="center" vertical="center"/>
    </xf>
    <xf numFmtId="164" fontId="10" fillId="2" borderId="36" xfId="1" applyNumberFormat="1" applyFont="1" applyFill="1" applyBorder="1" applyAlignment="1">
      <alignment horizontal="center" vertical="center"/>
    </xf>
    <xf numFmtId="166" fontId="10" fillId="2" borderId="15" xfId="0" applyNumberFormat="1" applyFont="1" applyFill="1" applyBorder="1" applyAlignment="1">
      <alignment horizontal="center" vertical="center"/>
    </xf>
    <xf numFmtId="10" fontId="11" fillId="2" borderId="35" xfId="1" applyNumberFormat="1" applyFont="1" applyFill="1" applyBorder="1" applyAlignment="1">
      <alignment horizontal="center" vertical="center"/>
    </xf>
    <xf numFmtId="10" fontId="11" fillId="2" borderId="38" xfId="1" applyNumberFormat="1" applyFont="1" applyFill="1" applyBorder="1" applyAlignment="1">
      <alignment horizontal="center" vertical="center"/>
    </xf>
    <xf numFmtId="10" fontId="11" fillId="2" borderId="39" xfId="1" applyNumberFormat="1" applyFont="1" applyFill="1" applyBorder="1" applyAlignment="1">
      <alignment horizontal="center" vertical="center"/>
    </xf>
    <xf numFmtId="2" fontId="10" fillId="2" borderId="40" xfId="1" applyNumberFormat="1" applyFont="1" applyFill="1" applyBorder="1" applyAlignment="1">
      <alignment horizontal="center" vertical="center"/>
    </xf>
    <xf numFmtId="2" fontId="10" fillId="2" borderId="31" xfId="1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 indent="2"/>
    </xf>
    <xf numFmtId="0" fontId="17" fillId="0" borderId="1" xfId="0" applyFont="1" applyBorder="1" applyAlignment="1">
      <alignment horizontal="left" vertical="center" indent="2"/>
    </xf>
    <xf numFmtId="10" fontId="11" fillId="2" borderId="43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14" fillId="3" borderId="0" xfId="0" applyFont="1" applyFill="1" applyAlignment="1">
      <alignment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12" fillId="0" borderId="1" xfId="0" applyFont="1" applyBorder="1" applyAlignment="1">
      <alignment horizontal="left" vertical="center" indent="2"/>
    </xf>
    <xf numFmtId="0" fontId="10" fillId="2" borderId="4" xfId="0" applyFont="1" applyFill="1" applyBorder="1" applyAlignment="1">
      <alignment vertical="center"/>
    </xf>
    <xf numFmtId="0" fontId="10" fillId="2" borderId="0" xfId="0" applyFont="1" applyFill="1" applyAlignment="1">
      <alignment horizontal="right" vertical="center"/>
    </xf>
    <xf numFmtId="0" fontId="10" fillId="2" borderId="5" xfId="0" applyFont="1" applyFill="1" applyBorder="1" applyAlignment="1">
      <alignment vertical="center"/>
    </xf>
    <xf numFmtId="0" fontId="11" fillId="2" borderId="16" xfId="0" applyFont="1" applyFill="1" applyBorder="1" applyAlignment="1">
      <alignment horizontal="left" vertical="center" indent="2"/>
    </xf>
    <xf numFmtId="0" fontId="10" fillId="2" borderId="0" xfId="0" applyFont="1" applyFill="1" applyAlignment="1">
      <alignment vertical="center"/>
    </xf>
    <xf numFmtId="6" fontId="10" fillId="2" borderId="0" xfId="0" applyNumberFormat="1" applyFont="1" applyFill="1" applyAlignment="1">
      <alignment vertical="center"/>
    </xf>
    <xf numFmtId="0" fontId="10" fillId="2" borderId="0" xfId="0" applyFont="1" applyFill="1" applyAlignment="1">
      <alignment horizontal="left" vertical="center" indent="4"/>
    </xf>
    <xf numFmtId="0" fontId="10" fillId="2" borderId="16" xfId="0" applyFont="1" applyFill="1" applyBorder="1" applyAlignment="1">
      <alignment horizontal="left" vertical="center" indent="4"/>
    </xf>
    <xf numFmtId="8" fontId="18" fillId="2" borderId="0" xfId="0" applyNumberFormat="1" applyFont="1" applyFill="1" applyAlignment="1">
      <alignment vertical="center"/>
    </xf>
    <xf numFmtId="0" fontId="10" fillId="2" borderId="6" xfId="0" applyFont="1" applyFill="1" applyBorder="1" applyAlignment="1">
      <alignment horizontal="left" vertical="center" indent="4"/>
    </xf>
    <xf numFmtId="0" fontId="15" fillId="3" borderId="0" xfId="0" applyFont="1" applyFill="1" applyAlignment="1">
      <alignment vertical="center"/>
    </xf>
    <xf numFmtId="0" fontId="15" fillId="3" borderId="2" xfId="0" applyFont="1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8" fontId="0" fillId="3" borderId="0" xfId="0" applyNumberFormat="1" applyFill="1" applyAlignment="1">
      <alignment vertical="center"/>
    </xf>
    <xf numFmtId="0" fontId="19" fillId="0" borderId="1" xfId="0" applyFont="1" applyBorder="1" applyAlignment="1">
      <alignment vertical="center"/>
    </xf>
    <xf numFmtId="0" fontId="19" fillId="3" borderId="0" xfId="0" applyFont="1" applyFill="1" applyAlignment="1">
      <alignment vertical="center"/>
    </xf>
    <xf numFmtId="0" fontId="20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9" fillId="3" borderId="20" xfId="0" applyFont="1" applyFill="1" applyBorder="1" applyAlignment="1">
      <alignment vertical="center"/>
    </xf>
    <xf numFmtId="0" fontId="21" fillId="0" borderId="1" xfId="0" applyFont="1" applyBorder="1" applyAlignment="1">
      <alignment horizontal="left" vertical="center" indent="2"/>
    </xf>
    <xf numFmtId="0" fontId="19" fillId="3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2" fillId="0" borderId="1" xfId="0" applyFont="1" applyBorder="1" applyAlignment="1">
      <alignment horizontal="left" vertical="center" indent="2"/>
    </xf>
    <xf numFmtId="0" fontId="23" fillId="2" borderId="12" xfId="0" applyFont="1" applyFill="1" applyBorder="1" applyAlignment="1">
      <alignment horizontal="left" vertical="center" indent="2"/>
    </xf>
    <xf numFmtId="0" fontId="24" fillId="2" borderId="1" xfId="0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left" vertical="center" indent="2"/>
    </xf>
    <xf numFmtId="166" fontId="24" fillId="2" borderId="10" xfId="0" applyNumberFormat="1" applyFont="1" applyFill="1" applyBorder="1" applyAlignment="1">
      <alignment horizontal="center" vertical="center"/>
    </xf>
    <xf numFmtId="166" fontId="24" fillId="2" borderId="28" xfId="0" applyNumberFormat="1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left" vertical="center" indent="4"/>
    </xf>
    <xf numFmtId="166" fontId="23" fillId="2" borderId="10" xfId="0" applyNumberFormat="1" applyFont="1" applyFill="1" applyBorder="1" applyAlignment="1">
      <alignment horizontal="center" vertical="center"/>
    </xf>
    <xf numFmtId="166" fontId="23" fillId="2" borderId="28" xfId="0" applyNumberFormat="1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left" vertical="center" indent="6"/>
    </xf>
    <xf numFmtId="0" fontId="24" fillId="2" borderId="12" xfId="0" applyFont="1" applyFill="1" applyBorder="1" applyAlignment="1">
      <alignment horizontal="left" vertical="center" indent="2"/>
    </xf>
    <xf numFmtId="166" fontId="19" fillId="3" borderId="0" xfId="0" applyNumberFormat="1" applyFont="1" applyFill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3" borderId="20" xfId="0" applyFont="1" applyFill="1" applyBorder="1" applyAlignment="1">
      <alignment vertical="center"/>
    </xf>
    <xf numFmtId="0" fontId="23" fillId="2" borderId="18" xfId="0" applyFont="1" applyFill="1" applyBorder="1" applyAlignment="1">
      <alignment horizontal="left" vertical="center" indent="2"/>
    </xf>
    <xf numFmtId="0" fontId="19" fillId="3" borderId="25" xfId="0" applyFont="1" applyFill="1" applyBorder="1" applyAlignment="1">
      <alignment vertical="center"/>
    </xf>
    <xf numFmtId="0" fontId="24" fillId="2" borderId="18" xfId="0" applyFont="1" applyFill="1" applyBorder="1" applyAlignment="1">
      <alignment horizontal="left" vertical="center" indent="2"/>
    </xf>
    <xf numFmtId="3" fontId="24" fillId="2" borderId="10" xfId="0" applyNumberFormat="1" applyFont="1" applyFill="1" applyBorder="1" applyAlignment="1">
      <alignment horizontal="center" vertical="center"/>
    </xf>
    <xf numFmtId="0" fontId="23" fillId="2" borderId="18" xfId="0" applyFont="1" applyFill="1" applyBorder="1" applyAlignment="1">
      <alignment horizontal="left" vertical="center" indent="4"/>
    </xf>
    <xf numFmtId="164" fontId="23" fillId="2" borderId="10" xfId="0" applyNumberFormat="1" applyFont="1" applyFill="1" applyBorder="1" applyAlignment="1">
      <alignment horizontal="center" vertical="center"/>
    </xf>
    <xf numFmtId="166" fontId="23" fillId="2" borderId="17" xfId="0" applyNumberFormat="1" applyFont="1" applyFill="1" applyBorder="1" applyAlignment="1">
      <alignment horizontal="center" vertical="center"/>
    </xf>
    <xf numFmtId="0" fontId="23" fillId="2" borderId="18" xfId="0" applyFont="1" applyFill="1" applyBorder="1" applyAlignment="1">
      <alignment horizontal="left" vertical="center" indent="6"/>
    </xf>
    <xf numFmtId="164" fontId="23" fillId="2" borderId="40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left" vertical="center" indent="2"/>
    </xf>
    <xf numFmtId="0" fontId="19" fillId="3" borderId="0" xfId="0" applyFont="1" applyFill="1" applyAlignment="1">
      <alignment horizontal="center" vertical="center"/>
    </xf>
    <xf numFmtId="0" fontId="23" fillId="2" borderId="18" xfId="0" applyFont="1" applyFill="1" applyBorder="1" applyAlignment="1">
      <alignment vertical="center"/>
    </xf>
    <xf numFmtId="0" fontId="24" fillId="2" borderId="5" xfId="0" applyFont="1" applyFill="1" applyBorder="1" applyAlignment="1">
      <alignment horizontal="center" vertical="center"/>
    </xf>
    <xf numFmtId="0" fontId="23" fillId="2" borderId="19" xfId="0" applyFont="1" applyFill="1" applyBorder="1" applyAlignment="1">
      <alignment horizontal="left" vertical="center" indent="2"/>
    </xf>
    <xf numFmtId="164" fontId="24" fillId="2" borderId="32" xfId="0" applyNumberFormat="1" applyFont="1" applyFill="1" applyBorder="1" applyAlignment="1">
      <alignment horizontal="center" vertical="center"/>
    </xf>
    <xf numFmtId="0" fontId="23" fillId="2" borderId="19" xfId="0" applyFont="1" applyFill="1" applyBorder="1" applyAlignment="1">
      <alignment horizontal="left" vertical="center" indent="4"/>
    </xf>
    <xf numFmtId="164" fontId="25" fillId="2" borderId="28" xfId="1" applyNumberFormat="1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left" vertical="center" indent="2"/>
    </xf>
    <xf numFmtId="0" fontId="26" fillId="0" borderId="1" xfId="0" applyFont="1" applyBorder="1" applyAlignment="1">
      <alignment horizontal="left" vertical="center" indent="2"/>
    </xf>
    <xf numFmtId="0" fontId="27" fillId="3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3" fillId="2" borderId="19" xfId="0" applyFont="1" applyFill="1" applyBorder="1" applyAlignment="1">
      <alignment horizontal="left" vertical="center" indent="6"/>
    </xf>
    <xf numFmtId="0" fontId="28" fillId="3" borderId="0" xfId="0" applyFont="1" applyFill="1" applyAlignment="1">
      <alignment horizontal="left" vertical="center" indent="2"/>
    </xf>
    <xf numFmtId="1" fontId="19" fillId="3" borderId="0" xfId="0" applyNumberFormat="1" applyFont="1" applyFill="1" applyAlignment="1">
      <alignment vertical="center"/>
    </xf>
    <xf numFmtId="164" fontId="19" fillId="3" borderId="0" xfId="0" applyNumberFormat="1" applyFont="1" applyFill="1" applyAlignment="1">
      <alignment horizontal="center" vertical="center"/>
    </xf>
    <xf numFmtId="6" fontId="19" fillId="3" borderId="0" xfId="0" applyNumberFormat="1" applyFont="1" applyFill="1" applyAlignment="1">
      <alignment horizontal="center" vertical="center"/>
    </xf>
    <xf numFmtId="5" fontId="19" fillId="3" borderId="0" xfId="0" applyNumberFormat="1" applyFont="1" applyFill="1" applyAlignment="1">
      <alignment horizontal="center" vertical="center"/>
    </xf>
    <xf numFmtId="166" fontId="19" fillId="3" borderId="0" xfId="0" applyNumberFormat="1" applyFont="1" applyFill="1" applyAlignment="1">
      <alignment horizontal="left" vertical="center"/>
    </xf>
    <xf numFmtId="0" fontId="25" fillId="2" borderId="12" xfId="0" applyFont="1" applyFill="1" applyBorder="1" applyAlignment="1">
      <alignment horizontal="left" vertical="center" indent="2"/>
    </xf>
    <xf numFmtId="0" fontId="29" fillId="3" borderId="0" xfId="0" applyFont="1" applyFill="1" applyAlignment="1">
      <alignment vertical="center"/>
    </xf>
    <xf numFmtId="0" fontId="20" fillId="3" borderId="3" xfId="0" applyFont="1" applyFill="1" applyBorder="1" applyAlignment="1">
      <alignment vertical="center"/>
    </xf>
    <xf numFmtId="0" fontId="19" fillId="2" borderId="5" xfId="0" applyFont="1" applyFill="1" applyBorder="1" applyAlignment="1">
      <alignment horizontal="left" vertical="center"/>
    </xf>
    <xf numFmtId="0" fontId="24" fillId="2" borderId="22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horizontal="left" vertical="center" wrapText="1" indent="1"/>
    </xf>
    <xf numFmtId="166" fontId="23" fillId="2" borderId="9" xfId="0" applyNumberFormat="1" applyFont="1" applyFill="1" applyBorder="1" applyAlignment="1">
      <alignment horizontal="center" vertical="center"/>
    </xf>
    <xf numFmtId="166" fontId="23" fillId="0" borderId="10" xfId="0" applyNumberFormat="1" applyFont="1" applyBorder="1" applyAlignment="1">
      <alignment horizontal="center" vertical="center"/>
    </xf>
    <xf numFmtId="4" fontId="23" fillId="2" borderId="15" xfId="0" applyNumberFormat="1" applyFont="1" applyFill="1" applyBorder="1" applyAlignment="1">
      <alignment horizontal="left" vertical="center" wrapText="1" indent="1"/>
    </xf>
    <xf numFmtId="0" fontId="23" fillId="2" borderId="29" xfId="0" applyFont="1" applyFill="1" applyBorder="1" applyAlignment="1">
      <alignment horizontal="left" vertical="center" indent="4"/>
    </xf>
    <xf numFmtId="166" fontId="23" fillId="2" borderId="27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0" fontId="30" fillId="3" borderId="0" xfId="1" applyNumberFormat="1" applyFont="1" applyFill="1" applyAlignment="1">
      <alignment horizontal="left" vertical="center"/>
    </xf>
    <xf numFmtId="0" fontId="24" fillId="2" borderId="21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horizontal="left" vertical="center" wrapText="1"/>
    </xf>
    <xf numFmtId="0" fontId="31" fillId="3" borderId="0" xfId="0" applyFont="1" applyFill="1" applyAlignment="1">
      <alignment vertical="center"/>
    </xf>
    <xf numFmtId="0" fontId="23" fillId="2" borderId="14" xfId="0" applyFont="1" applyFill="1" applyBorder="1" applyAlignment="1">
      <alignment horizontal="left" vertical="center" indent="4"/>
    </xf>
    <xf numFmtId="4" fontId="23" fillId="2" borderId="15" xfId="0" applyNumberFormat="1" applyFont="1" applyFill="1" applyBorder="1" applyAlignment="1">
      <alignment horizontal="left" vertical="center" wrapText="1" indent="2"/>
    </xf>
    <xf numFmtId="0" fontId="24" fillId="2" borderId="29" xfId="0" applyFont="1" applyFill="1" applyBorder="1" applyAlignment="1">
      <alignment horizontal="left" vertical="center" indent="2"/>
    </xf>
    <xf numFmtId="167" fontId="24" fillId="2" borderId="40" xfId="0" applyNumberFormat="1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vertical="center"/>
    </xf>
    <xf numFmtId="0" fontId="32" fillId="2" borderId="12" xfId="0" applyFont="1" applyFill="1" applyBorder="1" applyAlignment="1">
      <alignment horizontal="center" vertical="center"/>
    </xf>
    <xf numFmtId="0" fontId="32" fillId="2" borderId="21" xfId="0" applyFont="1" applyFill="1" applyBorder="1" applyAlignment="1">
      <alignment horizontal="center" vertical="center"/>
    </xf>
    <xf numFmtId="0" fontId="32" fillId="2" borderId="11" xfId="0" applyFont="1" applyFill="1" applyBorder="1" applyAlignment="1">
      <alignment horizontal="center" vertical="center"/>
    </xf>
    <xf numFmtId="0" fontId="32" fillId="2" borderId="23" xfId="0" applyFont="1" applyFill="1" applyBorder="1" applyAlignment="1">
      <alignment horizontal="center" vertical="center"/>
    </xf>
    <xf numFmtId="9" fontId="23" fillId="2" borderId="29" xfId="1" applyFont="1" applyFill="1" applyBorder="1" applyAlignment="1">
      <alignment horizontal="center" vertical="center"/>
    </xf>
    <xf numFmtId="164" fontId="23" fillId="2" borderId="42" xfId="1" applyNumberFormat="1" applyFont="1" applyFill="1" applyBorder="1" applyAlignment="1">
      <alignment horizontal="center" vertical="center"/>
    </xf>
    <xf numFmtId="164" fontId="23" fillId="2" borderId="40" xfId="1" applyNumberFormat="1" applyFont="1" applyFill="1" applyBorder="1" applyAlignment="1">
      <alignment horizontal="center" vertical="center"/>
    </xf>
    <xf numFmtId="9" fontId="23" fillId="2" borderId="27" xfId="1" applyFont="1" applyFill="1" applyBorder="1" applyAlignment="1">
      <alignment horizontal="center" vertical="center"/>
    </xf>
    <xf numFmtId="0" fontId="0" fillId="3" borderId="25" xfId="0" applyFill="1" applyBorder="1" applyAlignment="1">
      <alignment vertical="center"/>
    </xf>
    <xf numFmtId="0" fontId="24" fillId="2" borderId="46" xfId="0" applyFont="1" applyFill="1" applyBorder="1" applyAlignment="1">
      <alignment horizontal="center" vertical="center"/>
    </xf>
    <xf numFmtId="0" fontId="24" fillId="4" borderId="14" xfId="0" applyFont="1" applyFill="1" applyBorder="1" applyAlignment="1">
      <alignment horizontal="left" vertical="center" indent="2"/>
    </xf>
    <xf numFmtId="0" fontId="24" fillId="4" borderId="45" xfId="0" applyFont="1" applyFill="1" applyBorder="1" applyAlignment="1">
      <alignment horizontal="center" vertical="center"/>
    </xf>
    <xf numFmtId="0" fontId="24" fillId="4" borderId="46" xfId="0" applyFont="1" applyFill="1" applyBorder="1" applyAlignment="1">
      <alignment horizontal="center" vertical="center"/>
    </xf>
    <xf numFmtId="165" fontId="24" fillId="4" borderId="44" xfId="0" applyNumberFormat="1" applyFont="1" applyFill="1" applyBorder="1" applyAlignment="1">
      <alignment horizontal="center" vertical="center"/>
    </xf>
    <xf numFmtId="165" fontId="24" fillId="4" borderId="11" xfId="0" applyNumberFormat="1" applyFont="1" applyFill="1" applyBorder="1" applyAlignment="1">
      <alignment horizontal="center" vertical="center"/>
    </xf>
    <xf numFmtId="1" fontId="24" fillId="4" borderId="11" xfId="0" applyNumberFormat="1" applyFont="1" applyFill="1" applyBorder="1" applyAlignment="1">
      <alignment horizontal="center" vertical="center"/>
    </xf>
    <xf numFmtId="166" fontId="24" fillId="4" borderId="10" xfId="0" applyNumberFormat="1" applyFont="1" applyFill="1" applyBorder="1" applyAlignment="1">
      <alignment horizontal="center" vertical="center"/>
    </xf>
    <xf numFmtId="166" fontId="23" fillId="4" borderId="10" xfId="0" applyNumberFormat="1" applyFont="1" applyFill="1" applyBorder="1" applyAlignment="1">
      <alignment horizontal="center" vertical="center"/>
    </xf>
    <xf numFmtId="167" fontId="24" fillId="4" borderId="40" xfId="0" applyNumberFormat="1" applyFont="1" applyFill="1" applyBorder="1" applyAlignment="1">
      <alignment horizontal="center" vertical="center"/>
    </xf>
    <xf numFmtId="0" fontId="19" fillId="4" borderId="0" xfId="0" applyFont="1" applyFill="1" applyAlignment="1">
      <alignment horizontal="left" vertical="center"/>
    </xf>
    <xf numFmtId="0" fontId="33" fillId="0" borderId="1" xfId="0" applyFont="1" applyBorder="1" applyAlignment="1">
      <alignment horizontal="left" vertical="center" indent="2"/>
    </xf>
    <xf numFmtId="0" fontId="34" fillId="2" borderId="48" xfId="0" applyFont="1" applyFill="1" applyBorder="1" applyAlignment="1">
      <alignment horizontal="left" vertical="center" indent="4"/>
    </xf>
    <xf numFmtId="0" fontId="35" fillId="2" borderId="51" xfId="0" applyFont="1" applyFill="1" applyBorder="1" applyAlignment="1">
      <alignment horizontal="left" vertical="center" indent="4"/>
    </xf>
    <xf numFmtId="164" fontId="35" fillId="2" borderId="28" xfId="1" applyNumberFormat="1" applyFont="1" applyFill="1" applyBorder="1" applyAlignment="1">
      <alignment horizontal="center" vertical="center"/>
    </xf>
    <xf numFmtId="164" fontId="35" fillId="2" borderId="10" xfId="1" applyNumberFormat="1" applyFont="1" applyFill="1" applyBorder="1" applyAlignment="1">
      <alignment horizontal="center" vertical="center"/>
    </xf>
    <xf numFmtId="0" fontId="13" fillId="2" borderId="52" xfId="0" applyFont="1" applyFill="1" applyBorder="1" applyAlignment="1">
      <alignment horizontal="left" vertical="center" indent="4"/>
    </xf>
    <xf numFmtId="0" fontId="0" fillId="3" borderId="53" xfId="0" applyFill="1" applyBorder="1" applyAlignment="1">
      <alignment vertical="center"/>
    </xf>
    <xf numFmtId="3" fontId="35" fillId="2" borderId="54" xfId="0" applyNumberFormat="1" applyFont="1" applyFill="1" applyBorder="1" applyAlignment="1">
      <alignment horizontal="center" vertical="center"/>
    </xf>
    <xf numFmtId="0" fontId="35" fillId="2" borderId="52" xfId="0" applyFont="1" applyFill="1" applyBorder="1" applyAlignment="1">
      <alignment horizontal="left" vertical="center" indent="4"/>
    </xf>
    <xf numFmtId="0" fontId="13" fillId="2" borderId="18" xfId="0" applyFont="1" applyFill="1" applyBorder="1" applyAlignment="1">
      <alignment horizontal="left" vertical="center" indent="4"/>
    </xf>
    <xf numFmtId="3" fontId="0" fillId="3" borderId="0" xfId="0" applyNumberFormat="1" applyFill="1" applyAlignment="1">
      <alignment vertical="center"/>
    </xf>
    <xf numFmtId="3" fontId="35" fillId="2" borderId="28" xfId="0" applyNumberFormat="1" applyFont="1" applyFill="1" applyBorder="1" applyAlignment="1">
      <alignment horizontal="center" vertical="center"/>
    </xf>
    <xf numFmtId="3" fontId="35" fillId="2" borderId="10" xfId="0" applyNumberFormat="1" applyFont="1" applyFill="1" applyBorder="1" applyAlignment="1">
      <alignment horizontal="center" vertical="center"/>
    </xf>
    <xf numFmtId="0" fontId="35" fillId="2" borderId="18" xfId="0" applyFont="1" applyFill="1" applyBorder="1" applyAlignment="1">
      <alignment horizontal="left" vertical="center" indent="4"/>
    </xf>
    <xf numFmtId="3" fontId="13" fillId="2" borderId="28" xfId="0" applyNumberFormat="1" applyFont="1" applyFill="1" applyBorder="1" applyAlignment="1">
      <alignment horizontal="center" vertical="center"/>
    </xf>
    <xf numFmtId="3" fontId="13" fillId="2" borderId="1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 indent="2"/>
    </xf>
    <xf numFmtId="3" fontId="35" fillId="2" borderId="47" xfId="0" applyNumberFormat="1" applyFont="1" applyFill="1" applyBorder="1" applyAlignment="1">
      <alignment horizontal="center" vertical="center"/>
    </xf>
    <xf numFmtId="3" fontId="35" fillId="2" borderId="40" xfId="0" applyNumberFormat="1" applyFont="1" applyFill="1" applyBorder="1" applyAlignment="1">
      <alignment horizontal="center" vertical="center"/>
    </xf>
    <xf numFmtId="0" fontId="35" fillId="2" borderId="30" xfId="0" applyFont="1" applyFill="1" applyBorder="1" applyAlignment="1">
      <alignment horizontal="left" vertical="center" indent="4"/>
    </xf>
    <xf numFmtId="9" fontId="35" fillId="2" borderId="28" xfId="1" applyFont="1" applyFill="1" applyBorder="1" applyAlignment="1">
      <alignment horizontal="center" vertical="center"/>
    </xf>
    <xf numFmtId="9" fontId="35" fillId="2" borderId="10" xfId="1" applyFont="1" applyFill="1" applyBorder="1" applyAlignment="1">
      <alignment horizontal="center" vertical="center"/>
    </xf>
    <xf numFmtId="3" fontId="0" fillId="3" borderId="53" xfId="0" applyNumberForma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24" fillId="2" borderId="57" xfId="0" applyFont="1" applyFill="1" applyBorder="1" applyAlignment="1">
      <alignment horizontal="center" vertical="center"/>
    </xf>
    <xf numFmtId="165" fontId="24" fillId="0" borderId="1" xfId="0" applyNumberFormat="1" applyFont="1" applyBorder="1" applyAlignment="1">
      <alignment horizontal="center" vertical="center"/>
    </xf>
    <xf numFmtId="166" fontId="24" fillId="0" borderId="10" xfId="0" applyNumberFormat="1" applyFont="1" applyBorder="1" applyAlignment="1">
      <alignment horizontal="center" vertical="center"/>
    </xf>
    <xf numFmtId="165" fontId="24" fillId="0" borderId="11" xfId="0" applyNumberFormat="1" applyFont="1" applyBorder="1" applyAlignment="1">
      <alignment horizontal="center" vertical="center"/>
    </xf>
    <xf numFmtId="1" fontId="24" fillId="0" borderId="11" xfId="0" applyNumberFormat="1" applyFont="1" applyBorder="1" applyAlignment="1">
      <alignment horizontal="center" vertical="center"/>
    </xf>
    <xf numFmtId="167" fontId="23" fillId="0" borderId="10" xfId="0" applyNumberFormat="1" applyFont="1" applyBorder="1" applyAlignment="1">
      <alignment horizontal="center" vertical="center"/>
    </xf>
    <xf numFmtId="164" fontId="24" fillId="0" borderId="64" xfId="1" applyNumberFormat="1" applyFont="1" applyFill="1" applyBorder="1" applyAlignment="1">
      <alignment horizontal="center" vertical="center"/>
    </xf>
    <xf numFmtId="164" fontId="24" fillId="2" borderId="41" xfId="0" applyNumberFormat="1" applyFont="1" applyFill="1" applyBorder="1" applyAlignment="1">
      <alignment horizontal="center" vertical="center"/>
    </xf>
    <xf numFmtId="5" fontId="10" fillId="2" borderId="0" xfId="0" applyNumberFormat="1" applyFont="1" applyFill="1" applyAlignment="1">
      <alignment vertical="center"/>
    </xf>
    <xf numFmtId="10" fontId="11" fillId="2" borderId="66" xfId="1" applyNumberFormat="1" applyFont="1" applyFill="1" applyBorder="1" applyAlignment="1">
      <alignment horizontal="center" vertical="center"/>
    </xf>
    <xf numFmtId="166" fontId="10" fillId="2" borderId="28" xfId="0" applyNumberFormat="1" applyFont="1" applyFill="1" applyBorder="1" applyAlignment="1">
      <alignment horizontal="center" vertical="center"/>
    </xf>
    <xf numFmtId="166" fontId="24" fillId="2" borderId="40" xfId="0" applyNumberFormat="1" applyFont="1" applyFill="1" applyBorder="1" applyAlignment="1">
      <alignment horizontal="center" vertical="center"/>
    </xf>
    <xf numFmtId="164" fontId="25" fillId="0" borderId="40" xfId="1" applyNumberFormat="1" applyFont="1" applyFill="1" applyBorder="1" applyAlignment="1">
      <alignment horizontal="center" vertical="center"/>
    </xf>
    <xf numFmtId="4" fontId="23" fillId="2" borderId="42" xfId="0" applyNumberFormat="1" applyFont="1" applyFill="1" applyBorder="1" applyAlignment="1">
      <alignment horizontal="left" vertical="center" wrapText="1" indent="1"/>
    </xf>
    <xf numFmtId="0" fontId="24" fillId="2" borderId="67" xfId="0" applyFont="1" applyFill="1" applyBorder="1" applyAlignment="1">
      <alignment horizontal="center" vertical="center"/>
    </xf>
    <xf numFmtId="0" fontId="24" fillId="2" borderId="34" xfId="0" applyFont="1" applyFill="1" applyBorder="1" applyAlignment="1">
      <alignment horizontal="center" vertical="center"/>
    </xf>
    <xf numFmtId="3" fontId="35" fillId="2" borderId="63" xfId="0" applyNumberFormat="1" applyFont="1" applyFill="1" applyBorder="1" applyAlignment="1">
      <alignment horizontal="center" vertical="center"/>
    </xf>
    <xf numFmtId="3" fontId="13" fillId="2" borderId="11" xfId="0" applyNumberFormat="1" applyFont="1" applyFill="1" applyBorder="1" applyAlignment="1">
      <alignment horizontal="center" vertical="center"/>
    </xf>
    <xf numFmtId="3" fontId="13" fillId="2" borderId="55" xfId="0" applyNumberFormat="1" applyFont="1" applyFill="1" applyBorder="1" applyAlignment="1">
      <alignment horizontal="center" vertical="center"/>
    </xf>
    <xf numFmtId="3" fontId="35" fillId="2" borderId="56" xfId="0" applyNumberFormat="1" applyFont="1" applyFill="1" applyBorder="1" applyAlignment="1">
      <alignment horizontal="center" vertical="center"/>
    </xf>
    <xf numFmtId="167" fontId="23" fillId="0" borderId="68" xfId="0" applyNumberFormat="1" applyFont="1" applyBorder="1" applyAlignment="1">
      <alignment horizontal="center" vertical="center"/>
    </xf>
    <xf numFmtId="166" fontId="36" fillId="2" borderId="10" xfId="0" applyNumberFormat="1" applyFont="1" applyFill="1" applyBorder="1" applyAlignment="1">
      <alignment horizontal="center" vertical="center"/>
    </xf>
    <xf numFmtId="166" fontId="36" fillId="2" borderId="28" xfId="0" applyNumberFormat="1" applyFont="1" applyFill="1" applyBorder="1" applyAlignment="1">
      <alignment horizontal="center" vertical="center"/>
    </xf>
    <xf numFmtId="166" fontId="37" fillId="2" borderId="10" xfId="0" applyNumberFormat="1" applyFont="1" applyFill="1" applyBorder="1" applyAlignment="1">
      <alignment horizontal="center" vertical="center"/>
    </xf>
    <xf numFmtId="0" fontId="36" fillId="2" borderId="12" xfId="0" applyFont="1" applyFill="1" applyBorder="1" applyAlignment="1">
      <alignment horizontal="left" vertical="center" indent="5"/>
    </xf>
    <xf numFmtId="0" fontId="36" fillId="2" borderId="12" xfId="0" applyFont="1" applyFill="1" applyBorder="1" applyAlignment="1">
      <alignment horizontal="left" vertical="center" indent="7"/>
    </xf>
    <xf numFmtId="0" fontId="36" fillId="2" borderId="12" xfId="0" applyFont="1" applyFill="1" applyBorder="1" applyAlignment="1">
      <alignment horizontal="left" vertical="center" indent="9"/>
    </xf>
    <xf numFmtId="0" fontId="38" fillId="2" borderId="12" xfId="0" applyFont="1" applyFill="1" applyBorder="1" applyAlignment="1">
      <alignment horizontal="left" vertical="center" indent="2"/>
    </xf>
    <xf numFmtId="166" fontId="38" fillId="2" borderId="10" xfId="0" applyNumberFormat="1" applyFont="1" applyFill="1" applyBorder="1" applyAlignment="1">
      <alignment horizontal="center" vertical="center"/>
    </xf>
    <xf numFmtId="0" fontId="36" fillId="2" borderId="29" xfId="0" applyFont="1" applyFill="1" applyBorder="1" applyAlignment="1">
      <alignment horizontal="left" vertical="center" indent="5"/>
    </xf>
    <xf numFmtId="166" fontId="36" fillId="2" borderId="40" xfId="0" applyNumberFormat="1" applyFont="1" applyFill="1" applyBorder="1" applyAlignment="1">
      <alignment horizontal="center" vertical="center"/>
    </xf>
    <xf numFmtId="166" fontId="36" fillId="2" borderId="4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3" borderId="20" xfId="0" applyFill="1" applyBorder="1" applyAlignment="1">
      <alignment horizontal="left" vertical="center"/>
    </xf>
    <xf numFmtId="0" fontId="35" fillId="2" borderId="18" xfId="0" applyFont="1" applyFill="1" applyBorder="1" applyAlignment="1">
      <alignment horizontal="left" vertical="center" indent="2"/>
    </xf>
    <xf numFmtId="0" fontId="13" fillId="2" borderId="57" xfId="0" applyFont="1" applyFill="1" applyBorder="1" applyAlignment="1">
      <alignment horizontal="center" vertical="center"/>
    </xf>
    <xf numFmtId="166" fontId="35" fillId="2" borderId="10" xfId="0" applyNumberFormat="1" applyFont="1" applyFill="1" applyBorder="1" applyAlignment="1">
      <alignment horizontal="center" vertical="center"/>
    </xf>
    <xf numFmtId="166" fontId="35" fillId="2" borderId="28" xfId="0" applyNumberFormat="1" applyFont="1" applyFill="1" applyBorder="1" applyAlignment="1">
      <alignment horizontal="center" vertical="center"/>
    </xf>
    <xf numFmtId="0" fontId="13" fillId="2" borderId="59" xfId="0" applyFont="1" applyFill="1" applyBorder="1" applyAlignment="1">
      <alignment horizontal="left" vertical="center" indent="2"/>
    </xf>
    <xf numFmtId="166" fontId="0" fillId="3" borderId="0" xfId="0" applyNumberFormat="1" applyFill="1" applyAlignment="1">
      <alignment horizontal="left" vertical="center"/>
    </xf>
    <xf numFmtId="0" fontId="13" fillId="2" borderId="24" xfId="0" applyFont="1" applyFill="1" applyBorder="1" applyAlignment="1">
      <alignment horizontal="center" vertical="center"/>
    </xf>
    <xf numFmtId="166" fontId="35" fillId="2" borderId="62" xfId="0" applyNumberFormat="1" applyFont="1" applyFill="1" applyBorder="1" applyAlignment="1">
      <alignment horizontal="center" vertical="center"/>
    </xf>
    <xf numFmtId="166" fontId="0" fillId="3" borderId="0" xfId="0" applyNumberFormat="1" applyFill="1" applyAlignment="1">
      <alignment vertical="center"/>
    </xf>
    <xf numFmtId="0" fontId="13" fillId="2" borderId="18" xfId="0" applyFont="1" applyFill="1" applyBorder="1" applyAlignment="1">
      <alignment horizontal="left" vertical="center" indent="2"/>
    </xf>
    <xf numFmtId="166" fontId="13" fillId="2" borderId="10" xfId="0" applyNumberFormat="1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left" vertical="center" indent="2"/>
    </xf>
    <xf numFmtId="166" fontId="13" fillId="2" borderId="40" xfId="0" applyNumberFormat="1" applyFont="1" applyFill="1" applyBorder="1" applyAlignment="1">
      <alignment horizontal="center" vertical="center"/>
    </xf>
    <xf numFmtId="9" fontId="35" fillId="2" borderId="11" xfId="1" applyFont="1" applyFill="1" applyBorder="1" applyAlignment="1">
      <alignment horizontal="center" vertical="center"/>
    </xf>
    <xf numFmtId="166" fontId="35" fillId="2" borderId="68" xfId="0" applyNumberFormat="1" applyFont="1" applyFill="1" applyBorder="1" applyAlignment="1">
      <alignment horizontal="center" vertical="center"/>
    </xf>
    <xf numFmtId="166" fontId="35" fillId="2" borderId="11" xfId="0" applyNumberFormat="1" applyFont="1" applyFill="1" applyBorder="1" applyAlignment="1">
      <alignment horizontal="center" vertical="center"/>
    </xf>
    <xf numFmtId="164" fontId="35" fillId="2" borderId="69" xfId="0" applyNumberFormat="1" applyFont="1" applyFill="1" applyBorder="1" applyAlignment="1">
      <alignment horizontal="center" vertical="center"/>
    </xf>
    <xf numFmtId="166" fontId="13" fillId="2" borderId="68" xfId="0" applyNumberFormat="1" applyFont="1" applyFill="1" applyBorder="1" applyAlignment="1">
      <alignment horizontal="center" vertical="center"/>
    </xf>
    <xf numFmtId="164" fontId="35" fillId="2" borderId="73" xfId="0" applyNumberFormat="1" applyFont="1" applyFill="1" applyBorder="1" applyAlignment="1">
      <alignment horizontal="center" vertical="center"/>
    </xf>
    <xf numFmtId="0" fontId="0" fillId="3" borderId="71" xfId="0" applyFill="1" applyBorder="1" applyAlignment="1">
      <alignment vertical="center"/>
    </xf>
    <xf numFmtId="3" fontId="23" fillId="2" borderId="11" xfId="0" applyNumberFormat="1" applyFont="1" applyFill="1" applyBorder="1" applyAlignment="1">
      <alignment horizontal="center" vertical="center"/>
    </xf>
    <xf numFmtId="3" fontId="23" fillId="4" borderId="11" xfId="0" applyNumberFormat="1" applyFont="1" applyFill="1" applyBorder="1" applyAlignment="1">
      <alignment horizontal="center" vertical="center"/>
    </xf>
    <xf numFmtId="3" fontId="23" fillId="4" borderId="10" xfId="0" applyNumberFormat="1" applyFont="1" applyFill="1" applyBorder="1" applyAlignment="1">
      <alignment horizontal="center" vertical="center"/>
    </xf>
    <xf numFmtId="10" fontId="27" fillId="3" borderId="0" xfId="0" applyNumberFormat="1" applyFont="1" applyFill="1" applyAlignment="1">
      <alignment vertical="center"/>
    </xf>
    <xf numFmtId="0" fontId="40" fillId="0" borderId="0" xfId="0" applyFont="1" applyAlignment="1">
      <alignment wrapText="1"/>
    </xf>
    <xf numFmtId="0" fontId="15" fillId="3" borderId="0" xfId="0" applyFont="1" applyFill="1" applyAlignment="1">
      <alignment vertical="center" shrinkToFit="1"/>
    </xf>
    <xf numFmtId="0" fontId="41" fillId="0" borderId="0" xfId="2" applyFont="1"/>
    <xf numFmtId="0" fontId="40" fillId="0" borderId="0" xfId="2" applyFont="1"/>
    <xf numFmtId="0" fontId="42" fillId="0" borderId="0" xfId="2" applyFont="1"/>
    <xf numFmtId="0" fontId="35" fillId="2" borderId="12" xfId="0" applyFont="1" applyFill="1" applyBorder="1" applyAlignment="1">
      <alignment horizontal="left" vertical="center"/>
    </xf>
    <xf numFmtId="0" fontId="13" fillId="2" borderId="74" xfId="0" applyFont="1" applyFill="1" applyBorder="1" applyAlignment="1">
      <alignment horizontal="center" vertical="center"/>
    </xf>
    <xf numFmtId="0" fontId="35" fillId="2" borderId="12" xfId="0" applyFont="1" applyFill="1" applyBorder="1" applyAlignment="1">
      <alignment horizontal="left" vertical="center" indent="1"/>
    </xf>
    <xf numFmtId="166" fontId="35" fillId="2" borderId="13" xfId="0" applyNumberFormat="1" applyFont="1" applyFill="1" applyBorder="1" applyAlignment="1">
      <alignment horizontal="center" vertical="center"/>
    </xf>
    <xf numFmtId="0" fontId="35" fillId="2" borderId="75" xfId="0" applyFont="1" applyFill="1" applyBorder="1" applyAlignment="1">
      <alignment horizontal="left" vertical="center" indent="1"/>
    </xf>
    <xf numFmtId="166" fontId="35" fillId="2" borderId="76" xfId="0" applyNumberFormat="1" applyFont="1" applyFill="1" applyBorder="1" applyAlignment="1">
      <alignment horizontal="center" vertical="center"/>
    </xf>
    <xf numFmtId="166" fontId="35" fillId="2" borderId="33" xfId="0" applyNumberFormat="1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166" fontId="35" fillId="2" borderId="10" xfId="0" applyNumberFormat="1" applyFont="1" applyFill="1" applyBorder="1" applyAlignment="1">
      <alignment horizontal="center" vertical="center" wrapText="1"/>
    </xf>
    <xf numFmtId="166" fontId="35" fillId="2" borderId="13" xfId="0" applyNumberFormat="1" applyFont="1" applyFill="1" applyBorder="1" applyAlignment="1">
      <alignment horizontal="center" vertical="center" wrapText="1"/>
    </xf>
    <xf numFmtId="166" fontId="35" fillId="2" borderId="77" xfId="0" applyNumberFormat="1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35" fillId="2" borderId="29" xfId="0" applyFont="1" applyFill="1" applyBorder="1" applyAlignment="1">
      <alignment horizontal="left" vertical="center" indent="1"/>
    </xf>
    <xf numFmtId="166" fontId="35" fillId="2" borderId="40" xfId="0" applyNumberFormat="1" applyFont="1" applyFill="1" applyBorder="1" applyAlignment="1">
      <alignment horizontal="center" vertical="center" wrapText="1"/>
    </xf>
    <xf numFmtId="166" fontId="35" fillId="2" borderId="40" xfId="0" applyNumberFormat="1" applyFont="1" applyFill="1" applyBorder="1" applyAlignment="1">
      <alignment horizontal="center" vertical="center"/>
    </xf>
    <xf numFmtId="166" fontId="35" fillId="2" borderId="41" xfId="0" applyNumberFormat="1" applyFont="1" applyFill="1" applyBorder="1" applyAlignment="1">
      <alignment horizontal="center" vertical="center" wrapText="1"/>
    </xf>
    <xf numFmtId="166" fontId="23" fillId="2" borderId="1" xfId="0" applyNumberFormat="1" applyFont="1" applyFill="1" applyBorder="1" applyAlignment="1">
      <alignment horizontal="center" vertical="center"/>
    </xf>
    <xf numFmtId="166" fontId="24" fillId="4" borderId="40" xfId="0" applyNumberFormat="1" applyFont="1" applyFill="1" applyBorder="1" applyAlignment="1">
      <alignment horizontal="center" vertical="center"/>
    </xf>
    <xf numFmtId="166" fontId="24" fillId="4" borderId="28" xfId="0" applyNumberFormat="1" applyFont="1" applyFill="1" applyBorder="1" applyAlignment="1">
      <alignment horizontal="center" vertical="center"/>
    </xf>
    <xf numFmtId="166" fontId="23" fillId="4" borderId="28" xfId="0" applyNumberFormat="1" applyFont="1" applyFill="1" applyBorder="1" applyAlignment="1">
      <alignment horizontal="center" vertical="center"/>
    </xf>
    <xf numFmtId="166" fontId="24" fillId="4" borderId="47" xfId="0" applyNumberFormat="1" applyFont="1" applyFill="1" applyBorder="1" applyAlignment="1">
      <alignment horizontal="center" vertical="center"/>
    </xf>
    <xf numFmtId="10" fontId="24" fillId="4" borderId="40" xfId="1" applyNumberFormat="1" applyFont="1" applyFill="1" applyBorder="1" applyAlignment="1">
      <alignment horizontal="center" vertical="center"/>
    </xf>
    <xf numFmtId="165" fontId="24" fillId="4" borderId="1" xfId="0" applyNumberFormat="1" applyFont="1" applyFill="1" applyBorder="1" applyAlignment="1">
      <alignment horizontal="center" vertical="center"/>
    </xf>
    <xf numFmtId="0" fontId="24" fillId="2" borderId="50" xfId="0" applyFont="1" applyFill="1" applyBorder="1" applyAlignment="1">
      <alignment horizontal="center" vertical="center"/>
    </xf>
    <xf numFmtId="0" fontId="24" fillId="2" borderId="49" xfId="0" applyFont="1" applyFill="1" applyBorder="1" applyAlignment="1">
      <alignment horizontal="center" vertical="center"/>
    </xf>
    <xf numFmtId="0" fontId="11" fillId="2" borderId="79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11" fillId="2" borderId="80" xfId="0" applyFont="1" applyFill="1" applyBorder="1" applyAlignment="1">
      <alignment horizontal="left" vertical="center" indent="2"/>
    </xf>
    <xf numFmtId="0" fontId="11" fillId="2" borderId="82" xfId="0" applyFont="1" applyFill="1" applyBorder="1" applyAlignment="1">
      <alignment horizontal="left" vertical="center" indent="2"/>
    </xf>
    <xf numFmtId="14" fontId="10" fillId="2" borderId="4" xfId="0" applyNumberFormat="1" applyFont="1" applyFill="1" applyBorder="1" applyAlignment="1">
      <alignment horizontal="left" vertical="center" indent="2"/>
    </xf>
    <xf numFmtId="4" fontId="23" fillId="2" borderId="15" xfId="0" applyNumberFormat="1" applyFont="1" applyFill="1" applyBorder="1" applyAlignment="1">
      <alignment horizontal="left" vertical="center" wrapText="1" indent="3"/>
    </xf>
    <xf numFmtId="164" fontId="24" fillId="0" borderId="10" xfId="1" applyNumberFormat="1" applyFont="1" applyBorder="1" applyAlignment="1">
      <alignment horizontal="center" vertical="center"/>
    </xf>
    <xf numFmtId="0" fontId="23" fillId="2" borderId="12" xfId="0" applyFont="1" applyFill="1" applyBorder="1" applyAlignment="1">
      <alignment horizontal="left" vertical="center" indent="3"/>
    </xf>
    <xf numFmtId="0" fontId="45" fillId="2" borderId="29" xfId="0" applyFont="1" applyFill="1" applyBorder="1" applyAlignment="1">
      <alignment horizontal="left" vertical="center" indent="4"/>
    </xf>
    <xf numFmtId="164" fontId="45" fillId="2" borderId="40" xfId="1" applyNumberFormat="1" applyFont="1" applyFill="1" applyBorder="1" applyAlignment="1">
      <alignment horizontal="center" vertical="center"/>
    </xf>
    <xf numFmtId="164" fontId="45" fillId="4" borderId="40" xfId="1" applyNumberFormat="1" applyFont="1" applyFill="1" applyBorder="1" applyAlignment="1">
      <alignment horizontal="center" vertical="center"/>
    </xf>
    <xf numFmtId="9" fontId="24" fillId="2" borderId="10" xfId="0" applyNumberFormat="1" applyFont="1" applyFill="1" applyBorder="1" applyAlignment="1">
      <alignment horizontal="center" vertical="center"/>
    </xf>
    <xf numFmtId="9" fontId="24" fillId="4" borderId="10" xfId="0" applyNumberFormat="1" applyFont="1" applyFill="1" applyBorder="1" applyAlignment="1">
      <alignment horizontal="center" vertical="center"/>
    </xf>
    <xf numFmtId="9" fontId="24" fillId="2" borderId="28" xfId="0" applyNumberFormat="1" applyFont="1" applyFill="1" applyBorder="1" applyAlignment="1">
      <alignment horizontal="center" vertical="center"/>
    </xf>
    <xf numFmtId="164" fontId="45" fillId="2" borderId="10" xfId="1" applyNumberFormat="1" applyFont="1" applyFill="1" applyBorder="1" applyAlignment="1">
      <alignment horizontal="center" vertical="center"/>
    </xf>
    <xf numFmtId="0" fontId="45" fillId="2" borderId="18" xfId="0" applyFont="1" applyFill="1" applyBorder="1" applyAlignment="1">
      <alignment horizontal="left" vertical="center" indent="4"/>
    </xf>
    <xf numFmtId="9" fontId="23" fillId="2" borderId="10" xfId="0" applyNumberFormat="1" applyFont="1" applyFill="1" applyBorder="1" applyAlignment="1">
      <alignment horizontal="center" vertical="center"/>
    </xf>
    <xf numFmtId="9" fontId="23" fillId="4" borderId="10" xfId="0" applyNumberFormat="1" applyFont="1" applyFill="1" applyBorder="1" applyAlignment="1">
      <alignment horizontal="center" vertical="center"/>
    </xf>
    <xf numFmtId="169" fontId="23" fillId="4" borderId="10" xfId="1" applyNumberFormat="1" applyFont="1" applyFill="1" applyBorder="1" applyAlignment="1">
      <alignment horizontal="center" vertical="center"/>
    </xf>
    <xf numFmtId="167" fontId="23" fillId="2" borderId="28" xfId="0" applyNumberFormat="1" applyFont="1" applyFill="1" applyBorder="1" applyAlignment="1">
      <alignment horizontal="center" vertical="center"/>
    </xf>
    <xf numFmtId="10" fontId="45" fillId="2" borderId="10" xfId="1" applyNumberFormat="1" applyFont="1" applyFill="1" applyBorder="1" applyAlignment="1">
      <alignment horizontal="center" vertical="center"/>
    </xf>
    <xf numFmtId="164" fontId="45" fillId="4" borderId="10" xfId="1" applyNumberFormat="1" applyFont="1" applyFill="1" applyBorder="1" applyAlignment="1">
      <alignment horizontal="center" vertical="center"/>
    </xf>
    <xf numFmtId="164" fontId="45" fillId="4" borderId="28" xfId="1" applyNumberFormat="1" applyFont="1" applyFill="1" applyBorder="1" applyAlignment="1">
      <alignment horizontal="center" vertical="center"/>
    </xf>
    <xf numFmtId="0" fontId="45" fillId="2" borderId="16" xfId="0" applyFont="1" applyFill="1" applyBorder="1" applyAlignment="1">
      <alignment horizontal="left" vertical="center" indent="5"/>
    </xf>
    <xf numFmtId="165" fontId="24" fillId="4" borderId="2" xfId="0" applyNumberFormat="1" applyFont="1" applyFill="1" applyBorder="1" applyAlignment="1">
      <alignment horizontal="center" vertical="center"/>
    </xf>
    <xf numFmtId="166" fontId="24" fillId="4" borderId="55" xfId="0" applyNumberFormat="1" applyFont="1" applyFill="1" applyBorder="1" applyAlignment="1">
      <alignment horizontal="center" vertical="center"/>
    </xf>
    <xf numFmtId="165" fontId="24" fillId="4" borderId="0" xfId="0" applyNumberFormat="1" applyFont="1" applyFill="1" applyAlignment="1">
      <alignment horizontal="center" vertical="center"/>
    </xf>
    <xf numFmtId="165" fontId="24" fillId="4" borderId="55" xfId="0" applyNumberFormat="1" applyFont="1" applyFill="1" applyBorder="1" applyAlignment="1">
      <alignment horizontal="center" vertical="center"/>
    </xf>
    <xf numFmtId="165" fontId="24" fillId="4" borderId="24" xfId="0" applyNumberFormat="1" applyFont="1" applyFill="1" applyBorder="1" applyAlignment="1">
      <alignment horizontal="center" vertical="center"/>
    </xf>
    <xf numFmtId="166" fontId="13" fillId="2" borderId="60" xfId="0" applyNumberFormat="1" applyFont="1" applyFill="1" applyBorder="1" applyAlignment="1">
      <alignment horizontal="center" vertical="center"/>
    </xf>
    <xf numFmtId="0" fontId="13" fillId="2" borderId="72" xfId="0" applyFont="1" applyFill="1" applyBorder="1" applyAlignment="1">
      <alignment horizontal="left" vertical="center" indent="2"/>
    </xf>
    <xf numFmtId="166" fontId="13" fillId="2" borderId="61" xfId="0" applyNumberFormat="1" applyFont="1" applyFill="1" applyBorder="1" applyAlignment="1">
      <alignment horizontal="center" vertical="center"/>
    </xf>
    <xf numFmtId="0" fontId="35" fillId="2" borderId="12" xfId="0" applyFont="1" applyFill="1" applyBorder="1" applyAlignment="1">
      <alignment horizontal="left" vertical="center" indent="2"/>
    </xf>
    <xf numFmtId="9" fontId="35" fillId="2" borderId="26" xfId="1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left" vertical="center" indent="3"/>
    </xf>
    <xf numFmtId="0" fontId="35" fillId="2" borderId="12" xfId="0" applyFont="1" applyFill="1" applyBorder="1" applyAlignment="1">
      <alignment horizontal="left" vertical="center" indent="3"/>
    </xf>
    <xf numFmtId="0" fontId="35" fillId="2" borderId="12" xfId="0" applyFont="1" applyFill="1" applyBorder="1" applyAlignment="1">
      <alignment horizontal="left" vertical="center" indent="6"/>
    </xf>
    <xf numFmtId="0" fontId="35" fillId="2" borderId="12" xfId="0" applyFont="1" applyFill="1" applyBorder="1" applyAlignment="1">
      <alignment horizontal="left" vertical="center" wrapText="1" indent="6"/>
    </xf>
    <xf numFmtId="0" fontId="39" fillId="2" borderId="12" xfId="0" applyFont="1" applyFill="1" applyBorder="1" applyAlignment="1">
      <alignment horizontal="left" vertical="center" indent="3"/>
    </xf>
    <xf numFmtId="0" fontId="39" fillId="2" borderId="29" xfId="0" applyFont="1" applyFill="1" applyBorder="1" applyAlignment="1">
      <alignment horizontal="left" vertical="center" indent="3"/>
    </xf>
    <xf numFmtId="0" fontId="35" fillId="2" borderId="4" xfId="0" applyFont="1" applyFill="1" applyBorder="1" applyAlignment="1">
      <alignment horizontal="left" vertical="center" indent="2"/>
    </xf>
    <xf numFmtId="0" fontId="13" fillId="2" borderId="0" xfId="0" applyFont="1" applyFill="1" applyAlignment="1">
      <alignment horizontal="center" vertical="center"/>
    </xf>
    <xf numFmtId="3" fontId="13" fillId="2" borderId="83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3" fontId="13" fillId="2" borderId="57" xfId="0" applyNumberFormat="1" applyFont="1" applyFill="1" applyBorder="1" applyAlignment="1">
      <alignment horizontal="center" vertical="center"/>
    </xf>
    <xf numFmtId="0" fontId="13" fillId="2" borderId="72" xfId="0" applyFont="1" applyFill="1" applyBorder="1" applyAlignment="1">
      <alignment horizontal="left" vertical="center" indent="4"/>
    </xf>
    <xf numFmtId="0" fontId="13" fillId="2" borderId="4" xfId="0" applyFont="1" applyFill="1" applyBorder="1" applyAlignment="1">
      <alignment horizontal="left" vertical="center" indent="4"/>
    </xf>
    <xf numFmtId="3" fontId="13" fillId="2" borderId="24" xfId="0" applyNumberFormat="1" applyFont="1" applyFill="1" applyBorder="1" applyAlignment="1">
      <alignment horizontal="center" vertical="center"/>
    </xf>
    <xf numFmtId="3" fontId="13" fillId="2" borderId="0" xfId="0" applyNumberFormat="1" applyFont="1" applyFill="1" applyAlignment="1">
      <alignment horizontal="center" vertical="center"/>
    </xf>
    <xf numFmtId="0" fontId="24" fillId="2" borderId="84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9" fontId="23" fillId="2" borderId="84" xfId="1" applyFont="1" applyFill="1" applyBorder="1" applyAlignment="1">
      <alignment horizontal="center" vertical="center"/>
    </xf>
    <xf numFmtId="9" fontId="23" fillId="2" borderId="0" xfId="1" applyFont="1" applyFill="1" applyBorder="1" applyAlignment="1">
      <alignment horizontal="center" vertical="center"/>
    </xf>
    <xf numFmtId="9" fontId="23" fillId="2" borderId="5" xfId="1" applyFont="1" applyFill="1" applyBorder="1" applyAlignment="1">
      <alignment horizontal="center" vertical="center"/>
    </xf>
    <xf numFmtId="9" fontId="23" fillId="2" borderId="85" xfId="1" applyFont="1" applyFill="1" applyBorder="1" applyAlignment="1">
      <alignment horizontal="center" vertical="center"/>
    </xf>
    <xf numFmtId="9" fontId="23" fillId="2" borderId="81" xfId="1" applyFont="1" applyFill="1" applyBorder="1" applyAlignment="1">
      <alignment horizontal="center" vertical="center"/>
    </xf>
    <xf numFmtId="9" fontId="23" fillId="2" borderId="7" xfId="1" applyFont="1" applyFill="1" applyBorder="1" applyAlignment="1">
      <alignment horizontal="center" vertical="center"/>
    </xf>
    <xf numFmtId="9" fontId="19" fillId="3" borderId="0" xfId="1" applyFont="1" applyFill="1" applyAlignment="1">
      <alignment vertical="center"/>
    </xf>
    <xf numFmtId="166" fontId="23" fillId="2" borderId="77" xfId="0" applyNumberFormat="1" applyFont="1" applyFill="1" applyBorder="1" applyAlignment="1">
      <alignment horizontal="center" vertical="center"/>
    </xf>
    <xf numFmtId="166" fontId="23" fillId="2" borderId="74" xfId="0" applyNumberFormat="1" applyFont="1" applyFill="1" applyBorder="1" applyAlignment="1">
      <alignment horizontal="center" vertical="center"/>
    </xf>
    <xf numFmtId="166" fontId="23" fillId="2" borderId="86" xfId="0" applyNumberFormat="1" applyFont="1" applyFill="1" applyBorder="1" applyAlignment="1">
      <alignment horizontal="center" vertical="center"/>
    </xf>
    <xf numFmtId="164" fontId="19" fillId="3" borderId="0" xfId="1" applyNumberFormat="1" applyFont="1" applyFill="1" applyAlignment="1">
      <alignment vertical="center"/>
    </xf>
    <xf numFmtId="0" fontId="50" fillId="2" borderId="30" xfId="0" applyFont="1" applyFill="1" applyBorder="1" applyAlignment="1">
      <alignment horizontal="left" vertical="center" indent="2"/>
    </xf>
    <xf numFmtId="9" fontId="0" fillId="3" borderId="0" xfId="0" applyNumberFormat="1" applyFill="1" applyAlignment="1">
      <alignment vertical="center"/>
    </xf>
    <xf numFmtId="9" fontId="0" fillId="3" borderId="0" xfId="1" applyFont="1" applyFill="1" applyAlignment="1">
      <alignment horizontal="center" vertical="center"/>
    </xf>
    <xf numFmtId="169" fontId="23" fillId="2" borderId="10" xfId="0" applyNumberFormat="1" applyFont="1" applyFill="1" applyBorder="1" applyAlignment="1">
      <alignment horizontal="center" vertical="center"/>
    </xf>
    <xf numFmtId="0" fontId="50" fillId="2" borderId="12" xfId="0" applyFont="1" applyFill="1" applyBorder="1" applyAlignment="1">
      <alignment horizontal="left" vertical="center" indent="2"/>
    </xf>
    <xf numFmtId="0" fontId="50" fillId="2" borderId="12" xfId="0" applyFont="1" applyFill="1" applyBorder="1" applyAlignment="1">
      <alignment horizontal="left" vertical="center" indent="4"/>
    </xf>
    <xf numFmtId="166" fontId="50" fillId="2" borderId="10" xfId="0" applyNumberFormat="1" applyFont="1" applyFill="1" applyBorder="1" applyAlignment="1">
      <alignment horizontal="center" vertical="center"/>
    </xf>
    <xf numFmtId="164" fontId="50" fillId="2" borderId="10" xfId="0" applyNumberFormat="1" applyFont="1" applyFill="1" applyBorder="1" applyAlignment="1">
      <alignment horizontal="center" vertical="center"/>
    </xf>
    <xf numFmtId="164" fontId="50" fillId="4" borderId="10" xfId="0" applyNumberFormat="1" applyFont="1" applyFill="1" applyBorder="1" applyAlignment="1">
      <alignment horizontal="center" vertical="center"/>
    </xf>
    <xf numFmtId="164" fontId="50" fillId="4" borderId="28" xfId="0" applyNumberFormat="1" applyFont="1" applyFill="1" applyBorder="1" applyAlignment="1">
      <alignment horizontal="center" vertical="center"/>
    </xf>
    <xf numFmtId="9" fontId="50" fillId="2" borderId="10" xfId="0" applyNumberFormat="1" applyFont="1" applyFill="1" applyBorder="1" applyAlignment="1">
      <alignment horizontal="center" vertical="center"/>
    </xf>
    <xf numFmtId="9" fontId="50" fillId="4" borderId="10" xfId="0" applyNumberFormat="1" applyFont="1" applyFill="1" applyBorder="1" applyAlignment="1">
      <alignment horizontal="center" vertical="center"/>
    </xf>
    <xf numFmtId="165" fontId="24" fillId="4" borderId="86" xfId="0" applyNumberFormat="1" applyFont="1" applyFill="1" applyBorder="1" applyAlignment="1">
      <alignment horizontal="center" vertical="center"/>
    </xf>
    <xf numFmtId="166" fontId="51" fillId="2" borderId="10" xfId="0" applyNumberFormat="1" applyFont="1" applyFill="1" applyBorder="1" applyAlignment="1">
      <alignment horizontal="center" vertical="center"/>
    </xf>
    <xf numFmtId="166" fontId="51" fillId="4" borderId="10" xfId="0" applyNumberFormat="1" applyFont="1" applyFill="1" applyBorder="1" applyAlignment="1">
      <alignment horizontal="center" vertical="center"/>
    </xf>
    <xf numFmtId="166" fontId="51" fillId="4" borderId="63" xfId="0" applyNumberFormat="1" applyFont="1" applyFill="1" applyBorder="1" applyAlignment="1">
      <alignment horizontal="center" vertical="center"/>
    </xf>
    <xf numFmtId="167" fontId="51" fillId="2" borderId="10" xfId="0" applyNumberFormat="1" applyFont="1" applyFill="1" applyBorder="1" applyAlignment="1">
      <alignment horizontal="center" vertical="center"/>
    </xf>
    <xf numFmtId="167" fontId="51" fillId="4" borderId="10" xfId="0" applyNumberFormat="1" applyFont="1" applyFill="1" applyBorder="1" applyAlignment="1">
      <alignment horizontal="center" vertical="center"/>
    </xf>
    <xf numFmtId="167" fontId="51" fillId="4" borderId="28" xfId="0" applyNumberFormat="1" applyFont="1" applyFill="1" applyBorder="1" applyAlignment="1">
      <alignment horizontal="center" vertical="center"/>
    </xf>
    <xf numFmtId="164" fontId="50" fillId="2" borderId="40" xfId="0" applyNumberFormat="1" applyFont="1" applyFill="1" applyBorder="1" applyAlignment="1">
      <alignment horizontal="center" vertical="center"/>
    </xf>
    <xf numFmtId="164" fontId="50" fillId="4" borderId="40" xfId="0" applyNumberFormat="1" applyFont="1" applyFill="1" applyBorder="1" applyAlignment="1">
      <alignment horizontal="center" vertical="center"/>
    </xf>
    <xf numFmtId="164" fontId="50" fillId="4" borderId="47" xfId="0" applyNumberFormat="1" applyFont="1" applyFill="1" applyBorder="1" applyAlignment="1">
      <alignment horizontal="center" vertical="center"/>
    </xf>
    <xf numFmtId="0" fontId="50" fillId="2" borderId="12" xfId="0" applyFont="1" applyFill="1" applyBorder="1" applyAlignment="1">
      <alignment horizontal="left" vertical="center" indent="6"/>
    </xf>
    <xf numFmtId="0" fontId="50" fillId="2" borderId="29" xfId="0" applyFont="1" applyFill="1" applyBorder="1" applyAlignment="1">
      <alignment horizontal="left" vertical="center" indent="6"/>
    </xf>
    <xf numFmtId="164" fontId="50" fillId="4" borderId="10" xfId="1" applyNumberFormat="1" applyFont="1" applyFill="1" applyBorder="1" applyAlignment="1">
      <alignment horizontal="center" vertical="center"/>
    </xf>
    <xf numFmtId="0" fontId="51" fillId="2" borderId="12" xfId="0" applyFont="1" applyFill="1" applyBorder="1" applyAlignment="1">
      <alignment horizontal="left" vertical="center" indent="6"/>
    </xf>
    <xf numFmtId="0" fontId="10" fillId="2" borderId="8" xfId="0" applyFont="1" applyFill="1" applyBorder="1" applyAlignment="1">
      <alignment horizontal="left" vertical="center" indent="4"/>
    </xf>
    <xf numFmtId="0" fontId="10" fillId="2" borderId="30" xfId="0" applyFont="1" applyFill="1" applyBorder="1" applyAlignment="1">
      <alignment horizontal="left" vertical="center" indent="2"/>
    </xf>
    <xf numFmtId="0" fontId="52" fillId="2" borderId="0" xfId="0" applyFont="1" applyFill="1" applyAlignment="1">
      <alignment horizontal="left" vertical="center"/>
    </xf>
    <xf numFmtId="0" fontId="50" fillId="2" borderId="14" xfId="0" applyFont="1" applyFill="1" applyBorder="1" applyAlignment="1">
      <alignment horizontal="left" vertical="center" indent="2"/>
    </xf>
    <xf numFmtId="0" fontId="53" fillId="2" borderId="12" xfId="0" applyFont="1" applyFill="1" applyBorder="1" applyAlignment="1">
      <alignment horizontal="left" vertical="center" indent="4"/>
    </xf>
    <xf numFmtId="166" fontId="53" fillId="2" borderId="10" xfId="0" applyNumberFormat="1" applyFont="1" applyFill="1" applyBorder="1" applyAlignment="1">
      <alignment horizontal="center" vertical="center"/>
    </xf>
    <xf numFmtId="0" fontId="37" fillId="2" borderId="12" xfId="0" applyFont="1" applyFill="1" applyBorder="1" applyAlignment="1">
      <alignment horizontal="left" vertical="center" indent="7"/>
    </xf>
    <xf numFmtId="164" fontId="13" fillId="2" borderId="0" xfId="0" applyNumberFormat="1" applyFont="1" applyFill="1" applyAlignment="1">
      <alignment horizontal="center" vertical="center"/>
    </xf>
    <xf numFmtId="164" fontId="13" fillId="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35" fillId="2" borderId="87" xfId="0" applyFont="1" applyFill="1" applyBorder="1" applyAlignment="1">
      <alignment horizontal="left" vertical="center" indent="2"/>
    </xf>
    <xf numFmtId="9" fontId="35" fillId="2" borderId="0" xfId="1" applyFont="1" applyFill="1" applyBorder="1" applyAlignment="1">
      <alignment horizontal="center" vertical="center"/>
    </xf>
    <xf numFmtId="9" fontId="35" fillId="2" borderId="24" xfId="1" applyFont="1" applyFill="1" applyBorder="1" applyAlignment="1">
      <alignment horizontal="center" vertical="center"/>
    </xf>
    <xf numFmtId="9" fontId="35" fillId="2" borderId="81" xfId="1" applyFont="1" applyFill="1" applyBorder="1" applyAlignment="1">
      <alignment horizontal="center" vertical="center"/>
    </xf>
    <xf numFmtId="9" fontId="35" fillId="2" borderId="88" xfId="1" applyFont="1" applyFill="1" applyBorder="1" applyAlignment="1">
      <alignment horizontal="center" vertical="center"/>
    </xf>
    <xf numFmtId="169" fontId="35" fillId="2" borderId="0" xfId="0" applyNumberFormat="1" applyFont="1" applyFill="1" applyAlignment="1">
      <alignment horizontal="center" vertical="center"/>
    </xf>
    <xf numFmtId="169" fontId="35" fillId="2" borderId="24" xfId="0" applyNumberFormat="1" applyFont="1" applyFill="1" applyBorder="1" applyAlignment="1">
      <alignment horizontal="center" vertical="center"/>
    </xf>
    <xf numFmtId="169" fontId="35" fillId="2" borderId="81" xfId="0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2" fontId="35" fillId="2" borderId="0" xfId="1" applyNumberFormat="1" applyFont="1" applyFill="1" applyBorder="1" applyAlignment="1">
      <alignment horizontal="center" vertical="center"/>
    </xf>
    <xf numFmtId="2" fontId="35" fillId="2" borderId="5" xfId="1" applyNumberFormat="1" applyFont="1" applyFill="1" applyBorder="1" applyAlignment="1">
      <alignment horizontal="center" vertical="center"/>
    </xf>
    <xf numFmtId="169" fontId="35" fillId="2" borderId="0" xfId="1" applyNumberFormat="1" applyFont="1" applyFill="1" applyBorder="1" applyAlignment="1">
      <alignment horizontal="center" vertical="center"/>
    </xf>
    <xf numFmtId="169" fontId="35" fillId="2" borderId="5" xfId="1" applyNumberFormat="1" applyFont="1" applyFill="1" applyBorder="1" applyAlignment="1">
      <alignment horizontal="center" vertical="center"/>
    </xf>
    <xf numFmtId="2" fontId="35" fillId="2" borderId="81" xfId="1" applyNumberFormat="1" applyFont="1" applyFill="1" applyBorder="1" applyAlignment="1">
      <alignment horizontal="center" vertical="center"/>
    </xf>
    <xf numFmtId="2" fontId="35" fillId="2" borderId="89" xfId="1" applyNumberFormat="1" applyFont="1" applyFill="1" applyBorder="1" applyAlignment="1">
      <alignment horizontal="center" vertical="center"/>
    </xf>
    <xf numFmtId="166" fontId="34" fillId="2" borderId="90" xfId="0" applyNumberFormat="1" applyFont="1" applyFill="1" applyBorder="1" applyAlignment="1">
      <alignment horizontal="left" vertical="center" indent="2"/>
    </xf>
    <xf numFmtId="0" fontId="35" fillId="2" borderId="91" xfId="0" applyFont="1" applyFill="1" applyBorder="1" applyAlignment="1">
      <alignment horizontal="left" vertical="center" indent="2"/>
    </xf>
    <xf numFmtId="1" fontId="35" fillId="2" borderId="0" xfId="1" applyNumberFormat="1" applyFont="1" applyFill="1" applyBorder="1" applyAlignment="1">
      <alignment horizontal="center" vertical="center"/>
    </xf>
    <xf numFmtId="1" fontId="35" fillId="2" borderId="24" xfId="1" applyNumberFormat="1" applyFont="1" applyFill="1" applyBorder="1" applyAlignment="1">
      <alignment horizontal="center" vertical="center"/>
    </xf>
    <xf numFmtId="1" fontId="35" fillId="2" borderId="81" xfId="0" applyNumberFormat="1" applyFont="1" applyFill="1" applyBorder="1" applyAlignment="1">
      <alignment horizontal="center" vertical="center"/>
    </xf>
    <xf numFmtId="1" fontId="35" fillId="2" borderId="88" xfId="0" applyNumberFormat="1" applyFont="1" applyFill="1" applyBorder="1" applyAlignment="1">
      <alignment horizontal="center" vertical="center"/>
    </xf>
    <xf numFmtId="2" fontId="35" fillId="2" borderId="24" xfId="1" applyNumberFormat="1" applyFont="1" applyFill="1" applyBorder="1" applyAlignment="1">
      <alignment horizontal="center" vertical="center"/>
    </xf>
    <xf numFmtId="164" fontId="35" fillId="2" borderId="0" xfId="1" applyNumberFormat="1" applyFont="1" applyFill="1" applyBorder="1" applyAlignment="1">
      <alignment horizontal="center" vertical="center"/>
    </xf>
    <xf numFmtId="164" fontId="35" fillId="2" borderId="24" xfId="1" applyNumberFormat="1" applyFont="1" applyFill="1" applyBorder="1" applyAlignment="1">
      <alignment horizontal="center" vertical="center"/>
    </xf>
    <xf numFmtId="169" fontId="35" fillId="2" borderId="88" xfId="0" applyNumberFormat="1" applyFont="1" applyFill="1" applyBorder="1" applyAlignment="1">
      <alignment horizontal="center" vertical="center"/>
    </xf>
    <xf numFmtId="166" fontId="34" fillId="2" borderId="91" xfId="0" applyNumberFormat="1" applyFont="1" applyFill="1" applyBorder="1" applyAlignment="1">
      <alignment horizontal="left" vertical="center" indent="2"/>
    </xf>
    <xf numFmtId="0" fontId="54" fillId="2" borderId="18" xfId="0" applyFont="1" applyFill="1" applyBorder="1" applyAlignment="1">
      <alignment horizontal="left" vertical="center" indent="4"/>
    </xf>
    <xf numFmtId="9" fontId="54" fillId="2" borderId="10" xfId="1" applyFont="1" applyFill="1" applyBorder="1" applyAlignment="1">
      <alignment horizontal="center" vertical="center"/>
    </xf>
    <xf numFmtId="0" fontId="54" fillId="2" borderId="52" xfId="0" applyFont="1" applyFill="1" applyBorder="1" applyAlignment="1">
      <alignment horizontal="left" vertical="center" indent="4"/>
    </xf>
    <xf numFmtId="0" fontId="54" fillId="2" borderId="30" xfId="0" applyFont="1" applyFill="1" applyBorder="1" applyAlignment="1">
      <alignment horizontal="left" vertical="center" indent="4"/>
    </xf>
    <xf numFmtId="0" fontId="55" fillId="0" borderId="1" xfId="0" applyFont="1" applyBorder="1" applyAlignment="1">
      <alignment horizontal="left" vertical="center" indent="2"/>
    </xf>
    <xf numFmtId="8" fontId="18" fillId="2" borderId="0" xfId="0" applyNumberFormat="1" applyFont="1" applyFill="1" applyAlignment="1">
      <alignment horizontal="center" vertical="center"/>
    </xf>
    <xf numFmtId="10" fontId="10" fillId="2" borderId="6" xfId="0" applyNumberFormat="1" applyFont="1" applyFill="1" applyBorder="1" applyAlignment="1">
      <alignment horizontal="center" vertical="top"/>
    </xf>
    <xf numFmtId="0" fontId="10" fillId="2" borderId="16" xfId="0" applyFont="1" applyFill="1" applyBorder="1" applyAlignment="1">
      <alignment horizontal="left" vertical="center" indent="2"/>
    </xf>
    <xf numFmtId="10" fontId="24" fillId="2" borderId="33" xfId="0" applyNumberFormat="1" applyFont="1" applyFill="1" applyBorder="1" applyAlignment="1">
      <alignment horizontal="center" vertical="center"/>
    </xf>
    <xf numFmtId="164" fontId="23" fillId="2" borderId="0" xfId="1" applyNumberFormat="1" applyFont="1" applyFill="1" applyBorder="1" applyAlignment="1">
      <alignment horizontal="center" vertical="center"/>
    </xf>
    <xf numFmtId="164" fontId="23" fillId="2" borderId="81" xfId="1" applyNumberFormat="1" applyFont="1" applyFill="1" applyBorder="1" applyAlignment="1">
      <alignment horizontal="center" vertical="center"/>
    </xf>
    <xf numFmtId="166" fontId="23" fillId="4" borderId="1" xfId="0" applyNumberFormat="1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57" xfId="0" applyFont="1" applyFill="1" applyBorder="1" applyAlignment="1">
      <alignment horizontal="center" vertical="center"/>
    </xf>
    <xf numFmtId="3" fontId="24" fillId="4" borderId="10" xfId="0" applyNumberFormat="1" applyFont="1" applyFill="1" applyBorder="1" applyAlignment="1">
      <alignment horizontal="center" vertical="center"/>
    </xf>
    <xf numFmtId="3" fontId="24" fillId="4" borderId="28" xfId="0" applyNumberFormat="1" applyFont="1" applyFill="1" applyBorder="1" applyAlignment="1">
      <alignment horizontal="center" vertical="center"/>
    </xf>
    <xf numFmtId="9" fontId="23" fillId="4" borderId="28" xfId="0" applyNumberFormat="1" applyFont="1" applyFill="1" applyBorder="1" applyAlignment="1">
      <alignment horizontal="center" vertical="center"/>
    </xf>
    <xf numFmtId="164" fontId="23" fillId="4" borderId="10" xfId="0" applyNumberFormat="1" applyFont="1" applyFill="1" applyBorder="1" applyAlignment="1">
      <alignment horizontal="center" vertical="center"/>
    </xf>
    <xf numFmtId="164" fontId="23" fillId="4" borderId="10" xfId="1" applyNumberFormat="1" applyFont="1" applyFill="1" applyBorder="1" applyAlignment="1">
      <alignment horizontal="center" vertical="center"/>
    </xf>
    <xf numFmtId="166" fontId="23" fillId="4" borderId="65" xfId="0" applyNumberFormat="1" applyFont="1" applyFill="1" applyBorder="1" applyAlignment="1">
      <alignment horizontal="center" vertical="center"/>
    </xf>
    <xf numFmtId="166" fontId="23" fillId="4" borderId="11" xfId="0" applyNumberFormat="1" applyFont="1" applyFill="1" applyBorder="1" applyAlignment="1">
      <alignment horizontal="center" vertical="center"/>
    </xf>
    <xf numFmtId="10" fontId="23" fillId="4" borderId="10" xfId="1" applyNumberFormat="1" applyFont="1" applyFill="1" applyBorder="1" applyAlignment="1">
      <alignment horizontal="center" vertical="center"/>
    </xf>
    <xf numFmtId="10" fontId="23" fillId="4" borderId="28" xfId="1" applyNumberFormat="1" applyFont="1" applyFill="1" applyBorder="1" applyAlignment="1">
      <alignment horizontal="center" vertical="center"/>
    </xf>
    <xf numFmtId="166" fontId="23" fillId="4" borderId="40" xfId="0" applyNumberFormat="1" applyFont="1" applyFill="1" applyBorder="1" applyAlignment="1">
      <alignment horizontal="center" vertical="center"/>
    </xf>
    <xf numFmtId="166" fontId="23" fillId="4" borderId="47" xfId="0" applyNumberFormat="1" applyFont="1" applyFill="1" applyBorder="1" applyAlignment="1">
      <alignment horizontal="center" vertical="center"/>
    </xf>
    <xf numFmtId="3" fontId="35" fillId="2" borderId="1" xfId="0" applyNumberFormat="1" applyFont="1" applyFill="1" applyBorder="1" applyAlignment="1">
      <alignment horizontal="center" vertical="center"/>
    </xf>
    <xf numFmtId="0" fontId="35" fillId="2" borderId="72" xfId="0" applyFont="1" applyFill="1" applyBorder="1" applyAlignment="1">
      <alignment horizontal="left" vertical="center" indent="4"/>
    </xf>
    <xf numFmtId="3" fontId="35" fillId="2" borderId="68" xfId="0" applyNumberFormat="1" applyFont="1" applyFill="1" applyBorder="1" applyAlignment="1">
      <alignment horizontal="center" vertical="center"/>
    </xf>
    <xf numFmtId="166" fontId="13" fillId="2" borderId="92" xfId="0" applyNumberFormat="1" applyFont="1" applyFill="1" applyBorder="1" applyAlignment="1">
      <alignment horizontal="center" vertical="center"/>
    </xf>
    <xf numFmtId="166" fontId="13" fillId="2" borderId="62" xfId="0" applyNumberFormat="1" applyFont="1" applyFill="1" applyBorder="1" applyAlignment="1">
      <alignment horizontal="center" vertical="center"/>
    </xf>
    <xf numFmtId="9" fontId="35" fillId="2" borderId="62" xfId="1" applyFont="1" applyFill="1" applyBorder="1" applyAlignment="1">
      <alignment horizontal="center" vertical="center"/>
    </xf>
    <xf numFmtId="9" fontId="35" fillId="2" borderId="92" xfId="1" applyFont="1" applyFill="1" applyBorder="1" applyAlignment="1">
      <alignment horizontal="center" vertical="center"/>
    </xf>
    <xf numFmtId="166" fontId="13" fillId="2" borderId="28" xfId="0" applyNumberFormat="1" applyFont="1" applyFill="1" applyBorder="1" applyAlignment="1">
      <alignment horizontal="center" vertical="center"/>
    </xf>
    <xf numFmtId="9" fontId="35" fillId="2" borderId="55" xfId="1" applyFont="1" applyFill="1" applyBorder="1" applyAlignment="1">
      <alignment horizontal="center" vertical="center"/>
    </xf>
    <xf numFmtId="166" fontId="35" fillId="2" borderId="70" xfId="0" applyNumberFormat="1" applyFont="1" applyFill="1" applyBorder="1" applyAlignment="1">
      <alignment horizontal="center" vertical="center"/>
    </xf>
    <xf numFmtId="166" fontId="35" fillId="2" borderId="93" xfId="0" applyNumberFormat="1" applyFont="1" applyFill="1" applyBorder="1" applyAlignment="1">
      <alignment horizontal="center" vertical="center"/>
    </xf>
    <xf numFmtId="0" fontId="24" fillId="2" borderId="45" xfId="0" applyFont="1" applyFill="1" applyBorder="1" applyAlignment="1">
      <alignment horizontal="center" vertical="center"/>
    </xf>
    <xf numFmtId="0" fontId="24" fillId="2" borderId="78" xfId="0" applyFont="1" applyFill="1" applyBorder="1" applyAlignment="1">
      <alignment horizontal="center" vertical="center"/>
    </xf>
    <xf numFmtId="3" fontId="35" fillId="2" borderId="94" xfId="0" applyNumberFormat="1" applyFont="1" applyFill="1" applyBorder="1" applyAlignment="1">
      <alignment horizontal="center" vertical="center"/>
    </xf>
    <xf numFmtId="3" fontId="35" fillId="2" borderId="95" xfId="0" applyNumberFormat="1" applyFont="1" applyFill="1" applyBorder="1" applyAlignment="1">
      <alignment horizontal="center" vertical="center"/>
    </xf>
    <xf numFmtId="3" fontId="35" fillId="2" borderId="96" xfId="0" applyNumberFormat="1" applyFont="1" applyFill="1" applyBorder="1" applyAlignment="1">
      <alignment horizontal="center" vertical="center"/>
    </xf>
    <xf numFmtId="6" fontId="10" fillId="0" borderId="0" xfId="0" applyNumberFormat="1" applyFont="1" applyAlignment="1">
      <alignment vertical="center"/>
    </xf>
    <xf numFmtId="10" fontId="19" fillId="3" borderId="0" xfId="1" applyNumberFormat="1" applyFont="1" applyFill="1" applyAlignment="1">
      <alignment vertical="center"/>
    </xf>
    <xf numFmtId="0" fontId="57" fillId="2" borderId="0" xfId="0" applyFont="1" applyFill="1" applyAlignment="1">
      <alignment horizontal="right" vertical="center"/>
    </xf>
    <xf numFmtId="8" fontId="57" fillId="2" borderId="0" xfId="0" applyNumberFormat="1" applyFont="1" applyFill="1" applyAlignment="1">
      <alignment vertical="center"/>
    </xf>
    <xf numFmtId="10" fontId="57" fillId="2" borderId="81" xfId="0" applyNumberFormat="1" applyFont="1" applyFill="1" applyBorder="1" applyAlignment="1">
      <alignment vertical="center"/>
    </xf>
    <xf numFmtId="0" fontId="58" fillId="2" borderId="18" xfId="0" applyFont="1" applyFill="1" applyBorder="1" applyAlignment="1">
      <alignment horizontal="left" vertical="center" indent="2"/>
    </xf>
    <xf numFmtId="0" fontId="58" fillId="2" borderId="18" xfId="0" applyFont="1" applyFill="1" applyBorder="1" applyAlignment="1">
      <alignment horizontal="left" vertical="center" indent="6"/>
    </xf>
    <xf numFmtId="0" fontId="58" fillId="2" borderId="18" xfId="0" applyFont="1" applyFill="1" applyBorder="1" applyAlignment="1">
      <alignment horizontal="left" vertical="center" indent="8"/>
    </xf>
    <xf numFmtId="0" fontId="58" fillId="2" borderId="30" xfId="0" applyFont="1" applyFill="1" applyBorder="1" applyAlignment="1">
      <alignment horizontal="left" vertical="center" indent="2"/>
    </xf>
    <xf numFmtId="9" fontId="58" fillId="2" borderId="10" xfId="1" applyFont="1" applyFill="1" applyBorder="1" applyAlignment="1">
      <alignment horizontal="center" vertical="center"/>
    </xf>
    <xf numFmtId="9" fontId="58" fillId="4" borderId="10" xfId="1" applyFont="1" applyFill="1" applyBorder="1" applyAlignment="1">
      <alignment horizontal="center" vertical="center"/>
    </xf>
    <xf numFmtId="0" fontId="59" fillId="0" borderId="1" xfId="0" applyFont="1" applyBorder="1" applyAlignment="1">
      <alignment horizontal="left" vertical="center" indent="2"/>
    </xf>
    <xf numFmtId="168" fontId="10" fillId="2" borderId="28" xfId="0" applyNumberFormat="1" applyFont="1" applyFill="1" applyBorder="1" applyAlignment="1">
      <alignment horizontal="center" vertical="center"/>
    </xf>
    <xf numFmtId="0" fontId="20" fillId="3" borderId="58" xfId="0" applyFont="1" applyFill="1" applyBorder="1" applyAlignment="1">
      <alignment vertical="center"/>
    </xf>
    <xf numFmtId="0" fontId="56" fillId="0" borderId="0" xfId="0" applyFont="1" applyAlignment="1">
      <alignment vertical="center"/>
    </xf>
    <xf numFmtId="3" fontId="11" fillId="0" borderId="0" xfId="0" applyNumberFormat="1" applyFont="1" applyAlignment="1">
      <alignment vertical="center"/>
    </xf>
    <xf numFmtId="6" fontId="11" fillId="2" borderId="0" xfId="0" applyNumberFormat="1" applyFont="1" applyFill="1" applyAlignment="1">
      <alignment vertical="center"/>
    </xf>
    <xf numFmtId="3" fontId="19" fillId="3" borderId="0" xfId="0" applyNumberFormat="1" applyFont="1" applyFill="1" applyAlignment="1">
      <alignment vertical="center"/>
    </xf>
    <xf numFmtId="9" fontId="57" fillId="2" borderId="0" xfId="1" applyFont="1" applyFill="1" applyAlignment="1">
      <alignment vertical="center"/>
    </xf>
    <xf numFmtId="10" fontId="10" fillId="2" borderId="0" xfId="0" applyNumberFormat="1" applyFont="1" applyFill="1" applyAlignment="1">
      <alignment horizontal="center" vertical="top"/>
    </xf>
    <xf numFmtId="10" fontId="10" fillId="2" borderId="5" xfId="0" applyNumberFormat="1" applyFont="1" applyFill="1" applyBorder="1" applyAlignment="1">
      <alignment horizontal="center" vertical="top"/>
    </xf>
    <xf numFmtId="0" fontId="10" fillId="2" borderId="0" xfId="0" applyFont="1" applyFill="1" applyAlignment="1">
      <alignment horizontal="right" vertical="center" textRotation="90"/>
    </xf>
    <xf numFmtId="0" fontId="15" fillId="3" borderId="0" xfId="0" applyFont="1" applyFill="1" applyAlignment="1">
      <alignment horizontal="center" vertical="center" shrinkToFit="1"/>
    </xf>
    <xf numFmtId="0" fontId="15" fillId="3" borderId="2" xfId="0" applyFont="1" applyFill="1" applyBorder="1" applyAlignment="1">
      <alignment horizontal="center" vertical="center" shrinkToFit="1"/>
    </xf>
    <xf numFmtId="0" fontId="15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0" fillId="3" borderId="0" xfId="0" applyFont="1" applyFill="1" applyAlignment="1">
      <alignment horizontal="center" vertical="center"/>
    </xf>
    <xf numFmtId="0" fontId="15" fillId="3" borderId="58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BBB3A232-A848-4E54-92D4-C1B10D9B5DAC}"/>
    <cellStyle name="Porcentagem" xfId="1" builtinId="5"/>
  </cellStyles>
  <dxfs count="59">
    <dxf>
      <numFmt numFmtId="170" formatCode="\-"/>
    </dxf>
    <dxf>
      <numFmt numFmtId="170" formatCode="\-"/>
    </dxf>
    <dxf>
      <numFmt numFmtId="170" formatCode="\-"/>
    </dxf>
    <dxf>
      <numFmt numFmtId="170" formatCode="\-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0" formatCode="\-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0" formatCode="\-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0" formatCode="\-"/>
    </dxf>
    <dxf>
      <numFmt numFmtId="170" formatCode="\-"/>
    </dxf>
    <dxf>
      <numFmt numFmtId="170" formatCode="\-"/>
    </dxf>
    <dxf>
      <numFmt numFmtId="170" formatCode="\-"/>
    </dxf>
    <dxf>
      <numFmt numFmtId="170" formatCode="\-"/>
    </dxf>
    <dxf>
      <numFmt numFmtId="170" formatCode="\-"/>
    </dxf>
    <dxf>
      <numFmt numFmtId="170" formatCode="\-"/>
    </dxf>
    <dxf>
      <numFmt numFmtId="170" formatCode="\-"/>
    </dxf>
    <dxf>
      <numFmt numFmtId="170" formatCode="\-"/>
    </dxf>
    <dxf>
      <numFmt numFmtId="170" formatCode="\-"/>
    </dxf>
    <dxf>
      <numFmt numFmtId="170" formatCode="\-"/>
    </dxf>
    <dxf>
      <numFmt numFmtId="170" formatCode="\-"/>
    </dxf>
    <dxf>
      <numFmt numFmtId="170" formatCode="\-"/>
    </dxf>
    <dxf>
      <numFmt numFmtId="170" formatCode="\-"/>
    </dxf>
    <dxf>
      <numFmt numFmtId="170" formatCode="\-"/>
    </dxf>
    <dxf>
      <numFmt numFmtId="170" formatCode="\-"/>
    </dxf>
    <dxf>
      <numFmt numFmtId="170" formatCode="\-"/>
    </dxf>
    <dxf>
      <numFmt numFmtId="170" formatCode="\-"/>
    </dxf>
    <dxf>
      <numFmt numFmtId="170" formatCode="\-"/>
    </dxf>
    <dxf>
      <numFmt numFmtId="170" formatCode="\-"/>
    </dxf>
  </dxfs>
  <tableStyles count="0" defaultTableStyle="TableStyleMedium2" defaultPivotStyle="PivotStyleLight16"/>
  <colors>
    <mruColors>
      <color rgb="FF43AF43"/>
      <color rgb="FF59BF59"/>
      <color rgb="FFCEF6CE"/>
      <color rgb="FFF9FBFD"/>
      <color rgb="FFE5E7EB"/>
      <color rgb="FF00C556"/>
      <color rgb="FFD9FBE2"/>
      <color rgb="FF65FCA2"/>
      <color rgb="FF199144"/>
      <color rgb="FFB6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200024</xdr:rowOff>
    </xdr:from>
    <xdr:to>
      <xdr:col>19</xdr:col>
      <xdr:colOff>0</xdr:colOff>
      <xdr:row>7</xdr:row>
      <xdr:rowOff>285750</xdr:rowOff>
    </xdr:to>
    <xdr:sp macro="" textlink="">
      <xdr:nvSpPr>
        <xdr:cNvPr id="3" name="Retângulo: Cantos Superiores Arredondados 2">
          <a:extLst>
            <a:ext uri="{FF2B5EF4-FFF2-40B4-BE49-F238E27FC236}">
              <a16:creationId xmlns:a16="http://schemas.microsoft.com/office/drawing/2014/main" id="{093B55CA-88EF-40A7-A315-D3DC4BC82B17}"/>
            </a:ext>
          </a:extLst>
        </xdr:cNvPr>
        <xdr:cNvSpPr/>
      </xdr:nvSpPr>
      <xdr:spPr>
        <a:xfrm>
          <a:off x="4556760" y="1335404"/>
          <a:ext cx="12641580" cy="398146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SF Pro Display" panose="00000500000000000000" pitchFamily="2" charset="0"/>
            </a:rPr>
            <a:t>Dashboard</a:t>
          </a:r>
        </a:p>
      </xdr:txBody>
    </xdr:sp>
    <xdr:clientData/>
  </xdr:twoCellAnchor>
  <xdr:twoCellAnchor editAs="oneCell">
    <xdr:from>
      <xdr:col>0</xdr:col>
      <xdr:colOff>1101726</xdr:colOff>
      <xdr:row>0</xdr:row>
      <xdr:rowOff>159543</xdr:rowOff>
    </xdr:from>
    <xdr:to>
      <xdr:col>0</xdr:col>
      <xdr:colOff>1466288</xdr:colOff>
      <xdr:row>4</xdr:row>
      <xdr:rowOff>25400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BFEAF63-4B4F-E9A4-47A4-B05A8A81C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726" y="159543"/>
          <a:ext cx="364562" cy="6278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1080</xdr:colOff>
      <xdr:row>6</xdr:row>
      <xdr:rowOff>232228</xdr:rowOff>
    </xdr:from>
    <xdr:to>
      <xdr:col>18</xdr:col>
      <xdr:colOff>572</xdr:colOff>
      <xdr:row>7</xdr:row>
      <xdr:rowOff>375484</xdr:rowOff>
    </xdr:to>
    <xdr:sp macro="" textlink="">
      <xdr:nvSpPr>
        <xdr:cNvPr id="3" name="Retângulo: Cantos Superiores Arredondados 2">
          <a:extLst>
            <a:ext uri="{FF2B5EF4-FFF2-40B4-BE49-F238E27FC236}">
              <a16:creationId xmlns:a16="http://schemas.microsoft.com/office/drawing/2014/main" id="{CCB08C39-1CD1-476E-BE37-8BF10498996C}"/>
            </a:ext>
          </a:extLst>
        </xdr:cNvPr>
        <xdr:cNvSpPr/>
      </xdr:nvSpPr>
      <xdr:spPr>
        <a:xfrm>
          <a:off x="5081080" y="1514928"/>
          <a:ext cx="15709392" cy="448056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SF Pro Display" panose="00000500000000000000" pitchFamily="2" charset="0"/>
            </a:rPr>
            <a:t>Índices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SF Pro Display" panose="00000500000000000000" pitchFamily="2" charset="0"/>
            </a:rPr>
            <a:t> de Liquidez</a:t>
          </a:r>
          <a:endParaRPr lang="pt-BR" sz="1100" b="0">
            <a:solidFill>
              <a:schemeClr val="tx1">
                <a:lumMod val="75000"/>
                <a:lumOff val="25000"/>
              </a:schemeClr>
            </a:solidFill>
            <a:latin typeface="+mn-lt"/>
            <a:ea typeface="SF Pro Display" panose="00000500000000000000" pitchFamily="2" charset="0"/>
          </a:endParaRPr>
        </a:p>
      </xdr:txBody>
    </xdr:sp>
    <xdr:clientData/>
  </xdr:twoCellAnchor>
  <xdr:twoCellAnchor>
    <xdr:from>
      <xdr:col>4</xdr:col>
      <xdr:colOff>4479</xdr:colOff>
      <xdr:row>14</xdr:row>
      <xdr:rowOff>348344</xdr:rowOff>
    </xdr:from>
    <xdr:to>
      <xdr:col>18</xdr:col>
      <xdr:colOff>3971</xdr:colOff>
      <xdr:row>16</xdr:row>
      <xdr:rowOff>34400</xdr:rowOff>
    </xdr:to>
    <xdr:sp macro="" textlink="">
      <xdr:nvSpPr>
        <xdr:cNvPr id="4" name="Retângulo: Cantos Superiores Arredondados 2">
          <a:extLst>
            <a:ext uri="{FF2B5EF4-FFF2-40B4-BE49-F238E27FC236}">
              <a16:creationId xmlns:a16="http://schemas.microsoft.com/office/drawing/2014/main" id="{BE2BFF81-9BF3-4E0E-A92F-BB61BE834C73}"/>
            </a:ext>
          </a:extLst>
        </xdr:cNvPr>
        <xdr:cNvSpPr/>
      </xdr:nvSpPr>
      <xdr:spPr>
        <a:xfrm>
          <a:off x="5084479" y="4463144"/>
          <a:ext cx="15709392" cy="448056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SF Pro Display" panose="00000500000000000000" pitchFamily="2" charset="0"/>
            </a:rPr>
            <a:t>Índices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SF Pro Display" panose="00000500000000000000" pitchFamily="2" charset="0"/>
            </a:rPr>
            <a:t> de Rentabilidade</a:t>
          </a:r>
          <a:endParaRPr lang="pt-BR" sz="1100" b="0">
            <a:solidFill>
              <a:schemeClr val="tx1">
                <a:lumMod val="75000"/>
                <a:lumOff val="25000"/>
              </a:schemeClr>
            </a:solidFill>
            <a:latin typeface="+mn-lt"/>
            <a:ea typeface="SF Pro Display" panose="00000500000000000000" pitchFamily="2" charset="0"/>
          </a:endParaRPr>
        </a:p>
      </xdr:txBody>
    </xdr:sp>
    <xdr:clientData/>
  </xdr:twoCellAnchor>
  <xdr:twoCellAnchor>
    <xdr:from>
      <xdr:col>4</xdr:col>
      <xdr:colOff>1813</xdr:colOff>
      <xdr:row>21</xdr:row>
      <xdr:rowOff>315686</xdr:rowOff>
    </xdr:from>
    <xdr:to>
      <xdr:col>18</xdr:col>
      <xdr:colOff>1305</xdr:colOff>
      <xdr:row>23</xdr:row>
      <xdr:rowOff>1742</xdr:rowOff>
    </xdr:to>
    <xdr:sp macro="" textlink="">
      <xdr:nvSpPr>
        <xdr:cNvPr id="5" name="Retângulo: Cantos Superiores Arredondados 2">
          <a:extLst>
            <a:ext uri="{FF2B5EF4-FFF2-40B4-BE49-F238E27FC236}">
              <a16:creationId xmlns:a16="http://schemas.microsoft.com/office/drawing/2014/main" id="{1A569881-E71D-4D2D-9CD4-362FDC4BE5E3}"/>
            </a:ext>
          </a:extLst>
        </xdr:cNvPr>
        <xdr:cNvSpPr/>
      </xdr:nvSpPr>
      <xdr:spPr>
        <a:xfrm>
          <a:off x="5081813" y="7097486"/>
          <a:ext cx="15709392" cy="448056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SF Pro Display" panose="00000500000000000000" pitchFamily="2" charset="0"/>
            </a:rPr>
            <a:t>Índices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SF Pro Display" panose="00000500000000000000" pitchFamily="2" charset="0"/>
            </a:rPr>
            <a:t> de Endividamento</a:t>
          </a:r>
          <a:endParaRPr lang="pt-BR" sz="1100" b="0">
            <a:solidFill>
              <a:schemeClr val="tx1">
                <a:lumMod val="75000"/>
                <a:lumOff val="25000"/>
              </a:schemeClr>
            </a:solidFill>
            <a:latin typeface="+mn-lt"/>
            <a:ea typeface="SF Pro Display" panose="00000500000000000000" pitchFamily="2" charset="0"/>
          </a:endParaRPr>
        </a:p>
      </xdr:txBody>
    </xdr:sp>
    <xdr:clientData/>
  </xdr:twoCellAnchor>
  <xdr:twoCellAnchor>
    <xdr:from>
      <xdr:col>4</xdr:col>
      <xdr:colOff>5842</xdr:colOff>
      <xdr:row>30</xdr:row>
      <xdr:rowOff>315686</xdr:rowOff>
    </xdr:from>
    <xdr:to>
      <xdr:col>18</xdr:col>
      <xdr:colOff>2794</xdr:colOff>
      <xdr:row>32</xdr:row>
      <xdr:rowOff>1742</xdr:rowOff>
    </xdr:to>
    <xdr:sp macro="" textlink="">
      <xdr:nvSpPr>
        <xdr:cNvPr id="6" name="Retângulo: Cantos Superiores Arredondados 2">
          <a:extLst>
            <a:ext uri="{FF2B5EF4-FFF2-40B4-BE49-F238E27FC236}">
              <a16:creationId xmlns:a16="http://schemas.microsoft.com/office/drawing/2014/main" id="{22936758-CDA8-4C50-A7E4-94E51213C65A}"/>
            </a:ext>
          </a:extLst>
        </xdr:cNvPr>
        <xdr:cNvSpPr/>
      </xdr:nvSpPr>
      <xdr:spPr>
        <a:xfrm>
          <a:off x="5085842" y="10526486"/>
          <a:ext cx="15389352" cy="448056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SF Pro Display" panose="00000500000000000000" pitchFamily="2" charset="0"/>
            </a:rPr>
            <a:t>Índices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SF Pro Display" panose="00000500000000000000" pitchFamily="2" charset="0"/>
            </a:rPr>
            <a:t> de Capital de Giro</a:t>
          </a:r>
          <a:endParaRPr lang="pt-BR" sz="1100" b="0">
            <a:solidFill>
              <a:schemeClr val="tx1">
                <a:lumMod val="75000"/>
                <a:lumOff val="25000"/>
              </a:schemeClr>
            </a:solidFill>
            <a:latin typeface="+mn-lt"/>
            <a:ea typeface="SF Pro Display" panose="00000500000000000000" pitchFamily="2" charset="0"/>
          </a:endParaRPr>
        </a:p>
      </xdr:txBody>
    </xdr:sp>
    <xdr:clientData/>
  </xdr:twoCellAnchor>
  <xdr:twoCellAnchor>
    <xdr:from>
      <xdr:col>4</xdr:col>
      <xdr:colOff>1760</xdr:colOff>
      <xdr:row>38</xdr:row>
      <xdr:rowOff>345622</xdr:rowOff>
    </xdr:from>
    <xdr:to>
      <xdr:col>18</xdr:col>
      <xdr:colOff>1252</xdr:colOff>
      <xdr:row>40</xdr:row>
      <xdr:rowOff>31678</xdr:rowOff>
    </xdr:to>
    <xdr:sp macro="" textlink="">
      <xdr:nvSpPr>
        <xdr:cNvPr id="7" name="Retângulo: Cantos Superiores Arredondados 2">
          <a:extLst>
            <a:ext uri="{FF2B5EF4-FFF2-40B4-BE49-F238E27FC236}">
              <a16:creationId xmlns:a16="http://schemas.microsoft.com/office/drawing/2014/main" id="{9ECD8D47-8C08-4549-ADF9-5973E9619187}"/>
            </a:ext>
          </a:extLst>
        </xdr:cNvPr>
        <xdr:cNvSpPr/>
      </xdr:nvSpPr>
      <xdr:spPr>
        <a:xfrm>
          <a:off x="5081760" y="13604422"/>
          <a:ext cx="15709392" cy="448056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SF Pro Display" panose="00000500000000000000" pitchFamily="2" charset="0"/>
            </a:rPr>
            <a:t>Índices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SF Pro Display" panose="00000500000000000000" pitchFamily="2" charset="0"/>
            </a:rPr>
            <a:t> de Dividendos</a:t>
          </a:r>
          <a:endParaRPr lang="pt-BR" sz="1100" b="0">
            <a:solidFill>
              <a:schemeClr val="tx1">
                <a:lumMod val="75000"/>
                <a:lumOff val="25000"/>
              </a:schemeClr>
            </a:solidFill>
            <a:latin typeface="+mn-lt"/>
            <a:ea typeface="SF Pro Display" panose="00000500000000000000" pitchFamily="2" charset="0"/>
          </a:endParaRPr>
        </a:p>
      </xdr:txBody>
    </xdr:sp>
    <xdr:clientData/>
  </xdr:twoCellAnchor>
  <xdr:twoCellAnchor editAs="oneCell">
    <xdr:from>
      <xdr:col>0</xdr:col>
      <xdr:colOff>1066800</xdr:colOff>
      <xdr:row>1</xdr:row>
      <xdr:rowOff>19050</xdr:rowOff>
    </xdr:from>
    <xdr:to>
      <xdr:col>0</xdr:col>
      <xdr:colOff>1431362</xdr:colOff>
      <xdr:row>4</xdr:row>
      <xdr:rowOff>75407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854CDA-5B90-4C56-9406-66FAE1710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209550"/>
          <a:ext cx="364562" cy="62785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2383</xdr:colOff>
      <xdr:row>7</xdr:row>
      <xdr:rowOff>-1</xdr:rowOff>
    </xdr:from>
    <xdr:to>
      <xdr:col>9</xdr:col>
      <xdr:colOff>0</xdr:colOff>
      <xdr:row>7</xdr:row>
      <xdr:rowOff>366714</xdr:rowOff>
    </xdr:to>
    <xdr:sp macro="" textlink="">
      <xdr:nvSpPr>
        <xdr:cNvPr id="3" name="Retângulo: Cantos Superiores Arredondados 6">
          <a:extLst>
            <a:ext uri="{FF2B5EF4-FFF2-40B4-BE49-F238E27FC236}">
              <a16:creationId xmlns:a16="http://schemas.microsoft.com/office/drawing/2014/main" id="{F0EDB108-5C3F-4CC3-A007-71BF52FFCDD1}"/>
            </a:ext>
          </a:extLst>
        </xdr:cNvPr>
        <xdr:cNvSpPr/>
      </xdr:nvSpPr>
      <xdr:spPr>
        <a:xfrm>
          <a:off x="4441033" y="1457324"/>
          <a:ext cx="11513342" cy="366715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SF Pro Display" panose="00000500000000000000" pitchFamily="2" charset="0"/>
            </a:rPr>
            <a:t>Valor dos Processos ao fim de 2021</a:t>
          </a:r>
        </a:p>
      </xdr:txBody>
    </xdr:sp>
    <xdr:clientData/>
  </xdr:twoCellAnchor>
  <xdr:twoCellAnchor>
    <xdr:from>
      <xdr:col>3</xdr:col>
      <xdr:colOff>685800</xdr:colOff>
      <xdr:row>15</xdr:row>
      <xdr:rowOff>235323</xdr:rowOff>
    </xdr:from>
    <xdr:to>
      <xdr:col>9</xdr:col>
      <xdr:colOff>0</xdr:colOff>
      <xdr:row>17</xdr:row>
      <xdr:rowOff>4764</xdr:rowOff>
    </xdr:to>
    <xdr:sp macro="" textlink="">
      <xdr:nvSpPr>
        <xdr:cNvPr id="4" name="Retângulo: Cantos Superiores Arredondados 7">
          <a:extLst>
            <a:ext uri="{FF2B5EF4-FFF2-40B4-BE49-F238E27FC236}">
              <a16:creationId xmlns:a16="http://schemas.microsoft.com/office/drawing/2014/main" id="{32D9AAAF-C68E-4647-A5CC-CC747702FC86}"/>
            </a:ext>
          </a:extLst>
        </xdr:cNvPr>
        <xdr:cNvSpPr/>
      </xdr:nvSpPr>
      <xdr:spPr>
        <a:xfrm>
          <a:off x="5067300" y="4731123"/>
          <a:ext cx="13169900" cy="531441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SF Pro Display" panose="00000500000000000000" pitchFamily="2" charset="0"/>
            </a:rPr>
            <a:t>Processos Relevantes (FRE)</a:t>
          </a:r>
        </a:p>
      </xdr:txBody>
    </xdr:sp>
    <xdr:clientData/>
  </xdr:twoCellAnchor>
  <xdr:twoCellAnchor editAs="oneCell">
    <xdr:from>
      <xdr:col>0</xdr:col>
      <xdr:colOff>1066800</xdr:colOff>
      <xdr:row>0</xdr:row>
      <xdr:rowOff>180975</xdr:rowOff>
    </xdr:from>
    <xdr:to>
      <xdr:col>0</xdr:col>
      <xdr:colOff>1431362</xdr:colOff>
      <xdr:row>4</xdr:row>
      <xdr:rowOff>46832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5B9FBD3-9703-4D47-AF0B-59BA1B3C8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180975"/>
          <a:ext cx="364562" cy="627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582707</xdr:colOff>
      <xdr:row>6</xdr:row>
      <xdr:rowOff>291213</xdr:rowOff>
    </xdr:from>
    <xdr:to>
      <xdr:col>16</xdr:col>
      <xdr:colOff>1</xdr:colOff>
      <xdr:row>7</xdr:row>
      <xdr:rowOff>377740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C35A2864-14B4-4F50-8823-65609FFAF0A8}"/>
            </a:ext>
          </a:extLst>
        </xdr:cNvPr>
        <xdr:cNvSpPr/>
      </xdr:nvSpPr>
      <xdr:spPr>
        <a:xfrm>
          <a:off x="4403913" y="1434213"/>
          <a:ext cx="11956676" cy="400292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SF Pro Display" panose="00000500000000000000" pitchFamily="2" charset="0"/>
            </a:rPr>
            <a:t>WACC</a:t>
          </a:r>
        </a:p>
      </xdr:txBody>
    </xdr:sp>
    <xdr:clientData/>
  </xdr:twoCellAnchor>
  <xdr:twoCellAnchor editAs="oneCell">
    <xdr:from>
      <xdr:col>0</xdr:col>
      <xdr:colOff>1064559</xdr:colOff>
      <xdr:row>1</xdr:row>
      <xdr:rowOff>44824</xdr:rowOff>
    </xdr:from>
    <xdr:to>
      <xdr:col>0</xdr:col>
      <xdr:colOff>1429121</xdr:colOff>
      <xdr:row>4</xdr:row>
      <xdr:rowOff>101181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19F4DE-44AC-463D-B9AD-6EFA7B45C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559" y="235324"/>
          <a:ext cx="364562" cy="627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278604</xdr:rowOff>
    </xdr:from>
    <xdr:to>
      <xdr:col>31</xdr:col>
      <xdr:colOff>0</xdr:colOff>
      <xdr:row>7</xdr:row>
      <xdr:rowOff>364330</xdr:rowOff>
    </xdr:to>
    <xdr:sp macro="" textlink="">
      <xdr:nvSpPr>
        <xdr:cNvPr id="3" name="Retângulo: Cantos Superiores Arredondados 2">
          <a:extLst>
            <a:ext uri="{FF2B5EF4-FFF2-40B4-BE49-F238E27FC236}">
              <a16:creationId xmlns:a16="http://schemas.microsoft.com/office/drawing/2014/main" id="{90E4D2A0-D5F5-4BAE-B8B3-EEB5F6029D29}"/>
            </a:ext>
          </a:extLst>
        </xdr:cNvPr>
        <xdr:cNvSpPr/>
      </xdr:nvSpPr>
      <xdr:spPr>
        <a:xfrm>
          <a:off x="4426324" y="1567280"/>
          <a:ext cx="29583529" cy="399491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DRE </a:t>
          </a:r>
        </a:p>
      </xdr:txBody>
    </xdr:sp>
    <xdr:clientData/>
  </xdr:twoCellAnchor>
  <xdr:twoCellAnchor>
    <xdr:from>
      <xdr:col>4</xdr:col>
      <xdr:colOff>-1</xdr:colOff>
      <xdr:row>38</xdr:row>
      <xdr:rowOff>0</xdr:rowOff>
    </xdr:from>
    <xdr:to>
      <xdr:col>34</xdr:col>
      <xdr:colOff>-1</xdr:colOff>
      <xdr:row>39</xdr:row>
      <xdr:rowOff>9526</xdr:rowOff>
    </xdr:to>
    <xdr:sp macro="" textlink="">
      <xdr:nvSpPr>
        <xdr:cNvPr id="13" name="Retângulo: Cantos Superiores Arredondados 12">
          <a:extLst>
            <a:ext uri="{FF2B5EF4-FFF2-40B4-BE49-F238E27FC236}">
              <a16:creationId xmlns:a16="http://schemas.microsoft.com/office/drawing/2014/main" id="{19337F9B-976B-4D63-9962-1651A03DA33E}"/>
            </a:ext>
          </a:extLst>
        </xdr:cNvPr>
        <xdr:cNvSpPr/>
      </xdr:nvSpPr>
      <xdr:spPr>
        <a:xfrm>
          <a:off x="4449535" y="12645118"/>
          <a:ext cx="27132643" cy="400051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DCF</a:t>
          </a:r>
        </a:p>
      </xdr:txBody>
    </xdr:sp>
    <xdr:clientData/>
  </xdr:twoCellAnchor>
  <xdr:twoCellAnchor editAs="oneCell">
    <xdr:from>
      <xdr:col>0</xdr:col>
      <xdr:colOff>1057275</xdr:colOff>
      <xdr:row>1</xdr:row>
      <xdr:rowOff>104775</xdr:rowOff>
    </xdr:from>
    <xdr:to>
      <xdr:col>0</xdr:col>
      <xdr:colOff>1421837</xdr:colOff>
      <xdr:row>4</xdr:row>
      <xdr:rowOff>161132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383EAEB-0ABC-4D7D-81C2-E5720565F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295275"/>
          <a:ext cx="364562" cy="627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218967</xdr:rowOff>
    </xdr:from>
    <xdr:to>
      <xdr:col>19</xdr:col>
      <xdr:colOff>13607</xdr:colOff>
      <xdr:row>7</xdr:row>
      <xdr:rowOff>331484</xdr:rowOff>
    </xdr:to>
    <xdr:sp macro="" textlink="">
      <xdr:nvSpPr>
        <xdr:cNvPr id="3" name="Retângulo: Cantos Superiores Arredondados 2">
          <a:extLst>
            <a:ext uri="{FF2B5EF4-FFF2-40B4-BE49-F238E27FC236}">
              <a16:creationId xmlns:a16="http://schemas.microsoft.com/office/drawing/2014/main" id="{8DB40D26-F4F2-499F-BACB-9D87AB0164BE}"/>
            </a:ext>
          </a:extLst>
        </xdr:cNvPr>
        <xdr:cNvSpPr/>
      </xdr:nvSpPr>
      <xdr:spPr>
        <a:xfrm>
          <a:off x="4449536" y="1511646"/>
          <a:ext cx="17770928" cy="425481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Despesas com Vendas</a:t>
          </a:r>
        </a:p>
      </xdr:txBody>
    </xdr:sp>
    <xdr:clientData/>
  </xdr:twoCellAnchor>
  <xdr:twoCellAnchor>
    <xdr:from>
      <xdr:col>4</xdr:col>
      <xdr:colOff>4104</xdr:colOff>
      <xdr:row>23</xdr:row>
      <xdr:rowOff>250029</xdr:rowOff>
    </xdr:from>
    <xdr:to>
      <xdr:col>19</xdr:col>
      <xdr:colOff>13607</xdr:colOff>
      <xdr:row>24</xdr:row>
      <xdr:rowOff>335755</xdr:rowOff>
    </xdr:to>
    <xdr:sp macro="" textlink="">
      <xdr:nvSpPr>
        <xdr:cNvPr id="4" name="Retângulo: Cantos Superiores Arredondados 3">
          <a:extLst>
            <a:ext uri="{FF2B5EF4-FFF2-40B4-BE49-F238E27FC236}">
              <a16:creationId xmlns:a16="http://schemas.microsoft.com/office/drawing/2014/main" id="{98DA7096-C4AE-4EBA-A0B7-4644C1DA337D}"/>
            </a:ext>
          </a:extLst>
        </xdr:cNvPr>
        <xdr:cNvSpPr/>
      </xdr:nvSpPr>
      <xdr:spPr>
        <a:xfrm>
          <a:off x="4453640" y="7951672"/>
          <a:ext cx="17766824" cy="466726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Despesas Gerais e Administrativas</a:t>
          </a:r>
          <a:endParaRPr lang="pt-BR" sz="1100" b="0">
            <a:solidFill>
              <a:schemeClr val="tx1">
                <a:lumMod val="75000"/>
                <a:lumOff val="25000"/>
              </a:schemeClr>
            </a:solidFill>
            <a:latin typeface="+mj-lt"/>
            <a:ea typeface="SF Pro Display" panose="00000500000000000000" pitchFamily="2" charset="0"/>
          </a:endParaRPr>
        </a:p>
      </xdr:txBody>
    </xdr:sp>
    <xdr:clientData/>
  </xdr:twoCellAnchor>
  <xdr:twoCellAnchor>
    <xdr:from>
      <xdr:col>4</xdr:col>
      <xdr:colOff>5062</xdr:colOff>
      <xdr:row>37</xdr:row>
      <xdr:rowOff>309558</xdr:rowOff>
    </xdr:from>
    <xdr:to>
      <xdr:col>19</xdr:col>
      <xdr:colOff>13505</xdr:colOff>
      <xdr:row>39</xdr:row>
      <xdr:rowOff>9240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F2AE435C-505A-4EBC-9B48-2E2C0F4F005D}"/>
            </a:ext>
          </a:extLst>
        </xdr:cNvPr>
        <xdr:cNvSpPr/>
      </xdr:nvSpPr>
      <xdr:spPr>
        <a:xfrm>
          <a:off x="4454598" y="13345201"/>
          <a:ext cx="17765764" cy="461682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Outras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 Despesas (Receitas) Operacionais</a:t>
          </a:r>
        </a:p>
      </xdr:txBody>
    </xdr:sp>
    <xdr:clientData/>
  </xdr:twoCellAnchor>
  <xdr:twoCellAnchor>
    <xdr:from>
      <xdr:col>4</xdr:col>
      <xdr:colOff>4102</xdr:colOff>
      <xdr:row>54</xdr:row>
      <xdr:rowOff>295949</xdr:rowOff>
    </xdr:from>
    <xdr:to>
      <xdr:col>18</xdr:col>
      <xdr:colOff>842100</xdr:colOff>
      <xdr:row>56</xdr:row>
      <xdr:rowOff>675</xdr:rowOff>
    </xdr:to>
    <xdr:sp macro="" textlink="">
      <xdr:nvSpPr>
        <xdr:cNvPr id="6" name="Retângulo: Cantos Superiores Arredondados 5">
          <a:extLst>
            <a:ext uri="{FF2B5EF4-FFF2-40B4-BE49-F238E27FC236}">
              <a16:creationId xmlns:a16="http://schemas.microsoft.com/office/drawing/2014/main" id="{FB43E334-8FB0-48F9-9A4F-828140954D55}"/>
            </a:ext>
          </a:extLst>
        </xdr:cNvPr>
        <xdr:cNvSpPr/>
      </xdr:nvSpPr>
      <xdr:spPr>
        <a:xfrm>
          <a:off x="4453638" y="19808592"/>
          <a:ext cx="17738069" cy="466726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EBIT</a:t>
          </a:r>
        </a:p>
      </xdr:txBody>
    </xdr:sp>
    <xdr:clientData/>
  </xdr:twoCellAnchor>
  <xdr:twoCellAnchor>
    <xdr:from>
      <xdr:col>4</xdr:col>
      <xdr:colOff>2099</xdr:colOff>
      <xdr:row>63</xdr:row>
      <xdr:rowOff>238125</xdr:rowOff>
    </xdr:from>
    <xdr:to>
      <xdr:col>19</xdr:col>
      <xdr:colOff>10884</xdr:colOff>
      <xdr:row>64</xdr:row>
      <xdr:rowOff>323851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39109F7B-7114-4273-910D-18AC021F7B9D}"/>
            </a:ext>
          </a:extLst>
        </xdr:cNvPr>
        <xdr:cNvSpPr/>
      </xdr:nvSpPr>
      <xdr:spPr>
        <a:xfrm>
          <a:off x="4541442" y="23196096"/>
          <a:ext cx="17393271" cy="466726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Receitas Financeiras</a:t>
          </a:r>
        </a:p>
      </xdr:txBody>
    </xdr:sp>
    <xdr:clientData/>
  </xdr:twoCellAnchor>
  <xdr:twoCellAnchor>
    <xdr:from>
      <xdr:col>4</xdr:col>
      <xdr:colOff>0</xdr:colOff>
      <xdr:row>75</xdr:row>
      <xdr:rowOff>285747</xdr:rowOff>
    </xdr:from>
    <xdr:to>
      <xdr:col>19</xdr:col>
      <xdr:colOff>14016</xdr:colOff>
      <xdr:row>76</xdr:row>
      <xdr:rowOff>371473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A34782F4-EFCD-4F2B-9B87-5E7FF3026A08}"/>
            </a:ext>
          </a:extLst>
        </xdr:cNvPr>
        <xdr:cNvSpPr/>
      </xdr:nvSpPr>
      <xdr:spPr>
        <a:xfrm>
          <a:off x="4449536" y="27799390"/>
          <a:ext cx="17771337" cy="466726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Despesas Financeiras</a:t>
          </a:r>
        </a:p>
      </xdr:txBody>
    </xdr:sp>
    <xdr:clientData/>
  </xdr:twoCellAnchor>
  <xdr:twoCellAnchor>
    <xdr:from>
      <xdr:col>4</xdr:col>
      <xdr:colOff>401</xdr:colOff>
      <xdr:row>95</xdr:row>
      <xdr:rowOff>262640</xdr:rowOff>
    </xdr:from>
    <xdr:to>
      <xdr:col>18</xdr:col>
      <xdr:colOff>856694</xdr:colOff>
      <xdr:row>96</xdr:row>
      <xdr:rowOff>348366</xdr:rowOff>
    </xdr:to>
    <xdr:sp macro="" textlink="">
      <xdr:nvSpPr>
        <xdr:cNvPr id="9" name="Retângulo: Cantos Superiores Arredondados 8">
          <a:extLst>
            <a:ext uri="{FF2B5EF4-FFF2-40B4-BE49-F238E27FC236}">
              <a16:creationId xmlns:a16="http://schemas.microsoft.com/office/drawing/2014/main" id="{C1680D0C-10F3-41C9-B192-2ED247275769}"/>
            </a:ext>
          </a:extLst>
        </xdr:cNvPr>
        <xdr:cNvSpPr/>
      </xdr:nvSpPr>
      <xdr:spPr>
        <a:xfrm>
          <a:off x="4449937" y="35396283"/>
          <a:ext cx="17756364" cy="466726"/>
        </a:xfrm>
        <a:prstGeom prst="round2SameRect">
          <a:avLst>
            <a:gd name="adj1" fmla="val 37075"/>
            <a:gd name="adj2" fmla="val 0"/>
          </a:avLst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Imposto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 de Renda (R$ Mil)</a:t>
          </a:r>
          <a:endParaRPr lang="pt-BR" sz="1100" b="0">
            <a:solidFill>
              <a:schemeClr val="tx1">
                <a:lumMod val="75000"/>
                <a:lumOff val="25000"/>
              </a:schemeClr>
            </a:solidFill>
            <a:latin typeface="+mj-lt"/>
            <a:ea typeface="SF Pro Display" panose="00000500000000000000" pitchFamily="2" charset="0"/>
          </a:endParaRPr>
        </a:p>
      </xdr:txBody>
    </xdr:sp>
    <xdr:clientData/>
  </xdr:twoCellAnchor>
  <xdr:twoCellAnchor>
    <xdr:from>
      <xdr:col>4</xdr:col>
      <xdr:colOff>3202</xdr:colOff>
      <xdr:row>88</xdr:row>
      <xdr:rowOff>313768</xdr:rowOff>
    </xdr:from>
    <xdr:to>
      <xdr:col>19</xdr:col>
      <xdr:colOff>13598</xdr:colOff>
      <xdr:row>90</xdr:row>
      <xdr:rowOff>18494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9EF8BE7B-793E-4C7D-9C2A-A4918954AF75}"/>
            </a:ext>
          </a:extLst>
        </xdr:cNvPr>
        <xdr:cNvSpPr/>
      </xdr:nvSpPr>
      <xdr:spPr>
        <a:xfrm>
          <a:off x="4452738" y="32780411"/>
          <a:ext cx="17767717" cy="466726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Lucro antes do IR</a:t>
          </a:r>
        </a:p>
      </xdr:txBody>
    </xdr:sp>
    <xdr:clientData/>
  </xdr:twoCellAnchor>
  <xdr:twoCellAnchor editAs="oneCell">
    <xdr:from>
      <xdr:col>0</xdr:col>
      <xdr:colOff>1083880</xdr:colOff>
      <xdr:row>1</xdr:row>
      <xdr:rowOff>57478</xdr:rowOff>
    </xdr:from>
    <xdr:to>
      <xdr:col>0</xdr:col>
      <xdr:colOff>1448442</xdr:colOff>
      <xdr:row>4</xdr:row>
      <xdr:rowOff>118762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19FB71-33AA-4AD0-9982-A3F168754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880" y="246336"/>
          <a:ext cx="364562" cy="627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3188</xdr:colOff>
      <xdr:row>6</xdr:row>
      <xdr:rowOff>281947</xdr:rowOff>
    </xdr:from>
    <xdr:to>
      <xdr:col>18</xdr:col>
      <xdr:colOff>704850</xdr:colOff>
      <xdr:row>7</xdr:row>
      <xdr:rowOff>365813</xdr:rowOff>
    </xdr:to>
    <xdr:sp macro="" textlink="">
      <xdr:nvSpPr>
        <xdr:cNvPr id="3" name="Retângulo: Cantos Superiores Arredondados 2">
          <a:extLst>
            <a:ext uri="{FF2B5EF4-FFF2-40B4-BE49-F238E27FC236}">
              <a16:creationId xmlns:a16="http://schemas.microsoft.com/office/drawing/2014/main" id="{A78EC1CD-E330-4840-BD2C-D75225B4F73E}"/>
            </a:ext>
          </a:extLst>
        </xdr:cNvPr>
        <xdr:cNvSpPr/>
      </xdr:nvSpPr>
      <xdr:spPr>
        <a:xfrm>
          <a:off x="3956063" y="1567822"/>
          <a:ext cx="14741512" cy="398191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Balanço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 Patrimonial</a:t>
          </a:r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 </a:t>
          </a:r>
        </a:p>
      </xdr:txBody>
    </xdr:sp>
    <xdr:clientData/>
  </xdr:twoCellAnchor>
  <xdr:twoCellAnchor editAs="oneCell">
    <xdr:from>
      <xdr:col>0</xdr:col>
      <xdr:colOff>838200</xdr:colOff>
      <xdr:row>1</xdr:row>
      <xdr:rowOff>104775</xdr:rowOff>
    </xdr:from>
    <xdr:to>
      <xdr:col>0</xdr:col>
      <xdr:colOff>1202762</xdr:colOff>
      <xdr:row>4</xdr:row>
      <xdr:rowOff>18257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D9D0A63-98C5-4F71-AE6D-B61998C55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295275"/>
          <a:ext cx="364562" cy="627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</xdr:colOff>
      <xdr:row>20</xdr:row>
      <xdr:rowOff>152399</xdr:rowOff>
    </xdr:from>
    <xdr:to>
      <xdr:col>34</xdr:col>
      <xdr:colOff>0</xdr:colOff>
      <xdr:row>21</xdr:row>
      <xdr:rowOff>304800</xdr:rowOff>
    </xdr:to>
    <xdr:sp macro="" textlink="">
      <xdr:nvSpPr>
        <xdr:cNvPr id="3" name="Retângulo: Cantos Superiores Arredondados 2">
          <a:extLst>
            <a:ext uri="{FF2B5EF4-FFF2-40B4-BE49-F238E27FC236}">
              <a16:creationId xmlns:a16="http://schemas.microsoft.com/office/drawing/2014/main" id="{1F30BB1A-0E94-4D69-91A0-C8CD3A8151EB}"/>
            </a:ext>
          </a:extLst>
        </xdr:cNvPr>
        <xdr:cNvSpPr/>
      </xdr:nvSpPr>
      <xdr:spPr>
        <a:xfrm>
          <a:off x="4430039" y="5998368"/>
          <a:ext cx="35586867" cy="533401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Projeção por m² 100% maduro - Lojas Renner</a:t>
          </a:r>
        </a:p>
      </xdr:txBody>
    </xdr:sp>
    <xdr:clientData/>
  </xdr:twoCellAnchor>
  <xdr:twoCellAnchor>
    <xdr:from>
      <xdr:col>4</xdr:col>
      <xdr:colOff>0</xdr:colOff>
      <xdr:row>6</xdr:row>
      <xdr:rowOff>219074</xdr:rowOff>
    </xdr:from>
    <xdr:to>
      <xdr:col>34</xdr:col>
      <xdr:colOff>0</xdr:colOff>
      <xdr:row>7</xdr:row>
      <xdr:rowOff>304800</xdr:rowOff>
    </xdr:to>
    <xdr:sp macro="" textlink="">
      <xdr:nvSpPr>
        <xdr:cNvPr id="15" name="Retângulo: Cantos Superiores Arredondados 14">
          <a:extLst>
            <a:ext uri="{FF2B5EF4-FFF2-40B4-BE49-F238E27FC236}">
              <a16:creationId xmlns:a16="http://schemas.microsoft.com/office/drawing/2014/main" id="{67EF255F-66E2-43F8-A360-BC965C7D53F0}"/>
            </a:ext>
          </a:extLst>
        </xdr:cNvPr>
        <xdr:cNvSpPr/>
      </xdr:nvSpPr>
      <xdr:spPr>
        <a:xfrm>
          <a:off x="4433455" y="1500619"/>
          <a:ext cx="40212818" cy="466726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Receita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 Líquida </a:t>
          </a:r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Total</a:t>
          </a:r>
        </a:p>
      </xdr:txBody>
    </xdr:sp>
    <xdr:clientData/>
  </xdr:twoCellAnchor>
  <xdr:twoCellAnchor>
    <xdr:from>
      <xdr:col>4</xdr:col>
      <xdr:colOff>0</xdr:colOff>
      <xdr:row>15</xdr:row>
      <xdr:rowOff>311240</xdr:rowOff>
    </xdr:from>
    <xdr:to>
      <xdr:col>9</xdr:col>
      <xdr:colOff>0</xdr:colOff>
      <xdr:row>17</xdr:row>
      <xdr:rowOff>17718</xdr:rowOff>
    </xdr:to>
    <xdr:sp macro="" textlink="">
      <xdr:nvSpPr>
        <xdr:cNvPr id="13" name="Retângulo: Cantos Superiores Arredondados 12">
          <a:extLst>
            <a:ext uri="{FF2B5EF4-FFF2-40B4-BE49-F238E27FC236}">
              <a16:creationId xmlns:a16="http://schemas.microsoft.com/office/drawing/2014/main" id="{1EE85E47-F8DA-4035-93D9-FBAF59A82C6A}"/>
            </a:ext>
          </a:extLst>
        </xdr:cNvPr>
        <xdr:cNvSpPr/>
      </xdr:nvSpPr>
      <xdr:spPr>
        <a:xfrm>
          <a:off x="4429125" y="5026115"/>
          <a:ext cx="6560344" cy="468478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Maturação das Lojas</a:t>
          </a:r>
        </a:p>
      </xdr:txBody>
    </xdr:sp>
    <xdr:clientData/>
  </xdr:twoCellAnchor>
  <xdr:twoCellAnchor>
    <xdr:from>
      <xdr:col>4</xdr:col>
      <xdr:colOff>3054</xdr:colOff>
      <xdr:row>78</xdr:row>
      <xdr:rowOff>267777</xdr:rowOff>
    </xdr:from>
    <xdr:to>
      <xdr:col>31</xdr:col>
      <xdr:colOff>1</xdr:colOff>
      <xdr:row>79</xdr:row>
      <xdr:rowOff>353503</xdr:rowOff>
    </xdr:to>
    <xdr:sp macro="" textlink="">
      <xdr:nvSpPr>
        <xdr:cNvPr id="27" name="Retângulo: Cantos Superiores Arredondados 26">
          <a:extLst>
            <a:ext uri="{FF2B5EF4-FFF2-40B4-BE49-F238E27FC236}">
              <a16:creationId xmlns:a16="http://schemas.microsoft.com/office/drawing/2014/main" id="{83BCB6AF-6841-46BC-B55D-76765F55A0B3}"/>
            </a:ext>
          </a:extLst>
        </xdr:cNvPr>
        <xdr:cNvSpPr/>
      </xdr:nvSpPr>
      <xdr:spPr>
        <a:xfrm>
          <a:off x="5072199" y="29130427"/>
          <a:ext cx="30585494" cy="465640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Análise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 Vertical - Receita Líquida</a:t>
          </a:r>
          <a:endParaRPr lang="pt-BR" sz="1100" b="0">
            <a:solidFill>
              <a:schemeClr val="tx1">
                <a:lumMod val="75000"/>
                <a:lumOff val="25000"/>
              </a:schemeClr>
            </a:solidFill>
            <a:latin typeface="+mj-lt"/>
            <a:ea typeface="SF Pro Display" panose="00000500000000000000" pitchFamily="2" charset="0"/>
          </a:endParaRPr>
        </a:p>
      </xdr:txBody>
    </xdr:sp>
    <xdr:clientData/>
  </xdr:twoCellAnchor>
  <xdr:twoCellAnchor>
    <xdr:from>
      <xdr:col>4</xdr:col>
      <xdr:colOff>914</xdr:colOff>
      <xdr:row>37</xdr:row>
      <xdr:rowOff>152399</xdr:rowOff>
    </xdr:from>
    <xdr:to>
      <xdr:col>34</xdr:col>
      <xdr:colOff>0</xdr:colOff>
      <xdr:row>38</xdr:row>
      <xdr:rowOff>304800</xdr:rowOff>
    </xdr:to>
    <xdr:sp macro="" textlink="">
      <xdr:nvSpPr>
        <xdr:cNvPr id="6" name="Retângulo: Cantos Superiores Arredondados 5">
          <a:extLst>
            <a:ext uri="{FF2B5EF4-FFF2-40B4-BE49-F238E27FC236}">
              <a16:creationId xmlns:a16="http://schemas.microsoft.com/office/drawing/2014/main" id="{E3F80BD3-5EB8-4E25-BC6A-2FE8439CAF16}"/>
            </a:ext>
          </a:extLst>
        </xdr:cNvPr>
        <xdr:cNvSpPr/>
      </xdr:nvSpPr>
      <xdr:spPr>
        <a:xfrm>
          <a:off x="4450450" y="12494078"/>
          <a:ext cx="37391514" cy="533401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Projeção por m² 100% maduro - Camicado</a:t>
          </a:r>
        </a:p>
      </xdr:txBody>
    </xdr:sp>
    <xdr:clientData/>
  </xdr:twoCellAnchor>
  <xdr:twoCellAnchor>
    <xdr:from>
      <xdr:col>4</xdr:col>
      <xdr:colOff>914</xdr:colOff>
      <xdr:row>54</xdr:row>
      <xdr:rowOff>152399</xdr:rowOff>
    </xdr:from>
    <xdr:to>
      <xdr:col>34</xdr:col>
      <xdr:colOff>0</xdr:colOff>
      <xdr:row>55</xdr:row>
      <xdr:rowOff>304800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F27EF25C-5C52-4BB6-A388-16982D6362C4}"/>
            </a:ext>
          </a:extLst>
        </xdr:cNvPr>
        <xdr:cNvSpPr/>
      </xdr:nvSpPr>
      <xdr:spPr>
        <a:xfrm>
          <a:off x="4430039" y="18964274"/>
          <a:ext cx="38372930" cy="533401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Projeção por m² 100% maduro - Youcom</a:t>
          </a:r>
        </a:p>
      </xdr:txBody>
    </xdr:sp>
    <xdr:clientData/>
  </xdr:twoCellAnchor>
  <xdr:twoCellAnchor>
    <xdr:from>
      <xdr:col>4</xdr:col>
      <xdr:colOff>3053</xdr:colOff>
      <xdr:row>70</xdr:row>
      <xdr:rowOff>258228</xdr:rowOff>
    </xdr:from>
    <xdr:to>
      <xdr:col>31</xdr:col>
      <xdr:colOff>10855</xdr:colOff>
      <xdr:row>71</xdr:row>
      <xdr:rowOff>345078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2CA2061C-B8AF-481D-8930-873FF8CA72E9}"/>
            </a:ext>
          </a:extLst>
        </xdr:cNvPr>
        <xdr:cNvSpPr/>
      </xdr:nvSpPr>
      <xdr:spPr>
        <a:xfrm>
          <a:off x="5072198" y="26081561"/>
          <a:ext cx="30596349" cy="466765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Projeção - Incentivos Fiscais</a:t>
          </a:r>
        </a:p>
      </xdr:txBody>
    </xdr:sp>
    <xdr:clientData/>
  </xdr:twoCellAnchor>
  <xdr:twoCellAnchor editAs="oneCell">
    <xdr:from>
      <xdr:col>0</xdr:col>
      <xdr:colOff>1085850</xdr:colOff>
      <xdr:row>1</xdr:row>
      <xdr:rowOff>0</xdr:rowOff>
    </xdr:from>
    <xdr:to>
      <xdr:col>0</xdr:col>
      <xdr:colOff>1450412</xdr:colOff>
      <xdr:row>3</xdr:row>
      <xdr:rowOff>246857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549CB8D-6345-4B69-A094-D583CC8F8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190500"/>
          <a:ext cx="364562" cy="627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6163</xdr:rowOff>
    </xdr:from>
    <xdr:to>
      <xdr:col>18</xdr:col>
      <xdr:colOff>0</xdr:colOff>
      <xdr:row>8</xdr:row>
      <xdr:rowOff>24654</xdr:rowOff>
    </xdr:to>
    <xdr:sp macro="" textlink="">
      <xdr:nvSpPr>
        <xdr:cNvPr id="3" name="Retângulo: Cantos Superiores Arredondados 2">
          <a:extLst>
            <a:ext uri="{FF2B5EF4-FFF2-40B4-BE49-F238E27FC236}">
              <a16:creationId xmlns:a16="http://schemas.microsoft.com/office/drawing/2014/main" id="{9DFC155E-A92C-43DB-AB49-C17833930CE0}"/>
            </a:ext>
          </a:extLst>
        </xdr:cNvPr>
        <xdr:cNvSpPr/>
      </xdr:nvSpPr>
      <xdr:spPr>
        <a:xfrm>
          <a:off x="4429125" y="1411101"/>
          <a:ext cx="27455812" cy="399491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Lojas</a:t>
          </a:r>
        </a:p>
      </xdr:txBody>
    </xdr:sp>
    <xdr:clientData/>
  </xdr:twoCellAnchor>
  <xdr:twoCellAnchor editAs="oneCell">
    <xdr:from>
      <xdr:col>0</xdr:col>
      <xdr:colOff>1057275</xdr:colOff>
      <xdr:row>1</xdr:row>
      <xdr:rowOff>19050</xdr:rowOff>
    </xdr:from>
    <xdr:to>
      <xdr:col>0</xdr:col>
      <xdr:colOff>1421837</xdr:colOff>
      <xdr:row>3</xdr:row>
      <xdr:rowOff>265907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C2B14D-3882-4F1F-BB28-D06B1ECF8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209550"/>
          <a:ext cx="364562" cy="6278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2100</xdr:colOff>
      <xdr:row>6</xdr:row>
      <xdr:rowOff>308722</xdr:rowOff>
    </xdr:from>
    <xdr:to>
      <xdr:col>31</xdr:col>
      <xdr:colOff>11206</xdr:colOff>
      <xdr:row>8</xdr:row>
      <xdr:rowOff>13448</xdr:rowOff>
    </xdr:to>
    <xdr:sp macro="" textlink="">
      <xdr:nvSpPr>
        <xdr:cNvPr id="3" name="Retângulo: Cantos Superiores Arredondados 2">
          <a:extLst>
            <a:ext uri="{FF2B5EF4-FFF2-40B4-BE49-F238E27FC236}">
              <a16:creationId xmlns:a16="http://schemas.microsoft.com/office/drawing/2014/main" id="{58095C4F-C73C-4FF3-934C-F651B4326ED4}"/>
            </a:ext>
          </a:extLst>
        </xdr:cNvPr>
        <xdr:cNvSpPr/>
      </xdr:nvSpPr>
      <xdr:spPr>
        <a:xfrm>
          <a:off x="4428424" y="1451722"/>
          <a:ext cx="29312488" cy="399491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SF Pro Display" panose="00000500000000000000" pitchFamily="2" charset="0"/>
            </a:rPr>
            <a:t>Outras contas e dados usados no modelo</a:t>
          </a:r>
        </a:p>
      </xdr:txBody>
    </xdr:sp>
    <xdr:clientData/>
  </xdr:twoCellAnchor>
  <xdr:twoCellAnchor editAs="oneCell">
    <xdr:from>
      <xdr:col>0</xdr:col>
      <xdr:colOff>1069316</xdr:colOff>
      <xdr:row>1</xdr:row>
      <xdr:rowOff>26957</xdr:rowOff>
    </xdr:from>
    <xdr:to>
      <xdr:col>0</xdr:col>
      <xdr:colOff>1427693</xdr:colOff>
      <xdr:row>4</xdr:row>
      <xdr:rowOff>88706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EFCFFE5-DAAA-4BD9-A817-7EF56C05A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316" y="215660"/>
          <a:ext cx="364562" cy="62785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</xdr:colOff>
      <xdr:row>7</xdr:row>
      <xdr:rowOff>333777</xdr:rowOff>
    </xdr:from>
    <xdr:to>
      <xdr:col>9</xdr:col>
      <xdr:colOff>0</xdr:colOff>
      <xdr:row>8</xdr:row>
      <xdr:rowOff>346509</xdr:rowOff>
    </xdr:to>
    <xdr:sp macro="" textlink="">
      <xdr:nvSpPr>
        <xdr:cNvPr id="4" name="Retângulo: Cantos Superiores Arredondados 2">
          <a:extLst>
            <a:ext uri="{FF2B5EF4-FFF2-40B4-BE49-F238E27FC236}">
              <a16:creationId xmlns:a16="http://schemas.microsoft.com/office/drawing/2014/main" id="{A8619A25-C976-4741-A27D-996842C491BC}"/>
            </a:ext>
          </a:extLst>
        </xdr:cNvPr>
        <xdr:cNvSpPr/>
      </xdr:nvSpPr>
      <xdr:spPr>
        <a:xfrm>
          <a:off x="5080002" y="5222715"/>
          <a:ext cx="7125485" cy="394856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SF Pro Display" panose="00000500000000000000" pitchFamily="2" charset="0"/>
              <a:cs typeface="+mn-cs"/>
            </a:rPr>
            <a:t>Receita Líquida por Trimestre</a:t>
          </a:r>
        </a:p>
      </xdr:txBody>
    </xdr:sp>
    <xdr:clientData/>
  </xdr:twoCellAnchor>
  <xdr:twoCellAnchor>
    <xdr:from>
      <xdr:col>10</xdr:col>
      <xdr:colOff>4085</xdr:colOff>
      <xdr:row>7</xdr:row>
      <xdr:rowOff>325135</xdr:rowOff>
    </xdr:from>
    <xdr:to>
      <xdr:col>15</xdr:col>
      <xdr:colOff>11206</xdr:colOff>
      <xdr:row>8</xdr:row>
      <xdr:rowOff>336203</xdr:rowOff>
    </xdr:to>
    <xdr:sp macro="" textlink="">
      <xdr:nvSpPr>
        <xdr:cNvPr id="5" name="Retângulo: Cantos Superiores Arredondados 2">
          <a:extLst>
            <a:ext uri="{FF2B5EF4-FFF2-40B4-BE49-F238E27FC236}">
              <a16:creationId xmlns:a16="http://schemas.microsoft.com/office/drawing/2014/main" id="{F196EC02-1EA8-4955-BC32-538A082FF9EC}"/>
            </a:ext>
          </a:extLst>
        </xdr:cNvPr>
        <xdr:cNvSpPr/>
      </xdr:nvSpPr>
      <xdr:spPr>
        <a:xfrm>
          <a:off x="13266032" y="5214073"/>
          <a:ext cx="6278448" cy="393192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SF Pro Display" panose="00000500000000000000" pitchFamily="2" charset="0"/>
              <a:cs typeface="+mn-cs"/>
            </a:rPr>
            <a:t>Sazonalidade da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SF Pro Display" panose="00000500000000000000" pitchFamily="2" charset="0"/>
              <a:cs typeface="+mn-cs"/>
            </a:rPr>
            <a:t> Receita</a:t>
          </a:r>
          <a:endParaRPr lang="pt-BR" sz="1100" b="0">
            <a:solidFill>
              <a:schemeClr val="tx1">
                <a:lumMod val="75000"/>
                <a:lumOff val="25000"/>
              </a:schemeClr>
            </a:solidFill>
            <a:latin typeface="+mn-lt"/>
            <a:ea typeface="SF Pro Display" panose="00000500000000000000" pitchFamily="2" charset="0"/>
            <a:cs typeface="+mn-cs"/>
          </a:endParaRPr>
        </a:p>
      </xdr:txBody>
    </xdr:sp>
    <xdr:clientData/>
  </xdr:twoCellAnchor>
  <xdr:twoCellAnchor>
    <xdr:from>
      <xdr:col>4</xdr:col>
      <xdr:colOff>2</xdr:colOff>
      <xdr:row>67</xdr:row>
      <xdr:rowOff>324971</xdr:rowOff>
    </xdr:from>
    <xdr:to>
      <xdr:col>9</xdr:col>
      <xdr:colOff>0</xdr:colOff>
      <xdr:row>68</xdr:row>
      <xdr:rowOff>336039</xdr:rowOff>
    </xdr:to>
    <xdr:sp macro="" textlink="">
      <xdr:nvSpPr>
        <xdr:cNvPr id="6" name="Retângulo: Cantos Superiores Arredondados 2">
          <a:extLst>
            <a:ext uri="{FF2B5EF4-FFF2-40B4-BE49-F238E27FC236}">
              <a16:creationId xmlns:a16="http://schemas.microsoft.com/office/drawing/2014/main" id="{9BB3ED0E-D745-483B-9646-8E377C3616CB}"/>
            </a:ext>
          </a:extLst>
        </xdr:cNvPr>
        <xdr:cNvSpPr/>
      </xdr:nvSpPr>
      <xdr:spPr>
        <a:xfrm>
          <a:off x="5080002" y="26612847"/>
          <a:ext cx="7125485" cy="393192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SF Pro Display" panose="00000500000000000000" pitchFamily="2" charset="0"/>
              <a:cs typeface="+mn-cs"/>
            </a:rPr>
            <a:t>EBIT por Trimestre</a:t>
          </a:r>
        </a:p>
      </xdr:txBody>
    </xdr:sp>
    <xdr:clientData/>
  </xdr:twoCellAnchor>
  <xdr:twoCellAnchor>
    <xdr:from>
      <xdr:col>10</xdr:col>
      <xdr:colOff>0</xdr:colOff>
      <xdr:row>67</xdr:row>
      <xdr:rowOff>336176</xdr:rowOff>
    </xdr:from>
    <xdr:to>
      <xdr:col>15</xdr:col>
      <xdr:colOff>10885</xdr:colOff>
      <xdr:row>68</xdr:row>
      <xdr:rowOff>347244</xdr:rowOff>
    </xdr:to>
    <xdr:sp macro="" textlink="">
      <xdr:nvSpPr>
        <xdr:cNvPr id="7" name="Retângulo: Cantos Superiores Arredondados 2">
          <a:extLst>
            <a:ext uri="{FF2B5EF4-FFF2-40B4-BE49-F238E27FC236}">
              <a16:creationId xmlns:a16="http://schemas.microsoft.com/office/drawing/2014/main" id="{1774717F-B87B-4EAD-8CB1-0EBAF4842737}"/>
            </a:ext>
          </a:extLst>
        </xdr:cNvPr>
        <xdr:cNvSpPr/>
      </xdr:nvSpPr>
      <xdr:spPr>
        <a:xfrm>
          <a:off x="13261947" y="26624052"/>
          <a:ext cx="6282212" cy="393192"/>
        </a:xfrm>
        <a:prstGeom prst="round2SameRect">
          <a:avLst/>
        </a:prstGeom>
        <a:solidFill>
          <a:srgbClr val="F9FAFB"/>
        </a:solidFill>
        <a:ln w="19050">
          <a:solidFill>
            <a:srgbClr val="E5E7E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SF Pro Display" panose="00000500000000000000" pitchFamily="2" charset="0"/>
              <a:cs typeface="+mn-cs"/>
            </a:rPr>
            <a:t>Sazonalidade do EBIT</a:t>
          </a:r>
        </a:p>
      </xdr:txBody>
    </xdr:sp>
    <xdr:clientData/>
  </xdr:twoCellAnchor>
  <xdr:twoCellAnchor editAs="oneCell">
    <xdr:from>
      <xdr:col>0</xdr:col>
      <xdr:colOff>1087368</xdr:colOff>
      <xdr:row>1</xdr:row>
      <xdr:rowOff>33717</xdr:rowOff>
    </xdr:from>
    <xdr:to>
      <xdr:col>0</xdr:col>
      <xdr:colOff>1451930</xdr:colOff>
      <xdr:row>4</xdr:row>
      <xdr:rowOff>79959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1FA3F7-110D-4642-950E-5A34D27D8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368" y="227589"/>
          <a:ext cx="364562" cy="627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Gabriel%20Lacombe/Desktop/grupo-exito-investor-k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P&amp;L Consol"/>
      <sheetName val="BS Consol"/>
      <sheetName val="CF Consol"/>
      <sheetName val="P&amp;L Holding"/>
      <sheetName val="BS Holding"/>
      <sheetName val="Stores"/>
      <sheetName val="P&amp;L by country"/>
      <sheetName val="P&amp;L &amp; CAPEX"/>
      <sheetName val="P&amp;L Consol Q (IFRS 16 effect)"/>
      <sheetName val="P&amp;L Consol FY (IFRS 16 effect)"/>
      <sheetName val="P&amp;L by country Q (IFRS16 effect"/>
      <sheetName val="P&amp;L by country FY(IFRS16 effect"/>
      <sheetName val="P&amp;L Holding Q (IFRS 16 effect)"/>
      <sheetName val="P&amp;L Holding FY (IFRS 16 effect)"/>
    </sheetNames>
    <sheetDataSet>
      <sheetData sheetId="0" refreshError="1"/>
      <sheetData sheetId="1" refreshError="1"/>
      <sheetData sheetId="2" refreshError="1"/>
      <sheetData sheetId="3">
        <row r="5">
          <cell r="B5" t="str">
            <v>Total ajustes para conciliar la ganacia (pérdida)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abriel Lacombe" id="{EF002505-5D05-497E-9075-F8C6CF2C6B94}" userId="e8526c7e6a9744e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8" dT="2023-02-27T22:52:07.81" personId="{EF002505-5D05-497E-9075-F8C6CF2C6B94}" id="{A87C3634-B483-4E57-9CB2-C035F95FD817}">
    <text xml:space="preserve">Debêntures 12ª Emissão - série única - CDI+1,60%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81D1-608A-404F-9245-A4F8031DA2EA}">
  <sheetPr codeName="Planilha12"/>
  <dimension ref="A1:BB130"/>
  <sheetViews>
    <sheetView showGridLines="0" tabSelected="1" zoomScaleNormal="100" workbookViewId="0">
      <selection activeCell="D7" sqref="D7"/>
    </sheetView>
  </sheetViews>
  <sheetFormatPr defaultColWidth="0" defaultRowHeight="14.25" customHeight="1" x14ac:dyDescent="0.25"/>
  <cols>
    <col min="1" max="1" width="39.140625" style="8" customWidth="1"/>
    <col min="2" max="4" width="9.140625" style="2" customWidth="1"/>
    <col min="5" max="5" width="37.28515625" style="2" bestFit="1" customWidth="1"/>
    <col min="6" max="6" width="18.140625" style="2" bestFit="1" customWidth="1"/>
    <col min="7" max="7" width="9.85546875" style="2" customWidth="1"/>
    <col min="8" max="8" width="6.28515625" style="2" customWidth="1"/>
    <col min="9" max="9" width="9.85546875" style="2" customWidth="1"/>
    <col min="10" max="19" width="10.42578125" style="2" customWidth="1"/>
    <col min="20" max="23" width="9.140625" style="2" customWidth="1"/>
    <col min="24" max="24" width="9.140625" style="2" hidden="1" customWidth="1"/>
    <col min="25" max="53" width="0" style="2" hidden="1" customWidth="1"/>
    <col min="54" max="54" width="9.140625" style="2" hidden="1" customWidth="1"/>
    <col min="55" max="16384" width="0" style="2" hidden="1"/>
  </cols>
  <sheetData>
    <row r="1" spans="1:24" ht="15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9"/>
    </row>
    <row r="2" spans="1:24" ht="15" customHeight="1" x14ac:dyDescent="0.25">
      <c r="B2" s="27"/>
      <c r="C2" s="27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7"/>
      <c r="U2" s="27"/>
      <c r="V2" s="27"/>
      <c r="W2" s="27"/>
      <c r="X2" s="9"/>
    </row>
    <row r="3" spans="1:24" ht="15" customHeight="1" x14ac:dyDescent="0.45">
      <c r="B3" s="27"/>
      <c r="C3" s="27"/>
      <c r="D3" s="29"/>
      <c r="E3" s="29"/>
      <c r="F3" s="29"/>
      <c r="G3" s="29"/>
      <c r="H3" s="29"/>
      <c r="I3" s="449" t="s">
        <v>386</v>
      </c>
      <c r="J3" s="449"/>
      <c r="K3" s="449"/>
      <c r="L3" s="449"/>
      <c r="M3" s="28"/>
      <c r="N3" s="28"/>
      <c r="O3" s="28"/>
      <c r="P3" s="28"/>
      <c r="Q3" s="28"/>
      <c r="R3" s="28"/>
      <c r="S3" s="28"/>
      <c r="T3" s="27"/>
      <c r="U3" s="27"/>
      <c r="V3" s="27"/>
      <c r="W3" s="27"/>
      <c r="X3" s="9"/>
    </row>
    <row r="4" spans="1:24" ht="15" customHeight="1" x14ac:dyDescent="0.45">
      <c r="B4" s="27"/>
      <c r="C4" s="27"/>
      <c r="D4" s="29"/>
      <c r="E4" s="29"/>
      <c r="F4" s="29"/>
      <c r="G4" s="29"/>
      <c r="H4" s="29"/>
      <c r="I4" s="449"/>
      <c r="J4" s="449"/>
      <c r="K4" s="449"/>
      <c r="L4" s="449"/>
      <c r="M4" s="28"/>
      <c r="N4" s="28"/>
      <c r="O4" s="28"/>
      <c r="P4" s="28"/>
      <c r="Q4" s="28"/>
      <c r="R4" s="28"/>
      <c r="S4" s="28"/>
      <c r="T4" s="27"/>
      <c r="U4" s="27"/>
      <c r="V4" s="27"/>
      <c r="W4" s="27"/>
      <c r="X4" s="9"/>
    </row>
    <row r="5" spans="1:24" ht="15" customHeight="1" x14ac:dyDescent="0.45">
      <c r="B5" s="27"/>
      <c r="C5" s="27"/>
      <c r="D5" s="29"/>
      <c r="E5" s="29"/>
      <c r="F5" s="29"/>
      <c r="G5" s="29"/>
      <c r="H5" s="29"/>
      <c r="I5" s="450"/>
      <c r="J5" s="450"/>
      <c r="K5" s="450"/>
      <c r="L5" s="450"/>
      <c r="M5" s="28"/>
      <c r="N5" s="28"/>
      <c r="O5" s="28"/>
      <c r="P5" s="28"/>
      <c r="Q5" s="28"/>
      <c r="R5" s="30"/>
      <c r="S5" s="28"/>
      <c r="T5" s="27"/>
      <c r="U5" s="27"/>
      <c r="V5" s="27"/>
      <c r="W5" s="27"/>
      <c r="X5" s="9"/>
    </row>
    <row r="6" spans="1:24" ht="15" customHeight="1" x14ac:dyDescent="0.45">
      <c r="B6" s="27"/>
      <c r="C6" s="27"/>
      <c r="D6" s="29"/>
      <c r="E6" s="29"/>
      <c r="F6" s="29"/>
      <c r="G6" s="29"/>
      <c r="H6" s="28"/>
      <c r="I6" s="28"/>
      <c r="J6" s="28"/>
      <c r="K6" s="28"/>
      <c r="L6" s="28"/>
      <c r="M6" s="28"/>
      <c r="N6" s="27"/>
      <c r="O6" s="27"/>
      <c r="P6" s="27"/>
      <c r="Q6" s="27"/>
      <c r="R6" s="27"/>
      <c r="S6" s="27"/>
      <c r="T6" s="27"/>
      <c r="U6" s="27"/>
      <c r="V6" s="27"/>
      <c r="W6" s="27"/>
      <c r="X6" s="9"/>
    </row>
    <row r="7" spans="1:24" s="7" customFormat="1" ht="24.75" customHeight="1" x14ac:dyDescent="0.45">
      <c r="A7" s="24" t="s">
        <v>39</v>
      </c>
      <c r="B7" s="31"/>
      <c r="C7" s="31"/>
      <c r="D7" s="31"/>
      <c r="E7" s="31"/>
      <c r="F7" s="31"/>
      <c r="G7" s="31"/>
      <c r="H7" s="31"/>
      <c r="I7" s="29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10"/>
    </row>
    <row r="8" spans="1:24" ht="30" customHeight="1" x14ac:dyDescent="0.25">
      <c r="A8" s="438" t="s">
        <v>40</v>
      </c>
      <c r="B8" s="27"/>
      <c r="C8" s="27"/>
      <c r="D8" s="31"/>
      <c r="E8" s="33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27"/>
      <c r="U8" s="27"/>
      <c r="V8" s="27"/>
      <c r="W8" s="27"/>
      <c r="X8" s="9"/>
    </row>
    <row r="9" spans="1:24" ht="30" customHeight="1" x14ac:dyDescent="0.25">
      <c r="A9" s="25" t="s">
        <v>22</v>
      </c>
      <c r="B9" s="27"/>
      <c r="C9" s="27"/>
      <c r="D9" s="27"/>
      <c r="E9" s="265" t="s">
        <v>1161</v>
      </c>
      <c r="F9" s="441">
        <v>1</v>
      </c>
      <c r="G9" s="37"/>
      <c r="H9" s="448" t="s">
        <v>22</v>
      </c>
      <c r="I9" s="357">
        <f>I10-0.5%</f>
        <v>0.12355340565858211</v>
      </c>
      <c r="J9" s="391">
        <f>((SUM('DRE + DCF'!$T$52,NPV($I9,'DRE + DCF'!$U$52:$AD$52,SUM('DRE + DCF'!$AE$52,('DRE + DCF'!$AF$44*(1-((J$18-'Capex + K. Giro'!$AE$10)/('DRE + DCF'!$AG$41-'Capex + K. Giro'!$AE$10)))*(1+J$18))/($I9-J$18))))/((1+$I9)^((5-$F$9)*3/12)))+SUM($F$13:$F$15))/$F$11</f>
        <v>26.509370740621982</v>
      </c>
      <c r="K9" s="391">
        <f>((SUM('DRE + DCF'!$T$52,NPV($I9,'DRE + DCF'!$U$52:$AD$52,SUM('DRE + DCF'!$AE$52,('DRE + DCF'!$AF$44*(1-((K$18-'Capex + K. Giro'!$AE$10)/('DRE + DCF'!$AG$41-'Capex + K. Giro'!$AE$10)))*(1+K$18))/($I9-K$18))))/((1+$I9)^((5-$F$9)*3/12)))+SUM($F$13:$F$15))/$F$11</f>
        <v>26.828333156147036</v>
      </c>
      <c r="L9" s="391">
        <f>((SUM('DRE + DCF'!$T$52,NPV($I9,'DRE + DCF'!$U$52:$AD$52,SUM('DRE + DCF'!$AE$52,('DRE + DCF'!$AF$44*(1-((L$18-'Capex + K. Giro'!$AE$10)/('DRE + DCF'!$AG$41-'Capex + K. Giro'!$AE$10)))*(1+L$18))/($I9-L$18))))/((1+$I9)^((5-$F$9)*3/12)))+SUM($F$13:$F$15))/$F$11</f>
        <v>27.173122314200057</v>
      </c>
      <c r="M9" s="391">
        <f>((SUM('DRE + DCF'!$T$52,NPV($I9,'DRE + DCF'!$U$52:$AD$52,SUM('DRE + DCF'!$AE$52,('DRE + DCF'!$AF$44*(1-((M$18-'Capex + K. Giro'!$AE$10)/('DRE + DCF'!$AG$41-'Capex + K. Giro'!$AE$10)))*(1+M$18))/($I9-M$18))))/((1+$I9)^((5-$F$9)*3/12)))+SUM($F$13:$F$15))/$F$11</f>
        <v>27.547226689232154</v>
      </c>
      <c r="N9" s="391">
        <f>((SUM('DRE + DCF'!$T$52,NPV($I9,'DRE + DCF'!$U$52:$AD$52,SUM('DRE + DCF'!$AE$52,('DRE + DCF'!$AF$44*(1-((N$18-'Capex + K. Giro'!$AE$10)/('DRE + DCF'!$AG$41-'Capex + K. Giro'!$AE$10)))*(1+N$18))/($I9-N$18))))/((1+$I9)^((5-$F$9)*3/12)))+SUM($F$13:$F$15))/$F$11</f>
        <v>27.954792637335657</v>
      </c>
      <c r="O9" s="391">
        <f>((SUM('DRE + DCF'!$T$52,NPV($I9,'DRE + DCF'!$U$52:$AD$52,SUM('DRE + DCF'!$AE$52,('DRE + DCF'!$AF$44*(1-((O$18-'Capex + K. Giro'!$AE$10)/('DRE + DCF'!$AG$41-'Capex + K. Giro'!$AE$10)))*(1+O$18))/($I9-O$18))))/((1+$I9)^((5-$F$9)*3/12)))+SUM($F$13:$F$15))/$F$11</f>
        <v>28.400787154866073</v>
      </c>
      <c r="P9" s="391">
        <f>((SUM('DRE + DCF'!$T$52,NPV($I9,'DRE + DCF'!$U$52:$AD$52,SUM('DRE + DCF'!$AE$52,('DRE + DCF'!$AF$44*(1-((P$18-'Capex + K. Giro'!$AE$10)/('DRE + DCF'!$AG$41-'Capex + K. Giro'!$AE$10)))*(1+P$18))/($I9-P$18))))/((1+$I9)^((5-$F$9)*3/12)))+SUM($F$13:$F$15))/$F$11</f>
        <v>28.891211471738728</v>
      </c>
      <c r="Q9" s="391">
        <f>((SUM('DRE + DCF'!$T$52,NPV($I9,'DRE + DCF'!$U$52:$AD$52,SUM('DRE + DCF'!$AE$52,('DRE + DCF'!$AF$44*(1-((Q$18-'Capex + K. Giro'!$AE$10)/('DRE + DCF'!$AG$41-'Capex + K. Giro'!$AE$10)))*(1+Q$18))/($I9-Q$18))))/((1+$I9)^((5-$F$9)*3/12)))+SUM($F$13:$F$15))/$F$11</f>
        <v>29.433385020088899</v>
      </c>
      <c r="R9" s="391">
        <f>((SUM('DRE + DCF'!$T$52,NPV($I9,'DRE + DCF'!$U$52:$AD$52,SUM('DRE + DCF'!$AE$52,('DRE + DCF'!$AF$44*(1-((R$18-'Capex + K. Giro'!$AE$10)/('DRE + DCF'!$AG$41-'Capex + K. Giro'!$AE$10)))*(1+R$18))/($I9-R$18))))/((1+$I9)^((5-$F$9)*3/12)))+SUM($F$13:$F$15))/$F$11</f>
        <v>30.036328402212661</v>
      </c>
      <c r="S9" s="391">
        <f>((SUM('DRE + DCF'!$T$52,NPV($I9,'DRE + DCF'!$U$52:$AD$52,SUM('DRE + DCF'!$AE$52,('DRE + DCF'!$AF$44*(1-((S$18-'Capex + K. Giro'!$AE$10)/('DRE + DCF'!$AG$41-'Capex + K. Giro'!$AE$10)))*(1+S$18))/($I9-S$18))))/((1+$I9)^((5-$F$9)*3/12)))+SUM($F$13:$F$15))/$F$11</f>
        <v>30.711288107951145</v>
      </c>
      <c r="T9" s="134"/>
      <c r="U9" s="27"/>
      <c r="V9" s="27"/>
      <c r="W9" s="27"/>
      <c r="X9" s="9"/>
    </row>
    <row r="10" spans="1:24" ht="30" customHeight="1" x14ac:dyDescent="0.25">
      <c r="A10" s="25" t="s">
        <v>42</v>
      </c>
      <c r="B10" s="27"/>
      <c r="C10" s="27"/>
      <c r="D10" s="27"/>
      <c r="E10" s="36" t="s">
        <v>54</v>
      </c>
      <c r="F10" s="429" t="s">
        <v>980</v>
      </c>
      <c r="G10" s="37"/>
      <c r="H10" s="448"/>
      <c r="I10" s="357">
        <f>I11-0.5%</f>
        <v>0.12855340565858211</v>
      </c>
      <c r="J10" s="391">
        <f>((SUM('DRE + DCF'!$T$52,NPV($I10,'DRE + DCF'!$U$52:$AD$52,SUM('DRE + DCF'!$AE$52,('DRE + DCF'!$AF$44*(1-((J$18-'Capex + K. Giro'!$AE$10)/('DRE + DCF'!$AG$41-'Capex + K. Giro'!$AE$10)))*(1+J$18))/($I10-J$18))))/((1+$I10)^((5-$F$9)*3/12)))+SUM($F$13:$F$15))/$F$11</f>
        <v>24.32087893288373</v>
      </c>
      <c r="K10" s="391">
        <f>((SUM('DRE + DCF'!$T$52,NPV($I10,'DRE + DCF'!$U$52:$AD$52,SUM('DRE + DCF'!$AE$52,('DRE + DCF'!$AF$44*(1-((K$18-'Capex + K. Giro'!$AE$10)/('DRE + DCF'!$AG$41-'Capex + K. Giro'!$AE$10)))*(1+K$18))/($I10-K$18))))/((1+$I10)^((5-$F$9)*3/12)))+SUM($F$13:$F$15))/$F$11</f>
        <v>24.56030514301839</v>
      </c>
      <c r="L10" s="391">
        <f>((SUM('DRE + DCF'!$T$52,NPV($I10,'DRE + DCF'!$U$52:$AD$52,SUM('DRE + DCF'!$AE$52,('DRE + DCF'!$AF$44*(1-((L$18-'Capex + K. Giro'!$AE$10)/('DRE + DCF'!$AG$41-'Capex + K. Giro'!$AE$10)))*(1+L$18))/($I10-L$18))))/((1+$I10)^((5-$F$9)*3/12)))+SUM($F$13:$F$15))/$F$11</f>
        <v>24.817278584069232</v>
      </c>
      <c r="M10" s="391">
        <f>((SUM('DRE + DCF'!$T$52,NPV($I10,'DRE + DCF'!$U$52:$AD$52,SUM('DRE + DCF'!$AE$52,('DRE + DCF'!$AF$44*(1-((M$18-'Capex + K. Giro'!$AE$10)/('DRE + DCF'!$AG$41-'Capex + K. Giro'!$AE$10)))*(1+M$18))/($I10-M$18))))/((1+$I10)^((5-$F$9)*3/12)))+SUM($F$13:$F$15))/$F$11</f>
        <v>25.093973602940277</v>
      </c>
      <c r="N10" s="391">
        <f>((SUM('DRE + DCF'!$T$52,NPV($I10,'DRE + DCF'!$U$52:$AD$52,SUM('DRE + DCF'!$AE$52,('DRE + DCF'!$AF$44*(1-((N$18-'Capex + K. Giro'!$AE$10)/('DRE + DCF'!$AG$41-'Capex + K. Giro'!$AE$10)))*(1+N$18))/($I10-N$18))))/((1+$I10)^((5-$F$9)*3/12)))+SUM($F$13:$F$15))/$F$11</f>
        <v>25.39293926681303</v>
      </c>
      <c r="O10" s="391">
        <f>((SUM('DRE + DCF'!$T$52,NPV($I10,'DRE + DCF'!$U$52:$AD$52,SUM('DRE + DCF'!$AE$52,('DRE + DCF'!$AF$44*(1-((O$18-'Capex + K. Giro'!$AE$10)/('DRE + DCF'!$AG$41-'Capex + K. Giro'!$AE$10)))*(1+O$18))/($I10-O$18))))/((1+$I10)^((5-$F$9)*3/12)))+SUM($F$13:$F$15))/$F$11</f>
        <v>25.717183720288563</v>
      </c>
      <c r="P10" s="391">
        <f>((SUM('DRE + DCF'!$T$52,NPV($I10,'DRE + DCF'!$U$52:$AD$52,SUM('DRE + DCF'!$AE$52,('DRE + DCF'!$AF$44*(1-((P$18-'Capex + K. Giro'!$AE$10)/('DRE + DCF'!$AG$41-'Capex + K. Giro'!$AE$10)))*(1+P$18))/($I10-P$18))))/((1+$I10)^((5-$F$9)*3/12)))+SUM($F$13:$F$15))/$F$11</f>
        <v>26.07028240554596</v>
      </c>
      <c r="Q10" s="391">
        <f>((SUM('DRE + DCF'!$T$52,NPV($I10,'DRE + DCF'!$U$52:$AD$52,SUM('DRE + DCF'!$AE$52,('DRE + DCF'!$AF$44*(1-((Q$18-'Capex + K. Giro'!$AE$10)/('DRE + DCF'!$AG$41-'Capex + K. Giro'!$AE$10)))*(1+Q$18))/($I10-Q$18))))/((1+$I10)^((5-$F$9)*3/12)))+SUM($F$13:$F$15))/$F$11</f>
        <v>26.456518410645522</v>
      </c>
      <c r="R10" s="391">
        <f>((SUM('DRE + DCF'!$T$52,NPV($I10,'DRE + DCF'!$U$52:$AD$52,SUM('DRE + DCF'!$AE$52,('DRE + DCF'!$AF$44*(1-((R$18-'Capex + K. Giro'!$AE$10)/('DRE + DCF'!$AG$41-'Capex + K. Giro'!$AE$10)))*(1+R$18))/($I10-R$18))))/((1+$I10)^((5-$F$9)*3/12)))+SUM($F$13:$F$15))/$F$11</f>
        <v>26.881066653054024</v>
      </c>
      <c r="S10" s="391">
        <f>((SUM('DRE + DCF'!$T$52,NPV($I10,'DRE + DCF'!$U$52:$AD$52,SUM('DRE + DCF'!$AE$52,('DRE + DCF'!$AF$44*(1-((S$18-'Capex + K. Giro'!$AE$10)/('DRE + DCF'!$AG$41-'Capex + K. Giro'!$AE$10)))*(1+S$18))/($I10-S$18))))/((1+$I10)^((5-$F$9)*3/12)))+SUM($F$13:$F$15))/$F$11</f>
        <v>27.350238748513284</v>
      </c>
      <c r="T10" s="134"/>
      <c r="U10" s="27"/>
      <c r="V10" s="27"/>
      <c r="W10" s="27"/>
      <c r="X10" s="9"/>
    </row>
    <row r="11" spans="1:24" ht="30" customHeight="1" x14ac:dyDescent="0.25">
      <c r="A11" s="25" t="s">
        <v>987</v>
      </c>
      <c r="B11" s="27"/>
      <c r="C11" s="27"/>
      <c r="D11" s="27"/>
      <c r="E11" s="36" t="s">
        <v>57</v>
      </c>
      <c r="F11" s="442">
        <f>963226.993-7625.929</f>
        <v>955601.06400000001</v>
      </c>
      <c r="G11" s="39"/>
      <c r="H11" s="448"/>
      <c r="I11" s="357">
        <f>I12-0.5%</f>
        <v>0.13355340565858212</v>
      </c>
      <c r="J11" s="391">
        <f>((SUM('DRE + DCF'!$T$52,NPV($I11,'DRE + DCF'!$U$52:$AD$52,SUM('DRE + DCF'!$AE$52,('DRE + DCF'!$AF$44*(1-((J$18-'Capex + K. Giro'!$AE$10)/('DRE + DCF'!$AG$41-'Capex + K. Giro'!$AE$10)))*(1+J$18))/($I11-J$18))))/((1+$I11)^((5-$F$9)*3/12)))+SUM($F$13:$F$15))/$F$11</f>
        <v>22.43382881016462</v>
      </c>
      <c r="K11" s="391">
        <f>((SUM('DRE + DCF'!$T$52,NPV($I11,'DRE + DCF'!$U$52:$AD$52,SUM('DRE + DCF'!$AE$52,('DRE + DCF'!$AF$44*(1-((K$18-'Capex + K. Giro'!$AE$10)/('DRE + DCF'!$AG$41-'Capex + K. Giro'!$AE$10)))*(1+K$18))/($I11-K$18))))/((1+$I11)^((5-$F$9)*3/12)))+SUM($F$13:$F$15))/$F$11</f>
        <v>22.614438318100586</v>
      </c>
      <c r="L11" s="391">
        <f>((SUM('DRE + DCF'!$T$52,NPV($I11,'DRE + DCF'!$U$52:$AD$52,SUM('DRE + DCF'!$AE$52,('DRE + DCF'!$AF$44*(1-((L$18-'Capex + K. Giro'!$AE$10)/('DRE + DCF'!$AG$41-'Capex + K. Giro'!$AE$10)))*(1+L$18))/($I11-L$18))))/((1+$I11)^((5-$F$9)*3/12)))+SUM($F$13:$F$15))/$F$11</f>
        <v>22.80705146440847</v>
      </c>
      <c r="M11" s="391">
        <f>((SUM('DRE + DCF'!$T$52,NPV($I11,'DRE + DCF'!$U$52:$AD$52,SUM('DRE + DCF'!$AE$52,('DRE + DCF'!$AF$44*(1-((M$18-'Capex + K. Giro'!$AE$10)/('DRE + DCF'!$AG$41-'Capex + K. Giro'!$AE$10)))*(1+M$18))/($I11-M$18))))/((1+$I11)^((5-$F$9)*3/12)))+SUM($F$13:$F$15))/$F$11</f>
        <v>23.013042168910946</v>
      </c>
      <c r="N11" s="391">
        <f>((SUM('DRE + DCF'!$T$52,NPV($I11,'DRE + DCF'!$U$52:$AD$52,SUM('DRE + DCF'!$AE$52,('DRE + DCF'!$AF$44*(1-((N$18-'Capex + K. Giro'!$AE$10)/('DRE + DCF'!$AG$41-'Capex + K. Giro'!$AE$10)))*(1+N$18))/($I11-N$18))))/((1+$I11)^((5-$F$9)*3/12)))+SUM($F$13:$F$15))/$F$11</f>
        <v>23.234002344436576</v>
      </c>
      <c r="O11" s="391">
        <f>((SUM('DRE + DCF'!$T$52,NPV($I11,'DRE + DCF'!$U$52:$AD$52,SUM('DRE + DCF'!$AE$52,('DRE + DCF'!$AF$44*(1-((O$18-'Capex + K. Giro'!$AE$10)/('DRE + DCF'!$AG$41-'Capex + K. Giro'!$AE$10)))*(1+O$18))/($I11-O$18))))/((1+$I11)^((5-$F$9)*3/12)))+SUM($F$13:$F$15))/$F$11</f>
        <v>23.471786917448103</v>
      </c>
      <c r="P11" s="391">
        <f>((SUM('DRE + DCF'!$T$52,NPV($I11,'DRE + DCF'!$U$52:$AD$52,SUM('DRE + DCF'!$AE$52,('DRE + DCF'!$AF$44*(1-((P$18-'Capex + K. Giro'!$AE$10)/('DRE + DCF'!$AG$41-'Capex + K. Giro'!$AE$10)))*(1+P$18))/($I11-P$18))))/((1+$I11)^((5-$F$9)*3/12)))+SUM($F$13:$F$15))/$F$11</f>
        <v>23.728570486746442</v>
      </c>
      <c r="Q11" s="391">
        <f>((SUM('DRE + DCF'!$T$52,NPV($I11,'DRE + DCF'!$U$52:$AD$52,SUM('DRE + DCF'!$AE$52,('DRE + DCF'!$AF$44*(1-((Q$18-'Capex + K. Giro'!$AE$10)/('DRE + DCF'!$AG$41-'Capex + K. Giro'!$AE$10)))*(1+Q$18))/($I11-Q$18))))/((1+$I11)^((5-$F$9)*3/12)))+SUM($F$13:$F$15))/$F$11</f>
        <v>24.006919288204021</v>
      </c>
      <c r="R11" s="391">
        <f>((SUM('DRE + DCF'!$T$52,NPV($I11,'DRE + DCF'!$U$52:$AD$52,SUM('DRE + DCF'!$AE$52,('DRE + DCF'!$AF$44*(1-((R$18-'Capex + K. Giro'!$AE$10)/('DRE + DCF'!$AG$41-'Capex + K. Giro'!$AE$10)))*(1+R$18))/($I11-R$18))))/((1+$I11)^((5-$F$9)*3/12)))+SUM($F$13:$F$15))/$F$11</f>
        <v>24.309883516939976</v>
      </c>
      <c r="S11" s="391">
        <f>((SUM('DRE + DCF'!$T$52,NPV($I11,'DRE + DCF'!$U$52:$AD$52,SUM('DRE + DCF'!$AE$52,('DRE + DCF'!$AF$44*(1-((S$18-'Capex + K. Giro'!$AE$10)/('DRE + DCF'!$AG$41-'Capex + K. Giro'!$AE$10)))*(1+S$18))/($I11-S$18))))/((1+$I11)^((5-$F$9)*3/12)))+SUM($F$13:$F$15))/$F$11</f>
        <v>24.641117057884333</v>
      </c>
      <c r="T11" s="134"/>
      <c r="U11" s="27"/>
      <c r="V11" s="27"/>
      <c r="W11" s="27"/>
      <c r="X11" s="9"/>
    </row>
    <row r="12" spans="1:24" ht="30" customHeight="1" x14ac:dyDescent="0.25">
      <c r="A12" s="25" t="s">
        <v>43</v>
      </c>
      <c r="B12" s="27"/>
      <c r="C12" s="27"/>
      <c r="D12" s="27"/>
      <c r="E12" s="36" t="s">
        <v>58</v>
      </c>
      <c r="F12" s="443">
        <f>SUM('DRE + DCF'!T54:AF54)</f>
        <v>20615394.874933071</v>
      </c>
      <c r="G12" s="39"/>
      <c r="H12" s="448"/>
      <c r="I12" s="357">
        <f>I13-0.5%</f>
        <v>0.13855340565858212</v>
      </c>
      <c r="J12" s="391">
        <f>((SUM('DRE + DCF'!$T$52,NPV($I12,'DRE + DCF'!$U$52:$AD$52,SUM('DRE + DCF'!$AE$52,('DRE + DCF'!$AF$44*(1-((J$18-'Capex + K. Giro'!$AE$10)/('DRE + DCF'!$AG$41-'Capex + K. Giro'!$AE$10)))*(1+J$18))/($I12-J$18))))/((1+$I12)^((5-$F$9)*3/12)))+SUM($F$13:$F$15))/$F$11</f>
        <v>20.790186724942416</v>
      </c>
      <c r="K12" s="391">
        <f>((SUM('DRE + DCF'!$T$52,NPV($I12,'DRE + DCF'!$U$52:$AD$52,SUM('DRE + DCF'!$AE$52,('DRE + DCF'!$AF$44*(1-((K$18-'Capex + K. Giro'!$AE$10)/('DRE + DCF'!$AG$41-'Capex + K. Giro'!$AE$10)))*(1+K$18))/($I12-K$18))))/((1+$I12)^((5-$F$9)*3/12)))+SUM($F$13:$F$15))/$F$11</f>
        <v>20.926726402413717</v>
      </c>
      <c r="L12" s="391">
        <f>((SUM('DRE + DCF'!$T$52,NPV($I12,'DRE + DCF'!$U$52:$AD$52,SUM('DRE + DCF'!$AE$52,('DRE + DCF'!$AF$44*(1-((L$18-'Capex + K. Giro'!$AE$10)/('DRE + DCF'!$AG$41-'Capex + K. Giro'!$AE$10)))*(1+L$18))/($I12-L$18))))/((1+$I12)^((5-$F$9)*3/12)))+SUM($F$13:$F$15))/$F$11</f>
        <v>21.071491358916244</v>
      </c>
      <c r="M12" s="391">
        <f>((SUM('DRE + DCF'!$T$52,NPV($I12,'DRE + DCF'!$U$52:$AD$52,SUM('DRE + DCF'!$AE$52,('DRE + DCF'!$AF$44*(1-((M$18-'Capex + K. Giro'!$AE$10)/('DRE + DCF'!$AG$41-'Capex + K. Giro'!$AE$10)))*(1+M$18))/($I12-M$18))))/((1+$I12)^((5-$F$9)*3/12)))+SUM($F$13:$F$15))/$F$11</f>
        <v>21.225356303194715</v>
      </c>
      <c r="N12" s="391">
        <f>((SUM('DRE + DCF'!$T$52,NPV($I12,'DRE + DCF'!$U$52:$AD$52,SUM('DRE + DCF'!$AE$52,('DRE + DCF'!$AF$44*(1-((N$18-'Capex + K. Giro'!$AE$10)/('DRE + DCF'!$AG$41-'Capex + K. Giro'!$AE$10)))*(1+N$18))/($I12-N$18))))/((1+$I12)^((5-$F$9)*3/12)))+SUM($F$13:$F$15))/$F$11</f>
        <v>21.389324528719261</v>
      </c>
      <c r="O12" s="391">
        <f>((SUM('DRE + DCF'!$T$52,NPV($I12,'DRE + DCF'!$U$52:$AD$52,SUM('DRE + DCF'!$AE$52,('DRE + DCF'!$AF$44*(1-((O$18-'Capex + K. Giro'!$AE$10)/('DRE + DCF'!$AG$41-'Capex + K. Giro'!$AE$10)))*(1+O$18))/($I12-O$18))))/((1+$I12)^((5-$F$9)*3/12)))+SUM($F$13:$F$15))/$F$11</f>
        <v>21.564552443068017</v>
      </c>
      <c r="P12" s="391">
        <f>((SUM('DRE + DCF'!$T$52,NPV($I12,'DRE + DCF'!$U$52:$AD$52,SUM('DRE + DCF'!$AE$52,('DRE + DCF'!$AF$44*(1-((P$18-'Capex + K. Giro'!$AE$10)/('DRE + DCF'!$AG$41-'Capex + K. Giro'!$AE$10)))*(1+P$18))/($I12-P$18))))/((1+$I12)^((5-$F$9)*3/12)))+SUM($F$13:$F$15))/$F$11</f>
        <v>21.752379935241926</v>
      </c>
      <c r="Q12" s="391">
        <f>((SUM('DRE + DCF'!$T$52,NPV($I12,'DRE + DCF'!$U$52:$AD$52,SUM('DRE + DCF'!$AE$52,('DRE + DCF'!$AF$44*(1-((Q$18-'Capex + K. Giro'!$AE$10)/('DRE + DCF'!$AG$41-'Capex + K. Giro'!$AE$10)))*(1+Q$18))/($I12-Q$18))))/((1+$I12)^((5-$F$9)*3/12)))+SUM($F$13:$F$15))/$F$11</f>
        <v>21.954368268848203</v>
      </c>
      <c r="R12" s="391">
        <f>((SUM('DRE + DCF'!$T$52,NPV($I12,'DRE + DCF'!$U$52:$AD$52,SUM('DRE + DCF'!$AE$52,('DRE + DCF'!$AF$44*(1-((R$18-'Capex + K. Giro'!$AE$10)/('DRE + DCF'!$AG$41-'Capex + K. Giro'!$AE$10)))*(1+R$18))/($I12-R$18))))/((1+$I12)^((5-$F$9)*3/12)))+SUM($F$13:$F$15))/$F$11</f>
        <v>22.172347770876211</v>
      </c>
      <c r="S12" s="391">
        <f>((SUM('DRE + DCF'!$T$52,NPV($I12,'DRE + DCF'!$U$52:$AD$52,SUM('DRE + DCF'!$AE$52,('DRE + DCF'!$AF$44*(1-((S$18-'Capex + K. Giro'!$AE$10)/('DRE + DCF'!$AG$41-'Capex + K. Giro'!$AE$10)))*(1+S$18))/($I12-S$18))))/((1+$I12)^((5-$F$9)*3/12)))+SUM($F$13:$F$15))/$F$11</f>
        <v>22.408478403327464</v>
      </c>
      <c r="T12" s="134"/>
      <c r="U12" s="27"/>
      <c r="V12" s="27"/>
      <c r="W12" s="27"/>
      <c r="X12" s="9"/>
    </row>
    <row r="13" spans="1:24" ht="30" customHeight="1" x14ac:dyDescent="0.25">
      <c r="A13" s="25" t="s">
        <v>385</v>
      </c>
      <c r="B13" s="27"/>
      <c r="C13" s="27"/>
      <c r="D13" s="27"/>
      <c r="E13" s="40" t="s">
        <v>59</v>
      </c>
      <c r="F13" s="180">
        <f>-WACC!F19</f>
        <v>-4669167</v>
      </c>
      <c r="G13" s="38"/>
      <c r="H13" s="448"/>
      <c r="I13" s="357">
        <f>WACC!P20</f>
        <v>0.14355340565858213</v>
      </c>
      <c r="J13" s="391">
        <f>((SUM('DRE + DCF'!$T$52,NPV($I13,'DRE + DCF'!$U$52:$AD$52,SUM('DRE + DCF'!$AE$52,('DRE + DCF'!$AF$44*(1-((J$18-'Capex + K. Giro'!$AE$10)/('DRE + DCF'!$AG$41-'Capex + K. Giro'!$AE$10)))*(1+J$18))/($I13-J$18))))/((1+$I13)^((5-$F$9)*3/12)))+SUM($F$13:$F$15))/$F$11</f>
        <v>19.34590461848402</v>
      </c>
      <c r="K13" s="391">
        <f>((SUM('DRE + DCF'!$T$52,NPV($I13,'DRE + DCF'!$U$52:$AD$52,SUM('DRE + DCF'!$AE$52,('DRE + DCF'!$AF$44*(1-((K$18-'Capex + K. Giro'!$AE$10)/('DRE + DCF'!$AG$41-'Capex + K. Giro'!$AE$10)))*(1+K$18))/($I13-K$18))))/((1+$I13)^((5-$F$9)*3/12)))+SUM($F$13:$F$15))/$F$11</f>
        <v>19.449062722723781</v>
      </c>
      <c r="L13" s="391">
        <f>((SUM('DRE + DCF'!$T$52,NPV($I13,'DRE + DCF'!$U$52:$AD$52,SUM('DRE + DCF'!$AE$52,('DRE + DCF'!$AF$44*(1-((L$18-'Capex + K. Giro'!$AE$10)/('DRE + DCF'!$AG$41-'Capex + K. Giro'!$AE$10)))*(1+L$18))/($I13-L$18))))/((1+$I13)^((5-$F$9)*3/12)))+SUM($F$13:$F$15))/$F$11</f>
        <v>19.557833744252633</v>
      </c>
      <c r="M13" s="391">
        <f>((SUM('DRE + DCF'!$T$52,NPV($I13,'DRE + DCF'!$U$52:$AD$52,SUM('DRE + DCF'!$AE$52,('DRE + DCF'!$AF$44*(1-((M$18-'Capex + K. Giro'!$AE$10)/('DRE + DCF'!$AG$41-'Capex + K. Giro'!$AE$10)))*(1+M$18))/($I13-M$18))))/((1+$I13)^((5-$F$9)*3/12)))+SUM($F$13:$F$15))/$F$11</f>
        <v>19.67277506666975</v>
      </c>
      <c r="N13" s="391">
        <f>((SUM('DRE + DCF'!$T$52,NPV($I13,'DRE + DCF'!$U$52:$AD$52,SUM('DRE + DCF'!$AE$52,('DRE + DCF'!$AF$44*(1-((N$18-'Capex + K. Giro'!$AE$10)/('DRE + DCF'!$AG$41-'Capex + K. Giro'!$AE$10)))*(1+N$18))/($I13-N$18))))/((1+$I13)^((5-$F$9)*3/12)))+SUM($F$13:$F$15))/$F$11</f>
        <v>19.794520400446</v>
      </c>
      <c r="O13" s="391">
        <f>((SUM('DRE + DCF'!$T$52,NPV($I13,'DRE + DCF'!$U$52:$AD$52,SUM('DRE + DCF'!$AE$52,('DRE + DCF'!$AF$44*(1-((O$18-'Capex + K. Giro'!$AE$10)/('DRE + DCF'!$AG$41-'Capex + K. Giro'!$AE$10)))*(1+O$18))/($I13-O$18))))/((1+$I13)^((5-$F$9)*3/12)))+SUM($F$13:$F$15))/$F$11</f>
        <v>19.923793311093572</v>
      </c>
      <c r="P13" s="391">
        <f>((SUM('DRE + DCF'!$T$52,NPV($I13,'DRE + DCF'!$U$52:$AD$52,SUM('DRE + DCF'!$AE$52,('DRE + DCF'!$AF$44*(1-((P$18-'Capex + K. Giro'!$AE$10)/('DRE + DCF'!$AG$41-'Capex + K. Giro'!$AE$10)))*(1+P$18))/($I13-P$18))))/((1+$I13)^((5-$F$9)*3/12)))+SUM($F$13:$F$15))/$F$11</f>
        <v>20.061423730355976</v>
      </c>
      <c r="Q13" s="391">
        <f>((SUM('DRE + DCF'!$T$52,NPV($I13,'DRE + DCF'!$U$52:$AD$52,SUM('DRE + DCF'!$AE$52,('DRE + DCF'!$AF$44*(1-((Q$18-'Capex + K. Giro'!$AE$10)/('DRE + DCF'!$AG$41-'Capex + K. Giro'!$AE$10)))*(1+Q$18))/($I13-Q$18))))/((1+$I13)^((5-$F$9)*3/12)))+SUM($F$13:$F$15))/$F$11</f>
        <v>20.208368247093919</v>
      </c>
      <c r="R13" s="391">
        <f>((SUM('DRE + DCF'!$T$52,NPV($I13,'DRE + DCF'!$U$52:$AD$52,SUM('DRE + DCF'!$AE$52,('DRE + DCF'!$AF$44*(1-((R$18-'Capex + K. Giro'!$AE$10)/('DRE + DCF'!$AG$41-'Capex + K. Giro'!$AE$10)))*(1+R$18))/($I13-R$18))))/((1+$I13)^((5-$F$9)*3/12)))+SUM($F$13:$F$15))/$F$11</f>
        <v>20.365735227351614</v>
      </c>
      <c r="S13" s="391">
        <f>((SUM('DRE + DCF'!$T$52,NPV($I13,'DRE + DCF'!$U$52:$AD$52,SUM('DRE + DCF'!$AE$52,('DRE + DCF'!$AF$44*(1-((S$18-'Capex + K. Giro'!$AE$10)/('DRE + DCF'!$AG$41-'Capex + K. Giro'!$AE$10)))*(1+S$18))/($I13-S$18))))/((1+$I13)^((5-$F$9)*3/12)))+SUM($F$13:$F$15))/$F$11</f>
        <v>20.534816159877067</v>
      </c>
      <c r="T13" s="134"/>
      <c r="U13" s="27"/>
      <c r="V13" s="27"/>
      <c r="W13" s="27"/>
      <c r="X13" s="9"/>
    </row>
    <row r="14" spans="1:24" ht="30" customHeight="1" x14ac:dyDescent="0.25">
      <c r="A14" s="25" t="s">
        <v>73</v>
      </c>
      <c r="B14" s="27"/>
      <c r="C14" s="27"/>
      <c r="D14" s="27"/>
      <c r="E14" s="40" t="s">
        <v>31</v>
      </c>
      <c r="F14" s="38">
        <f>'Balanço Patrimonial'!S15-'Balanço Patrimonial'!S67-'Balanço Patrimonial'!S80</f>
        <v>2616387.7749999999</v>
      </c>
      <c r="G14" s="39"/>
      <c r="H14" s="448"/>
      <c r="I14" s="357">
        <f>I13+0.5%</f>
        <v>0.14855340565858213</v>
      </c>
      <c r="J14" s="391">
        <f>((SUM('DRE + DCF'!$T$52,NPV($I14,'DRE + DCF'!$U$52:$AD$52,SUM('DRE + DCF'!$AE$52,('DRE + DCF'!$AF$44*(1-((J$18-'Capex + K. Giro'!$AE$10)/('DRE + DCF'!$AG$41-'Capex + K. Giro'!$AE$10)))*(1+J$18))/($I14-J$18))))/((1+$I14)^((5-$F$9)*3/12)))+SUM($F$13:$F$15))/$F$11</f>
        <v>18.066947547355213</v>
      </c>
      <c r="K14" s="391">
        <f>((SUM('DRE + DCF'!$T$52,NPV($I14,'DRE + DCF'!$U$52:$AD$52,SUM('DRE + DCF'!$AE$52,('DRE + DCF'!$AF$44*(1-((K$18-'Capex + K. Giro'!$AE$10)/('DRE + DCF'!$AG$41-'Capex + K. Giro'!$AE$10)))*(1+K$18))/($I14-K$18))))/((1+$I14)^((5-$F$9)*3/12)))+SUM($F$13:$F$15))/$F$11</f>
        <v>18.14459235448221</v>
      </c>
      <c r="L14" s="391">
        <f>((SUM('DRE + DCF'!$T$52,NPV($I14,'DRE + DCF'!$U$52:$AD$52,SUM('DRE + DCF'!$AE$52,('DRE + DCF'!$AF$44*(1-((L$18-'Capex + K. Giro'!$AE$10)/('DRE + DCF'!$AG$41-'Capex + K. Giro'!$AE$10)))*(1+L$18))/($I14-L$18))))/((1+$I14)^((5-$F$9)*3/12)))+SUM($F$13:$F$15))/$F$11</f>
        <v>18.226023409456104</v>
      </c>
      <c r="M14" s="391">
        <f>((SUM('DRE + DCF'!$T$52,NPV($I14,'DRE + DCF'!$U$52:$AD$52,SUM('DRE + DCF'!$AE$52,('DRE + DCF'!$AF$44*(1-((M$18-'Capex + K. Giro'!$AE$10)/('DRE + DCF'!$AG$41-'Capex + K. Giro'!$AE$10)))*(1+M$18))/($I14-M$18))))/((1+$I14)^((5-$F$9)*3/12)))+SUM($F$13:$F$15))/$F$11</f>
        <v>18.31159335497237</v>
      </c>
      <c r="N14" s="391">
        <f>((SUM('DRE + DCF'!$T$52,NPV($I14,'DRE + DCF'!$U$52:$AD$52,SUM('DRE + DCF'!$AE$52,('DRE + DCF'!$AF$44*(1-((N$18-'Capex + K. Giro'!$AE$10)/('DRE + DCF'!$AG$41-'Capex + K. Giro'!$AE$10)))*(1+N$18))/($I14-N$18))))/((1+$I14)^((5-$F$9)*3/12)))+SUM($F$13:$F$15))/$F$11</f>
        <v>18.401700029340258</v>
      </c>
      <c r="O14" s="391">
        <f>((SUM('DRE + DCF'!$T$52,NPV($I14,'DRE + DCF'!$U$52:$AD$52,SUM('DRE + DCF'!$AE$52,('DRE + DCF'!$AF$44*(1-((O$18-'Capex + K. Giro'!$AE$10)/('DRE + DCF'!$AG$41-'Capex + K. Giro'!$AE$10)))*(1+O$18))/($I14-O$18))))/((1+$I14)^((5-$F$9)*3/12)))+SUM($F$13:$F$15))/$F$11</f>
        <v>18.496793946637506</v>
      </c>
      <c r="P14" s="391">
        <f>((SUM('DRE + DCF'!$T$52,NPV($I14,'DRE + DCF'!$U$52:$AD$52,SUM('DRE + DCF'!$AE$52,('DRE + DCF'!$AF$44*(1-((P$18-'Capex + K. Giro'!$AE$10)/('DRE + DCF'!$AG$41-'Capex + K. Giro'!$AE$10)))*(1+P$18))/($I14-P$18))))/((1+$I14)^((5-$F$9)*3/12)))+SUM($F$13:$F$15))/$F$11</f>
        <v>18.597387313338665</v>
      </c>
      <c r="Q14" s="391">
        <f>((SUM('DRE + DCF'!$T$52,NPV($I14,'DRE + DCF'!$U$52:$AD$52,SUM('DRE + DCF'!$AE$52,('DRE + DCF'!$AF$44*(1-((Q$18-'Capex + K. Giro'!$AE$10)/('DRE + DCF'!$AG$41-'Capex + K. Giro'!$AE$10)))*(1+Q$18))/($I14-Q$18))))/((1+$I14)^((5-$F$9)*3/12)))+SUM($F$13:$F$15))/$F$11</f>
        <v>18.704064962671488</v>
      </c>
      <c r="R14" s="391">
        <f>((SUM('DRE + DCF'!$T$52,NPV($I14,'DRE + DCF'!$U$52:$AD$52,SUM('DRE + DCF'!$AE$52,('DRE + DCF'!$AF$44*(1-((R$18-'Capex + K. Giro'!$AE$10)/('DRE + DCF'!$AG$41-'Capex + K. Giro'!$AE$10)))*(1+R$18))/($I14-R$18))))/((1+$I14)^((5-$F$9)*3/12)))+SUM($F$13:$F$15))/$F$11</f>
        <v>18.817497700046378</v>
      </c>
      <c r="S14" s="391">
        <f>((SUM('DRE + DCF'!$T$52,NPV($I14,'DRE + DCF'!$U$52:$AD$52,SUM('DRE + DCF'!$AE$52,('DRE + DCF'!$AF$44*(1-((S$18-'Capex + K. Giro'!$AE$10)/('DRE + DCF'!$AG$41-'Capex + K. Giro'!$AE$10)))*(1+S$18))/($I14-S$18))))/((1+$I14)^((5-$F$9)*3/12)))+SUM($F$13:$F$15))/$F$11</f>
        <v>18.938458703484656</v>
      </c>
      <c r="T14" s="134"/>
      <c r="U14" s="27"/>
      <c r="V14" s="27"/>
      <c r="W14" s="27"/>
      <c r="X14" s="9"/>
    </row>
    <row r="15" spans="1:24" ht="30" customHeight="1" x14ac:dyDescent="0.25">
      <c r="A15" s="25" t="s">
        <v>382</v>
      </c>
      <c r="B15" s="27"/>
      <c r="C15" s="27"/>
      <c r="D15" s="27"/>
      <c r="E15" s="40" t="s">
        <v>77</v>
      </c>
      <c r="F15" s="427">
        <f>33733</f>
        <v>33733</v>
      </c>
      <c r="G15" s="39"/>
      <c r="H15" s="448"/>
      <c r="I15" s="357">
        <f>I14+0.5%</f>
        <v>0.15355340565858214</v>
      </c>
      <c r="J15" s="391">
        <f>((SUM('DRE + DCF'!$T$52,NPV($I15,'DRE + DCF'!$U$52:$AD$52,SUM('DRE + DCF'!$AE$52,('DRE + DCF'!$AF$44*(1-((J$18-'Capex + K. Giro'!$AE$10)/('DRE + DCF'!$AG$41-'Capex + K. Giro'!$AE$10)))*(1+J$18))/($I15-J$18))))/((1+$I15)^((5-$F$9)*3/12)))+SUM($F$13:$F$15))/$F$11</f>
        <v>16.926602333533697</v>
      </c>
      <c r="K15" s="391">
        <f>((SUM('DRE + DCF'!$T$52,NPV($I15,'DRE + DCF'!$U$52:$AD$52,SUM('DRE + DCF'!$AE$52,('DRE + DCF'!$AF$44*(1-((K$18-'Capex + K. Giro'!$AE$10)/('DRE + DCF'!$AG$41-'Capex + K. Giro'!$AE$10)))*(1+K$18))/($I15-K$18))))/((1+$I15)^((5-$F$9)*3/12)))+SUM($F$13:$F$15))/$F$11</f>
        <v>16.984604573959576</v>
      </c>
      <c r="L15" s="391">
        <f>((SUM('DRE + DCF'!$T$52,NPV($I15,'DRE + DCF'!$U$52:$AD$52,SUM('DRE + DCF'!$AE$52,('DRE + DCF'!$AF$44*(1-((L$18-'Capex + K. Giro'!$AE$10)/('DRE + DCF'!$AG$41-'Capex + K. Giro'!$AE$10)))*(1+L$18))/($I15-L$18))))/((1+$I15)^((5-$F$9)*3/12)))+SUM($F$13:$F$15))/$F$11</f>
        <v>17.045104892371135</v>
      </c>
      <c r="M15" s="391">
        <f>((SUM('DRE + DCF'!$T$52,NPV($I15,'DRE + DCF'!$U$52:$AD$52,SUM('DRE + DCF'!$AE$52,('DRE + DCF'!$AF$44*(1-((M$18-'Capex + K. Giro'!$AE$10)/('DRE + DCF'!$AG$41-'Capex + K. Giro'!$AE$10)))*(1+M$18))/($I15-M$18))))/((1+$I15)^((5-$F$9)*3/12)))+SUM($F$13:$F$15))/$F$11</f>
        <v>17.108322352140835</v>
      </c>
      <c r="N15" s="391">
        <f>((SUM('DRE + DCF'!$T$52,NPV($I15,'DRE + DCF'!$U$52:$AD$52,SUM('DRE + DCF'!$AE$52,('DRE + DCF'!$AF$44*(1-((N$18-'Capex + K. Giro'!$AE$10)/('DRE + DCF'!$AG$41-'Capex + K. Giro'!$AE$10)))*(1+N$18))/($I15-N$18))))/((1+$I15)^((5-$F$9)*3/12)))+SUM($F$13:$F$15))/$F$11</f>
        <v>17.17450240159561</v>
      </c>
      <c r="O15" s="391">
        <f>((SUM('DRE + DCF'!$T$52,NPV($I15,'DRE + DCF'!$U$52:$AD$52,SUM('DRE + DCF'!$AE$52,('DRE + DCF'!$AF$44*(1-((O$18-'Capex + K. Giro'!$AE$10)/('DRE + DCF'!$AG$41-'Capex + K. Giro'!$AE$10)))*(1+O$18))/($I15-O$18))))/((1+$I15)^((5-$F$9)*3/12)))+SUM($F$13:$F$15))/$F$11</f>
        <v>17.243920969743385</v>
      </c>
      <c r="P15" s="391">
        <f>((SUM('DRE + DCF'!$T$52,NPV($I15,'DRE + DCF'!$U$52:$AD$52,SUM('DRE + DCF'!$AE$52,('DRE + DCF'!$AF$44*(1-((P$18-'Capex + K. Giro'!$AE$10)/('DRE + DCF'!$AG$41-'Capex + K. Giro'!$AE$10)))*(1+P$18))/($I15-P$18))))/((1+$I15)^((5-$F$9)*3/12)))+SUM($F$13:$F$15))/$F$11</f>
        <v>17.316889349378247</v>
      </c>
      <c r="Q15" s="391">
        <f>((SUM('DRE + DCF'!$T$52,NPV($I15,'DRE + DCF'!$U$52:$AD$52,SUM('DRE + DCF'!$AE$52,('DRE + DCF'!$AF$44*(1-((Q$18-'Capex + K. Giro'!$AE$10)/('DRE + DCF'!$AG$41-'Capex + K. Giro'!$AE$10)))*(1+Q$18))/($I15-Q$18))))/((1+$I15)^((5-$F$9)*3/12)))+SUM($F$13:$F$15))/$F$11</f>
        <v>17.393760050006591</v>
      </c>
      <c r="R15" s="391">
        <f>((SUM('DRE + DCF'!$T$52,NPV($I15,'DRE + DCF'!$U$52:$AD$52,SUM('DRE + DCF'!$AE$52,('DRE + DCF'!$AF$44*(1-((R$18-'Capex + K. Giro'!$AE$10)/('DRE + DCF'!$AG$41-'Capex + K. Giro'!$AE$10)))*(1+R$18))/($I15-R$18))))/((1+$I15)^((5-$F$9)*3/12)))+SUM($F$13:$F$15))/$F$11</f>
        <v>17.474933853003428</v>
      </c>
      <c r="S15" s="391">
        <f>((SUM('DRE + DCF'!$T$52,NPV($I15,'DRE + DCF'!$U$52:$AD$52,SUM('DRE + DCF'!$AE$52,('DRE + DCF'!$AF$44*(1-((S$18-'Capex + K. Giro'!$AE$10)/('DRE + DCF'!$AG$41-'Capex + K. Giro'!$AE$10)))*(1+S$18))/($I15-S$18))))/((1+$I15)^((5-$F$9)*3/12)))+SUM($F$13:$F$15))/$F$11</f>
        <v>17.560868367315148</v>
      </c>
      <c r="T15" s="134"/>
      <c r="U15" s="27"/>
      <c r="V15" s="27"/>
      <c r="W15" s="27"/>
      <c r="X15" s="9"/>
    </row>
    <row r="16" spans="1:24" ht="30" customHeight="1" x14ac:dyDescent="0.25">
      <c r="A16" s="25" t="s">
        <v>1307</v>
      </c>
      <c r="B16" s="27"/>
      <c r="C16" s="27"/>
      <c r="D16" s="27"/>
      <c r="E16" s="36" t="s">
        <v>56</v>
      </c>
      <c r="F16" s="430">
        <f>(F12+F13+F14+F15)/F11</f>
        <v>19.460368296464214</v>
      </c>
      <c r="G16" s="39"/>
      <c r="H16" s="448"/>
      <c r="I16" s="357">
        <f>I15+0.5%</f>
        <v>0.15855340565858214</v>
      </c>
      <c r="J16" s="391">
        <f>((SUM('DRE + DCF'!$T$52,NPV($I16,'DRE + DCF'!$U$52:$AD$52,SUM('DRE + DCF'!$AE$52,('DRE + DCF'!$AF$44*(1-((J$18-'Capex + K. Giro'!$AE$10)/('DRE + DCF'!$AG$41-'Capex + K. Giro'!$AE$10)))*(1+J$18))/($I16-J$18))))/((1+$I16)^((5-$F$9)*3/12)))+SUM($F$13:$F$15))/$F$11</f>
        <v>15.903609911721132</v>
      </c>
      <c r="K16" s="391">
        <f>((SUM('DRE + DCF'!$T$52,NPV($I16,'DRE + DCF'!$U$52:$AD$52,SUM('DRE + DCF'!$AE$52,('DRE + DCF'!$AF$44*(1-((K$18-'Capex + K. Giro'!$AE$10)/('DRE + DCF'!$AG$41-'Capex + K. Giro'!$AE$10)))*(1+K$18))/($I16-K$18))))/((1+$I16)^((5-$F$9)*3/12)))+SUM($F$13:$F$15))/$F$11</f>
        <v>15.946401259158145</v>
      </c>
      <c r="L16" s="391">
        <f>((SUM('DRE + DCF'!$T$52,NPV($I16,'DRE + DCF'!$U$52:$AD$52,SUM('DRE + DCF'!$AE$52,('DRE + DCF'!$AF$44*(1-((L$18-'Capex + K. Giro'!$AE$10)/('DRE + DCF'!$AG$41-'Capex + K. Giro'!$AE$10)))*(1+L$18))/($I16-L$18))))/((1+$I16)^((5-$F$9)*3/12)))+SUM($F$13:$F$15))/$F$11</f>
        <v>15.990776975115233</v>
      </c>
      <c r="M16" s="391">
        <f>((SUM('DRE + DCF'!$T$52,NPV($I16,'DRE + DCF'!$U$52:$AD$52,SUM('DRE + DCF'!$AE$52,('DRE + DCF'!$AF$44*(1-((M$18-'Capex + K. Giro'!$AE$10)/('DRE + DCF'!$AG$41-'Capex + K. Giro'!$AE$10)))*(1+M$18))/($I16-M$18))))/((1+$I16)^((5-$F$9)*3/12)))+SUM($F$13:$F$15))/$F$11</f>
        <v>16.036868323332516</v>
      </c>
      <c r="N16" s="391">
        <f>((SUM('DRE + DCF'!$T$52,NPV($I16,'DRE + DCF'!$U$52:$AD$52,SUM('DRE + DCF'!$AE$52,('DRE + DCF'!$AF$44*(1-((N$18-'Capex + K. Giro'!$AE$10)/('DRE + DCF'!$AG$41-'Capex + K. Giro'!$AE$10)))*(1+N$18))/($I16-N$18))))/((1+$I16)^((5-$F$9)*3/12)))+SUM($F$13:$F$15))/$F$11</f>
        <v>16.084821479500928</v>
      </c>
      <c r="O16" s="391">
        <f>((SUM('DRE + DCF'!$T$52,NPV($I16,'DRE + DCF'!$U$52:$AD$52,SUM('DRE + DCF'!$AE$52,('DRE + DCF'!$AF$44*(1-((O$18-'Capex + K. Giro'!$AE$10)/('DRE + DCF'!$AG$41-'Capex + K. Giro'!$AE$10)))*(1+O$18))/($I16-O$18))))/((1+$I16)^((5-$F$9)*3/12)))+SUM($F$13:$F$15))/$F$11</f>
        <v>16.134799710712599</v>
      </c>
      <c r="P16" s="391">
        <f>((SUM('DRE + DCF'!$T$52,NPV($I16,'DRE + DCF'!$U$52:$AD$52,SUM('DRE + DCF'!$AE$52,('DRE + DCF'!$AF$44*(1-((P$18-'Capex + K. Giro'!$AE$10)/('DRE + DCF'!$AG$41-'Capex + K. Giro'!$AE$10)))*(1+P$18))/($I16-P$18))))/((1+$I16)^((5-$F$9)*3/12)))+SUM($F$13:$F$15))/$F$11</f>
        <v>16.186985948665136</v>
      </c>
      <c r="Q16" s="391">
        <f>((SUM('DRE + DCF'!$T$52,NPV($I16,'DRE + DCF'!$U$52:$AD$52,SUM('DRE + DCF'!$AE$52,('DRE + DCF'!$AF$44*(1-((Q$18-'Capex + K. Giro'!$AE$10)/('DRE + DCF'!$AG$41-'Capex + K. Giro'!$AE$10)))*(1+Q$18))/($I16-Q$18))))/((1+$I16)^((5-$F$9)*3/12)))+SUM($F$13:$F$15))/$F$11</f>
        <v>16.241585842190911</v>
      </c>
      <c r="R16" s="391">
        <f>((SUM('DRE + DCF'!$T$52,NPV($I16,'DRE + DCF'!$U$52:$AD$52,SUM('DRE + DCF'!$AE$52,('DRE + DCF'!$AF$44*(1-((R$18-'Capex + K. Giro'!$AE$10)/('DRE + DCF'!$AG$41-'Capex + K. Giro'!$AE$10)))*(1+R$18))/($I16-R$18))))/((1+$I16)^((5-$F$9)*3/12)))+SUM($F$13:$F$15))/$F$11</f>
        <v>16.298831396616592</v>
      </c>
      <c r="S16" s="391">
        <f>((SUM('DRE + DCF'!$T$52,NPV($I16,'DRE + DCF'!$U$52:$AD$52,SUM('DRE + DCF'!$AE$52,('DRE + DCF'!$AF$44*(1-((S$18-'Capex + K. Giro'!$AE$10)/('DRE + DCF'!$AG$41-'Capex + K. Giro'!$AE$10)))*(1+S$18))/($I16-S$18))))/((1+$I16)^((5-$F$9)*3/12)))+SUM($F$13:$F$15))/$F$11</f>
        <v>16.358985335926633</v>
      </c>
      <c r="T16" s="134"/>
      <c r="U16" s="27"/>
      <c r="V16" s="27"/>
      <c r="W16" s="27"/>
      <c r="X16" s="9"/>
    </row>
    <row r="17" spans="1:24" ht="30" customHeight="1" x14ac:dyDescent="0.25">
      <c r="A17" s="25" t="s">
        <v>1086</v>
      </c>
      <c r="B17" s="27"/>
      <c r="C17" s="27"/>
      <c r="D17" s="27"/>
      <c r="E17" s="40" t="s">
        <v>55</v>
      </c>
      <c r="F17" s="41">
        <v>16.510000000000002</v>
      </c>
      <c r="G17" s="39"/>
      <c r="H17" s="448"/>
      <c r="I17" s="357">
        <f>I16+0.5%</f>
        <v>0.16355340565858215</v>
      </c>
      <c r="J17" s="391">
        <f>((SUM('DRE + DCF'!$T$52,NPV($I17,'DRE + DCF'!$U$52:$AD$52,SUM('DRE + DCF'!$AE$52,('DRE + DCF'!$AF$44*(1-((J$18-'Capex + K. Giro'!$AE$10)/('DRE + DCF'!$AG$41-'Capex + K. Giro'!$AE$10)))*(1+J$18))/($I17-J$18))))/((1+$I17)^((5-$F$9)*3/12)))+SUM($F$13:$F$15))/$F$11</f>
        <v>14.980841544421851</v>
      </c>
      <c r="K17" s="391">
        <f>((SUM('DRE + DCF'!$T$52,NPV($I17,'DRE + DCF'!$U$52:$AD$52,SUM('DRE + DCF'!$AE$52,('DRE + DCF'!$AF$44*(1-((K$18-'Capex + K. Giro'!$AE$10)/('DRE + DCF'!$AG$41-'Capex + K. Giro'!$AE$10)))*(1+K$18))/($I17-K$18))))/((1+$I17)^((5-$F$9)*3/12)))+SUM($F$13:$F$15))/$F$11</f>
        <v>15.011801442531443</v>
      </c>
      <c r="L17" s="391">
        <f>((SUM('DRE + DCF'!$T$52,NPV($I17,'DRE + DCF'!$U$52:$AD$52,SUM('DRE + DCF'!$AE$52,('DRE + DCF'!$AF$44*(1-((L$18-'Capex + K. Giro'!$AE$10)/('DRE + DCF'!$AG$41-'Capex + K. Giro'!$AE$10)))*(1+L$18))/($I17-L$18))))/((1+$I17)^((5-$F$9)*3/12)))+SUM($F$13:$F$15))/$F$11</f>
        <v>15.043695612024143</v>
      </c>
      <c r="M17" s="391">
        <f>((SUM('DRE + DCF'!$T$52,NPV($I17,'DRE + DCF'!$U$52:$AD$52,SUM('DRE + DCF'!$AE$52,('DRE + DCF'!$AF$44*(1-((M$18-'Capex + K. Giro'!$AE$10)/('DRE + DCF'!$AG$41-'Capex + K. Giro'!$AE$10)))*(1+M$18))/($I17-M$18))))/((1+$I17)^((5-$F$9)*3/12)))+SUM($F$13:$F$15))/$F$11</f>
        <v>15.076597405129881</v>
      </c>
      <c r="N17" s="391">
        <f>((SUM('DRE + DCF'!$T$52,NPV($I17,'DRE + DCF'!$U$52:$AD$52,SUM('DRE + DCF'!$AE$52,('DRE + DCF'!$AF$44*(1-((N$18-'Capex + K. Giro'!$AE$10)/('DRE + DCF'!$AG$41-'Capex + K. Giro'!$AE$10)))*(1+N$18))/($I17-N$18))))/((1+$I17)^((5-$F$9)*3/12)))+SUM($F$13:$F$15))/$F$11</f>
        <v>15.110588059221978</v>
      </c>
      <c r="O17" s="391">
        <f>((SUM('DRE + DCF'!$T$52,NPV($I17,'DRE + DCF'!$U$52:$AD$52,SUM('DRE + DCF'!$AE$52,('DRE + DCF'!$AF$44*(1-((O$18-'Capex + K. Giro'!$AE$10)/('DRE + DCF'!$AG$41-'Capex + K. Giro'!$AE$10)))*(1+O$18))/($I17-O$18))))/((1+$I17)^((5-$F$9)*3/12)))+SUM($F$13:$F$15))/$F$11</f>
        <v>15.145757785614098</v>
      </c>
      <c r="P17" s="391">
        <f>((SUM('DRE + DCF'!$T$52,NPV($I17,'DRE + DCF'!$U$52:$AD$52,SUM('DRE + DCF'!$AE$52,('DRE + DCF'!$AF$44*(1-((P$18-'Capex + K. Giro'!$AE$10)/('DRE + DCF'!$AG$41-'Capex + K. Giro'!$AE$10)))*(1+P$18))/($I17-P$18))))/((1+$I17)^((5-$F$9)*3/12)))+SUM($F$13:$F$15))/$F$11</f>
        <v>15.18220704389314</v>
      </c>
      <c r="Q17" s="391">
        <f>((SUM('DRE + DCF'!$T$52,NPV($I17,'DRE + DCF'!$U$52:$AD$52,SUM('DRE + DCF'!$AE$52,('DRE + DCF'!$AF$44*(1-((Q$18-'Capex + K. Giro'!$AE$10)/('DRE + DCF'!$AG$41-'Capex + K. Giro'!$AE$10)))*(1+Q$18))/($I17-Q$18))))/((1+$I17)^((5-$F$9)*3/12)))+SUM($F$13:$F$15))/$F$11</f>
        <v>15.220048039751598</v>
      </c>
      <c r="R17" s="391">
        <f>((SUM('DRE + DCF'!$T$52,NPV($I17,'DRE + DCF'!$U$52:$AD$52,SUM('DRE + DCF'!$AE$52,('DRE + DCF'!$AF$44*(1-((R$18-'Capex + K. Giro'!$AE$10)/('DRE + DCF'!$AG$41-'Capex + K. Giro'!$AE$10)))*(1+R$18))/($I17-R$18))))/((1+$I17)^((5-$F$9)*3/12)))+SUM($F$13:$F$15))/$F$11</f>
        <v>15.25940649342828</v>
      </c>
      <c r="S17" s="391">
        <f>((SUM('DRE + DCF'!$T$52,NPV($I17,'DRE + DCF'!$U$52:$AD$52,SUM('DRE + DCF'!$AE$52,('DRE + DCF'!$AF$44*(1-((S$18-'Capex + K. Giro'!$AE$10)/('DRE + DCF'!$AG$41-'Capex + K. Giro'!$AE$10)))*(1+S$18))/($I17-S$18))))/((1+$I17)^((5-$F$9)*3/12)))+SUM($F$13:$F$15))/$F$11</f>
        <v>15.300423737566197</v>
      </c>
      <c r="T17" s="134"/>
      <c r="U17" s="27"/>
      <c r="V17" s="27"/>
      <c r="W17" s="27"/>
      <c r="X17" s="9"/>
    </row>
    <row r="18" spans="1:24" ht="30" customHeight="1" x14ac:dyDescent="0.25">
      <c r="A18" s="25"/>
      <c r="B18" s="27"/>
      <c r="C18" s="27"/>
      <c r="D18" s="27"/>
      <c r="E18" s="393"/>
      <c r="F18" s="41"/>
      <c r="G18" s="39"/>
      <c r="H18" s="39"/>
      <c r="I18" s="39"/>
      <c r="J18" s="357">
        <f>K18-0.25%</f>
        <v>6.0527538499999922E-2</v>
      </c>
      <c r="K18" s="357">
        <f>L18-0.25%</f>
        <v>6.3027538499999924E-2</v>
      </c>
      <c r="L18" s="357">
        <f>M18-0.25%</f>
        <v>6.5527538499999927E-2</v>
      </c>
      <c r="M18" s="357">
        <f>N18-0.25%</f>
        <v>6.8027538499999929E-2</v>
      </c>
      <c r="N18" s="357">
        <f>'DRE + DCF'!AH41</f>
        <v>7.0527538499999931E-2</v>
      </c>
      <c r="O18" s="357">
        <f>N18+0.25%</f>
        <v>7.3027538499999933E-2</v>
      </c>
      <c r="P18" s="357">
        <f>O18+0.25%</f>
        <v>7.5527538499999936E-2</v>
      </c>
      <c r="Q18" s="357">
        <f>P18+0.25%</f>
        <v>7.8027538499999938E-2</v>
      </c>
      <c r="R18" s="357">
        <f>Q18+0.25%</f>
        <v>8.052753849999994E-2</v>
      </c>
      <c r="S18" s="358">
        <f>R18+0.25%</f>
        <v>8.3027538499999942E-2</v>
      </c>
      <c r="T18" s="27"/>
      <c r="U18" s="27"/>
      <c r="V18" s="27"/>
      <c r="W18" s="27"/>
      <c r="X18" s="9"/>
    </row>
    <row r="19" spans="1:24" ht="30" customHeight="1" x14ac:dyDescent="0.25">
      <c r="B19" s="27"/>
      <c r="C19" s="27"/>
      <c r="D19" s="27"/>
      <c r="E19" s="36" t="str">
        <f>IFERROR(IF(F19=0,"",IF(F19&gt;0,"Upside","Downside")),"")</f>
        <v>Upside</v>
      </c>
      <c r="F19" s="445">
        <f>IFERROR(F16/F17-1,"")</f>
        <v>0.17870189560655425</v>
      </c>
      <c r="G19" s="39"/>
      <c r="H19" s="39"/>
      <c r="I19" s="39"/>
      <c r="J19" s="446" t="s">
        <v>33</v>
      </c>
      <c r="K19" s="446"/>
      <c r="L19" s="446"/>
      <c r="M19" s="446"/>
      <c r="N19" s="446"/>
      <c r="O19" s="446"/>
      <c r="P19" s="446"/>
      <c r="Q19" s="446"/>
      <c r="R19" s="446"/>
      <c r="S19" s="447"/>
      <c r="T19" s="27"/>
      <c r="U19" s="27"/>
      <c r="V19" s="27"/>
      <c r="W19" s="27"/>
      <c r="X19" s="9"/>
    </row>
    <row r="20" spans="1:24" ht="30" customHeight="1" thickBot="1" x14ac:dyDescent="0.3">
      <c r="B20" s="27"/>
      <c r="C20" s="27"/>
      <c r="D20" s="27"/>
      <c r="E20" s="264" t="s">
        <v>377</v>
      </c>
      <c r="F20" s="431">
        <v>0.16672753849999938</v>
      </c>
      <c r="G20" s="42"/>
      <c r="H20" s="42"/>
      <c r="I20" s="4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134"/>
      <c r="U20" s="27"/>
      <c r="V20" s="27"/>
      <c r="W20" s="27"/>
      <c r="X20" s="9"/>
    </row>
    <row r="21" spans="1:24" ht="30" customHeight="1" x14ac:dyDescent="0.25"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9"/>
    </row>
    <row r="22" spans="1:24" ht="30" customHeight="1" x14ac:dyDescent="0.25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9"/>
    </row>
    <row r="23" spans="1:24" ht="30" customHeight="1" x14ac:dyDescent="0.25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9"/>
    </row>
    <row r="24" spans="1:24" ht="30" customHeight="1" x14ac:dyDescent="0.25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9"/>
    </row>
    <row r="25" spans="1:24" ht="30" customHeight="1" x14ac:dyDescent="0.25"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9"/>
    </row>
    <row r="26" spans="1:24" ht="30" customHeight="1" x14ac:dyDescent="0.25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9"/>
    </row>
    <row r="27" spans="1:24" ht="30" customHeight="1" x14ac:dyDescent="0.25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9"/>
    </row>
    <row r="28" spans="1:24" ht="30" customHeight="1" x14ac:dyDescent="0.25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9"/>
    </row>
    <row r="29" spans="1:24" ht="30" customHeight="1" x14ac:dyDescent="0.25"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9"/>
    </row>
    <row r="30" spans="1:24" ht="30" customHeight="1" x14ac:dyDescent="0.25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9"/>
    </row>
    <row r="31" spans="1:24" ht="30" customHeight="1" x14ac:dyDescent="0.25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9"/>
    </row>
    <row r="32" spans="1:24" ht="30" customHeight="1" x14ac:dyDescent="0.25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9"/>
    </row>
    <row r="33" spans="2:24" ht="30" customHeight="1" x14ac:dyDescent="0.25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9"/>
    </row>
    <row r="34" spans="2:24" ht="30" customHeight="1" x14ac:dyDescent="0.25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9"/>
    </row>
    <row r="35" spans="2:24" ht="30" customHeight="1" x14ac:dyDescent="0.25"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9"/>
    </row>
    <row r="36" spans="2:24" ht="30" customHeight="1" x14ac:dyDescent="0.25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9"/>
    </row>
    <row r="37" spans="2:24" ht="30" customHeight="1" x14ac:dyDescent="0.25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9"/>
    </row>
    <row r="38" spans="2:24" ht="30" customHeight="1" x14ac:dyDescent="0.25"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9"/>
    </row>
    <row r="39" spans="2:24" ht="30" customHeight="1" x14ac:dyDescent="0.25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9"/>
    </row>
    <row r="40" spans="2:24" ht="30" customHeight="1" x14ac:dyDescent="0.25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9"/>
    </row>
    <row r="41" spans="2:24" ht="30" customHeight="1" x14ac:dyDescent="0.25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9"/>
    </row>
    <row r="42" spans="2:24" ht="30" customHeight="1" x14ac:dyDescent="0.2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9"/>
    </row>
    <row r="43" spans="2:24" ht="30" customHeight="1" x14ac:dyDescent="0.2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9"/>
    </row>
    <row r="44" spans="2:24" ht="30" customHeight="1" x14ac:dyDescent="0.25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9"/>
    </row>
    <row r="45" spans="2:24" ht="30" customHeight="1" x14ac:dyDescent="0.25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9"/>
    </row>
    <row r="46" spans="2:24" ht="30" customHeight="1" x14ac:dyDescent="0.25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9"/>
    </row>
    <row r="47" spans="2:24" ht="30" customHeight="1" x14ac:dyDescent="0.25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9"/>
    </row>
    <row r="48" spans="2:24" ht="30" customHeight="1" x14ac:dyDescent="0.25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9"/>
    </row>
    <row r="49" spans="2:24" ht="30" customHeight="1" x14ac:dyDescent="0.25"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9"/>
    </row>
    <row r="50" spans="2:24" ht="30" customHeight="1" x14ac:dyDescent="0.25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9"/>
    </row>
    <row r="51" spans="2:24" ht="30" customHeight="1" x14ac:dyDescent="0.25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9"/>
    </row>
    <row r="52" spans="2:24" ht="30" customHeight="1" x14ac:dyDescent="0.25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9"/>
    </row>
    <row r="53" spans="2:24" ht="30" customHeight="1" x14ac:dyDescent="0.25"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9"/>
    </row>
    <row r="54" spans="2:24" ht="30" customHeight="1" x14ac:dyDescent="0.25"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9"/>
    </row>
    <row r="55" spans="2:24" ht="30" customHeight="1" x14ac:dyDescent="0.25"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9"/>
    </row>
    <row r="56" spans="2:24" ht="30" customHeight="1" x14ac:dyDescent="0.25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9"/>
    </row>
    <row r="57" spans="2:24" ht="30" customHeight="1" x14ac:dyDescent="0.25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9"/>
    </row>
    <row r="58" spans="2:24" ht="30" customHeight="1" x14ac:dyDescent="0.25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9"/>
    </row>
    <row r="59" spans="2:24" ht="30" customHeight="1" x14ac:dyDescent="0.25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9"/>
    </row>
    <row r="60" spans="2:24" ht="30" customHeight="1" x14ac:dyDescent="0.25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9"/>
    </row>
    <row r="61" spans="2:24" ht="30" customHeight="1" x14ac:dyDescent="0.25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9"/>
    </row>
    <row r="62" spans="2:24" ht="30" customHeight="1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9"/>
    </row>
    <row r="63" spans="2:24" ht="30" customHeight="1" x14ac:dyDescent="0.25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9"/>
    </row>
    <row r="64" spans="2:24" ht="30" customHeight="1" x14ac:dyDescent="0.25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9"/>
    </row>
    <row r="65" spans="2:24" ht="30" customHeight="1" x14ac:dyDescent="0.25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9"/>
    </row>
    <row r="66" spans="2:24" ht="30" customHeight="1" x14ac:dyDescent="0.25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9"/>
    </row>
    <row r="67" spans="2:24" ht="30" customHeight="1" x14ac:dyDescent="0.25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9"/>
    </row>
    <row r="68" spans="2:24" ht="30" customHeight="1" x14ac:dyDescent="0.25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9"/>
    </row>
    <row r="69" spans="2:24" ht="30" customHeight="1" x14ac:dyDescent="0.25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9"/>
    </row>
    <row r="70" spans="2:24" ht="30" customHeight="1" x14ac:dyDescent="0.25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9"/>
    </row>
    <row r="71" spans="2:24" ht="30" customHeight="1" x14ac:dyDescent="0.25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9"/>
    </row>
    <row r="72" spans="2:24" ht="30" customHeight="1" x14ac:dyDescent="0.25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9"/>
    </row>
    <row r="73" spans="2:24" ht="30" customHeight="1" x14ac:dyDescent="0.25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9"/>
    </row>
    <row r="74" spans="2:24" ht="30" customHeight="1" x14ac:dyDescent="0.25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9"/>
    </row>
    <row r="75" spans="2:24" ht="30" customHeight="1" x14ac:dyDescent="0.25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9"/>
    </row>
    <row r="76" spans="2:24" ht="30" customHeight="1" x14ac:dyDescent="0.25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9"/>
    </row>
    <row r="77" spans="2:24" ht="30" customHeight="1" x14ac:dyDescent="0.25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9"/>
    </row>
    <row r="78" spans="2:24" ht="30" customHeight="1" x14ac:dyDescent="0.25"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9"/>
    </row>
    <row r="79" spans="2:24" ht="30" customHeight="1" x14ac:dyDescent="0.25"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9"/>
    </row>
    <row r="80" spans="2:24" ht="30" customHeight="1" x14ac:dyDescent="0.25"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9"/>
    </row>
    <row r="81" spans="2:24" ht="30" customHeight="1" x14ac:dyDescent="0.25"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9"/>
    </row>
    <row r="82" spans="2:24" ht="30" customHeight="1" x14ac:dyDescent="0.25"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9"/>
    </row>
    <row r="83" spans="2:24" ht="30" customHeight="1" x14ac:dyDescent="0.25"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9"/>
    </row>
    <row r="84" spans="2:24" ht="30" customHeight="1" x14ac:dyDescent="0.25"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9"/>
    </row>
    <row r="85" spans="2:24" ht="30" customHeight="1" x14ac:dyDescent="0.25"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9"/>
    </row>
    <row r="86" spans="2:24" ht="30" customHeight="1" x14ac:dyDescent="0.25"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9"/>
    </row>
    <row r="87" spans="2:24" ht="30" customHeight="1" x14ac:dyDescent="0.25"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9"/>
    </row>
    <row r="88" spans="2:24" ht="30" customHeight="1" x14ac:dyDescent="0.25"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9"/>
    </row>
    <row r="89" spans="2:24" ht="30" customHeight="1" x14ac:dyDescent="0.25"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9"/>
    </row>
    <row r="90" spans="2:24" ht="30" customHeight="1" x14ac:dyDescent="0.25"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9"/>
    </row>
    <row r="91" spans="2:24" ht="30" customHeight="1" x14ac:dyDescent="0.25"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9"/>
    </row>
    <row r="92" spans="2:24" ht="30" customHeight="1" x14ac:dyDescent="0.25"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9"/>
    </row>
    <row r="93" spans="2:24" ht="30" customHeight="1" x14ac:dyDescent="0.25"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9"/>
    </row>
    <row r="94" spans="2:24" ht="30" customHeight="1" x14ac:dyDescent="0.25"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9"/>
    </row>
    <row r="95" spans="2:24" ht="30" customHeight="1" x14ac:dyDescent="0.25"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9"/>
    </row>
    <row r="96" spans="2:24" ht="30" customHeight="1" x14ac:dyDescent="0.25"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9"/>
    </row>
    <row r="97" spans="2:24" ht="30" customHeight="1" x14ac:dyDescent="0.25"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9"/>
    </row>
    <row r="98" spans="2:24" ht="30" customHeight="1" x14ac:dyDescent="0.25"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9"/>
    </row>
    <row r="99" spans="2:24" ht="30" customHeight="1" x14ac:dyDescent="0.25"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9"/>
    </row>
    <row r="100" spans="2:24" ht="30" customHeight="1" x14ac:dyDescent="0.25"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9"/>
    </row>
    <row r="101" spans="2:24" ht="30" customHeight="1" x14ac:dyDescent="0.25"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9"/>
    </row>
    <row r="102" spans="2:24" ht="30" customHeight="1" x14ac:dyDescent="0.25"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9"/>
    </row>
    <row r="103" spans="2:24" ht="30" customHeight="1" x14ac:dyDescent="0.25"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9"/>
    </row>
    <row r="104" spans="2:24" ht="30" customHeight="1" x14ac:dyDescent="0.25"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9"/>
    </row>
    <row r="105" spans="2:24" ht="30" customHeight="1" x14ac:dyDescent="0.25"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9"/>
    </row>
    <row r="106" spans="2:24" ht="30" customHeight="1" x14ac:dyDescent="0.25"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9"/>
    </row>
    <row r="107" spans="2:24" ht="30" customHeight="1" x14ac:dyDescent="0.25"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9"/>
    </row>
    <row r="108" spans="2:24" ht="30" customHeight="1" x14ac:dyDescent="0.25"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9"/>
    </row>
    <row r="109" spans="2:24" ht="30" customHeight="1" x14ac:dyDescent="0.25"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9"/>
    </row>
    <row r="110" spans="2:24" ht="30" customHeight="1" x14ac:dyDescent="0.25"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9"/>
    </row>
    <row r="111" spans="2:24" ht="30" customHeight="1" x14ac:dyDescent="0.25"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9"/>
    </row>
    <row r="112" spans="2:24" ht="30" customHeight="1" x14ac:dyDescent="0.25"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9"/>
    </row>
    <row r="113" spans="2:24" ht="30" customHeight="1" x14ac:dyDescent="0.25"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9"/>
    </row>
    <row r="114" spans="2:24" ht="30" customHeight="1" x14ac:dyDescent="0.25"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9"/>
    </row>
    <row r="115" spans="2:24" ht="30" customHeight="1" x14ac:dyDescent="0.25"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9"/>
    </row>
    <row r="116" spans="2:24" ht="30" customHeight="1" x14ac:dyDescent="0.25"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9"/>
    </row>
    <row r="117" spans="2:24" ht="30" customHeight="1" x14ac:dyDescent="0.25"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9"/>
    </row>
    <row r="118" spans="2:24" ht="30" customHeight="1" x14ac:dyDescent="0.25"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9"/>
    </row>
    <row r="119" spans="2:24" ht="30" customHeight="1" x14ac:dyDescent="0.25"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9"/>
    </row>
    <row r="120" spans="2:24" ht="30" customHeight="1" x14ac:dyDescent="0.25"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9"/>
    </row>
    <row r="121" spans="2:24" ht="30" customHeight="1" x14ac:dyDescent="0.25"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9"/>
    </row>
    <row r="122" spans="2:24" ht="30" customHeight="1" x14ac:dyDescent="0.25"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9"/>
    </row>
    <row r="123" spans="2:24" ht="30" customHeight="1" x14ac:dyDescent="0.25"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9"/>
    </row>
    <row r="124" spans="2:24" ht="30" customHeight="1" x14ac:dyDescent="0.25"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9"/>
    </row>
    <row r="125" spans="2:24" ht="30" customHeight="1" x14ac:dyDescent="0.25"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9"/>
    </row>
    <row r="126" spans="2:24" ht="30" customHeight="1" x14ac:dyDescent="0.25"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9"/>
    </row>
    <row r="127" spans="2:24" ht="30" customHeight="1" x14ac:dyDescent="0.25"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9"/>
    </row>
    <row r="128" spans="2:24" ht="30" customHeight="1" x14ac:dyDescent="0.25"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9"/>
    </row>
    <row r="129" spans="2:24" ht="30" customHeight="1" x14ac:dyDescent="0.25"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9"/>
    </row>
    <row r="130" spans="2:24" ht="30" customHeight="1" x14ac:dyDescent="0.25"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9"/>
    </row>
  </sheetData>
  <mergeCells count="3">
    <mergeCell ref="J19:S19"/>
    <mergeCell ref="H9:H17"/>
    <mergeCell ref="I3:L5"/>
  </mergeCells>
  <conditionalFormatting sqref="J9:S17">
    <cfRule type="colorScale" priority="1">
      <colorScale>
        <cfvo type="min"/>
        <cfvo type="max"/>
        <color rgb="FFCEF6CE"/>
        <color rgb="FF59BF59"/>
      </colorScale>
    </cfRule>
  </conditionalFormatting>
  <hyperlinks>
    <hyperlink ref="A9" location="WACC!A1" display="WACC" xr:uid="{208EB2C3-3E5A-439A-A8A3-4506CCD06EA6}"/>
    <hyperlink ref="A8" location="Dashboard!A1" display="Dashboard" xr:uid="{AB084282-55ED-4D10-B57F-27CD3AC7A6A5}"/>
    <hyperlink ref="A13" location="'Projeções - Receita'!A1" display="Projeções" xr:uid="{40593C47-DEDB-47C0-802A-26741181DCB2}"/>
    <hyperlink ref="A10" location="'DRE + DCF'!A1" display="DRE + DCF" xr:uid="{D2345504-75AC-4BDD-8331-B8C322054F84}"/>
    <hyperlink ref="A12" location="'Balanço Patrimonial'!A1" display="Balanço Patrimonial" xr:uid="{8D4632B7-388B-46A3-9BCB-4B64F2738BBE}"/>
    <hyperlink ref="A15" location="'Capex + K. Giro'!A1" display="Capex + Capital de Giro" xr:uid="{96E7B3C0-B5BA-4E12-AC14-28693ADB96D5}"/>
    <hyperlink ref="A14" location="Lojas!A1" display="Lojas" xr:uid="{18C9B86C-907C-4124-A466-61D89F258515}"/>
    <hyperlink ref="A11" location="'DRE - Contas Abertas'!A1" display="Contas Abertas" xr:uid="{61CAE8F7-7375-4936-A3BB-F8F8476D6F98}"/>
    <hyperlink ref="A16" location="'Projeções Trimestrais'!A1" display="Projeções Trimestrais" xr:uid="{CEA58EA1-13BE-411E-8C31-22839192C8F5}"/>
    <hyperlink ref="A17" location="'Painel de Índices'!A1" display="Painel de Índices" xr:uid="{8AB685E6-75A9-4B89-BB00-08DCDD1815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9680A-4C9C-45C6-B193-BDF25EFEDC16}">
  <sheetPr codeName="Planilha3"/>
  <dimension ref="A1:CI68"/>
  <sheetViews>
    <sheetView showGridLines="0" zoomScaleNormal="100" workbookViewId="0"/>
  </sheetViews>
  <sheetFormatPr defaultColWidth="0" defaultRowHeight="34.5" customHeight="1" x14ac:dyDescent="0.25"/>
  <cols>
    <col min="1" max="1" width="39.140625" customWidth="1"/>
    <col min="2" max="2" width="9.140625" customWidth="1"/>
    <col min="3" max="4" width="9.140625" style="2" customWidth="1"/>
    <col min="5" max="5" width="40.85546875" style="359" bestFit="1" customWidth="1"/>
    <col min="6" max="16" width="12.7109375" style="2" customWidth="1"/>
    <col min="17" max="18" width="13" style="2" customWidth="1"/>
    <col min="19" max="26" width="9.140625" style="2" customWidth="1"/>
    <col min="27" max="27" width="9.140625" style="2" hidden="1" customWidth="1"/>
    <col min="28" max="31" width="0" style="2" hidden="1" customWidth="1"/>
    <col min="32" max="33" width="9.140625" style="2" hidden="1" customWidth="1"/>
    <col min="34" max="37" width="0" style="2" hidden="1" customWidth="1"/>
    <col min="38" max="39" width="9.140625" style="2" hidden="1" customWidth="1"/>
    <col min="40" max="56" width="0" style="2" hidden="1" customWidth="1"/>
    <col min="57" max="57" width="9.140625" style="2" hidden="1" customWidth="1"/>
    <col min="58" max="61" width="0" style="2" hidden="1" customWidth="1"/>
    <col min="62" max="63" width="9.140625" style="2" hidden="1" customWidth="1"/>
    <col min="64" max="67" width="0" style="2" hidden="1" customWidth="1"/>
    <col min="68" max="69" width="9.140625" style="2" hidden="1" customWidth="1"/>
    <col min="70" max="72" width="0" style="2" hidden="1" customWidth="1"/>
    <col min="73" max="74" width="9.140625" style="2" hidden="1" customWidth="1"/>
    <col min="75" max="78" width="0" style="2" hidden="1" customWidth="1"/>
    <col min="79" max="87" width="9.140625" style="2" hidden="1" customWidth="1"/>
    <col min="88" max="16384" width="0" style="2" hidden="1"/>
  </cols>
  <sheetData>
    <row r="1" spans="1:31" ht="15" customHeight="1" x14ac:dyDescent="0.25">
      <c r="A1" s="8"/>
      <c r="B1" s="27"/>
      <c r="C1" s="27"/>
      <c r="D1" s="27"/>
      <c r="E1" s="163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31" ht="15" customHeight="1" x14ac:dyDescent="0.25">
      <c r="A2" s="8"/>
      <c r="B2" s="27"/>
      <c r="C2" s="27"/>
      <c r="D2" s="27"/>
      <c r="E2" s="163"/>
      <c r="F2" s="27"/>
      <c r="G2" s="27"/>
      <c r="H2" s="27"/>
      <c r="I2" s="27"/>
      <c r="J2" s="27"/>
      <c r="K2" s="27"/>
      <c r="L2" s="27"/>
      <c r="M2" s="28"/>
      <c r="N2" s="43"/>
      <c r="O2" s="43"/>
      <c r="P2" s="43"/>
      <c r="Q2" s="43"/>
      <c r="R2" s="27"/>
      <c r="S2" s="27"/>
      <c r="T2" s="27"/>
      <c r="U2" s="27"/>
      <c r="V2" s="27"/>
      <c r="W2" s="27"/>
      <c r="X2" s="27"/>
      <c r="Y2" s="27"/>
      <c r="Z2" s="27"/>
    </row>
    <row r="3" spans="1:31" ht="15" customHeight="1" x14ac:dyDescent="0.25">
      <c r="A3" s="8"/>
      <c r="B3" s="27"/>
      <c r="C3" s="27"/>
      <c r="D3" s="27"/>
      <c r="E3" s="449" t="s">
        <v>386</v>
      </c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232"/>
      <c r="T3" s="232"/>
      <c r="U3" s="232"/>
      <c r="V3" s="27"/>
      <c r="W3" s="27"/>
      <c r="X3" s="27"/>
      <c r="Y3" s="27"/>
      <c r="Z3" s="27"/>
    </row>
    <row r="4" spans="1:31" ht="15" customHeight="1" x14ac:dyDescent="0.25">
      <c r="A4" s="8"/>
      <c r="B4" s="27"/>
      <c r="C4" s="27"/>
      <c r="D4" s="27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232"/>
      <c r="T4" s="232"/>
      <c r="U4" s="232"/>
      <c r="V4" s="27"/>
      <c r="W4" s="27"/>
      <c r="X4" s="27"/>
      <c r="Y4" s="27"/>
      <c r="Z4" s="27"/>
    </row>
    <row r="5" spans="1:31" ht="15" customHeight="1" x14ac:dyDescent="0.25">
      <c r="A5" s="8"/>
      <c r="B5" s="27"/>
      <c r="C5" s="27"/>
      <c r="D5" s="27"/>
      <c r="E5" s="449"/>
      <c r="F5" s="449"/>
      <c r="G5" s="449"/>
      <c r="H5" s="449"/>
      <c r="I5" s="449"/>
      <c r="J5" s="449"/>
      <c r="K5" s="449"/>
      <c r="L5" s="449"/>
      <c r="M5" s="449"/>
      <c r="N5" s="449"/>
      <c r="O5" s="449"/>
      <c r="P5" s="449"/>
      <c r="Q5" s="449"/>
      <c r="R5" s="449"/>
      <c r="S5" s="232"/>
      <c r="T5" s="232"/>
      <c r="U5" s="232"/>
      <c r="V5" s="27"/>
      <c r="W5" s="27"/>
      <c r="X5" s="27"/>
      <c r="Y5" s="27"/>
      <c r="Z5" s="27"/>
    </row>
    <row r="6" spans="1:31" ht="26.1" customHeight="1" x14ac:dyDescent="0.25">
      <c r="A6" s="8"/>
      <c r="B6" s="27"/>
      <c r="C6" s="27"/>
      <c r="D6" s="27"/>
      <c r="E6" s="163"/>
      <c r="F6" s="27"/>
      <c r="G6" s="205"/>
      <c r="H6" s="205"/>
      <c r="I6" s="205"/>
      <c r="J6" s="205"/>
      <c r="K6" s="205"/>
      <c r="L6" s="205"/>
      <c r="M6" s="205"/>
      <c r="N6" s="205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31" s="7" customFormat="1" ht="24.75" customHeight="1" x14ac:dyDescent="0.25">
      <c r="A7" s="24" t="s">
        <v>39</v>
      </c>
      <c r="B7" s="31"/>
      <c r="C7" s="27"/>
      <c r="D7" s="27"/>
      <c r="E7" s="163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31"/>
      <c r="Z7" s="31"/>
    </row>
    <row r="8" spans="1:31" ht="30" customHeight="1" x14ac:dyDescent="0.25">
      <c r="A8" s="25" t="s">
        <v>40</v>
      </c>
      <c r="B8" s="27"/>
      <c r="C8" s="27"/>
      <c r="D8" s="31"/>
      <c r="E8" s="163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27"/>
      <c r="S8" s="27"/>
      <c r="T8" s="27"/>
      <c r="U8" s="27"/>
      <c r="V8" s="27"/>
      <c r="W8" s="27"/>
      <c r="X8" s="27"/>
      <c r="Y8" s="27"/>
      <c r="Z8" s="27"/>
    </row>
    <row r="9" spans="1:31" ht="30" customHeight="1" x14ac:dyDescent="0.25">
      <c r="A9" s="25" t="s">
        <v>22</v>
      </c>
      <c r="B9" s="27"/>
      <c r="C9" s="27"/>
      <c r="D9" s="247"/>
      <c r="E9" s="375"/>
      <c r="F9" s="303">
        <v>2010</v>
      </c>
      <c r="G9" s="303">
        <v>2011</v>
      </c>
      <c r="H9" s="303">
        <v>2012</v>
      </c>
      <c r="I9" s="303">
        <v>2013</v>
      </c>
      <c r="J9" s="303">
        <v>2014</v>
      </c>
      <c r="K9" s="303">
        <v>2015</v>
      </c>
      <c r="L9" s="303">
        <v>2016</v>
      </c>
      <c r="M9" s="303">
        <v>2017</v>
      </c>
      <c r="N9" s="303">
        <v>2018</v>
      </c>
      <c r="O9" s="303">
        <v>2019</v>
      </c>
      <c r="P9" s="303">
        <v>2020</v>
      </c>
      <c r="Q9" s="303">
        <v>2021</v>
      </c>
      <c r="R9" s="213">
        <v>2022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</row>
    <row r="10" spans="1:31" ht="30" customHeight="1" x14ac:dyDescent="0.25">
      <c r="A10" s="25" t="s">
        <v>42</v>
      </c>
      <c r="B10" s="27"/>
      <c r="C10" s="27"/>
      <c r="D10" s="170"/>
      <c r="E10" s="376" t="s">
        <v>1106</v>
      </c>
      <c r="F10" s="365">
        <f>'Balanço Patrimonial'!F11/'Balanço Patrimonial'!F39</f>
        <v>1.7329461694966288</v>
      </c>
      <c r="G10" s="365">
        <f>'Balanço Patrimonial'!G11/'Balanço Patrimonial'!G39</f>
        <v>1.6316621329106933</v>
      </c>
      <c r="H10" s="365">
        <f>'Balanço Patrimonial'!H11/'Balanço Patrimonial'!H39</f>
        <v>1.5298296301857086</v>
      </c>
      <c r="I10" s="365">
        <f>'Balanço Patrimonial'!I11/'Balanço Patrimonial'!I39</f>
        <v>1.4940830918206871</v>
      </c>
      <c r="J10" s="365">
        <f>'Balanço Patrimonial'!J11/'Balanço Patrimonial'!J39</f>
        <v>1.5356448289879709</v>
      </c>
      <c r="K10" s="365">
        <f>'Balanço Patrimonial'!K11/'Balanço Patrimonial'!K39</f>
        <v>1.6504393829920601</v>
      </c>
      <c r="L10" s="365">
        <f>'Balanço Patrimonial'!L11/'Balanço Patrimonial'!L39</f>
        <v>1.6869489914589768</v>
      </c>
      <c r="M10" s="365">
        <f>'Balanço Patrimonial'!M11/'Balanço Patrimonial'!M39</f>
        <v>1.7454412503364776</v>
      </c>
      <c r="N10" s="365">
        <f>'Balanço Patrimonial'!N11/'Balanço Patrimonial'!N39</f>
        <v>1.8125927764635872</v>
      </c>
      <c r="O10" s="365">
        <f>'Balanço Patrimonial'!O11/'Balanço Patrimonial'!O39</f>
        <v>1.6836343610055724</v>
      </c>
      <c r="P10" s="365">
        <f>'Balanço Patrimonial'!P11/'Balanço Patrimonial'!P39</f>
        <v>1.6018111056158846</v>
      </c>
      <c r="Q10" s="365">
        <f>'Balanço Patrimonial'!Q11/'Balanço Patrimonial'!Q39</f>
        <v>1.845007618890713</v>
      </c>
      <c r="R10" s="366">
        <f>'Balanço Patrimonial'!R11/'Balanço Patrimonial'!R39</f>
        <v>1.9119583393640773</v>
      </c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</row>
    <row r="11" spans="1:31" ht="30" customHeight="1" x14ac:dyDescent="0.25">
      <c r="A11" s="25" t="s">
        <v>987</v>
      </c>
      <c r="B11" s="27"/>
      <c r="C11" s="27"/>
      <c r="D11" s="170"/>
      <c r="E11" s="376" t="s">
        <v>1107</v>
      </c>
      <c r="F11" s="365">
        <f>'Balanço Patrimonial'!F12/'Balanço Patrimonial'!F40</f>
        <v>1.9468337467713475</v>
      </c>
      <c r="G11" s="365">
        <f>'Balanço Patrimonial'!G12/'Balanço Patrimonial'!G40</f>
        <v>1.9195616482794196</v>
      </c>
      <c r="H11" s="365">
        <f>'Balanço Patrimonial'!H12/'Balanço Patrimonial'!H40</f>
        <v>1.4472945933601205</v>
      </c>
      <c r="I11" s="365">
        <f>'Balanço Patrimonial'!I12/'Balanço Patrimonial'!I40</f>
        <v>1.552974791846585</v>
      </c>
      <c r="J11" s="365">
        <f>'Balanço Patrimonial'!J12/'Balanço Patrimonial'!J40</f>
        <v>1.7184246765871827</v>
      </c>
      <c r="K11" s="365">
        <f>'Balanço Patrimonial'!K12/'Balanço Patrimonial'!K40</f>
        <v>1.6045740487692135</v>
      </c>
      <c r="L11" s="365">
        <f>'Balanço Patrimonial'!L12/'Balanço Patrimonial'!L40</f>
        <v>1.4002144117164212</v>
      </c>
      <c r="M11" s="365">
        <f>'Balanço Patrimonial'!M12/'Balanço Patrimonial'!M40</f>
        <v>1.6683961584274736</v>
      </c>
      <c r="N11" s="365">
        <f>'Balanço Patrimonial'!N12/'Balanço Patrimonial'!N40</f>
        <v>1.3713802405214188</v>
      </c>
      <c r="O11" s="365">
        <f>'Balanço Patrimonial'!O12/'Balanço Patrimonial'!O40</f>
        <v>1.3968029828865529</v>
      </c>
      <c r="P11" s="365">
        <f>'Balanço Patrimonial'!P12/'Balanço Patrimonial'!P40</f>
        <v>1.5792858003792019</v>
      </c>
      <c r="Q11" s="365">
        <f>'Balanço Patrimonial'!Q12/'Balanço Patrimonial'!Q40</f>
        <v>1.7581850869362969</v>
      </c>
      <c r="R11" s="366">
        <f>'Balanço Patrimonial'!R12/'Balanço Patrimonial'!R40</f>
        <v>1.8633392043684041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</row>
    <row r="12" spans="1:31" ht="30" customHeight="1" x14ac:dyDescent="0.25">
      <c r="A12" s="25" t="s">
        <v>43</v>
      </c>
      <c r="B12" s="27"/>
      <c r="C12" s="27"/>
      <c r="D12" s="170"/>
      <c r="E12" s="376" t="s">
        <v>1108</v>
      </c>
      <c r="F12" s="365">
        <f>('Balanço Patrimonial'!F12-'Balanço Patrimonial'!F18)/'Balanço Patrimonial'!F40</f>
        <v>1.6652185254328313</v>
      </c>
      <c r="G12" s="365">
        <f>('Balanço Patrimonial'!G12-'Balanço Patrimonial'!G18)/'Balanço Patrimonial'!G40</f>
        <v>1.5488128838665933</v>
      </c>
      <c r="H12" s="365">
        <f>('Balanço Patrimonial'!H12-'Balanço Patrimonial'!H18)/'Balanço Patrimonial'!H40</f>
        <v>1.1841321530339459</v>
      </c>
      <c r="I12" s="365">
        <f>('Balanço Patrimonial'!I12-'Balanço Patrimonial'!I18)/'Balanço Patrimonial'!I40</f>
        <v>1.2906375851254457</v>
      </c>
      <c r="J12" s="365">
        <f>('Balanço Patrimonial'!J12-'Balanço Patrimonial'!J18)/'Balanço Patrimonial'!J40</f>
        <v>1.4174966801100504</v>
      </c>
      <c r="K12" s="365">
        <f>('Balanço Patrimonial'!K12-'Balanço Patrimonial'!K18)/'Balanço Patrimonial'!K40</f>
        <v>1.3361394179792654</v>
      </c>
      <c r="L12" s="365">
        <f>('Balanço Patrimonial'!L12-'Balanço Patrimonial'!L18)/'Balanço Patrimonial'!L40</f>
        <v>1.132108600082735</v>
      </c>
      <c r="M12" s="365">
        <f>('Balanço Patrimonial'!M12-'Balanço Patrimonial'!M18)/'Balanço Patrimonial'!M40</f>
        <v>1.3545734592645371</v>
      </c>
      <c r="N12" s="365">
        <f>('Balanço Patrimonial'!N12-'Balanço Patrimonial'!N18)/'Balanço Patrimonial'!N40</f>
        <v>1.1146240306357826</v>
      </c>
      <c r="O12" s="365">
        <f>('Balanço Patrimonial'!O12-'Balanço Patrimonial'!O18)/'Balanço Patrimonial'!O40</f>
        <v>1.1608258170442807</v>
      </c>
      <c r="P12" s="365">
        <f>('Balanço Patrimonial'!P12-'Balanço Patrimonial'!P18)/'Balanço Patrimonial'!P40</f>
        <v>1.3340237380159197</v>
      </c>
      <c r="Q12" s="365">
        <f>('Balanço Patrimonial'!Q12-'Balanço Patrimonial'!Q18)/'Balanço Patrimonial'!Q40</f>
        <v>1.5558290692850227</v>
      </c>
      <c r="R12" s="366">
        <f>('Balanço Patrimonial'!R12-'Balanço Patrimonial'!R18)/'Balanço Patrimonial'!R40</f>
        <v>1.6011271873459709</v>
      </c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</row>
    <row r="13" spans="1:31" ht="30" customHeight="1" thickBot="1" x14ac:dyDescent="0.3">
      <c r="A13" s="25" t="s">
        <v>385</v>
      </c>
      <c r="B13" s="27"/>
      <c r="C13" s="27"/>
      <c r="D13" s="170"/>
      <c r="E13" s="360" t="s">
        <v>1109</v>
      </c>
      <c r="F13" s="367">
        <f>('Balanço Patrimonial'!F13+'Balanço Patrimonial'!F14)/'Balanço Patrimonial'!F40</f>
        <v>0.69934378436437106</v>
      </c>
      <c r="G13" s="367">
        <f>('Balanço Patrimonial'!G13+'Balanço Patrimonial'!G14)/'Balanço Patrimonial'!G40</f>
        <v>0.54531240717182794</v>
      </c>
      <c r="H13" s="367">
        <f>('Balanço Patrimonial'!H13+'Balanço Patrimonial'!H14)/'Balanço Patrimonial'!H40</f>
        <v>0.39604987676876813</v>
      </c>
      <c r="I13" s="367">
        <f>('Balanço Patrimonial'!I13+'Balanço Patrimonial'!I14)/'Balanço Patrimonial'!I40</f>
        <v>0.41477624057675999</v>
      </c>
      <c r="J13" s="367">
        <f>('Balanço Patrimonial'!J13+'Balanço Patrimonial'!J14)/'Balanço Patrimonial'!J40</f>
        <v>0.41005432725907331</v>
      </c>
      <c r="K13" s="367">
        <f>('Balanço Patrimonial'!K13+'Balanço Patrimonial'!K14)/'Balanço Patrimonial'!K40</f>
        <v>0.31801923741131899</v>
      </c>
      <c r="L13" s="367">
        <f>('Balanço Patrimonial'!L13+'Balanço Patrimonial'!L14)/'Balanço Patrimonial'!L40</f>
        <v>0.3067023196976027</v>
      </c>
      <c r="M13" s="367">
        <f>('Balanço Patrimonial'!M13+'Balanço Patrimonial'!M14)/'Balanço Patrimonial'!M40</f>
        <v>0.38828852042620082</v>
      </c>
      <c r="N13" s="367">
        <f>('Balanço Patrimonial'!N13+'Balanço Patrimonial'!N14)/'Balanço Patrimonial'!N40</f>
        <v>0.32013190406430553</v>
      </c>
      <c r="O13" s="367">
        <f>('Balanço Patrimonial'!O13+'Balanço Patrimonial'!O14)/'Balanço Patrimonial'!O40</f>
        <v>0.28797706427505243</v>
      </c>
      <c r="P13" s="367">
        <f>('Balanço Patrimonial'!P13+'Balanço Patrimonial'!P14)/'Balanço Patrimonial'!P40</f>
        <v>0.4743756491404586</v>
      </c>
      <c r="Q13" s="367">
        <f>('Balanço Patrimonial'!Q13+'Balanço Patrimonial'!Q14)/'Balanço Patrimonial'!Q40</f>
        <v>0.7477278384732402</v>
      </c>
      <c r="R13" s="384">
        <f>('Balanço Patrimonial'!R13+'Balanço Patrimonial'!R14)/'Balanço Patrimonial'!R40</f>
        <v>0.50009884978814745</v>
      </c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</row>
    <row r="14" spans="1:31" ht="30" customHeight="1" x14ac:dyDescent="0.25">
      <c r="A14" s="25" t="s">
        <v>73</v>
      </c>
      <c r="B14" s="27"/>
      <c r="C14" s="27"/>
      <c r="D14" s="27"/>
      <c r="E14" s="163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</row>
    <row r="15" spans="1:31" ht="30" customHeight="1" x14ac:dyDescent="0.25">
      <c r="A15" s="25" t="s">
        <v>382</v>
      </c>
      <c r="B15" s="27"/>
      <c r="C15" s="27"/>
      <c r="D15" s="27"/>
      <c r="E15" s="163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</row>
    <row r="16" spans="1:31" ht="30" customHeight="1" x14ac:dyDescent="0.25">
      <c r="A16" s="25" t="s">
        <v>1307</v>
      </c>
      <c r="B16" s="27"/>
      <c r="C16" s="27"/>
      <c r="D16" s="27"/>
      <c r="E16" s="163"/>
      <c r="F16" s="31"/>
      <c r="G16" s="31"/>
      <c r="H16" s="31"/>
      <c r="I16" s="31"/>
      <c r="J16" s="31"/>
      <c r="K16" s="31"/>
      <c r="L16" s="162"/>
      <c r="M16" s="162"/>
      <c r="N16" s="162"/>
      <c r="O16" s="162"/>
      <c r="P16" s="162"/>
      <c r="Q16" s="162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1" ht="30" customHeight="1" x14ac:dyDescent="0.25">
      <c r="A17" s="438" t="s">
        <v>1086</v>
      </c>
      <c r="B17" s="27"/>
      <c r="C17" s="27"/>
      <c r="D17" s="170"/>
      <c r="E17" s="375"/>
      <c r="F17" s="303">
        <v>2010</v>
      </c>
      <c r="G17" s="303">
        <v>2011</v>
      </c>
      <c r="H17" s="303">
        <v>2012</v>
      </c>
      <c r="I17" s="303">
        <v>2013</v>
      </c>
      <c r="J17" s="303">
        <v>2014</v>
      </c>
      <c r="K17" s="303">
        <v>2015</v>
      </c>
      <c r="L17" s="303">
        <v>2016</v>
      </c>
      <c r="M17" s="303">
        <v>2017</v>
      </c>
      <c r="N17" s="303">
        <v>2018</v>
      </c>
      <c r="O17" s="303">
        <v>2019</v>
      </c>
      <c r="P17" s="303">
        <v>2020</v>
      </c>
      <c r="Q17" s="303">
        <v>2021</v>
      </c>
      <c r="R17" s="213">
        <v>2022</v>
      </c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1" ht="30" customHeight="1" x14ac:dyDescent="0.25">
      <c r="A18" s="25"/>
      <c r="B18" s="27"/>
      <c r="C18" s="27"/>
      <c r="D18" s="170"/>
      <c r="E18" s="376" t="s">
        <v>1110</v>
      </c>
      <c r="F18" s="361">
        <f>'DRE + DCF'!F36/'Balanço Patrimonial'!F84</f>
        <v>0.30160147575462054</v>
      </c>
      <c r="G18" s="361">
        <f>'DRE + DCF'!G36/'Balanço Patrimonial'!G84</f>
        <v>0.29169487739372707</v>
      </c>
      <c r="H18" s="361">
        <f>'DRE + DCF'!H36/'Balanço Patrimonial'!H84</f>
        <v>0.27219547164204483</v>
      </c>
      <c r="I18" s="361">
        <f>'DRE + DCF'!I36/'Balanço Patrimonial'!I84</f>
        <v>0.27282985535605819</v>
      </c>
      <c r="J18" s="361">
        <f>'DRE + DCF'!J36/'Balanço Patrimonial'!J84</f>
        <v>0.2540980602263393</v>
      </c>
      <c r="K18" s="361">
        <f>'DRE + DCF'!K36/'Balanço Patrimonial'!K84</f>
        <v>0.25048206409981238</v>
      </c>
      <c r="L18" s="361">
        <f>'DRE + DCF'!L36/'Balanço Patrimonial'!L84</f>
        <v>0.23705208897464955</v>
      </c>
      <c r="M18" s="361">
        <f>'DRE + DCF'!M36/'Balanço Patrimonial'!M84</f>
        <v>0.22729681216933678</v>
      </c>
      <c r="N18" s="361">
        <f>'DRE + DCF'!N36/'Balanço Patrimonial'!N84</f>
        <v>0.257967607634014</v>
      </c>
      <c r="O18" s="361">
        <f>'DRE + DCF'!O36/'Balanço Patrimonial'!O84</f>
        <v>0.23429728167803199</v>
      </c>
      <c r="P18" s="361">
        <f>'DRE + DCF'!P36/'Balanço Patrimonial'!P84</f>
        <v>0.1992739555408197</v>
      </c>
      <c r="Q18" s="361">
        <f>'DRE + DCF'!Q36/'Balanço Patrimonial'!Q84</f>
        <v>6.4559648017395596E-2</v>
      </c>
      <c r="R18" s="362">
        <f>'DRE + DCF'!R36/'Balanço Patrimonial'!R84</f>
        <v>0.1280497724166953</v>
      </c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1" ht="30" customHeight="1" x14ac:dyDescent="0.25">
      <c r="A19" s="8"/>
      <c r="B19" s="27"/>
      <c r="C19" s="27"/>
      <c r="D19" s="170"/>
      <c r="E19" s="376" t="s">
        <v>1111</v>
      </c>
      <c r="F19" s="361">
        <f>'DRE + DCF'!F36/'Balanço Patrimonial'!F11</f>
        <v>0.12389161273715243</v>
      </c>
      <c r="G19" s="361">
        <f>'DRE + DCF'!G36/'Balanço Patrimonial'!G11</f>
        <v>0.11292326070285141</v>
      </c>
      <c r="H19" s="361">
        <f>'DRE + DCF'!H36/'Balanço Patrimonial'!H11</f>
        <v>9.4270122131718911E-2</v>
      </c>
      <c r="I19" s="361">
        <f>'DRE + DCF'!I36/'Balanço Patrimonial'!I11</f>
        <v>9.0222973014870478E-2</v>
      </c>
      <c r="J19" s="361">
        <f>'DRE + DCF'!J36/'Balanço Patrimonial'!J11</f>
        <v>8.8631374551503661E-2</v>
      </c>
      <c r="K19" s="361">
        <f>'DRE + DCF'!K36/'Balanço Patrimonial'!K11</f>
        <v>9.8715166944391433E-2</v>
      </c>
      <c r="L19" s="361">
        <f>'DRE + DCF'!L36/'Balanço Patrimonial'!L11</f>
        <v>9.653089350588058E-2</v>
      </c>
      <c r="M19" s="361">
        <f>'DRE + DCF'!M36/'Balanço Patrimonial'!M11</f>
        <v>9.7073688288473056E-2</v>
      </c>
      <c r="N19" s="361">
        <f>'DRE + DCF'!N36/'Balanço Patrimonial'!N11</f>
        <v>0.11564793661705502</v>
      </c>
      <c r="O19" s="361">
        <f>'DRE + DCF'!O36/'Balanço Patrimonial'!O11</f>
        <v>9.5135663749246729E-2</v>
      </c>
      <c r="P19" s="361">
        <f>'DRE + DCF'!P36/'Balanço Patrimonial'!P11</f>
        <v>7.4868552904907557E-2</v>
      </c>
      <c r="Q19" s="361">
        <f>'DRE + DCF'!Q36/'Balanço Patrimonial'!Q11</f>
        <v>2.956811337202039E-2</v>
      </c>
      <c r="R19" s="362">
        <f>'DRE + DCF'!R36/'Balanço Patrimonial'!R11</f>
        <v>6.107667484424243E-2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1" ht="30" customHeight="1" thickBot="1" x14ac:dyDescent="0.3">
      <c r="A20" s="248"/>
      <c r="B20" s="27"/>
      <c r="C20" s="27"/>
      <c r="D20" s="170"/>
      <c r="E20" s="360" t="s">
        <v>1159</v>
      </c>
      <c r="F20" s="363">
        <f>'DRE + DCF'!F44/('Balanço Patrimonial'!F84+'Balanço Patrimonial'!F71+'Balanço Patrimonial'!F53+'Balanço Patrimonial'!F66+'Balanço Patrimonial'!F77-'Balanço Patrimonial'!F15)</f>
        <v>0.26410991592175026</v>
      </c>
      <c r="G20" s="363">
        <f>'DRE + DCF'!G44/('Balanço Patrimonial'!G84+'Balanço Patrimonial'!G71+'Balanço Patrimonial'!G53+'Balanço Patrimonial'!G66+'Balanço Patrimonial'!G77-'Balanço Patrimonial'!G15)</f>
        <v>0.22047313140621769</v>
      </c>
      <c r="H20" s="363">
        <f>'DRE + DCF'!H44/('Balanço Patrimonial'!H84+'Balanço Patrimonial'!H71+'Balanço Patrimonial'!H53+'Balanço Patrimonial'!H66+'Balanço Patrimonial'!H77-'Balanço Patrimonial'!H15)</f>
        <v>0.19537869832939903</v>
      </c>
      <c r="I20" s="363">
        <f>'DRE + DCF'!I44/('Balanço Patrimonial'!I84+'Balanço Patrimonial'!I71+'Balanço Patrimonial'!I53+'Balanço Patrimonial'!I66+'Balanço Patrimonial'!I77-'Balanço Patrimonial'!I15)</f>
        <v>0.18391831860176741</v>
      </c>
      <c r="J20" s="363">
        <f>'DRE + DCF'!J44/('Balanço Patrimonial'!J84+'Balanço Patrimonial'!J71+'Balanço Patrimonial'!J53+'Balanço Patrimonial'!J66+'Balanço Patrimonial'!J77-'Balanço Patrimonial'!J15)</f>
        <v>0.18218417652136654</v>
      </c>
      <c r="K20" s="363">
        <f>'DRE + DCF'!K44/('Balanço Patrimonial'!K84+'Balanço Patrimonial'!K71+'Balanço Patrimonial'!K53+'Balanço Patrimonial'!K66+'Balanço Patrimonial'!K77-'Balanço Patrimonial'!K15)</f>
        <v>0.18827050645673671</v>
      </c>
      <c r="L20" s="363">
        <f>'DRE + DCF'!L44/('Balanço Patrimonial'!L84+'Balanço Patrimonial'!L71+'Balanço Patrimonial'!L53+'Balanço Patrimonial'!L66+'Balanço Patrimonial'!L77-'Balanço Patrimonial'!L15)</f>
        <v>0.18925425882038879</v>
      </c>
      <c r="M20" s="363">
        <f>'DRE + DCF'!M44/('Balanço Patrimonial'!M84+'Balanço Patrimonial'!M71+'Balanço Patrimonial'!M53+'Balanço Patrimonial'!M66+'Balanço Patrimonial'!M77-'Balanço Patrimonial'!M15)</f>
        <v>0.19437065967529857</v>
      </c>
      <c r="N20" s="363">
        <f>'DRE + DCF'!N44/('Balanço Patrimonial'!N84+'Balanço Patrimonial'!N71+'Balanço Patrimonial'!N53+'Balanço Patrimonial'!N66+'Balanço Patrimonial'!N77-'Balanço Patrimonial'!N15)</f>
        <v>0.22663449768669874</v>
      </c>
      <c r="O20" s="363">
        <f>'DRE + DCF'!O44/('Balanço Patrimonial'!O84+'Balanço Patrimonial'!O71+'Balanço Patrimonial'!O53+'Balanço Patrimonial'!O66+'Balanço Patrimonial'!O77-'Balanço Patrimonial'!O15)</f>
        <v>0.17729011667838027</v>
      </c>
      <c r="P20" s="363">
        <f>'DRE + DCF'!P44/('Balanço Patrimonial'!P84+'Balanço Patrimonial'!P71+'Balanço Patrimonial'!P53+'Balanço Patrimonial'!P66+'Balanço Patrimonial'!P77-'Balanço Patrimonial'!P15)</f>
        <v>9.103556988386291E-2</v>
      </c>
      <c r="Q20" s="363">
        <f>'DRE + DCF'!Q44/('Balanço Patrimonial'!Q84+'Balanço Patrimonial'!Q71+'Balanço Patrimonial'!Q53+'Balanço Patrimonial'!Q66+'Balanço Patrimonial'!Q77-'Balanço Patrimonial'!Q15)</f>
        <v>7.8739636721521192E-2</v>
      </c>
      <c r="R20" s="364">
        <f>'DRE + DCF'!R44/('Balanço Patrimonial'!R84+'Balanço Patrimonial'!R71+'Balanço Patrimonial'!R53+'Balanço Patrimonial'!R66+'Balanço Patrimonial'!R77-'Balanço Patrimonial'!R15)</f>
        <v>0.10749813052839209</v>
      </c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1" ht="30" customHeight="1" x14ac:dyDescent="0.25">
      <c r="A21" s="248"/>
      <c r="B21" s="27"/>
      <c r="C21" s="27"/>
      <c r="D21" s="27"/>
      <c r="E21" s="163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1" ht="30" customHeight="1" x14ac:dyDescent="0.25">
      <c r="A22" s="248"/>
      <c r="B22" s="27"/>
      <c r="C22" s="27"/>
      <c r="D22" s="27"/>
      <c r="E22" s="163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1" ht="30" customHeight="1" x14ac:dyDescent="0.25">
      <c r="A23" s="248"/>
      <c r="B23" s="27"/>
      <c r="C23" s="27"/>
      <c r="D23" s="27"/>
      <c r="E23" s="163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1" ht="30" customHeight="1" x14ac:dyDescent="0.25">
      <c r="A24" s="248"/>
      <c r="B24" s="27"/>
      <c r="C24" s="27"/>
      <c r="D24" s="170"/>
      <c r="E24" s="375"/>
      <c r="F24" s="303">
        <v>2010</v>
      </c>
      <c r="G24" s="303">
        <v>2011</v>
      </c>
      <c r="H24" s="303">
        <v>2012</v>
      </c>
      <c r="I24" s="303">
        <v>2013</v>
      </c>
      <c r="J24" s="303">
        <v>2014</v>
      </c>
      <c r="K24" s="303">
        <v>2015</v>
      </c>
      <c r="L24" s="303">
        <v>2016</v>
      </c>
      <c r="M24" s="303">
        <v>2017</v>
      </c>
      <c r="N24" s="303">
        <v>2018</v>
      </c>
      <c r="O24" s="303">
        <v>2019</v>
      </c>
      <c r="P24" s="303">
        <v>2020</v>
      </c>
      <c r="Q24" s="303">
        <v>2021</v>
      </c>
      <c r="R24" s="368">
        <v>2022</v>
      </c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1" ht="30" customHeight="1" x14ac:dyDescent="0.25">
      <c r="A25" s="248"/>
      <c r="B25" s="27"/>
      <c r="C25" s="27"/>
      <c r="D25" s="170"/>
      <c r="E25" s="376" t="s">
        <v>1112</v>
      </c>
      <c r="F25" s="369">
        <f>('Balanço Patrimonial'!F53+'Balanço Patrimonial'!F66+'Balanço Patrimonial'!F71+'Balanço Patrimonial'!F77-'Balanço Patrimonial'!F13-'Balanço Patrimonial'!F14)/('DRE + DCF'!F26+'DRE + DCF'!F42+'DRE + DCF'!F49)</f>
        <v>-5.6550500665263265E-2</v>
      </c>
      <c r="G25" s="369">
        <f>('Balanço Patrimonial'!G53+'Balanço Patrimonial'!G66+'Balanço Patrimonial'!G71+'Balanço Patrimonial'!G77-'Balanço Patrimonial'!G13-'Balanço Patrimonial'!G14)/('DRE + DCF'!G26+'DRE + DCF'!G42+'DRE + DCF'!G49)</f>
        <v>0.49034492433408738</v>
      </c>
      <c r="H25" s="369">
        <f>('Balanço Patrimonial'!H53+'Balanço Patrimonial'!H66+'Balanço Patrimonial'!H71+'Balanço Patrimonial'!H77-'Balanço Patrimonial'!H13-'Balanço Patrimonial'!H14)/('DRE + DCF'!H26+'DRE + DCF'!H42+'DRE + DCF'!H49)</f>
        <v>0.9750158552670547</v>
      </c>
      <c r="I25" s="369">
        <f>('Balanço Patrimonial'!I53+'Balanço Patrimonial'!I66+'Balanço Patrimonial'!I71+'Balanço Patrimonial'!I77-'Balanço Patrimonial'!I13-'Balanço Patrimonial'!I14)/('DRE + DCF'!I26+'DRE + DCF'!I42+'DRE + DCF'!I49)</f>
        <v>1.1992700596056856</v>
      </c>
      <c r="J25" s="369">
        <f>('Balanço Patrimonial'!J53+'Balanço Patrimonial'!J66+'Balanço Patrimonial'!J71+'Balanço Patrimonial'!J77-'Balanço Patrimonial'!J13-'Balanço Patrimonial'!J14)/('DRE + DCF'!J26+'DRE + DCF'!J42+'DRE + DCF'!J49)</f>
        <v>1.10091428503856</v>
      </c>
      <c r="K25" s="369">
        <f>('Balanço Patrimonial'!K53+'Balanço Patrimonial'!K66+'Balanço Patrimonial'!K71+'Balanço Patrimonial'!K77-'Balanço Patrimonial'!K13-'Balanço Patrimonial'!K14)/('DRE + DCF'!K26+'DRE + DCF'!K42+'DRE + DCF'!K49)</f>
        <v>0.9728321340063254</v>
      </c>
      <c r="L25" s="369">
        <f>('Balanço Patrimonial'!L53+'Balanço Patrimonial'!L66+'Balanço Patrimonial'!L71+'Balanço Patrimonial'!L77-'Balanço Patrimonial'!L13-'Balanço Patrimonial'!L14)/('DRE + DCF'!L26+'DRE + DCF'!L42+'DRE + DCF'!L49)</f>
        <v>0.81629836722610261</v>
      </c>
      <c r="M25" s="369">
        <f>('Balanço Patrimonial'!M53+'Balanço Patrimonial'!M66+'Balanço Patrimonial'!M71+'Balanço Patrimonial'!M77-'Balanço Patrimonial'!M13-'Balanço Patrimonial'!M14)/('DRE + DCF'!M26+'DRE + DCF'!M42+'DRE + DCF'!M49)</f>
        <v>0.55601575667113134</v>
      </c>
      <c r="N25" s="369">
        <f>('Balanço Patrimonial'!N53+'Balanço Patrimonial'!N66+'Balanço Patrimonial'!N71+'Balanço Patrimonial'!N77-'Balanço Patrimonial'!N13-'Balanço Patrimonial'!N14)/('DRE + DCF'!N26+'DRE + DCF'!N42+'DRE + DCF'!N49)</f>
        <v>0.32943663551724434</v>
      </c>
      <c r="O25" s="369">
        <f>('Balanço Patrimonial'!O53+'Balanço Patrimonial'!O66+'Balanço Patrimonial'!O71+'Balanço Patrimonial'!O77-'Balanço Patrimonial'!O13-'Balanço Patrimonial'!O14)/('DRE + DCF'!O26+'DRE + DCF'!O42+'DRE + DCF'!O49)</f>
        <v>0.84764285970059972</v>
      </c>
      <c r="P25" s="369">
        <f>('Balanço Patrimonial'!P53+'Balanço Patrimonial'!P66+'Balanço Patrimonial'!P71+'Balanço Patrimonial'!P77-'Balanço Patrimonial'!P13-'Balanço Patrimonial'!P14)/('DRE + DCF'!P26+'DRE + DCF'!P42+'DRE + DCF'!P49)</f>
        <v>1.5625884830224861</v>
      </c>
      <c r="Q25" s="369">
        <f>('Balanço Patrimonial'!Q53+'Balanço Patrimonial'!Q66+'Balanço Patrimonial'!Q71+'Balanço Patrimonial'!Q77-'Balanço Patrimonial'!Q13-'Balanço Patrimonial'!Q14)/('DRE + DCF'!Q26+'DRE + DCF'!Q42+'DRE + DCF'!Q49)</f>
        <v>0.10441302787145075</v>
      </c>
      <c r="R25" s="370">
        <f>('Balanço Patrimonial'!R53+'Balanço Patrimonial'!R66+'Balanço Patrimonial'!R71+'Balanço Patrimonial'!R77-'Balanço Patrimonial'!R13-'Balanço Patrimonial'!R14)/('DRE + DCF'!R26+'DRE + DCF'!R42+'DRE + DCF'!R49)</f>
        <v>0.73998683235678764</v>
      </c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1" ht="30" customHeight="1" x14ac:dyDescent="0.25">
      <c r="A26" s="248"/>
      <c r="B26" s="27"/>
      <c r="C26" s="27"/>
      <c r="D26" s="170"/>
      <c r="E26" s="376" t="s">
        <v>1113</v>
      </c>
      <c r="F26" s="371">
        <f>-'DRE + DCF'!F26/'DRE + DCF'!F33</f>
        <v>32.389013452914796</v>
      </c>
      <c r="G26" s="371">
        <f>-'DRE + DCF'!G26/'DRE + DCF'!G33</f>
        <v>9.9420055112644352</v>
      </c>
      <c r="H26" s="371">
        <f>-'DRE + DCF'!H26/'DRE + DCF'!H33</f>
        <v>6.6742648462860412</v>
      </c>
      <c r="I26" s="371">
        <f>-'DRE + DCF'!I26/'DRE + DCF'!I33</f>
        <v>5.4172017756456707</v>
      </c>
      <c r="J26" s="371">
        <f>-'DRE + DCF'!J26/'DRE + DCF'!J33</f>
        <v>4.2898862341746762</v>
      </c>
      <c r="K26" s="371">
        <f>-'DRE + DCF'!K26/'DRE + DCF'!K33</f>
        <v>4.7029716940722341</v>
      </c>
      <c r="L26" s="371">
        <f>-'DRE + DCF'!L26/'DRE + DCF'!L33</f>
        <v>5.1141617133691861</v>
      </c>
      <c r="M26" s="371">
        <f>-'DRE + DCF'!M26/'DRE + DCF'!M33</f>
        <v>7.6480419811619385</v>
      </c>
      <c r="N26" s="371">
        <f>-'DRE + DCF'!N26/'DRE + DCF'!N33</f>
        <v>13.851476768620126</v>
      </c>
      <c r="O26" s="371">
        <f>-'DRE + DCF'!O26/'DRE + DCF'!O33</f>
        <v>7.9703135455964933</v>
      </c>
      <c r="P26" s="371">
        <f>-'DRE + DCF'!P26/'DRE + DCF'!P33</f>
        <v>2.3218947385535018</v>
      </c>
      <c r="Q26" s="371">
        <f>-'DRE + DCF'!Q26/'DRE + DCF'!Q33</f>
        <v>1.4602642650185236</v>
      </c>
      <c r="R26" s="372">
        <f>-'DRE + DCF'!R26/'DRE + DCF'!R33</f>
        <v>1.9357558919201436</v>
      </c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1" ht="30" customHeight="1" x14ac:dyDescent="0.25">
      <c r="A27" s="248"/>
      <c r="B27" s="27"/>
      <c r="C27" s="27"/>
      <c r="D27" s="170"/>
      <c r="E27" s="376" t="s">
        <v>1114</v>
      </c>
      <c r="F27" s="369">
        <f>('Balanço Patrimonial'!F53+'Balanço Patrimonial'!F66+'Balanço Patrimonial'!F71+'Balanço Patrimonial'!F77)/'Balanço Patrimonial'!F11</f>
        <v>0.26405096791579352</v>
      </c>
      <c r="G27" s="369">
        <f>('Balanço Patrimonial'!G53+'Balanço Patrimonial'!G66+'Balanço Patrimonial'!G71+'Balanço Patrimonial'!G77)/'Balanço Patrimonial'!G11</f>
        <v>0.28754544991392672</v>
      </c>
      <c r="H27" s="369">
        <f>('Balanço Patrimonial'!H53+'Balanço Patrimonial'!H66+'Balanço Patrimonial'!H71+'Balanço Patrimonial'!H77)/'Balanço Patrimonial'!H11</f>
        <v>0.36025594504868397</v>
      </c>
      <c r="I27" s="369">
        <f>('Balanço Patrimonial'!I53+'Balanço Patrimonial'!I66+'Balanço Patrimonial'!I71+'Balanço Patrimonial'!I77)/'Balanço Patrimonial'!I11</f>
        <v>0.39473713349768486</v>
      </c>
      <c r="J27" s="369">
        <f>('Balanço Patrimonial'!J53+'Balanço Patrimonial'!J66+'Balanço Patrimonial'!J71+'Balanço Patrimonial'!J77)/'Balanço Patrimonial'!J11</f>
        <v>0.36690553883107807</v>
      </c>
      <c r="K27" s="369">
        <f>('Balanço Patrimonial'!K53+'Balanço Patrimonial'!K66+'Balanço Patrimonial'!K71+'Balanço Patrimonial'!K77)/'Balanço Patrimonial'!K11</f>
        <v>0.32454010841924724</v>
      </c>
      <c r="L27" s="369">
        <f>('Balanço Patrimonial'!L53+'Balanço Patrimonial'!L66+'Balanço Patrimonial'!L71+'Balanço Patrimonial'!L77)/'Balanço Patrimonial'!L11</f>
        <v>0.30044066510872541</v>
      </c>
      <c r="M27" s="369">
        <f>('Balanço Patrimonial'!M53+'Balanço Patrimonial'!M66+'Balanço Patrimonial'!M71+'Balanço Patrimonial'!M77)/'Balanço Patrimonial'!M11</f>
        <v>0.2556703019665173</v>
      </c>
      <c r="N27" s="369">
        <f>('Balanço Patrimonial'!N53+'Balanço Patrimonial'!N66+'Balanço Patrimonial'!N71+'Balanço Patrimonial'!N77)/'Balanço Patrimonial'!N11</f>
        <v>0.22186196016618434</v>
      </c>
      <c r="O27" s="369">
        <f>('Balanço Patrimonial'!O53+'Balanço Patrimonial'!O66+'Balanço Patrimonial'!O71+'Balanço Patrimonial'!O77)/'Balanço Patrimonial'!O11</f>
        <v>0.29294717465793441</v>
      </c>
      <c r="P27" s="369">
        <f>('Balanço Patrimonial'!P53+'Balanço Patrimonial'!P66+'Balanço Patrimonial'!P71+'Balanço Patrimonial'!P77)/'Balanço Patrimonial'!P11</f>
        <v>0.35836341170133712</v>
      </c>
      <c r="Q27" s="369">
        <f>('Balanço Patrimonial'!Q53+'Balanço Patrimonial'!Q66+'Balanço Patrimonial'!Q71+'Balanço Patrimonial'!Q77)/'Balanço Patrimonial'!Q11</f>
        <v>0.28620130268165234</v>
      </c>
      <c r="R27" s="370">
        <f>('Balanço Patrimonial'!R53+'Balanço Patrimonial'!R66+'Balanço Patrimonial'!R71+'Balanço Patrimonial'!R77)/'Balanço Patrimonial'!R11</f>
        <v>0.25132687802273518</v>
      </c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1" ht="30" customHeight="1" x14ac:dyDescent="0.25">
      <c r="A28" s="25"/>
      <c r="B28" s="27"/>
      <c r="C28" s="27"/>
      <c r="D28" s="170"/>
      <c r="E28" s="376" t="s">
        <v>1115</v>
      </c>
      <c r="F28" s="369">
        <f>('Balanço Patrimonial'!F53+'Balanço Patrimonial'!F66+'Balanço Patrimonial'!F71+'Balanço Patrimonial'!F77)/'Balanço Patrimonial'!F84</f>
        <v>0.64280510874290619</v>
      </c>
      <c r="G28" s="369">
        <f>('Balanço Patrimonial'!G53+'Balanço Patrimonial'!G66+'Balanço Patrimonial'!G71+'Balanço Patrimonial'!G77)/'Balanço Patrimonial'!G84</f>
        <v>0.7427657883390274</v>
      </c>
      <c r="H28" s="369">
        <f>('Balanço Patrimonial'!H53+'Balanço Patrimonial'!H66+'Balanço Patrimonial'!H71+'Balanço Patrimonial'!H77)/'Balanço Patrimonial'!H84</f>
        <v>1.0402027138287011</v>
      </c>
      <c r="I28" s="369">
        <f>('Balanço Patrimonial'!I53+'Balanço Patrimonial'!I66+'Balanço Patrimonial'!I71+'Balanço Patrimonial'!I77)/'Balanço Patrimonial'!I84</f>
        <v>1.1936657753240743</v>
      </c>
      <c r="J28" s="369">
        <f>('Balanço Patrimonial'!J53+'Balanço Patrimonial'!J66+'Balanço Patrimonial'!J71+'Balanço Patrimonial'!J77)/'Balanço Patrimonial'!J84</f>
        <v>1.0518846872796814</v>
      </c>
      <c r="K28" s="369">
        <f>('Balanço Patrimonial'!K53+'Balanço Patrimonial'!K66+'Balanço Patrimonial'!K71+'Balanço Patrimonial'!K77)/'Balanço Patrimonial'!K84</f>
        <v>0.82349530225505607</v>
      </c>
      <c r="L28" s="369">
        <f>('Balanço Patrimonial'!L53+'Balanço Patrimonial'!L66+'Balanço Patrimonial'!L71+'Balanço Patrimonial'!L77)/'Balanço Patrimonial'!L84</f>
        <v>0.73779579459313505</v>
      </c>
      <c r="M28" s="369">
        <f>('Balanço Patrimonial'!M53+'Balanço Patrimonial'!M66+'Balanço Patrimonial'!M71+'Balanço Patrimonial'!M77)/'Balanço Patrimonial'!M84</f>
        <v>0.59864877525480498</v>
      </c>
      <c r="N28" s="369">
        <f>('Balanço Patrimonial'!N53+'Balanço Patrimonial'!N66+'Balanço Patrimonial'!N71+'Balanço Patrimonial'!N77)/'Balanço Patrimonial'!N84</f>
        <v>0.49489165793402573</v>
      </c>
      <c r="O28" s="369">
        <f>('Balanço Patrimonial'!O53+'Balanço Patrimonial'!O66+'Balanço Patrimonial'!O71+'Balanço Patrimonial'!O77)/'Balanço Patrimonial'!O84</f>
        <v>0.72146158435938967</v>
      </c>
      <c r="P28" s="369">
        <f>('Balanço Patrimonial'!P53+'Balanço Patrimonial'!P66+'Balanço Patrimonial'!P71+'Balanço Patrimonial'!P77)/'Balanço Patrimonial'!P84</f>
        <v>0.95383831795883023</v>
      </c>
      <c r="Q28" s="369">
        <f>('Balanço Patrimonial'!Q53+'Balanço Patrimonial'!Q66+'Balanço Patrimonial'!Q71+'Balanço Patrimonial'!Q77)/'Balanço Patrimonial'!Q84</f>
        <v>0.6248980153306628</v>
      </c>
      <c r="R28" s="370">
        <f>('Balanço Patrimonial'!R53+'Balanço Patrimonial'!R66+'Balanço Patrimonial'!R71+'Balanço Patrimonial'!R77)/'Balanço Patrimonial'!R84</f>
        <v>0.52691718426193168</v>
      </c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1" ht="30" customHeight="1" thickBot="1" x14ac:dyDescent="0.3">
      <c r="A29" s="25"/>
      <c r="B29" s="27"/>
      <c r="C29" s="27"/>
      <c r="D29" s="27"/>
      <c r="E29" s="360" t="s">
        <v>1116</v>
      </c>
      <c r="F29" s="373">
        <f>('Balanço Patrimonial'!F53+'Balanço Patrimonial'!F66+'Balanço Patrimonial'!F71+'Balanço Patrimonial'!F77)/('Balanço Patrimonial'!F53+'Balanço Patrimonial'!F66+'Balanço Patrimonial'!F71+'Balanço Patrimonial'!F77+'Balanço Patrimonial'!F84)</f>
        <v>0.3912850680351172</v>
      </c>
      <c r="G29" s="373">
        <f>('Balanço Patrimonial'!G53+'Balanço Patrimonial'!G66+'Balanço Patrimonial'!G71+'Balanço Patrimonial'!G77)/('Balanço Patrimonial'!G53+'Balanço Patrimonial'!G66+'Balanço Patrimonial'!G71+'Balanço Patrimonial'!G77+'Balanço Patrimonial'!G84)</f>
        <v>0.42619943156385515</v>
      </c>
      <c r="H29" s="373">
        <f>('Balanço Patrimonial'!H53+'Balanço Patrimonial'!H66+'Balanço Patrimonial'!H71+'Balanço Patrimonial'!H77)/('Balanço Patrimonial'!H53+'Balanço Patrimonial'!H66+'Balanço Patrimonial'!H71+'Balanço Patrimonial'!H77+'Balanço Patrimonial'!H84)</f>
        <v>0.50985262727968228</v>
      </c>
      <c r="I29" s="373">
        <f>('Balanço Patrimonial'!I53+'Balanço Patrimonial'!I66+'Balanço Patrimonial'!I71+'Balanço Patrimonial'!I77)/('Balanço Patrimonial'!I53+'Balanço Patrimonial'!I66+'Balanço Patrimonial'!I71+'Balanço Patrimonial'!I77+'Balanço Patrimonial'!I84)</f>
        <v>0.54414204239829189</v>
      </c>
      <c r="J29" s="373">
        <f>('Balanço Patrimonial'!J53+'Balanço Patrimonial'!J66+'Balanço Patrimonial'!J71+'Balanço Patrimonial'!J77)/('Balanço Patrimonial'!J53+'Balanço Patrimonial'!J66+'Balanço Patrimonial'!J71+'Balanço Patrimonial'!J77+'Balanço Patrimonial'!J84)</f>
        <v>0.51264317814771265</v>
      </c>
      <c r="K29" s="373">
        <f>('Balanço Patrimonial'!K53+'Balanço Patrimonial'!K66+'Balanço Patrimonial'!K71+'Balanço Patrimonial'!K77)/('Balanço Patrimonial'!K53+'Balanço Patrimonial'!K66+'Balanço Patrimonial'!K71+'Balanço Patrimonial'!K77+'Balanço Patrimonial'!K84)</f>
        <v>0.4516026453353989</v>
      </c>
      <c r="L29" s="373">
        <f>('Balanço Patrimonial'!L53+'Balanço Patrimonial'!L66+'Balanço Patrimonial'!L71+'Balanço Patrimonial'!L77)/('Balanço Patrimonial'!L53+'Balanço Patrimonial'!L66+'Balanço Patrimonial'!L71+'Balanço Patrimonial'!L77+'Balanço Patrimonial'!L84)</f>
        <v>0.42455839569221249</v>
      </c>
      <c r="M29" s="373">
        <f>('Balanço Patrimonial'!M53+'Balanço Patrimonial'!M66+'Balanço Patrimonial'!M71+'Balanço Patrimonial'!M77)/('Balanço Patrimonial'!M53+'Balanço Patrimonial'!M66+'Balanço Patrimonial'!M71+'Balanço Patrimonial'!M77+'Balanço Patrimonial'!M84)</f>
        <v>0.37447173170316145</v>
      </c>
      <c r="N29" s="373">
        <f>('Balanço Patrimonial'!N53+'Balanço Patrimonial'!N66+'Balanço Patrimonial'!N71+'Balanço Patrimonial'!N77)/('Balanço Patrimonial'!N53+'Balanço Patrimonial'!N66+'Balanço Patrimonial'!N71+'Balanço Patrimonial'!N77+'Balanço Patrimonial'!N84)</f>
        <v>0.33105520076149014</v>
      </c>
      <c r="O29" s="373">
        <f>('Balanço Patrimonial'!O53+'Balanço Patrimonial'!O66+'Balanço Patrimonial'!O71+'Balanço Patrimonial'!O77)/('Balanço Patrimonial'!O53+'Balanço Patrimonial'!O66+'Balanço Patrimonial'!O71+'Balanço Patrimonial'!O77+'Balanço Patrimonial'!O84)</f>
        <v>0.41909827725134419</v>
      </c>
      <c r="P29" s="373">
        <f>('Balanço Patrimonial'!P53+'Balanço Patrimonial'!P66+'Balanço Patrimonial'!P71+'Balanço Patrimonial'!P77)/('Balanço Patrimonial'!P53+'Balanço Patrimonial'!P66+'Balanço Patrimonial'!P71+'Balanço Patrimonial'!P77+'Balanço Patrimonial'!P84)</f>
        <v>0.48818692375493106</v>
      </c>
      <c r="Q29" s="373">
        <f>('Balanço Patrimonial'!Q53+'Balanço Patrimonial'!Q66+'Balanço Patrimonial'!Q71+'Balanço Patrimonial'!Q77)/('Balanço Patrimonial'!Q53+'Balanço Patrimonial'!Q66+'Balanço Patrimonial'!Q71+'Balanço Patrimonial'!Q77+'Balanço Patrimonial'!Q84)</f>
        <v>0.38457676077812031</v>
      </c>
      <c r="R29" s="374">
        <f>('Balanço Patrimonial'!R53+'Balanço Patrimonial'!R66+'Balanço Patrimonial'!R71+'Balanço Patrimonial'!R77)/('Balanço Patrimonial'!R53+'Balanço Patrimonial'!R66+'Balanço Patrimonial'!R71+'Balanço Patrimonial'!R77+'Balanço Patrimonial'!R84)</f>
        <v>0.34508563378087104</v>
      </c>
      <c r="S29" s="27"/>
      <c r="T29" s="27"/>
      <c r="U29" s="27"/>
      <c r="V29" s="27"/>
      <c r="W29" s="27"/>
      <c r="X29" s="27"/>
      <c r="Y29" s="27"/>
      <c r="Z29" s="27"/>
    </row>
    <row r="30" spans="1:31" ht="30" customHeight="1" x14ac:dyDescent="0.25">
      <c r="A30" s="25"/>
      <c r="B30" s="27"/>
      <c r="C30" s="27"/>
      <c r="D30" s="27"/>
      <c r="E30" s="163"/>
      <c r="F30" s="31"/>
      <c r="G30" s="31"/>
      <c r="H30" s="31"/>
      <c r="I30" s="31"/>
      <c r="J30" s="31"/>
      <c r="K30" s="31"/>
      <c r="L30" s="162"/>
      <c r="M30" s="162"/>
      <c r="N30" s="162"/>
      <c r="O30" s="162"/>
      <c r="P30" s="162"/>
      <c r="Q30" s="162"/>
      <c r="R30" s="27"/>
      <c r="S30" s="27"/>
      <c r="T30" s="27"/>
      <c r="U30" s="27"/>
      <c r="V30" s="27"/>
      <c r="W30" s="27"/>
      <c r="X30" s="27"/>
      <c r="Y30" s="27"/>
      <c r="Z30" s="27"/>
    </row>
    <row r="31" spans="1:31" ht="30" customHeight="1" x14ac:dyDescent="0.25">
      <c r="A31" s="25"/>
      <c r="B31" s="27"/>
      <c r="C31" s="27"/>
      <c r="D31" s="27"/>
      <c r="E31" s="163"/>
      <c r="F31" s="31"/>
      <c r="G31" s="31"/>
      <c r="H31" s="31"/>
      <c r="I31" s="31"/>
      <c r="J31" s="31"/>
      <c r="K31" s="31"/>
      <c r="L31" s="162"/>
      <c r="M31" s="162"/>
      <c r="N31" s="162"/>
      <c r="O31" s="162"/>
      <c r="P31" s="162"/>
      <c r="Q31" s="162"/>
      <c r="R31" s="27"/>
      <c r="S31" s="27"/>
      <c r="T31" s="27"/>
      <c r="U31" s="27"/>
      <c r="V31" s="27"/>
      <c r="W31" s="27"/>
      <c r="X31" s="27"/>
      <c r="Y31" s="27"/>
      <c r="Z31" s="27"/>
    </row>
    <row r="32" spans="1:31" ht="30" customHeight="1" x14ac:dyDescent="0.25">
      <c r="A32" s="25"/>
      <c r="B32" s="27"/>
      <c r="C32" s="27"/>
      <c r="D32" s="27"/>
      <c r="E32" s="163"/>
      <c r="F32" s="31"/>
      <c r="G32" s="31"/>
      <c r="H32" s="31"/>
      <c r="I32" s="31"/>
      <c r="J32" s="31"/>
      <c r="K32" s="31"/>
      <c r="L32" s="162"/>
      <c r="M32" s="162"/>
      <c r="N32" s="162"/>
      <c r="O32" s="162"/>
      <c r="P32" s="162"/>
      <c r="Q32" s="162"/>
      <c r="R32" s="27"/>
      <c r="S32" s="27"/>
      <c r="T32" s="27"/>
      <c r="U32" s="27"/>
      <c r="V32" s="27"/>
      <c r="W32" s="27"/>
      <c r="X32" s="27"/>
      <c r="Y32" s="27"/>
      <c r="Z32" s="27"/>
    </row>
    <row r="33" spans="1:31" ht="30" customHeight="1" x14ac:dyDescent="0.25">
      <c r="A33" s="248"/>
      <c r="B33" s="27"/>
      <c r="C33" s="27"/>
      <c r="D33" s="170"/>
      <c r="E33" s="385"/>
      <c r="F33" s="303">
        <v>2010</v>
      </c>
      <c r="G33" s="303">
        <v>2011</v>
      </c>
      <c r="H33" s="303">
        <v>2012</v>
      </c>
      <c r="I33" s="303">
        <v>2013</v>
      </c>
      <c r="J33" s="303">
        <v>2014</v>
      </c>
      <c r="K33" s="303">
        <v>2015</v>
      </c>
      <c r="L33" s="303">
        <v>2016</v>
      </c>
      <c r="M33" s="303">
        <v>2017</v>
      </c>
      <c r="N33" s="303">
        <v>2018</v>
      </c>
      <c r="O33" s="303">
        <v>2019</v>
      </c>
      <c r="P33" s="303">
        <v>2020</v>
      </c>
      <c r="Q33" s="303">
        <v>2021</v>
      </c>
      <c r="R33" s="213">
        <v>2022</v>
      </c>
      <c r="S33" s="27"/>
      <c r="T33" s="27"/>
      <c r="U33" s="27"/>
      <c r="V33" s="27"/>
      <c r="W33" s="27"/>
      <c r="X33" s="27"/>
      <c r="Y33" s="27"/>
      <c r="Z33" s="27"/>
    </row>
    <row r="34" spans="1:31" ht="30" customHeight="1" x14ac:dyDescent="0.25">
      <c r="A34" s="25"/>
      <c r="B34" s="27"/>
      <c r="C34" s="27"/>
      <c r="D34" s="170"/>
      <c r="E34" s="376" t="s">
        <v>1117</v>
      </c>
      <c r="F34" s="377">
        <f>'Balanço Patrimonial'!F17*365/'DRE + DCF'!F10</f>
        <v>99.517394752898113</v>
      </c>
      <c r="G34" s="377">
        <f>'Balanço Patrimonial'!G17*365/'DRE + DCF'!G10</f>
        <v>87.472205386624054</v>
      </c>
      <c r="H34" s="377">
        <f>'Balanço Patrimonial'!H17*365/'DRE + DCF'!H10</f>
        <v>93.418047418047422</v>
      </c>
      <c r="I34" s="377">
        <f>'Balanço Patrimonial'!I17*365/'DRE + DCF'!I10</f>
        <v>100.59393167681179</v>
      </c>
      <c r="J34" s="377">
        <f>'Balanço Patrimonial'!J17*365/'DRE + DCF'!J10</f>
        <v>101.74825798909148</v>
      </c>
      <c r="K34" s="377">
        <f>'Balanço Patrimonial'!K17*365/'DRE + DCF'!K10</f>
        <v>95.838356318110357</v>
      </c>
      <c r="L34" s="377">
        <f>'Balanço Patrimonial'!L17*365/'DRE + DCF'!L10</f>
        <v>95.429089174842616</v>
      </c>
      <c r="M34" s="377">
        <f>'Balanço Patrimonial'!M17*365/'DRE + DCF'!M10</f>
        <v>94.811456031064111</v>
      </c>
      <c r="N34" s="377">
        <f>'Balanço Patrimonial'!N17*365/'DRE + DCF'!N10</f>
        <v>101.08002765576903</v>
      </c>
      <c r="O34" s="377">
        <f>'Balanço Patrimonial'!O17*365/'DRE + DCF'!O10</f>
        <v>107.77865646112808</v>
      </c>
      <c r="P34" s="377">
        <f>'Balanço Patrimonial'!P17*365/'DRE + DCF'!P10</f>
        <v>134.53026101847828</v>
      </c>
      <c r="Q34" s="377">
        <f>'Balanço Patrimonial'!Q17*365/'DRE + DCF'!Q10</f>
        <v>137.24230809467093</v>
      </c>
      <c r="R34" s="378">
        <f>'Balanço Patrimonial'!R17*365/'DRE + DCF'!R10</f>
        <v>133.61751313795608</v>
      </c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1" ht="30" customHeight="1" x14ac:dyDescent="0.25">
      <c r="A35" s="25"/>
      <c r="B35" s="27"/>
      <c r="C35" s="27"/>
      <c r="D35" s="170"/>
      <c r="E35" s="376" t="s">
        <v>1118</v>
      </c>
      <c r="F35" s="377">
        <f>'Balanço Patrimonial'!F18*365/-'DRE + DCF'!F14</f>
        <v>83.082187986529519</v>
      </c>
      <c r="G35" s="377">
        <f>'Balanço Patrimonial'!G18*365/-'DRE + DCF'!G14</f>
        <v>102.78454211609386</v>
      </c>
      <c r="H35" s="377">
        <f>'Balanço Patrimonial'!H18*365/-'DRE + DCF'!H14</f>
        <v>101.40089986452467</v>
      </c>
      <c r="I35" s="377">
        <f>'Balanço Patrimonial'!I18*365/-'DRE + DCF'!I14</f>
        <v>99.085958114869271</v>
      </c>
      <c r="J35" s="377">
        <f>'Balanço Patrimonial'!J18*365/-'DRE + DCF'!J14</f>
        <v>103.18479718733191</v>
      </c>
      <c r="K35" s="377">
        <f>'Balanço Patrimonial'!K18*365/-'DRE + DCF'!K14</f>
        <v>90.479116428123177</v>
      </c>
      <c r="L35" s="377">
        <f>'Balanço Patrimonial'!L18*365/-'DRE + DCF'!L14</f>
        <v>110.88073277638041</v>
      </c>
      <c r="M35" s="377">
        <f>'Balanço Patrimonial'!M18*365/-'DRE + DCF'!M14</f>
        <v>114.4207791537475</v>
      </c>
      <c r="N35" s="377">
        <f>'Balanço Patrimonial'!N18*365/-'DRE + DCF'!N14</f>
        <v>123.38536381452737</v>
      </c>
      <c r="O35" s="377">
        <f>'Balanço Patrimonial'!O18*365/-'DRE + DCF'!O14</f>
        <v>110.02342300177375</v>
      </c>
      <c r="P35" s="377">
        <f>'Balanço Patrimonial'!P18*365/-'DRE + DCF'!P14</f>
        <v>156.44351759074567</v>
      </c>
      <c r="Q35" s="377">
        <f>'Balanço Patrimonial'!Q18*365/-'DRE + DCF'!Q14</f>
        <v>133.54526686576446</v>
      </c>
      <c r="R35" s="378">
        <f>'Balanço Patrimonial'!R18*365/-'DRE + DCF'!R14</f>
        <v>126.83403095119235</v>
      </c>
      <c r="S35" s="27"/>
      <c r="T35" s="27"/>
      <c r="U35" s="27"/>
      <c r="V35" s="27"/>
      <c r="W35" s="27"/>
      <c r="X35" s="27"/>
      <c r="Y35" s="27"/>
      <c r="Z35" s="27"/>
    </row>
    <row r="36" spans="1:31" ht="30" customHeight="1" x14ac:dyDescent="0.25">
      <c r="A36" s="25"/>
      <c r="B36" s="27"/>
      <c r="C36" s="27"/>
      <c r="D36" s="170"/>
      <c r="E36" s="376" t="s">
        <v>1119</v>
      </c>
      <c r="F36" s="377">
        <f>('Balanço Patrimonial'!F44+'Balanço Patrimonial'!F78+'Balanço Patrimonial'!F41+'Balanço Patrimonial'!F64)*365/-('DRE + DCF'!F14+'DRE + DCF'!F17-'DRE + DCF'!F49-'DRE + DCF'!F42)</f>
        <v>58.817157320637598</v>
      </c>
      <c r="G36" s="377">
        <f>('Balanço Patrimonial'!G44+'Balanço Patrimonial'!G78+'Balanço Patrimonial'!G41+'Balanço Patrimonial'!G64)*365/-('DRE + DCF'!G14+'DRE + DCF'!G17-'DRE + DCF'!G49-'DRE + DCF'!G42)</f>
        <v>61.938342552086624</v>
      </c>
      <c r="H36" s="377">
        <f>('Balanço Patrimonial'!H44+'Balanço Patrimonial'!H78+'Balanço Patrimonial'!H41+'Balanço Patrimonial'!H64)*365/-('DRE + DCF'!H14+'DRE + DCF'!H17-'DRE + DCF'!H49-'DRE + DCF'!H42)</f>
        <v>59.463054757760517</v>
      </c>
      <c r="I36" s="377">
        <f>('Balanço Patrimonial'!I44+'Balanço Patrimonial'!I78+'Balanço Patrimonial'!I41+'Balanço Patrimonial'!I64)*365/-('DRE + DCF'!I14+'DRE + DCF'!I17-'DRE + DCF'!I49-'DRE + DCF'!I42)</f>
        <v>64.560129621202435</v>
      </c>
      <c r="J36" s="377">
        <f>('Balanço Patrimonial'!J44+'Balanço Patrimonial'!J78+'Balanço Patrimonial'!J41+'Balanço Patrimonial'!J64)*365/-('DRE + DCF'!J14+'DRE + DCF'!J17-'DRE + DCF'!J49-'DRE + DCF'!J42)</f>
        <v>71.026642452018393</v>
      </c>
      <c r="K36" s="377">
        <f>('Balanço Patrimonial'!K44+'Balanço Patrimonial'!K78+'Balanço Patrimonial'!K41+'Balanço Patrimonial'!K64)*365/-('DRE + DCF'!K14+'DRE + DCF'!K17-'DRE + DCF'!K49-'DRE + DCF'!K42)</f>
        <v>64.595847883543541</v>
      </c>
      <c r="L36" s="377">
        <f>('Balanço Patrimonial'!L44+'Balanço Patrimonial'!L78+'Balanço Patrimonial'!L41+'Balanço Patrimonial'!L64)*365/-('DRE + DCF'!L14+'DRE + DCF'!L17-'DRE + DCF'!L49-'DRE + DCF'!L42)</f>
        <v>72.599639304258446</v>
      </c>
      <c r="M36" s="377">
        <f>('Balanço Patrimonial'!M44+'Balanço Patrimonial'!M78+'Balanço Patrimonial'!M41+'Balanço Patrimonial'!M64)*365/-('DRE + DCF'!M14+'DRE + DCF'!M17-'DRE + DCF'!M49-'DRE + DCF'!M42)</f>
        <v>87.354597241628099</v>
      </c>
      <c r="N36" s="377">
        <f>('Balanço Patrimonial'!N44+'Balanço Patrimonial'!N78+'Balanço Patrimonial'!N41+'Balanço Patrimonial'!N64)*365/-('DRE + DCF'!N14+'DRE + DCF'!N17-'DRE + DCF'!N49-'DRE + DCF'!N42)</f>
        <v>94.567814960011177</v>
      </c>
      <c r="O36" s="377">
        <f>('Balanço Patrimonial'!O44+'Balanço Patrimonial'!O78+'Balanço Patrimonial'!O41+'Balanço Patrimonial'!O64)*365/-('DRE + DCF'!O14+'DRE + DCF'!O17-'DRE + DCF'!O49-'DRE + DCF'!O42)</f>
        <v>99.88585713175776</v>
      </c>
      <c r="P36" s="377">
        <f>('Balanço Patrimonial'!P44+'Balanço Patrimonial'!P78+'Balanço Patrimonial'!P41+'Balanço Patrimonial'!P64)*365/-('DRE + DCF'!P14+'DRE + DCF'!P17-'DRE + DCF'!P49-'DRE + DCF'!P42)</f>
        <v>142.66840526668787</v>
      </c>
      <c r="Q36" s="377">
        <f>('Balanço Patrimonial'!Q44+'Balanço Patrimonial'!Q78+'Balanço Patrimonial'!Q41+'Balanço Patrimonial'!Q64)*365/-('DRE + DCF'!Q14+'DRE + DCF'!Q17-'DRE + DCF'!Q49-'DRE + DCF'!Q42)</f>
        <v>140.77714372603569</v>
      </c>
      <c r="R36" s="378">
        <f>('Balanço Patrimonial'!R44+'Balanço Patrimonial'!R78+'Balanço Patrimonial'!R41+'Balanço Patrimonial'!R64)*365/-('DRE + DCF'!R14+'DRE + DCF'!R17-'DRE + DCF'!R49-'DRE + DCF'!R42)</f>
        <v>127.00323237292035</v>
      </c>
      <c r="S36" s="27"/>
      <c r="T36" s="27"/>
      <c r="U36" s="27"/>
      <c r="V36" s="27"/>
      <c r="W36" s="27"/>
      <c r="X36" s="27"/>
      <c r="Y36" s="27"/>
      <c r="Z36" s="27"/>
    </row>
    <row r="37" spans="1:31" ht="30" customHeight="1" thickBot="1" x14ac:dyDescent="0.3">
      <c r="A37" s="25"/>
      <c r="B37" s="27"/>
      <c r="C37" s="27"/>
      <c r="D37" s="170"/>
      <c r="E37" s="360" t="s">
        <v>1120</v>
      </c>
      <c r="F37" s="379">
        <f>F34+F35-F36</f>
        <v>123.78242541879004</v>
      </c>
      <c r="G37" s="379">
        <f t="shared" ref="G37:Q37" si="0">G34+G35-G36</f>
        <v>128.3184049506313</v>
      </c>
      <c r="H37" s="379">
        <f t="shared" si="0"/>
        <v>135.35589252481157</v>
      </c>
      <c r="I37" s="379">
        <f t="shared" si="0"/>
        <v>135.11976017047863</v>
      </c>
      <c r="J37" s="379">
        <f t="shared" si="0"/>
        <v>133.90641272440502</v>
      </c>
      <c r="K37" s="379">
        <f t="shared" si="0"/>
        <v>121.72162486268999</v>
      </c>
      <c r="L37" s="379">
        <f t="shared" si="0"/>
        <v>133.7101826469646</v>
      </c>
      <c r="M37" s="379">
        <f t="shared" si="0"/>
        <v>121.8776379431835</v>
      </c>
      <c r="N37" s="379">
        <f t="shared" si="0"/>
        <v>129.89757651028521</v>
      </c>
      <c r="O37" s="379">
        <f>O34+O35-O36</f>
        <v>117.91622233114406</v>
      </c>
      <c r="P37" s="379">
        <f>P34+P35-P36</f>
        <v>148.30537334253606</v>
      </c>
      <c r="Q37" s="379">
        <f t="shared" si="0"/>
        <v>130.0104312343997</v>
      </c>
      <c r="R37" s="380">
        <f t="shared" ref="R37" si="1">R34+R35-R36</f>
        <v>133.44831171622809</v>
      </c>
      <c r="S37" s="27"/>
      <c r="T37" s="27"/>
      <c r="U37" s="27"/>
      <c r="V37" s="27"/>
      <c r="W37" s="27"/>
      <c r="X37" s="27"/>
      <c r="Y37" s="27"/>
      <c r="Z37" s="27"/>
    </row>
    <row r="38" spans="1:31" ht="30" customHeight="1" x14ac:dyDescent="0.25">
      <c r="A38" s="25"/>
      <c r="B38" s="27"/>
      <c r="C38" s="27"/>
      <c r="D38" s="27"/>
      <c r="E38" s="163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31" ht="30" customHeight="1" x14ac:dyDescent="0.25">
      <c r="A39" s="25"/>
      <c r="B39" s="27"/>
      <c r="C39" s="27"/>
      <c r="D39" s="27"/>
      <c r="E39" s="163"/>
      <c r="F39" s="31"/>
      <c r="G39" s="31"/>
      <c r="H39" s="31"/>
      <c r="I39" s="31"/>
      <c r="J39" s="31"/>
      <c r="K39" s="31"/>
      <c r="L39" s="162"/>
      <c r="M39" s="162"/>
      <c r="N39" s="162"/>
      <c r="O39" s="162"/>
      <c r="P39" s="162"/>
      <c r="Q39" s="162"/>
      <c r="R39" s="27"/>
      <c r="S39" s="27"/>
      <c r="T39" s="27"/>
      <c r="U39" s="27"/>
      <c r="V39" s="27"/>
      <c r="W39" s="27"/>
      <c r="X39" s="27"/>
      <c r="Y39" s="27"/>
      <c r="Z39" s="27"/>
    </row>
    <row r="40" spans="1:31" ht="30" customHeight="1" x14ac:dyDescent="0.25">
      <c r="A40" s="25"/>
      <c r="B40" s="27"/>
      <c r="C40" s="27"/>
      <c r="D40" s="27"/>
      <c r="E40" s="163"/>
      <c r="F40" s="31"/>
      <c r="G40" s="31"/>
      <c r="H40" s="31"/>
      <c r="I40" s="31"/>
      <c r="J40" s="31"/>
      <c r="K40" s="31"/>
      <c r="L40" s="162"/>
      <c r="M40" s="162"/>
      <c r="N40" s="162"/>
      <c r="O40" s="162"/>
      <c r="P40" s="162"/>
      <c r="Q40" s="162"/>
      <c r="R40" s="27"/>
      <c r="S40" s="27"/>
      <c r="T40" s="27"/>
      <c r="U40" s="27"/>
      <c r="V40" s="27"/>
      <c r="W40" s="27"/>
      <c r="X40" s="27"/>
      <c r="Y40" s="27"/>
      <c r="Z40" s="27"/>
    </row>
    <row r="41" spans="1:31" ht="30" customHeight="1" x14ac:dyDescent="0.25">
      <c r="A41" s="25"/>
      <c r="B41" s="27"/>
      <c r="C41" s="27"/>
      <c r="D41" s="170"/>
      <c r="E41" s="375"/>
      <c r="F41" s="303">
        <v>2010</v>
      </c>
      <c r="G41" s="303">
        <v>2011</v>
      </c>
      <c r="H41" s="303">
        <v>2012</v>
      </c>
      <c r="I41" s="303">
        <v>2013</v>
      </c>
      <c r="J41" s="303">
        <v>2014</v>
      </c>
      <c r="K41" s="303">
        <v>2015</v>
      </c>
      <c r="L41" s="303">
        <v>2016</v>
      </c>
      <c r="M41" s="303">
        <v>2017</v>
      </c>
      <c r="N41" s="303">
        <v>2018</v>
      </c>
      <c r="O41" s="303">
        <v>2019</v>
      </c>
      <c r="P41" s="303">
        <v>2020</v>
      </c>
      <c r="Q41" s="303">
        <v>2021</v>
      </c>
      <c r="R41" s="213">
        <v>2022</v>
      </c>
      <c r="S41" s="27"/>
      <c r="T41" s="27"/>
      <c r="U41" s="27"/>
      <c r="V41" s="27"/>
      <c r="W41" s="27"/>
      <c r="X41" s="27"/>
      <c r="Y41" s="27"/>
      <c r="Z41" s="27"/>
    </row>
    <row r="42" spans="1:31" ht="30" customHeight="1" x14ac:dyDescent="0.25">
      <c r="A42" s="25"/>
      <c r="B42" s="27"/>
      <c r="C42" s="27"/>
      <c r="D42" s="170"/>
      <c r="E42" s="376" t="s">
        <v>1121</v>
      </c>
      <c r="F42" s="369">
        <v>1.3741000000000001</v>
      </c>
      <c r="G42" s="369">
        <v>1.9379</v>
      </c>
      <c r="H42" s="369">
        <v>2.0940889999999999</v>
      </c>
      <c r="I42" s="369">
        <v>1.9541900000000001</v>
      </c>
      <c r="J42" s="369">
        <v>1.40648</v>
      </c>
      <c r="K42" s="369">
        <v>0.35988799999999999</v>
      </c>
      <c r="L42" s="369">
        <v>0.45625300000000002</v>
      </c>
      <c r="M42" s="369">
        <v>0.38615646502899997</v>
      </c>
      <c r="N42" s="369">
        <v>0.450766</v>
      </c>
      <c r="O42" s="369">
        <v>0.54892052554299997</v>
      </c>
      <c r="P42" s="369">
        <v>0.32364799999999999</v>
      </c>
      <c r="Q42" s="369">
        <v>0.436675545517</v>
      </c>
      <c r="R42" s="381">
        <v>0.66710000000000003</v>
      </c>
      <c r="S42" s="27"/>
      <c r="T42" s="27"/>
      <c r="U42" s="27"/>
      <c r="V42" s="27"/>
      <c r="W42" s="27"/>
      <c r="X42" s="27"/>
      <c r="Y42" s="27"/>
      <c r="Z42" s="27"/>
    </row>
    <row r="43" spans="1:31" ht="30" customHeight="1" x14ac:dyDescent="0.25">
      <c r="A43" s="25"/>
      <c r="B43" s="27"/>
      <c r="C43" s="27"/>
      <c r="D43" s="170"/>
      <c r="E43" s="376" t="s">
        <v>1122</v>
      </c>
      <c r="F43" s="382">
        <v>2.40690138378E-2</v>
      </c>
      <c r="G43" s="382">
        <v>3.7998039215699997E-2</v>
      </c>
      <c r="H43" s="382">
        <v>2.6062090852500001E-2</v>
      </c>
      <c r="I43" s="382">
        <v>3.3121864406799997E-2</v>
      </c>
      <c r="J43" s="382">
        <v>1.8530698287200002E-2</v>
      </c>
      <c r="K43" s="382">
        <v>2.22840866873E-2</v>
      </c>
      <c r="L43" s="382">
        <v>1.9717070008599999E-2</v>
      </c>
      <c r="M43" s="382">
        <v>1.09238038198E-2</v>
      </c>
      <c r="N43" s="382">
        <v>1.03505396096E-2</v>
      </c>
      <c r="O43" s="382">
        <v>9.5464439224899993E-3</v>
      </c>
      <c r="P43" s="382">
        <v>7.6675669272700002E-3</v>
      </c>
      <c r="Q43" s="382">
        <v>1.8920084294500001E-2</v>
      </c>
      <c r="R43" s="383">
        <v>3.4508999999999998E-2</v>
      </c>
      <c r="S43" s="27"/>
      <c r="T43" s="27"/>
      <c r="U43" s="27"/>
      <c r="V43" s="27"/>
      <c r="W43" s="27"/>
      <c r="X43" s="27"/>
      <c r="Y43" s="27"/>
      <c r="Z43" s="27"/>
    </row>
    <row r="44" spans="1:31" ht="30" customHeight="1" thickBot="1" x14ac:dyDescent="0.3">
      <c r="A44" s="25"/>
      <c r="B44" s="27"/>
      <c r="C44" s="27"/>
      <c r="D44" s="170"/>
      <c r="E44" s="360" t="s">
        <v>1123</v>
      </c>
      <c r="F44" s="363">
        <v>0.54579376193100004</v>
      </c>
      <c r="G44" s="363">
        <v>0.70647037876899998</v>
      </c>
      <c r="H44" s="363">
        <v>0.73163280668899999</v>
      </c>
      <c r="I44" s="363">
        <v>0.60387907347500003</v>
      </c>
      <c r="J44" s="363">
        <v>0.38008255822800002</v>
      </c>
      <c r="K44" s="363">
        <v>0.397722876881</v>
      </c>
      <c r="L44" s="363">
        <v>0.46902178902300001</v>
      </c>
      <c r="M44" s="363">
        <v>0.37511798705499999</v>
      </c>
      <c r="N44" s="363">
        <v>0.31723465427600001</v>
      </c>
      <c r="O44" s="363">
        <v>0.39641144286899999</v>
      </c>
      <c r="P44" s="363">
        <v>0.23411810798999999</v>
      </c>
      <c r="Q44" s="363">
        <v>0.67981044613300001</v>
      </c>
      <c r="R44" s="364">
        <v>0.50112999999999996</v>
      </c>
      <c r="S44" s="27"/>
      <c r="T44" s="27"/>
      <c r="U44" s="27"/>
      <c r="V44" s="27"/>
      <c r="W44" s="27"/>
      <c r="X44" s="27"/>
      <c r="Y44" s="27"/>
      <c r="Z44" s="27"/>
    </row>
    <row r="45" spans="1:31" ht="30" customHeight="1" x14ac:dyDescent="0.25">
      <c r="A45" s="25"/>
      <c r="B45" s="27"/>
      <c r="C45" s="27"/>
      <c r="D45" s="27"/>
      <c r="E45" s="163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27"/>
      <c r="S45" s="27"/>
      <c r="T45" s="27"/>
      <c r="U45" s="27"/>
      <c r="V45" s="27"/>
      <c r="W45" s="27"/>
      <c r="X45" s="27"/>
      <c r="Y45" s="27"/>
      <c r="Z45" s="27"/>
    </row>
    <row r="46" spans="1:31" ht="30" customHeight="1" x14ac:dyDescent="0.25">
      <c r="A46" s="25"/>
      <c r="B46" s="27"/>
      <c r="C46" s="27"/>
      <c r="D46" s="27"/>
      <c r="E46" s="163"/>
      <c r="F46" s="31"/>
      <c r="G46" s="31"/>
      <c r="H46" s="31"/>
      <c r="I46" s="31"/>
      <c r="J46" s="31"/>
      <c r="K46" s="31"/>
      <c r="L46" s="162"/>
      <c r="M46" s="162"/>
      <c r="N46" s="162"/>
      <c r="O46" s="162"/>
      <c r="P46" s="162"/>
      <c r="Q46" s="162"/>
      <c r="R46" s="27"/>
      <c r="S46" s="27"/>
      <c r="T46" s="27"/>
      <c r="U46" s="27"/>
      <c r="V46" s="27"/>
      <c r="W46" s="27"/>
      <c r="X46" s="27"/>
      <c r="Y46" s="27"/>
      <c r="Z46" s="27"/>
    </row>
    <row r="47" spans="1:31" ht="30" customHeight="1" x14ac:dyDescent="0.25">
      <c r="A47" s="25"/>
      <c r="B47" s="27"/>
      <c r="C47" s="27"/>
      <c r="D47" s="27"/>
      <c r="E47" s="163"/>
      <c r="F47" s="31"/>
      <c r="G47" s="31"/>
      <c r="H47" s="31"/>
      <c r="I47" s="31"/>
      <c r="J47" s="31"/>
      <c r="K47" s="31"/>
      <c r="L47" s="162"/>
      <c r="M47" s="162"/>
      <c r="N47" s="162"/>
      <c r="O47" s="162"/>
      <c r="P47" s="162"/>
      <c r="Q47" s="162"/>
      <c r="R47" s="27"/>
      <c r="S47" s="27"/>
      <c r="T47" s="27"/>
      <c r="U47" s="27"/>
      <c r="V47" s="27"/>
      <c r="W47" s="27"/>
      <c r="X47" s="27"/>
      <c r="Y47" s="27"/>
      <c r="Z47" s="27"/>
    </row>
    <row r="48" spans="1:31" ht="30" customHeight="1" x14ac:dyDescent="0.25">
      <c r="A48" s="25"/>
      <c r="B48" s="27"/>
      <c r="C48" s="27"/>
      <c r="D48" s="27"/>
      <c r="E48" s="163"/>
      <c r="F48" s="31"/>
      <c r="G48" s="31"/>
      <c r="H48" s="31"/>
      <c r="I48" s="31"/>
      <c r="J48" s="31"/>
      <c r="K48" s="31"/>
      <c r="L48" s="162"/>
      <c r="M48" s="162"/>
      <c r="N48" s="162"/>
      <c r="O48" s="162"/>
      <c r="P48" s="162"/>
      <c r="Q48" s="162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30" customHeight="1" x14ac:dyDescent="0.25">
      <c r="A49" s="25"/>
      <c r="B49" s="27"/>
      <c r="C49" s="27"/>
      <c r="D49" s="27"/>
      <c r="E49" s="163"/>
      <c r="F49" s="31"/>
      <c r="G49" s="31"/>
      <c r="H49" s="31"/>
      <c r="I49" s="31"/>
      <c r="J49" s="31"/>
      <c r="K49" s="31"/>
      <c r="L49" s="162"/>
      <c r="M49" s="162"/>
      <c r="N49" s="162"/>
      <c r="O49" s="162"/>
      <c r="P49" s="162"/>
      <c r="Q49" s="162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30" customHeight="1" x14ac:dyDescent="0.25">
      <c r="A50" s="25"/>
      <c r="B50" s="27"/>
      <c r="C50" s="27"/>
      <c r="D50" s="27"/>
      <c r="E50" s="163"/>
      <c r="F50" s="31"/>
      <c r="G50" s="31"/>
      <c r="H50" s="31"/>
      <c r="I50" s="31"/>
      <c r="J50" s="31"/>
      <c r="K50" s="31"/>
      <c r="L50" s="162"/>
      <c r="M50" s="162"/>
      <c r="N50" s="162"/>
      <c r="O50" s="162"/>
      <c r="P50" s="162"/>
      <c r="Q50" s="162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34.5" customHeight="1" x14ac:dyDescent="0.25">
      <c r="A51" s="25"/>
      <c r="B51" s="27"/>
      <c r="C51" s="27"/>
      <c r="D51" s="27"/>
      <c r="E51" s="163"/>
      <c r="F51" s="31"/>
      <c r="G51" s="31"/>
      <c r="H51" s="31"/>
      <c r="I51" s="31"/>
      <c r="J51" s="31"/>
      <c r="K51" s="31"/>
      <c r="L51" s="162"/>
      <c r="M51" s="162"/>
      <c r="N51" s="162"/>
      <c r="O51" s="162"/>
      <c r="P51" s="162"/>
      <c r="Q51" s="162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34.5" customHeight="1" x14ac:dyDescent="0.25">
      <c r="A52" s="8"/>
      <c r="B52" s="27"/>
      <c r="C52" s="27"/>
      <c r="D52" s="27"/>
      <c r="E52" s="163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34.5" customHeight="1" x14ac:dyDescent="0.25">
      <c r="A53" s="8"/>
      <c r="B53" s="27"/>
      <c r="C53" s="27"/>
      <c r="D53" s="27"/>
      <c r="E53" s="163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34.5" customHeight="1" x14ac:dyDescent="0.25">
      <c r="A54" s="8"/>
      <c r="B54" s="27"/>
      <c r="C54" s="27"/>
      <c r="D54" s="27"/>
      <c r="E54" s="163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34.5" customHeight="1" x14ac:dyDescent="0.25">
      <c r="A55" s="8"/>
      <c r="B55" s="27"/>
      <c r="C55" s="27"/>
      <c r="D55" s="27"/>
      <c r="E55" s="163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34.5" customHeight="1" x14ac:dyDescent="0.25">
      <c r="A56" s="8"/>
      <c r="B56" s="27"/>
      <c r="C56" s="27"/>
      <c r="D56" s="27"/>
      <c r="E56" s="163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34.5" customHeight="1" x14ac:dyDescent="0.25">
      <c r="A57" s="8"/>
      <c r="B57" s="27"/>
      <c r="C57" s="27"/>
      <c r="D57" s="27"/>
      <c r="E57" s="163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34.5" customHeight="1" x14ac:dyDescent="0.25">
      <c r="A58" s="8"/>
      <c r="B58" s="27"/>
      <c r="C58" s="27"/>
      <c r="D58" s="27"/>
      <c r="E58" s="163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34.5" customHeight="1" x14ac:dyDescent="0.25">
      <c r="A59" s="8"/>
      <c r="B59" s="27"/>
      <c r="C59" s="27"/>
      <c r="D59" s="27"/>
      <c r="E59" s="163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34.5" customHeight="1" x14ac:dyDescent="0.25">
      <c r="A60" s="8"/>
      <c r="B60" s="27"/>
      <c r="C60" s="27"/>
      <c r="D60" s="27"/>
      <c r="E60" s="163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34.5" customHeight="1" x14ac:dyDescent="0.25">
      <c r="A61" s="8"/>
      <c r="B61" s="27"/>
      <c r="C61" s="27"/>
      <c r="D61" s="27"/>
      <c r="E61" s="163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34.5" customHeight="1" x14ac:dyDescent="0.25">
      <c r="A62" s="8"/>
      <c r="B62" s="27"/>
      <c r="C62" s="27"/>
      <c r="D62" s="27"/>
      <c r="E62" s="163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34.5" customHeight="1" x14ac:dyDescent="0.25">
      <c r="A63" s="8"/>
      <c r="B63" s="27"/>
      <c r="C63" s="27"/>
      <c r="D63" s="27"/>
      <c r="E63" s="163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34.5" customHeight="1" x14ac:dyDescent="0.25">
      <c r="A64" s="8"/>
      <c r="B64" s="27"/>
      <c r="C64" s="27"/>
      <c r="D64" s="27"/>
      <c r="E64" s="163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34.5" customHeight="1" x14ac:dyDescent="0.25">
      <c r="A65" s="8"/>
      <c r="B65" s="27"/>
      <c r="C65" s="27"/>
      <c r="D65" s="27"/>
      <c r="E65" s="163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34.5" customHeight="1" x14ac:dyDescent="0.25">
      <c r="A66" s="8"/>
      <c r="B66" s="27"/>
      <c r="C66" s="27"/>
      <c r="D66" s="27"/>
      <c r="E66" s="163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34.5" customHeight="1" x14ac:dyDescent="0.25">
      <c r="A67" s="8"/>
      <c r="B67" s="27"/>
      <c r="C67" s="27"/>
      <c r="D67" s="27"/>
      <c r="E67" s="163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34.5" customHeight="1" x14ac:dyDescent="0.25">
      <c r="A68" s="8"/>
      <c r="B68" s="27"/>
      <c r="C68" s="27"/>
      <c r="D68" s="27"/>
      <c r="E68" s="163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</sheetData>
  <mergeCells count="1">
    <mergeCell ref="E3:R5"/>
  </mergeCells>
  <conditionalFormatting sqref="C22:Q23">
    <cfRule type="cellIs" dxfId="12" priority="80" operator="equal">
      <formula>0</formula>
    </cfRule>
  </conditionalFormatting>
  <conditionalFormatting sqref="C24:R1048576">
    <cfRule type="cellIs" dxfId="11" priority="6" operator="equal">
      <formula>0</formula>
    </cfRule>
  </conditionalFormatting>
  <conditionalFormatting sqref="C1:XFD2 A1:A6 B1:B68 C3:D5 V3:XFD5 C6:XFD8 C9:D15 S9:X17 Y9:XFD33 C16:Q16 C17:D21 T18:X33 A20:A68 T34:XFD51 S52:XFD1048576">
    <cfRule type="cellIs" dxfId="10" priority="84" operator="equal">
      <formula>0</formula>
    </cfRule>
  </conditionalFormatting>
  <conditionalFormatting sqref="E14:Q15">
    <cfRule type="cellIs" dxfId="9" priority="77" operator="equal">
      <formula>0</formula>
    </cfRule>
  </conditionalFormatting>
  <conditionalFormatting sqref="E17:Q17">
    <cfRule type="cellIs" dxfId="8" priority="29" operator="equal">
      <formula>0</formula>
    </cfRule>
  </conditionalFormatting>
  <conditionalFormatting sqref="E9:R13">
    <cfRule type="cellIs" dxfId="7" priority="16" operator="equal">
      <formula>0</formula>
    </cfRule>
  </conditionalFormatting>
  <conditionalFormatting sqref="E18:R23">
    <cfRule type="cellIs" dxfId="6" priority="72" operator="equal">
      <formula>0</formula>
    </cfRule>
  </conditionalFormatting>
  <conditionalFormatting sqref="F10:R10">
    <cfRule type="colorScale" priority="19">
      <colorScale>
        <cfvo type="min"/>
        <cfvo type="max"/>
        <color rgb="FFCEF6CE"/>
        <color rgb="FF59BF59"/>
      </colorScale>
    </cfRule>
  </conditionalFormatting>
  <conditionalFormatting sqref="F11:R11">
    <cfRule type="colorScale" priority="18">
      <colorScale>
        <cfvo type="min"/>
        <cfvo type="max"/>
        <color rgb="FFCEF6CE"/>
        <color rgb="FF59BF59"/>
      </colorScale>
    </cfRule>
  </conditionalFormatting>
  <conditionalFormatting sqref="F12:R12">
    <cfRule type="colorScale" priority="17">
      <colorScale>
        <cfvo type="min"/>
        <cfvo type="max"/>
        <color rgb="FFCEF6CE"/>
        <color rgb="FF59BF59"/>
      </colorScale>
    </cfRule>
  </conditionalFormatting>
  <conditionalFormatting sqref="F13:R13">
    <cfRule type="colorScale" priority="15">
      <colorScale>
        <cfvo type="min"/>
        <cfvo type="max"/>
        <color rgb="FFCEF6CE"/>
        <color rgb="FF59BF59"/>
      </colorScale>
    </cfRule>
  </conditionalFormatting>
  <conditionalFormatting sqref="F18:R18">
    <cfRule type="colorScale" priority="22">
      <colorScale>
        <cfvo type="min"/>
        <cfvo type="max"/>
        <color rgb="FFCEF6CE"/>
        <color rgb="FF59BF59"/>
      </colorScale>
    </cfRule>
  </conditionalFormatting>
  <conditionalFormatting sqref="F19:R19">
    <cfRule type="colorScale" priority="21">
      <colorScale>
        <cfvo type="min"/>
        <cfvo type="max"/>
        <color rgb="FFCEF6CE"/>
        <color rgb="FF59BF59"/>
      </colorScale>
    </cfRule>
  </conditionalFormatting>
  <conditionalFormatting sqref="F20:R20">
    <cfRule type="colorScale" priority="20">
      <colorScale>
        <cfvo type="min"/>
        <cfvo type="max"/>
        <color rgb="FFCEF6CE"/>
        <color rgb="FF59BF59"/>
      </colorScale>
    </cfRule>
  </conditionalFormatting>
  <conditionalFormatting sqref="F25:R25">
    <cfRule type="colorScale" priority="14">
      <colorScale>
        <cfvo type="min"/>
        <cfvo type="max"/>
        <color rgb="FFCEF6CE"/>
        <color rgb="FF59BF59"/>
      </colorScale>
    </cfRule>
  </conditionalFormatting>
  <conditionalFormatting sqref="F26:R26">
    <cfRule type="colorScale" priority="13">
      <colorScale>
        <cfvo type="min"/>
        <cfvo type="max"/>
        <color rgb="FFCEF6CE"/>
        <color rgb="FF59BF59"/>
      </colorScale>
    </cfRule>
  </conditionalFormatting>
  <conditionalFormatting sqref="F27:R27">
    <cfRule type="colorScale" priority="12">
      <colorScale>
        <cfvo type="min"/>
        <cfvo type="max"/>
        <color rgb="FFCEF6CE"/>
        <color rgb="FF59BF59"/>
      </colorScale>
    </cfRule>
  </conditionalFormatting>
  <conditionalFormatting sqref="F28:R28">
    <cfRule type="colorScale" priority="11">
      <colorScale>
        <cfvo type="min"/>
        <cfvo type="max"/>
        <color rgb="FFCEF6CE"/>
        <color rgb="FF59BF59"/>
      </colorScale>
    </cfRule>
  </conditionalFormatting>
  <conditionalFormatting sqref="F29:R29">
    <cfRule type="colorScale" priority="10">
      <colorScale>
        <cfvo type="min"/>
        <cfvo type="max"/>
        <color rgb="FFCEF6CE"/>
        <color rgb="FF59BF59"/>
      </colorScale>
    </cfRule>
  </conditionalFormatting>
  <conditionalFormatting sqref="F34:R34">
    <cfRule type="colorScale" priority="9">
      <colorScale>
        <cfvo type="min"/>
        <cfvo type="max"/>
        <color rgb="FFCEF6CE"/>
        <color rgb="FF59BF59"/>
      </colorScale>
    </cfRule>
  </conditionalFormatting>
  <conditionalFormatting sqref="F35:R35">
    <cfRule type="colorScale" priority="7">
      <colorScale>
        <cfvo type="min"/>
        <cfvo type="max"/>
        <color rgb="FFCEF6CE"/>
        <color rgb="FF59BF59"/>
      </colorScale>
    </cfRule>
  </conditionalFormatting>
  <conditionalFormatting sqref="F36:R36">
    <cfRule type="colorScale" priority="5">
      <colorScale>
        <cfvo type="min"/>
        <cfvo type="max"/>
        <color rgb="FFCEF6CE"/>
        <color rgb="FF59BF59"/>
      </colorScale>
    </cfRule>
  </conditionalFormatting>
  <conditionalFormatting sqref="F37:R37">
    <cfRule type="colorScale" priority="4">
      <colorScale>
        <cfvo type="min"/>
        <cfvo type="max"/>
        <color rgb="FFCEF6CE"/>
        <color rgb="FF59BF59"/>
      </colorScale>
    </cfRule>
  </conditionalFormatting>
  <conditionalFormatting sqref="F42:R42">
    <cfRule type="colorScale" priority="3">
      <colorScale>
        <cfvo type="min"/>
        <cfvo type="max"/>
        <color rgb="FFCEF6CE"/>
        <color rgb="FF59BF59"/>
      </colorScale>
    </cfRule>
  </conditionalFormatting>
  <conditionalFormatting sqref="F43:R43">
    <cfRule type="colorScale" priority="2">
      <colorScale>
        <cfvo type="min"/>
        <cfvo type="max"/>
        <color rgb="FFCEF6CE"/>
        <color rgb="FF59BF59"/>
      </colorScale>
    </cfRule>
  </conditionalFormatting>
  <conditionalFormatting sqref="F44:R44">
    <cfRule type="colorScale" priority="1">
      <colorScale>
        <cfvo type="min"/>
        <cfvo type="max"/>
        <color rgb="FFCEF6CE"/>
        <color rgb="FF59BF59"/>
      </colorScale>
    </cfRule>
  </conditionalFormatting>
  <conditionalFormatting sqref="R14:R17">
    <cfRule type="cellIs" dxfId="5" priority="28" operator="equal">
      <formula>0</formula>
    </cfRule>
  </conditionalFormatting>
  <conditionalFormatting sqref="S18:S51">
    <cfRule type="cellIs" dxfId="4" priority="60" operator="equal">
      <formula>0</formula>
    </cfRule>
  </conditionalFormatting>
  <hyperlinks>
    <hyperlink ref="A9" location="WACC!A1" display="WACC" xr:uid="{0F696737-57EA-4165-895B-81E37C6CAF22}"/>
    <hyperlink ref="A8" location="Dashboard!A1" display="Dashboard" xr:uid="{2969161C-A0B2-44F2-A15A-D61670F9BFF2}"/>
    <hyperlink ref="A13" location="'Projeções - Receita'!A1" display="Projeções" xr:uid="{21D87697-2C6B-4F25-B3C6-B9322A277F66}"/>
    <hyperlink ref="A10" location="'DRE + DCF'!A1" display="DRE + DCF" xr:uid="{642615AD-DE44-47F5-8E3A-BCCE0A0900A5}"/>
    <hyperlink ref="A12" location="'Balanço Patrimonial'!A1" display="Balanço Patrimonial" xr:uid="{5FF6B91C-035F-4B51-A54A-5F0751AC6085}"/>
    <hyperlink ref="A15" location="'Capex + K. Giro'!A1" display="Capex + Capital de Giro" xr:uid="{DCAF0510-0839-46A3-ACF6-446EA8E48CD2}"/>
    <hyperlink ref="A14" location="Lojas!A1" display="Lojas" xr:uid="{2747F0F4-EDE5-4341-A34C-EED3ED585B5E}"/>
    <hyperlink ref="A11" location="'DRE - Contas Abertas'!A1" display="Contas Abertas" xr:uid="{0D03481D-8382-4515-8644-0CCAB7C7FD65}"/>
    <hyperlink ref="A16" location="'Projeções Trimestrais'!A1" display="Projeções Trimestrais" xr:uid="{82DCDBB8-5AAD-464B-90A4-6910D245D447}"/>
    <hyperlink ref="A17" location="'Painel de Índices'!A1" display="Painel de Índices" xr:uid="{9A779C3D-5DB8-4D6A-9803-C5F1504B6C2E}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53B1-E127-4542-B8B5-2FD0F376526F}">
  <sheetPr codeName="Planilha4"/>
  <dimension ref="A1:BB34"/>
  <sheetViews>
    <sheetView showGridLines="0" zoomScaleNormal="100" workbookViewId="0">
      <selection activeCell="A5" sqref="A5"/>
    </sheetView>
  </sheetViews>
  <sheetFormatPr defaultColWidth="0" defaultRowHeight="93" customHeight="1" zeroHeight="1" x14ac:dyDescent="0.25"/>
  <cols>
    <col min="1" max="1" width="39.140625" style="8" customWidth="1"/>
    <col min="2" max="4" width="9.140625" style="2" customWidth="1"/>
    <col min="5" max="5" width="21.42578125" style="2" bestFit="1" customWidth="1"/>
    <col min="6" max="6" width="56" style="2" customWidth="1"/>
    <col min="7" max="7" width="31" style="2" bestFit="1" customWidth="1"/>
    <col min="8" max="8" width="33.42578125" style="2" bestFit="1" customWidth="1"/>
    <col min="9" max="9" width="30.7109375" style="2" bestFit="1" customWidth="1"/>
    <col min="10" max="10" width="11.85546875" style="2" customWidth="1"/>
    <col min="11" max="11" width="15.7109375" style="2" customWidth="1"/>
    <col min="12" max="12" width="11.85546875" style="2" customWidth="1"/>
    <col min="13" max="13" width="11.85546875" style="2" hidden="1" customWidth="1"/>
    <col min="14" max="14" width="14" style="2" hidden="1" customWidth="1"/>
    <col min="15" max="24" width="9.140625" style="2" customWidth="1"/>
    <col min="25" max="25" width="9.140625" style="2" hidden="1" customWidth="1"/>
    <col min="26" max="29" width="0" style="2" hidden="1" customWidth="1"/>
    <col min="30" max="31" width="9.140625" style="2" hidden="1" customWidth="1"/>
    <col min="32" max="35" width="0" style="2" hidden="1" customWidth="1"/>
    <col min="36" max="37" width="9.140625" style="2" hidden="1" customWidth="1"/>
    <col min="38" max="41" width="0" style="2" hidden="1" customWidth="1"/>
    <col min="42" max="42" width="9.140625" style="2" hidden="1" customWidth="1"/>
    <col min="43" max="46" width="0" style="2" hidden="1" customWidth="1"/>
    <col min="47" max="48" width="9.140625" style="2" hidden="1" customWidth="1"/>
    <col min="49" max="52" width="0" style="2" hidden="1" customWidth="1"/>
    <col min="53" max="54" width="9.140625" style="2" hidden="1" customWidth="1"/>
    <col min="55" max="16384" width="0" style="2" hidden="1"/>
  </cols>
  <sheetData>
    <row r="1" spans="1:27" ht="15" customHeight="1" x14ac:dyDescent="0.2"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31" t="s">
        <v>1070</v>
      </c>
      <c r="N1" s="231" t="s">
        <v>1071</v>
      </c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7" ht="15" customHeight="1" x14ac:dyDescent="0.2">
      <c r="B2" s="27"/>
      <c r="C2" s="27"/>
      <c r="D2" s="27"/>
      <c r="E2" s="27"/>
      <c r="F2" s="27"/>
      <c r="G2" s="27"/>
      <c r="H2" s="27"/>
      <c r="I2" s="27"/>
      <c r="J2" s="27"/>
      <c r="K2" s="27"/>
      <c r="L2" s="28"/>
      <c r="M2" s="231" t="s">
        <v>1072</v>
      </c>
      <c r="N2" s="231" t="s">
        <v>1073</v>
      </c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7" ht="15" customHeight="1" x14ac:dyDescent="0.2">
      <c r="B3" s="27"/>
      <c r="C3" s="27"/>
      <c r="D3" s="27"/>
      <c r="E3" s="27"/>
      <c r="F3" s="27"/>
      <c r="G3" s="43"/>
      <c r="H3" s="43"/>
      <c r="I3" s="43"/>
      <c r="J3" s="27"/>
      <c r="K3" s="27"/>
      <c r="L3" s="28"/>
      <c r="M3" s="231" t="s">
        <v>1074</v>
      </c>
      <c r="N3" s="231" t="s">
        <v>1075</v>
      </c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7" ht="15" customHeight="1" x14ac:dyDescent="0.2">
      <c r="B4" s="27"/>
      <c r="C4" s="27"/>
      <c r="D4" s="27"/>
      <c r="E4" s="449" t="s">
        <v>386</v>
      </c>
      <c r="F4" s="449"/>
      <c r="G4" s="449"/>
      <c r="H4" s="449"/>
      <c r="I4" s="449"/>
      <c r="J4" s="232"/>
      <c r="K4" s="232"/>
      <c r="L4" s="232"/>
      <c r="M4" s="232"/>
      <c r="N4" s="231" t="s">
        <v>1076</v>
      </c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7" ht="15" customHeight="1" x14ac:dyDescent="0.25">
      <c r="B5" s="27"/>
      <c r="C5" s="27"/>
      <c r="D5" s="27"/>
      <c r="E5" s="449"/>
      <c r="F5" s="449"/>
      <c r="G5" s="449"/>
      <c r="H5" s="449"/>
      <c r="I5" s="449"/>
      <c r="J5" s="232"/>
      <c r="K5" s="232"/>
      <c r="L5" s="232"/>
      <c r="M5" s="232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7" ht="15" customHeight="1" x14ac:dyDescent="0.25">
      <c r="B6" s="27"/>
      <c r="C6" s="27"/>
      <c r="D6" s="27"/>
      <c r="E6" s="449"/>
      <c r="F6" s="449"/>
      <c r="G6" s="449"/>
      <c r="H6" s="449"/>
      <c r="I6" s="449"/>
      <c r="J6" s="232"/>
      <c r="K6" s="232"/>
      <c r="L6" s="232"/>
      <c r="M6" s="232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7" s="7" customFormat="1" ht="24.75" customHeight="1" x14ac:dyDescent="0.25">
      <c r="A7" s="24" t="s">
        <v>39</v>
      </c>
      <c r="B7" s="31"/>
      <c r="C7" s="31"/>
      <c r="D7" s="31"/>
      <c r="E7" s="31"/>
      <c r="F7" s="206"/>
      <c r="G7" s="206"/>
      <c r="H7" s="206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7" ht="30" customHeight="1" x14ac:dyDescent="0.2">
      <c r="A8" s="25" t="s">
        <v>40</v>
      </c>
      <c r="B8" s="27"/>
      <c r="C8" s="31"/>
      <c r="D8" s="31"/>
      <c r="E8" s="233"/>
      <c r="F8" s="234"/>
      <c r="G8" s="234"/>
      <c r="H8" s="235"/>
      <c r="I8" s="235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27"/>
      <c r="V8" s="27"/>
      <c r="W8" s="27"/>
      <c r="X8" s="27"/>
    </row>
    <row r="9" spans="1:27" ht="30" customHeight="1" x14ac:dyDescent="0.25">
      <c r="A9" s="25" t="s">
        <v>22</v>
      </c>
      <c r="B9" s="27"/>
      <c r="C9" s="31"/>
      <c r="D9" s="27"/>
      <c r="E9" s="236"/>
      <c r="F9" s="171" t="s">
        <v>1077</v>
      </c>
      <c r="G9" s="171" t="s">
        <v>1078</v>
      </c>
      <c r="H9" s="171" t="s">
        <v>1079</v>
      </c>
      <c r="I9" s="237" t="s">
        <v>1080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27"/>
      <c r="V9" s="27"/>
      <c r="W9" s="27"/>
      <c r="X9" s="27"/>
      <c r="Y9" s="27"/>
      <c r="Z9" s="27"/>
      <c r="AA9" s="27"/>
    </row>
    <row r="10" spans="1:27" ht="30" customHeight="1" x14ac:dyDescent="0.25">
      <c r="A10" s="25" t="s">
        <v>42</v>
      </c>
      <c r="B10" s="27"/>
      <c r="C10" s="31"/>
      <c r="D10" s="27"/>
      <c r="E10" s="238" t="s">
        <v>1081</v>
      </c>
      <c r="F10" s="209">
        <f>SUM(G10:I10)</f>
        <v>838112</v>
      </c>
      <c r="G10" s="209">
        <v>32813</v>
      </c>
      <c r="H10" s="209">
        <f>898562-H11</f>
        <v>805299</v>
      </c>
      <c r="I10" s="239">
        <v>0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27"/>
      <c r="V10" s="27"/>
      <c r="W10" s="27"/>
      <c r="X10" s="27"/>
      <c r="Y10" s="27"/>
      <c r="Z10" s="27"/>
      <c r="AA10" s="27"/>
    </row>
    <row r="11" spans="1:27" ht="30" customHeight="1" x14ac:dyDescent="0.25">
      <c r="A11" s="25" t="s">
        <v>987</v>
      </c>
      <c r="B11" s="27"/>
      <c r="C11" s="31"/>
      <c r="D11" s="27"/>
      <c r="E11" s="238" t="s">
        <v>1082</v>
      </c>
      <c r="F11" s="209">
        <f t="shared" ref="F11:F13" si="0">SUM(G11:I11)</f>
        <v>134168</v>
      </c>
      <c r="G11" s="209">
        <v>40905</v>
      </c>
      <c r="H11" s="209">
        <v>93263</v>
      </c>
      <c r="I11" s="239">
        <v>0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7"/>
      <c r="V11" s="27"/>
      <c r="W11" s="27"/>
      <c r="X11" s="27"/>
      <c r="Y11" s="27"/>
      <c r="Z11" s="27"/>
      <c r="AA11" s="27"/>
    </row>
    <row r="12" spans="1:27" ht="30" customHeight="1" x14ac:dyDescent="0.25">
      <c r="A12" s="25" t="s">
        <v>43</v>
      </c>
      <c r="B12" s="27"/>
      <c r="C12" s="31"/>
      <c r="D12" s="27"/>
      <c r="E12" s="238" t="s">
        <v>1083</v>
      </c>
      <c r="F12" s="209">
        <f t="shared" si="0"/>
        <v>59004</v>
      </c>
      <c r="G12" s="209">
        <v>59004</v>
      </c>
      <c r="H12" s="209">
        <v>0</v>
      </c>
      <c r="I12" s="239">
        <v>0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27"/>
      <c r="W12" s="27"/>
      <c r="X12" s="27"/>
    </row>
    <row r="13" spans="1:27" ht="30" customHeight="1" x14ac:dyDescent="0.25">
      <c r="A13" s="25" t="s">
        <v>385</v>
      </c>
      <c r="B13" s="27"/>
      <c r="C13" s="31"/>
      <c r="D13" s="27"/>
      <c r="E13" s="238" t="s">
        <v>1084</v>
      </c>
      <c r="F13" s="209">
        <f t="shared" si="0"/>
        <v>0</v>
      </c>
      <c r="G13" s="209">
        <v>0</v>
      </c>
      <c r="H13" s="209">
        <v>0</v>
      </c>
      <c r="I13" s="239">
        <v>0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27"/>
      <c r="V13" s="27"/>
      <c r="W13" s="27"/>
      <c r="X13" s="27"/>
    </row>
    <row r="14" spans="1:27" ht="30" customHeight="1" thickBot="1" x14ac:dyDescent="0.3">
      <c r="A14" s="25" t="s">
        <v>73</v>
      </c>
      <c r="B14" s="27"/>
      <c r="C14" s="31"/>
      <c r="D14" s="27"/>
      <c r="E14" s="240" t="s">
        <v>1085</v>
      </c>
      <c r="F14" s="241">
        <f>SUM(G14:I14)</f>
        <v>1400000</v>
      </c>
      <c r="G14" s="241">
        <f>SUM(G10:G13)</f>
        <v>132722</v>
      </c>
      <c r="H14" s="241">
        <f>SUM(H10:H13)</f>
        <v>898562</v>
      </c>
      <c r="I14" s="242">
        <f>1.4*10^6-SUM(G14:H14)</f>
        <v>368716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7"/>
      <c r="V14" s="27"/>
      <c r="W14" s="27"/>
      <c r="X14" s="27"/>
    </row>
    <row r="15" spans="1:27" ht="30" customHeight="1" x14ac:dyDescent="0.25">
      <c r="A15" s="25" t="s">
        <v>382</v>
      </c>
      <c r="B15" s="27"/>
      <c r="C15" s="31"/>
      <c r="D15" s="27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27"/>
      <c r="V15" s="27"/>
      <c r="W15" s="27"/>
      <c r="X15" s="27"/>
    </row>
    <row r="16" spans="1:27" ht="30" customHeight="1" x14ac:dyDescent="0.25">
      <c r="A16" s="25" t="s">
        <v>986</v>
      </c>
      <c r="B16" s="27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7"/>
      <c r="V16" s="27"/>
      <c r="W16" s="27"/>
      <c r="X16" s="27"/>
    </row>
    <row r="17" spans="1:24" ht="30" customHeight="1" x14ac:dyDescent="0.25">
      <c r="A17" s="25" t="s">
        <v>1086</v>
      </c>
      <c r="B17" s="27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27"/>
      <c r="V17" s="27"/>
      <c r="W17" s="27"/>
      <c r="X17" s="27"/>
    </row>
    <row r="18" spans="1:24" ht="30" customHeight="1" x14ac:dyDescent="0.25">
      <c r="A18" s="390" t="s">
        <v>1092</v>
      </c>
      <c r="B18" s="27"/>
      <c r="C18" s="31"/>
      <c r="D18" s="31"/>
      <c r="E18" s="243" t="s">
        <v>1087</v>
      </c>
      <c r="F18" s="171" t="s">
        <v>1088</v>
      </c>
      <c r="G18" s="171" t="s">
        <v>1089</v>
      </c>
      <c r="H18" s="171" t="s">
        <v>1090</v>
      </c>
      <c r="I18" s="237" t="s">
        <v>1091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7"/>
      <c r="V18" s="27"/>
      <c r="W18" s="27"/>
      <c r="X18" s="27"/>
    </row>
    <row r="19" spans="1:24" ht="127.5" x14ac:dyDescent="0.25">
      <c r="A19" s="32"/>
      <c r="B19" s="27"/>
      <c r="C19" s="31"/>
      <c r="D19" s="27"/>
      <c r="E19" s="238" t="s">
        <v>1071</v>
      </c>
      <c r="F19" s="244" t="s">
        <v>1093</v>
      </c>
      <c r="G19" s="209">
        <v>100000</v>
      </c>
      <c r="H19" s="209" t="s">
        <v>1072</v>
      </c>
      <c r="I19" s="245">
        <v>0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27"/>
      <c r="V19" s="27"/>
      <c r="W19" s="27"/>
      <c r="X19" s="27"/>
    </row>
    <row r="20" spans="1:24" ht="89.25" x14ac:dyDescent="0.25">
      <c r="A20" s="25"/>
      <c r="B20" s="27"/>
      <c r="C20" s="31"/>
      <c r="D20" s="27"/>
      <c r="E20" s="238" t="s">
        <v>1071</v>
      </c>
      <c r="F20" s="244" t="s">
        <v>1094</v>
      </c>
      <c r="G20" s="209">
        <v>100930</v>
      </c>
      <c r="H20" s="209" t="s">
        <v>1072</v>
      </c>
      <c r="I20" s="245">
        <v>0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7"/>
      <c r="V20" s="27"/>
      <c r="W20" s="27"/>
      <c r="X20" s="27"/>
    </row>
    <row r="21" spans="1:24" ht="62.25" customHeight="1" x14ac:dyDescent="0.25">
      <c r="A21" s="25"/>
      <c r="B21" s="27"/>
      <c r="C21" s="31"/>
      <c r="D21" s="27"/>
      <c r="E21" s="238" t="s">
        <v>1071</v>
      </c>
      <c r="F21" s="244" t="s">
        <v>1095</v>
      </c>
      <c r="G21" s="209">
        <v>46860</v>
      </c>
      <c r="H21" s="209" t="s">
        <v>1072</v>
      </c>
      <c r="I21" s="239" t="s">
        <v>21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7"/>
      <c r="V21" s="27"/>
      <c r="W21" s="27"/>
      <c r="X21" s="27"/>
    </row>
    <row r="22" spans="1:24" ht="122.25" customHeight="1" x14ac:dyDescent="0.25">
      <c r="A22" s="25"/>
      <c r="B22" s="27"/>
      <c r="C22" s="31"/>
      <c r="D22" s="27"/>
      <c r="E22" s="238" t="s">
        <v>1071</v>
      </c>
      <c r="F22" s="244" t="s">
        <v>1096</v>
      </c>
      <c r="G22" s="209">
        <v>77520</v>
      </c>
      <c r="H22" s="209" t="s">
        <v>1072</v>
      </c>
      <c r="I22" s="245">
        <v>0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7"/>
      <c r="V22" s="27"/>
      <c r="W22" s="27"/>
      <c r="X22" s="27"/>
    </row>
    <row r="23" spans="1:24" ht="86.25" customHeight="1" x14ac:dyDescent="0.25">
      <c r="A23" s="25"/>
      <c r="B23" s="27"/>
      <c r="C23" s="31"/>
      <c r="D23" s="27"/>
      <c r="E23" s="238" t="s">
        <v>1071</v>
      </c>
      <c r="F23" s="244" t="s">
        <v>1097</v>
      </c>
      <c r="G23" s="209">
        <v>162500</v>
      </c>
      <c r="H23" s="209" t="s">
        <v>1072</v>
      </c>
      <c r="I23" s="245">
        <v>0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27"/>
      <c r="V23" s="27"/>
      <c r="W23" s="27"/>
      <c r="X23" s="27"/>
    </row>
    <row r="24" spans="1:24" ht="140.25" customHeight="1" x14ac:dyDescent="0.25">
      <c r="A24" s="25"/>
      <c r="B24" s="27"/>
      <c r="C24" s="31"/>
      <c r="D24" s="27"/>
      <c r="E24" s="238" t="s">
        <v>1071</v>
      </c>
      <c r="F24" s="244" t="s">
        <v>1098</v>
      </c>
      <c r="G24" s="209">
        <v>13820</v>
      </c>
      <c r="H24" s="209" t="s">
        <v>1072</v>
      </c>
      <c r="I24" s="239">
        <v>0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27"/>
      <c r="V24" s="27"/>
      <c r="W24" s="27"/>
      <c r="X24" s="27"/>
    </row>
    <row r="25" spans="1:24" ht="86.25" customHeight="1" x14ac:dyDescent="0.25">
      <c r="A25" s="25"/>
      <c r="B25" s="27"/>
      <c r="C25" s="31"/>
      <c r="D25" s="27"/>
      <c r="E25" s="238" t="s">
        <v>1071</v>
      </c>
      <c r="F25" s="244" t="s">
        <v>1099</v>
      </c>
      <c r="G25" s="209">
        <v>5830</v>
      </c>
      <c r="H25" s="209" t="s">
        <v>1072</v>
      </c>
      <c r="I25" s="245" t="s">
        <v>21</v>
      </c>
      <c r="J25" s="31"/>
      <c r="K25" s="162"/>
      <c r="L25" s="31"/>
      <c r="M25" s="31"/>
      <c r="N25" s="31"/>
      <c r="O25" s="31"/>
      <c r="P25" s="31"/>
      <c r="Q25" s="31"/>
      <c r="R25" s="31"/>
      <c r="S25" s="31"/>
      <c r="T25" s="31"/>
      <c r="U25" s="27"/>
      <c r="V25" s="27"/>
      <c r="W25" s="27"/>
      <c r="X25" s="27"/>
    </row>
    <row r="26" spans="1:24" ht="86.25" customHeight="1" x14ac:dyDescent="0.25">
      <c r="A26" s="25"/>
      <c r="B26" s="27"/>
      <c r="C26" s="31"/>
      <c r="D26" s="27"/>
      <c r="E26" s="238" t="s">
        <v>1071</v>
      </c>
      <c r="F26" s="244" t="s">
        <v>1100</v>
      </c>
      <c r="G26" s="209">
        <v>10010</v>
      </c>
      <c r="H26" s="209" t="s">
        <v>1072</v>
      </c>
      <c r="I26" s="245" t="s">
        <v>21</v>
      </c>
      <c r="J26" s="31"/>
      <c r="K26" s="162"/>
      <c r="L26" s="162"/>
      <c r="M26" s="162"/>
      <c r="N26" s="27"/>
      <c r="O26" s="27"/>
      <c r="P26" s="27"/>
      <c r="Q26" s="31"/>
      <c r="R26" s="31"/>
      <c r="S26" s="31"/>
      <c r="T26" s="31"/>
      <c r="U26" s="27"/>
      <c r="V26" s="27"/>
      <c r="W26" s="27"/>
      <c r="X26" s="27"/>
    </row>
    <row r="27" spans="1:24" ht="86.25" customHeight="1" x14ac:dyDescent="0.25">
      <c r="A27" s="25"/>
      <c r="B27" s="27"/>
      <c r="C27" s="27"/>
      <c r="D27" s="27"/>
      <c r="E27" s="238" t="s">
        <v>1071</v>
      </c>
      <c r="F27" s="244" t="s">
        <v>1101</v>
      </c>
      <c r="G27" s="209">
        <v>29080</v>
      </c>
      <c r="H27" s="209" t="s">
        <v>1072</v>
      </c>
      <c r="I27" s="245">
        <v>0</v>
      </c>
      <c r="J27" s="31"/>
      <c r="K27" s="162"/>
      <c r="L27" s="162"/>
      <c r="M27" s="162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4" ht="86.25" customHeight="1" x14ac:dyDescent="0.25">
      <c r="A28" s="25"/>
      <c r="B28" s="27"/>
      <c r="C28" s="27"/>
      <c r="D28" s="27"/>
      <c r="E28" s="238" t="s">
        <v>1071</v>
      </c>
      <c r="F28" s="244" t="s">
        <v>1102</v>
      </c>
      <c r="G28" s="221">
        <v>28960</v>
      </c>
      <c r="H28" s="209" t="s">
        <v>1072</v>
      </c>
      <c r="I28" s="246">
        <v>0</v>
      </c>
      <c r="J28" s="31"/>
      <c r="K28" s="162"/>
      <c r="L28" s="162"/>
      <c r="M28" s="162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24" ht="86.25" customHeight="1" x14ac:dyDescent="0.25">
      <c r="A29" s="25"/>
      <c r="B29" s="27"/>
      <c r="C29" s="27"/>
      <c r="D29" s="27"/>
      <c r="E29" s="238" t="s">
        <v>1071</v>
      </c>
      <c r="F29" s="244" t="s">
        <v>1103</v>
      </c>
      <c r="G29" s="221">
        <v>25290</v>
      </c>
      <c r="H29" s="209" t="s">
        <v>1072</v>
      </c>
      <c r="I29" s="246" t="s">
        <v>21</v>
      </c>
      <c r="J29" s="31"/>
      <c r="K29" s="162"/>
      <c r="L29" s="162"/>
      <c r="M29" s="162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24" ht="86.25" customHeight="1" x14ac:dyDescent="0.25">
      <c r="A30" s="25"/>
      <c r="B30" s="27"/>
      <c r="C30" s="27"/>
      <c r="D30" s="27"/>
      <c r="E30" s="238" t="s">
        <v>1071</v>
      </c>
      <c r="F30" s="244" t="s">
        <v>1104</v>
      </c>
      <c r="G30" s="221">
        <v>15240</v>
      </c>
      <c r="H30" s="209" t="s">
        <v>1072</v>
      </c>
      <c r="I30" s="246" t="s">
        <v>21</v>
      </c>
      <c r="J30" s="31"/>
      <c r="K30" s="162"/>
      <c r="L30" s="162"/>
      <c r="M30" s="162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24" ht="86.25" customHeight="1" thickBot="1" x14ac:dyDescent="0.3">
      <c r="A31" s="25"/>
      <c r="B31" s="27"/>
      <c r="C31" s="27"/>
      <c r="D31" s="27"/>
      <c r="E31" s="249" t="s">
        <v>1071</v>
      </c>
      <c r="F31" s="250" t="s">
        <v>1105</v>
      </c>
      <c r="G31" s="251">
        <v>9370</v>
      </c>
      <c r="H31" s="251" t="s">
        <v>1072</v>
      </c>
      <c r="I31" s="252" t="s">
        <v>21</v>
      </c>
      <c r="J31" s="31"/>
      <c r="K31" s="162"/>
      <c r="L31" s="162"/>
      <c r="M31" s="162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24" ht="86.25" customHeight="1" x14ac:dyDescent="0.25">
      <c r="A32" s="25"/>
      <c r="B32" s="27"/>
      <c r="C32" s="27"/>
      <c r="D32" s="27"/>
      <c r="E32" s="163"/>
      <c r="F32" s="162"/>
      <c r="G32" s="162"/>
      <c r="H32" s="162"/>
      <c r="I32" s="162"/>
      <c r="J32" s="31"/>
      <c r="K32" s="162"/>
      <c r="L32" s="162"/>
      <c r="M32" s="162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4" ht="93" hidden="1" customHeight="1" x14ac:dyDescent="0.25">
      <c r="A33" s="25"/>
      <c r="B33" s="27"/>
      <c r="C33" s="27"/>
      <c r="D33" s="27"/>
      <c r="E33" s="163"/>
      <c r="F33" s="162"/>
      <c r="G33" s="162"/>
      <c r="H33" s="162"/>
      <c r="I33" s="162"/>
      <c r="J33" s="162"/>
      <c r="K33" s="162"/>
      <c r="L33" s="162"/>
      <c r="M33" s="162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spans="1:24" ht="93" hidden="1" customHeight="1" x14ac:dyDescent="0.25">
      <c r="A34" s="25"/>
    </row>
  </sheetData>
  <mergeCells count="1">
    <mergeCell ref="E4:I6"/>
  </mergeCells>
  <conditionalFormatting sqref="F19:I31">
    <cfRule type="cellIs" dxfId="3" priority="1" operator="equal">
      <formula>0</formula>
    </cfRule>
  </conditionalFormatting>
  <conditionalFormatting sqref="F10:J14">
    <cfRule type="cellIs" dxfId="2" priority="2" operator="equal">
      <formula>0</formula>
    </cfRule>
  </conditionalFormatting>
  <conditionalFormatting sqref="J19:J20">
    <cfRule type="cellIs" dxfId="1" priority="4" operator="equal">
      <formula>0</formula>
    </cfRule>
  </conditionalFormatting>
  <conditionalFormatting sqref="J22:J32">
    <cfRule type="cellIs" dxfId="0" priority="3" operator="equal">
      <formula>0</formula>
    </cfRule>
  </conditionalFormatting>
  <dataValidations disablePrompts="1" count="2">
    <dataValidation type="list" allowBlank="1" sqref="H19:H31" xr:uid="{70D30DE3-0B26-4482-80DD-3C77E67100E7}">
      <formula1>$M$1:$M$3</formula1>
    </dataValidation>
    <dataValidation type="list" allowBlank="1" sqref="E19:E31" xr:uid="{564DDC6C-D0D7-4B9A-BD2B-2AF495325B93}">
      <formula1>$N$1:$N$4</formula1>
    </dataValidation>
  </dataValidations>
  <hyperlinks>
    <hyperlink ref="A9" location="WACC!A1" display="WACC" xr:uid="{BDAE7F25-6AC0-48D6-A84E-840DEBE33755}"/>
    <hyperlink ref="A8" location="Dashboard!A1" display="Dashboard" xr:uid="{F970EB58-46F0-4291-91C3-CFC61C6B4C21}"/>
    <hyperlink ref="A13" location="'Projeções - Receita'!A1" display="Projeções" xr:uid="{AD4921BE-744F-4B60-B744-645693B07921}"/>
    <hyperlink ref="A10" location="'DRE + DCF'!A1" display="DRE + DCF" xr:uid="{B9441C33-329B-4AAD-91D5-34D5E076799B}"/>
    <hyperlink ref="A12" location="'Balanço Patrimonial'!A1" display="Balanço Patrimonial" xr:uid="{F868E06C-BDD3-44FF-B757-0CDF7B4746A4}"/>
    <hyperlink ref="A11" location="'DRE - Contas Abertas'!A1" display="Contas Abertas" xr:uid="{E8BB24F8-5C6C-4565-A8C4-B49C27E51FBB}"/>
    <hyperlink ref="A15" location="'Capex + K. Giro'!A1" display="Capex + Capital de Giro" xr:uid="{6C56B254-CFE6-4274-818A-E7F70B8283AD}"/>
    <hyperlink ref="A16" location="'Projeções 2022'!A1" display="Projeções 2022" xr:uid="{BCBE6DB3-102B-46C0-8E9A-FA0C094BF694}"/>
    <hyperlink ref="A17" location="'Painel de Índices'!A1" display="Painel de Índices" xr:uid="{59CCAF58-1F43-494A-9E09-F874CD25C914}"/>
    <hyperlink ref="A18" location="'Provisões e Processos'!A1" display="Provisões e Processos" xr:uid="{4365FF9D-DCF9-4E8C-B01E-D65B39F68D40}"/>
    <hyperlink ref="A14" location="Lojas!A1" display="Lojas" xr:uid="{16FFE117-ABA8-4BD7-9CB7-2F944B096A3A}"/>
  </hyperlink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8243-E1CF-46C9-BB10-B7CF2D33B8DA}">
  <sheetPr codeName="Planilha13"/>
  <dimension ref="A1:BB144"/>
  <sheetViews>
    <sheetView showGridLines="0" topLeftCell="A7" zoomScale="70" zoomScaleNormal="70" workbookViewId="0">
      <selection activeCell="F17" sqref="F17:P17"/>
    </sheetView>
  </sheetViews>
  <sheetFormatPr defaultColWidth="0" defaultRowHeight="33" customHeight="1" x14ac:dyDescent="0.25"/>
  <cols>
    <col min="1" max="1" width="39.140625" style="8" customWidth="1"/>
    <col min="2" max="4" width="9.140625" style="2" customWidth="1"/>
    <col min="5" max="5" width="44" style="2" bestFit="1" customWidth="1"/>
    <col min="6" max="6" width="15.5703125" style="2" bestFit="1" customWidth="1"/>
    <col min="7" max="16" width="12" style="2" bestFit="1" customWidth="1"/>
    <col min="17" max="18" width="9.140625" style="2" customWidth="1"/>
    <col min="19" max="19" width="10.85546875" style="2" customWidth="1"/>
    <col min="20" max="53" width="9.140625" style="2" customWidth="1"/>
    <col min="54" max="54" width="9.140625" style="2" hidden="1" customWidth="1"/>
    <col min="55" max="16384" width="0" style="2" hidden="1"/>
  </cols>
  <sheetData>
    <row r="1" spans="1:54" ht="15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</row>
    <row r="2" spans="1:54" ht="15" customHeight="1" x14ac:dyDescent="0.25">
      <c r="B2" s="27"/>
      <c r="C2" s="27"/>
      <c r="D2" s="27"/>
      <c r="E2" s="28"/>
      <c r="F2" s="451" t="s">
        <v>386</v>
      </c>
      <c r="G2" s="451"/>
      <c r="H2" s="451"/>
      <c r="I2" s="451"/>
      <c r="J2" s="451"/>
      <c r="K2" s="451"/>
      <c r="L2" s="451"/>
      <c r="M2" s="451"/>
      <c r="N2" s="451"/>
      <c r="O2" s="43"/>
      <c r="P2" s="43"/>
      <c r="Q2" s="28"/>
      <c r="R2" s="4"/>
      <c r="S2" s="4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9"/>
    </row>
    <row r="3" spans="1:54" ht="15" customHeight="1" x14ac:dyDescent="0.25">
      <c r="B3" s="27"/>
      <c r="C3" s="27"/>
      <c r="D3" s="27"/>
      <c r="E3" s="28"/>
      <c r="F3" s="451"/>
      <c r="G3" s="451"/>
      <c r="H3" s="451"/>
      <c r="I3" s="451"/>
      <c r="J3" s="451"/>
      <c r="K3" s="451"/>
      <c r="L3" s="451"/>
      <c r="M3" s="451"/>
      <c r="N3" s="451"/>
      <c r="O3" s="43"/>
      <c r="P3" s="43"/>
      <c r="Q3" s="28"/>
      <c r="R3" s="4"/>
      <c r="S3" s="4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</row>
    <row r="4" spans="1:54" ht="15" customHeight="1" x14ac:dyDescent="0.25">
      <c r="B4" s="27"/>
      <c r="C4" s="27"/>
      <c r="D4" s="27"/>
      <c r="E4" s="28"/>
      <c r="F4" s="451"/>
      <c r="G4" s="451"/>
      <c r="H4" s="451"/>
      <c r="I4" s="451"/>
      <c r="J4" s="451"/>
      <c r="K4" s="451"/>
      <c r="L4" s="451"/>
      <c r="M4" s="451"/>
      <c r="N4" s="451"/>
      <c r="O4" s="43"/>
      <c r="P4" s="43"/>
      <c r="Q4" s="28"/>
      <c r="R4" s="4"/>
      <c r="S4" s="4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</row>
    <row r="5" spans="1:54" ht="15" customHeight="1" x14ac:dyDescent="0.25">
      <c r="B5" s="27"/>
      <c r="C5" s="27"/>
      <c r="D5" s="27"/>
      <c r="E5" s="28"/>
      <c r="F5" s="44"/>
      <c r="G5" s="44"/>
      <c r="H5" s="44"/>
      <c r="I5" s="44"/>
      <c r="J5" s="44"/>
      <c r="K5" s="44"/>
      <c r="L5" s="44"/>
      <c r="M5" s="44"/>
      <c r="N5" s="44"/>
      <c r="O5" s="31"/>
      <c r="P5" s="31"/>
      <c r="Q5" s="28"/>
      <c r="R5" s="3"/>
      <c r="S5" s="4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9"/>
    </row>
    <row r="6" spans="1:54" ht="15" customHeight="1" x14ac:dyDescent="0.25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9"/>
    </row>
    <row r="7" spans="1:54" s="7" customFormat="1" ht="24.75" customHeight="1" x14ac:dyDescent="0.25">
      <c r="A7" s="24" t="s">
        <v>39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10"/>
    </row>
    <row r="8" spans="1:54" ht="30" customHeight="1" x14ac:dyDescent="0.25">
      <c r="A8" s="25" t="s">
        <v>40</v>
      </c>
      <c r="B8" s="27"/>
      <c r="C8" s="27"/>
      <c r="D8" s="31"/>
      <c r="E8" s="45"/>
      <c r="F8" s="46"/>
      <c r="G8" s="46"/>
      <c r="H8" s="46"/>
      <c r="I8" s="46"/>
      <c r="J8" s="46"/>
      <c r="K8" s="46"/>
      <c r="L8" s="46"/>
      <c r="M8" s="46"/>
      <c r="N8" s="46"/>
      <c r="O8" s="46"/>
      <c r="P8" s="47"/>
      <c r="Q8" s="27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9"/>
    </row>
    <row r="9" spans="1:54" ht="30" customHeight="1" x14ac:dyDescent="0.25">
      <c r="A9" s="438" t="s">
        <v>22</v>
      </c>
      <c r="B9" s="27"/>
      <c r="C9" s="27"/>
      <c r="D9" s="27"/>
      <c r="E9" s="266" t="s">
        <v>1308</v>
      </c>
      <c r="F9" s="11">
        <v>2024</v>
      </c>
      <c r="G9" s="11">
        <f>F9+1</f>
        <v>2025</v>
      </c>
      <c r="H9" s="11">
        <f t="shared" ref="H9:P9" si="0">G9+1</f>
        <v>2026</v>
      </c>
      <c r="I9" s="11">
        <f t="shared" si="0"/>
        <v>2027</v>
      </c>
      <c r="J9" s="11">
        <f t="shared" si="0"/>
        <v>2028</v>
      </c>
      <c r="K9" s="11">
        <f t="shared" si="0"/>
        <v>2029</v>
      </c>
      <c r="L9" s="11">
        <f t="shared" si="0"/>
        <v>2030</v>
      </c>
      <c r="M9" s="11">
        <f t="shared" si="0"/>
        <v>2031</v>
      </c>
      <c r="N9" s="11">
        <f t="shared" si="0"/>
        <v>2032</v>
      </c>
      <c r="O9" s="11">
        <f t="shared" si="0"/>
        <v>2033</v>
      </c>
      <c r="P9" s="262">
        <f t="shared" si="0"/>
        <v>2034</v>
      </c>
      <c r="Q9" s="134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9"/>
    </row>
    <row r="10" spans="1:54" ht="30" customHeight="1" x14ac:dyDescent="0.25">
      <c r="A10" s="25" t="s">
        <v>42</v>
      </c>
      <c r="B10" s="27"/>
      <c r="C10" s="27"/>
      <c r="D10" s="27"/>
      <c r="E10" s="350" t="s">
        <v>379</v>
      </c>
      <c r="F10" s="16" t="s">
        <v>1350</v>
      </c>
      <c r="G10" s="16" t="s">
        <v>1351</v>
      </c>
      <c r="H10" s="16" t="s">
        <v>1352</v>
      </c>
      <c r="I10" s="16" t="s">
        <v>1353</v>
      </c>
      <c r="J10" s="16" t="s">
        <v>1354</v>
      </c>
      <c r="K10" s="16" t="s">
        <v>1355</v>
      </c>
      <c r="L10" s="16" t="s">
        <v>1356</v>
      </c>
      <c r="M10" s="16" t="s">
        <v>1357</v>
      </c>
      <c r="N10" s="16" t="s">
        <v>1358</v>
      </c>
      <c r="O10" s="16" t="s">
        <v>1359</v>
      </c>
      <c r="P10" s="17" t="s">
        <v>1359</v>
      </c>
      <c r="Q10" s="27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9"/>
    </row>
    <row r="11" spans="1:54" ht="30" customHeight="1" x14ac:dyDescent="0.25">
      <c r="A11" s="25" t="s">
        <v>987</v>
      </c>
      <c r="B11" s="27"/>
      <c r="C11" s="27"/>
      <c r="D11" s="27"/>
      <c r="E11" s="350" t="s">
        <v>17</v>
      </c>
      <c r="F11" s="16">
        <v>2.2828790000000002E-3</v>
      </c>
      <c r="G11" s="16">
        <v>4.1159619999999999E-3</v>
      </c>
      <c r="H11" s="16">
        <v>6.3096139999999998E-3</v>
      </c>
      <c r="I11" s="16">
        <v>8.7792590000000011E-3</v>
      </c>
      <c r="J11" s="16">
        <v>1.1491965999999999E-2</v>
      </c>
      <c r="K11" s="16">
        <v>1.4396654E-2</v>
      </c>
      <c r="L11" s="16">
        <v>1.7183208999999998E-2</v>
      </c>
      <c r="M11" s="16">
        <v>1.9511179E-2</v>
      </c>
      <c r="N11" s="16">
        <v>2.1039973E-2</v>
      </c>
      <c r="O11" s="16">
        <v>2.1428994999999999E-2</v>
      </c>
      <c r="P11" s="17">
        <v>2.0337652000000001E-2</v>
      </c>
      <c r="Q11" s="27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9"/>
    </row>
    <row r="12" spans="1:54" ht="30" customHeight="1" x14ac:dyDescent="0.25">
      <c r="A12" s="25" t="s">
        <v>43</v>
      </c>
      <c r="B12" s="27"/>
      <c r="C12" s="27"/>
      <c r="D12" s="27"/>
      <c r="E12" s="350" t="s">
        <v>1160</v>
      </c>
      <c r="F12" s="16">
        <v>4.2840000000000003E-2</v>
      </c>
      <c r="G12" s="16">
        <v>3.8769999999999999E-2</v>
      </c>
      <c r="H12" s="16">
        <v>4.1750000000000002E-2</v>
      </c>
      <c r="I12" s="16">
        <v>4.478E-2</v>
      </c>
      <c r="J12" s="16">
        <v>4.6739999999999997E-2</v>
      </c>
      <c r="K12" s="16">
        <v>4.7780000000000003E-2</v>
      </c>
      <c r="L12" s="16">
        <v>4.913E-2</v>
      </c>
      <c r="M12" s="16">
        <v>4.9570000000000003E-2</v>
      </c>
      <c r="N12" s="16">
        <v>4.9630000000000001E-2</v>
      </c>
      <c r="O12" s="16">
        <v>4.9779999999999998E-2</v>
      </c>
      <c r="P12" s="17">
        <v>4.965E-2</v>
      </c>
      <c r="Q12" s="27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9"/>
    </row>
    <row r="13" spans="1:54" ht="30" customHeight="1" x14ac:dyDescent="0.25">
      <c r="A13" s="25" t="s">
        <v>385</v>
      </c>
      <c r="B13" s="27"/>
      <c r="C13" s="27"/>
      <c r="D13" s="27"/>
      <c r="E13" s="12" t="s">
        <v>18</v>
      </c>
      <c r="F13" s="13">
        <f t="shared" ref="F13:P13" si="1">F10-F11</f>
        <v>9.6817120999999992E-2</v>
      </c>
      <c r="G13" s="14">
        <f t="shared" si="1"/>
        <v>9.3834037999999995E-2</v>
      </c>
      <c r="H13" s="14">
        <f t="shared" si="1"/>
        <v>9.3990385999999995E-2</v>
      </c>
      <c r="I13" s="14">
        <f t="shared" si="1"/>
        <v>9.4520741000000005E-2</v>
      </c>
      <c r="J13" s="14">
        <f t="shared" si="1"/>
        <v>9.400803399999999E-2</v>
      </c>
      <c r="K13" s="14">
        <f t="shared" si="1"/>
        <v>9.2503346E-2</v>
      </c>
      <c r="L13" s="14">
        <f t="shared" si="1"/>
        <v>9.059679100000001E-2</v>
      </c>
      <c r="M13" s="14">
        <f t="shared" si="1"/>
        <v>8.878882099999999E-2</v>
      </c>
      <c r="N13" s="14">
        <f t="shared" si="1"/>
        <v>8.7560026999999999E-2</v>
      </c>
      <c r="O13" s="14">
        <f t="shared" si="1"/>
        <v>8.7371005000000002E-2</v>
      </c>
      <c r="P13" s="26">
        <f t="shared" si="1"/>
        <v>8.8462347999999996E-2</v>
      </c>
      <c r="Q13" s="27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9"/>
    </row>
    <row r="14" spans="1:54" ht="30" customHeight="1" x14ac:dyDescent="0.25">
      <c r="A14" s="25" t="s">
        <v>73</v>
      </c>
      <c r="B14" s="27"/>
      <c r="C14" s="27"/>
      <c r="D14" s="27"/>
      <c r="E14" s="350" t="s">
        <v>41</v>
      </c>
      <c r="F14" s="15">
        <v>0.92</v>
      </c>
      <c r="G14" s="15">
        <f>F14</f>
        <v>0.92</v>
      </c>
      <c r="H14" s="15">
        <f t="shared" ref="H14:P14" si="2">G14</f>
        <v>0.92</v>
      </c>
      <c r="I14" s="15">
        <f t="shared" si="2"/>
        <v>0.92</v>
      </c>
      <c r="J14" s="15">
        <f t="shared" si="2"/>
        <v>0.92</v>
      </c>
      <c r="K14" s="15">
        <f t="shared" si="2"/>
        <v>0.92</v>
      </c>
      <c r="L14" s="15">
        <f t="shared" si="2"/>
        <v>0.92</v>
      </c>
      <c r="M14" s="15">
        <f t="shared" si="2"/>
        <v>0.92</v>
      </c>
      <c r="N14" s="15">
        <f t="shared" si="2"/>
        <v>0.92</v>
      </c>
      <c r="O14" s="15">
        <f t="shared" si="2"/>
        <v>0.92</v>
      </c>
      <c r="P14" s="439">
        <f t="shared" si="2"/>
        <v>0.92</v>
      </c>
      <c r="Q14" s="27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9"/>
    </row>
    <row r="15" spans="1:54" ht="30" customHeight="1" x14ac:dyDescent="0.25">
      <c r="A15" s="25" t="s">
        <v>382</v>
      </c>
      <c r="B15" s="27"/>
      <c r="C15" s="27"/>
      <c r="D15" s="27"/>
      <c r="E15" s="350" t="s">
        <v>19</v>
      </c>
      <c r="F15" s="16">
        <v>6.5000000000000002E-2</v>
      </c>
      <c r="G15" s="16">
        <v>6.5000000000000002E-2</v>
      </c>
      <c r="H15" s="16">
        <v>6.5000000000000002E-2</v>
      </c>
      <c r="I15" s="16">
        <v>6.5000000000000002E-2</v>
      </c>
      <c r="J15" s="16">
        <v>6.5000000000000002E-2</v>
      </c>
      <c r="K15" s="16">
        <v>6.5000000000000002E-2</v>
      </c>
      <c r="L15" s="16">
        <v>6.5000000000000002E-2</v>
      </c>
      <c r="M15" s="16">
        <v>6.5000000000000002E-2</v>
      </c>
      <c r="N15" s="16">
        <v>6.5000000000000002E-2</v>
      </c>
      <c r="O15" s="16">
        <v>6.5000000000000002E-2</v>
      </c>
      <c r="P15" s="17">
        <v>6.5000000000000002E-2</v>
      </c>
      <c r="Q15" s="27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9"/>
    </row>
    <row r="16" spans="1:54" ht="30" customHeight="1" x14ac:dyDescent="0.25">
      <c r="A16" s="25" t="s">
        <v>1307</v>
      </c>
      <c r="B16" s="27"/>
      <c r="C16" s="27"/>
      <c r="D16" s="27"/>
      <c r="E16" s="12" t="s">
        <v>16</v>
      </c>
      <c r="F16" s="13">
        <f>F13+(F14*F15)</f>
        <v>0.156617121</v>
      </c>
      <c r="G16" s="13">
        <f t="shared" ref="G16:P16" si="3">G13+(G14*G15)</f>
        <v>0.153634038</v>
      </c>
      <c r="H16" s="13">
        <f t="shared" si="3"/>
        <v>0.153790386</v>
      </c>
      <c r="I16" s="13">
        <f t="shared" si="3"/>
        <v>0.15432074100000001</v>
      </c>
      <c r="J16" s="13">
        <f t="shared" si="3"/>
        <v>0.15380803399999998</v>
      </c>
      <c r="K16" s="13">
        <f t="shared" si="3"/>
        <v>0.15230334600000001</v>
      </c>
      <c r="L16" s="13">
        <f t="shared" si="3"/>
        <v>0.15039679100000003</v>
      </c>
      <c r="M16" s="13">
        <f t="shared" si="3"/>
        <v>0.14858882099999998</v>
      </c>
      <c r="N16" s="13">
        <f t="shared" si="3"/>
        <v>0.147360027</v>
      </c>
      <c r="O16" s="13">
        <f t="shared" si="3"/>
        <v>0.14717100500000002</v>
      </c>
      <c r="P16" s="181">
        <f t="shared" si="3"/>
        <v>0.14826234799999999</v>
      </c>
      <c r="Q16" s="27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9"/>
    </row>
    <row r="17" spans="1:54" ht="30" customHeight="1" x14ac:dyDescent="0.25">
      <c r="A17" s="25" t="s">
        <v>1086</v>
      </c>
      <c r="B17" s="27"/>
      <c r="C17" s="27"/>
      <c r="D17" s="27"/>
      <c r="E17" s="350" t="s">
        <v>1158</v>
      </c>
      <c r="F17" s="18">
        <v>18595000</v>
      </c>
      <c r="G17" s="18">
        <v>18595000</v>
      </c>
      <c r="H17" s="18">
        <v>18595000</v>
      </c>
      <c r="I17" s="18">
        <v>18595000</v>
      </c>
      <c r="J17" s="18">
        <v>18595000</v>
      </c>
      <c r="K17" s="18">
        <v>18595000</v>
      </c>
      <c r="L17" s="18">
        <v>18595000</v>
      </c>
      <c r="M17" s="18">
        <v>18595000</v>
      </c>
      <c r="N17" s="18">
        <v>18595000</v>
      </c>
      <c r="O17" s="18">
        <v>18595000</v>
      </c>
      <c r="P17" s="182">
        <v>18595000</v>
      </c>
      <c r="Q17" s="27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9"/>
    </row>
    <row r="18" spans="1:54" ht="30" customHeight="1" x14ac:dyDescent="0.25">
      <c r="A18" s="25"/>
      <c r="B18" s="27"/>
      <c r="C18" s="27"/>
      <c r="D18" s="31"/>
      <c r="E18" s="12" t="s">
        <v>20</v>
      </c>
      <c r="F18" s="19">
        <f t="shared" ref="F18:P18" si="4">F10+1.6%</f>
        <v>0.11509999999999999</v>
      </c>
      <c r="G18" s="19">
        <f t="shared" si="4"/>
        <v>0.11395</v>
      </c>
      <c r="H18" s="19">
        <f t="shared" si="4"/>
        <v>0.1163</v>
      </c>
      <c r="I18" s="19">
        <f t="shared" si="4"/>
        <v>0.1193</v>
      </c>
      <c r="J18" s="19">
        <f t="shared" si="4"/>
        <v>0.1215</v>
      </c>
      <c r="K18" s="19">
        <f t="shared" si="4"/>
        <v>0.1229</v>
      </c>
      <c r="L18" s="19">
        <f t="shared" si="4"/>
        <v>0.12378</v>
      </c>
      <c r="M18" s="19">
        <f t="shared" si="4"/>
        <v>0.12429999999999999</v>
      </c>
      <c r="N18" s="19">
        <f t="shared" si="4"/>
        <v>0.1246</v>
      </c>
      <c r="O18" s="19">
        <f t="shared" si="4"/>
        <v>0.12479999999999999</v>
      </c>
      <c r="P18" s="181">
        <f t="shared" si="4"/>
        <v>0.12479999999999999</v>
      </c>
      <c r="Q18" s="27"/>
      <c r="R18" s="1"/>
      <c r="S18" s="1"/>
      <c r="T18" s="6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9"/>
    </row>
    <row r="19" spans="1:54" ht="30" customHeight="1" x14ac:dyDescent="0.25">
      <c r="B19" s="27"/>
      <c r="C19" s="27"/>
      <c r="D19" s="31"/>
      <c r="E19" s="350" t="s">
        <v>1157</v>
      </c>
      <c r="F19" s="18">
        <f>'Balanço Patrimonial'!S53+'Balanço Patrimonial'!S66+'Balanço Patrimonial'!S71+'Balanço Patrimonial'!S77</f>
        <v>4669167</v>
      </c>
      <c r="G19" s="18">
        <f>F19</f>
        <v>4669167</v>
      </c>
      <c r="H19" s="18">
        <f t="shared" ref="H19:P19" si="5">G19</f>
        <v>4669167</v>
      </c>
      <c r="I19" s="18">
        <f t="shared" si="5"/>
        <v>4669167</v>
      </c>
      <c r="J19" s="18">
        <f t="shared" si="5"/>
        <v>4669167</v>
      </c>
      <c r="K19" s="18">
        <f t="shared" si="5"/>
        <v>4669167</v>
      </c>
      <c r="L19" s="18">
        <f t="shared" si="5"/>
        <v>4669167</v>
      </c>
      <c r="M19" s="18">
        <f t="shared" si="5"/>
        <v>4669167</v>
      </c>
      <c r="N19" s="18">
        <f t="shared" si="5"/>
        <v>4669167</v>
      </c>
      <c r="O19" s="18">
        <f t="shared" si="5"/>
        <v>4669167</v>
      </c>
      <c r="P19" s="182">
        <f t="shared" si="5"/>
        <v>4669167</v>
      </c>
      <c r="Q19" s="2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9"/>
    </row>
    <row r="20" spans="1:54" ht="30" customHeight="1" x14ac:dyDescent="0.25">
      <c r="A20" s="452"/>
      <c r="B20" s="27"/>
      <c r="C20" s="27"/>
      <c r="D20" s="27"/>
      <c r="E20" s="12" t="s">
        <v>22</v>
      </c>
      <c r="F20" s="20">
        <f>((F16*F17)+(F18*F19))/(F17+F19)</f>
        <v>0.14828454793567292</v>
      </c>
      <c r="G20" s="20">
        <f t="shared" ref="G20:P20" si="6">((G16*G17)+(G18*G19))/(G17+G19)</f>
        <v>0.14566936852972212</v>
      </c>
      <c r="H20" s="20">
        <f t="shared" si="6"/>
        <v>0.14626598707660585</v>
      </c>
      <c r="I20" s="20">
        <f t="shared" si="6"/>
        <v>0.14729200499613851</v>
      </c>
      <c r="J20" s="20">
        <f t="shared" si="6"/>
        <v>0.14732374396770795</v>
      </c>
      <c r="K20" s="20">
        <f t="shared" si="6"/>
        <v>0.146402032927721</v>
      </c>
      <c r="L20" s="20">
        <f t="shared" si="6"/>
        <v>0.14505474534742641</v>
      </c>
      <c r="M20" s="20">
        <f t="shared" si="6"/>
        <v>0.14371400379798682</v>
      </c>
      <c r="N20" s="20">
        <f t="shared" si="6"/>
        <v>0.14279204195297432</v>
      </c>
      <c r="O20" s="20">
        <f t="shared" si="6"/>
        <v>0.14268109748245017</v>
      </c>
      <c r="P20" s="21">
        <f t="shared" si="6"/>
        <v>0.14355340565858213</v>
      </c>
      <c r="Q20" s="27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9"/>
    </row>
    <row r="21" spans="1:54" ht="30" customHeight="1" thickBot="1" x14ac:dyDescent="0.3">
      <c r="A21" s="452"/>
      <c r="B21" s="27"/>
      <c r="C21" s="27"/>
      <c r="D21" s="27"/>
      <c r="E21" s="351" t="s">
        <v>380</v>
      </c>
      <c r="F21" s="22">
        <f>(1+F20)^((5-Dashboard!F9)*3/12)</f>
        <v>1.1482845479356729</v>
      </c>
      <c r="G21" s="22">
        <f t="shared" ref="G21:P21" si="7">F21*(1+G20)</f>
        <v>1.3155544329258999</v>
      </c>
      <c r="H21" s="22">
        <f t="shared" si="7"/>
        <v>1.5079753006108112</v>
      </c>
      <c r="I21" s="22">
        <f t="shared" si="7"/>
        <v>1.7300880061224324</v>
      </c>
      <c r="J21" s="22">
        <f t="shared" si="7"/>
        <v>1.9849710485780161</v>
      </c>
      <c r="K21" s="22">
        <f t="shared" si="7"/>
        <v>2.2755748453925073</v>
      </c>
      <c r="L21" s="22">
        <f t="shared" si="7"/>
        <v>2.6056577751099268</v>
      </c>
      <c r="M21" s="22">
        <f t="shared" si="7"/>
        <v>2.980127286498329</v>
      </c>
      <c r="N21" s="22">
        <f t="shared" si="7"/>
        <v>3.4056657470172018</v>
      </c>
      <c r="O21" s="22">
        <f t="shared" si="7"/>
        <v>3.8915898734600045</v>
      </c>
      <c r="P21" s="23">
        <f t="shared" si="7"/>
        <v>4.4502408532216391</v>
      </c>
      <c r="Q21" s="2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9"/>
    </row>
    <row r="22" spans="1:54" ht="30" customHeight="1" x14ac:dyDescent="0.25">
      <c r="A22" s="48"/>
      <c r="B22" s="27"/>
      <c r="C22" s="27"/>
      <c r="D22" s="27"/>
      <c r="E22" s="27"/>
      <c r="F22" s="49"/>
      <c r="G22" s="27"/>
      <c r="H22" s="27"/>
      <c r="I22" s="27"/>
      <c r="J22" s="27"/>
      <c r="K22" s="27"/>
      <c r="L22" s="49"/>
      <c r="M22" s="27"/>
      <c r="N22" s="27"/>
      <c r="O22" s="27"/>
      <c r="P22" s="27"/>
      <c r="Q22" s="27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9"/>
    </row>
    <row r="23" spans="1:54" ht="30" customHeight="1" x14ac:dyDescent="0.25">
      <c r="A23" s="48"/>
      <c r="B23" s="27"/>
      <c r="C23" s="27"/>
      <c r="D23" s="27"/>
      <c r="E23" s="27"/>
      <c r="F23" s="49"/>
      <c r="G23" s="27"/>
      <c r="H23" s="27"/>
      <c r="I23" s="27"/>
      <c r="J23" s="27"/>
      <c r="K23" s="27"/>
      <c r="L23" s="49"/>
      <c r="M23" s="27"/>
      <c r="N23" s="27"/>
      <c r="O23" s="27"/>
      <c r="P23" s="27"/>
      <c r="Q23" s="2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9"/>
    </row>
    <row r="24" spans="1:54" ht="30" customHeight="1" x14ac:dyDescent="0.25">
      <c r="A24" s="48"/>
      <c r="B24" s="27"/>
      <c r="C24" s="27"/>
      <c r="D24" s="27"/>
      <c r="E24" s="27"/>
      <c r="F24" s="49"/>
      <c r="G24" s="27"/>
      <c r="H24" s="27"/>
      <c r="I24" s="27"/>
      <c r="J24" s="27"/>
      <c r="K24" s="27"/>
      <c r="L24" s="49"/>
      <c r="M24" s="27"/>
      <c r="N24" s="27"/>
      <c r="O24" s="27"/>
      <c r="P24" s="27"/>
      <c r="Q24" s="27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9"/>
    </row>
    <row r="25" spans="1:54" ht="30" customHeight="1" x14ac:dyDescent="0.25">
      <c r="A25" s="48"/>
      <c r="B25" s="27"/>
      <c r="C25" s="27"/>
      <c r="D25" s="27"/>
      <c r="E25" s="27"/>
      <c r="F25" s="49"/>
      <c r="G25" s="27"/>
      <c r="H25" s="27"/>
      <c r="I25" s="27"/>
      <c r="J25" s="27"/>
      <c r="K25" s="27"/>
      <c r="L25" s="49"/>
      <c r="M25" s="27"/>
      <c r="N25" s="27"/>
      <c r="O25" s="27"/>
      <c r="P25" s="27"/>
      <c r="Q25" s="27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9"/>
    </row>
    <row r="26" spans="1:54" ht="30" customHeight="1" x14ac:dyDescent="0.25">
      <c r="A26" s="48"/>
      <c r="B26" s="27"/>
      <c r="C26" s="27"/>
      <c r="D26" s="27"/>
      <c r="E26" s="27"/>
      <c r="F26" s="49"/>
      <c r="G26" s="27"/>
      <c r="H26" s="27"/>
      <c r="I26" s="27"/>
      <c r="J26" s="27"/>
      <c r="K26" s="27"/>
      <c r="L26" s="49"/>
      <c r="M26" s="27"/>
      <c r="N26" s="27"/>
      <c r="O26" s="27"/>
      <c r="P26" s="27"/>
      <c r="Q26" s="27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9"/>
    </row>
    <row r="27" spans="1:54" ht="30" customHeight="1" x14ac:dyDescent="0.25">
      <c r="A27" s="48"/>
      <c r="B27" s="27"/>
      <c r="C27" s="27"/>
      <c r="D27" s="27"/>
      <c r="E27" s="27"/>
      <c r="F27" s="49"/>
      <c r="G27" s="27"/>
      <c r="H27" s="27"/>
      <c r="I27" s="27"/>
      <c r="J27" s="27"/>
      <c r="K27" s="27"/>
      <c r="L27" s="49"/>
      <c r="M27" s="27"/>
      <c r="N27" s="27"/>
      <c r="O27" s="27"/>
      <c r="P27" s="27"/>
      <c r="Q27" s="2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9"/>
    </row>
    <row r="28" spans="1:54" ht="30" customHeight="1" x14ac:dyDescent="0.25">
      <c r="A28" s="48"/>
      <c r="B28" s="27"/>
      <c r="C28" s="27"/>
      <c r="D28" s="27"/>
      <c r="E28" s="27"/>
      <c r="F28" s="49"/>
      <c r="G28" s="27"/>
      <c r="H28" s="27"/>
      <c r="I28" s="27"/>
      <c r="J28" s="27"/>
      <c r="K28" s="27"/>
      <c r="L28" s="49"/>
      <c r="M28" s="27"/>
      <c r="N28" s="27"/>
      <c r="O28" s="27"/>
      <c r="P28" s="27"/>
      <c r="Q28" s="27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9"/>
    </row>
    <row r="29" spans="1:54" ht="30" customHeight="1" x14ac:dyDescent="0.25">
      <c r="A29" s="48"/>
      <c r="B29" s="27"/>
      <c r="C29" s="27"/>
      <c r="D29" s="27"/>
      <c r="E29" s="27"/>
      <c r="F29" s="49"/>
      <c r="G29" s="27"/>
      <c r="H29" s="27"/>
      <c r="I29" s="27"/>
      <c r="J29" s="27"/>
      <c r="K29" s="27"/>
      <c r="L29" s="49"/>
      <c r="M29" s="27"/>
      <c r="N29" s="27"/>
      <c r="O29" s="27"/>
      <c r="P29" s="27"/>
      <c r="Q29" s="27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9"/>
    </row>
    <row r="30" spans="1:54" ht="30" customHeight="1" x14ac:dyDescent="0.25">
      <c r="A30" s="48"/>
      <c r="B30" s="27"/>
      <c r="C30" s="27"/>
      <c r="D30" s="27"/>
      <c r="E30" s="27"/>
      <c r="F30" s="49"/>
      <c r="G30" s="27"/>
      <c r="H30" s="27"/>
      <c r="I30" s="27"/>
      <c r="J30" s="27"/>
      <c r="K30" s="27"/>
      <c r="L30" s="49"/>
      <c r="M30" s="27"/>
      <c r="N30" s="27"/>
      <c r="O30" s="27"/>
      <c r="P30" s="27"/>
      <c r="Q30" s="27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9"/>
    </row>
    <row r="31" spans="1:54" ht="30" customHeight="1" x14ac:dyDescent="0.25">
      <c r="A31" s="48"/>
      <c r="B31" s="27"/>
      <c r="C31" s="27"/>
      <c r="D31" s="27"/>
      <c r="E31" s="27"/>
      <c r="F31" s="49"/>
      <c r="G31" s="27"/>
      <c r="H31" s="27"/>
      <c r="I31" s="27"/>
      <c r="J31" s="27"/>
      <c r="K31" s="27"/>
      <c r="L31" s="49"/>
      <c r="M31" s="27"/>
      <c r="N31" s="27"/>
      <c r="O31" s="27"/>
      <c r="P31" s="27"/>
      <c r="Q31" s="27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9"/>
    </row>
    <row r="32" spans="1:54" ht="30" customHeight="1" x14ac:dyDescent="0.25">
      <c r="A32" s="48"/>
      <c r="B32" s="27"/>
      <c r="C32" s="27"/>
      <c r="D32" s="27"/>
      <c r="E32" s="27"/>
      <c r="F32" s="49"/>
      <c r="G32" s="27"/>
      <c r="H32" s="27"/>
      <c r="I32" s="27"/>
      <c r="J32" s="27"/>
      <c r="K32" s="27"/>
      <c r="L32" s="49"/>
      <c r="M32" s="27"/>
      <c r="N32" s="27"/>
      <c r="O32" s="27"/>
      <c r="P32" s="27"/>
      <c r="Q32" s="27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9"/>
    </row>
    <row r="33" spans="1:54" ht="30" customHeight="1" x14ac:dyDescent="0.25">
      <c r="A33" s="48"/>
      <c r="B33" s="27"/>
      <c r="C33" s="27"/>
      <c r="D33" s="27"/>
      <c r="E33" s="27"/>
      <c r="F33" s="49"/>
      <c r="G33" s="27"/>
      <c r="H33" s="27"/>
      <c r="I33" s="27"/>
      <c r="J33" s="27"/>
      <c r="K33" s="27"/>
      <c r="L33" s="49"/>
      <c r="M33" s="27"/>
      <c r="N33" s="27"/>
      <c r="O33" s="27"/>
      <c r="P33" s="27"/>
      <c r="Q33" s="27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9"/>
    </row>
    <row r="34" spans="1:54" ht="30" customHeight="1" x14ac:dyDescent="0.25">
      <c r="A34" s="48"/>
      <c r="B34" s="27"/>
      <c r="C34" s="27"/>
      <c r="D34" s="27"/>
      <c r="E34" s="27"/>
      <c r="F34" s="49"/>
      <c r="G34" s="27"/>
      <c r="H34" s="27"/>
      <c r="I34" s="27"/>
      <c r="J34" s="27"/>
      <c r="K34" s="27"/>
      <c r="L34" s="49"/>
      <c r="M34" s="27"/>
      <c r="N34" s="27"/>
      <c r="O34" s="27"/>
      <c r="P34" s="27"/>
      <c r="Q34" s="27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9"/>
    </row>
    <row r="35" spans="1:54" ht="30" customHeight="1" x14ac:dyDescent="0.25">
      <c r="A35" s="48"/>
      <c r="B35" s="27"/>
      <c r="C35" s="27"/>
      <c r="D35" s="27"/>
      <c r="E35" s="27"/>
      <c r="F35" s="49"/>
      <c r="G35" s="27"/>
      <c r="H35" s="27"/>
      <c r="I35" s="27"/>
      <c r="J35" s="27"/>
      <c r="K35" s="27"/>
      <c r="L35" s="49"/>
      <c r="M35" s="27"/>
      <c r="N35" s="27"/>
      <c r="O35" s="27"/>
      <c r="P35" s="27"/>
      <c r="Q35" s="27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9"/>
    </row>
    <row r="36" spans="1:54" ht="30" customHeight="1" x14ac:dyDescent="0.25">
      <c r="A36" s="48"/>
      <c r="B36" s="27"/>
      <c r="C36" s="27"/>
      <c r="D36" s="27"/>
      <c r="E36" s="27"/>
      <c r="F36" s="49"/>
      <c r="G36" s="27"/>
      <c r="H36" s="27"/>
      <c r="I36" s="27"/>
      <c r="J36" s="27"/>
      <c r="K36" s="27"/>
      <c r="L36" s="49"/>
      <c r="M36" s="27"/>
      <c r="N36" s="27"/>
      <c r="O36" s="27"/>
      <c r="P36" s="27"/>
      <c r="Q36" s="27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9"/>
    </row>
    <row r="37" spans="1:54" ht="30" customHeight="1" x14ac:dyDescent="0.25">
      <c r="A37" s="48"/>
      <c r="B37" s="27"/>
      <c r="C37" s="27"/>
      <c r="D37" s="27"/>
      <c r="E37" s="27"/>
      <c r="F37" s="49"/>
      <c r="G37" s="27"/>
      <c r="H37" s="27"/>
      <c r="I37" s="27"/>
      <c r="J37" s="27"/>
      <c r="K37" s="27"/>
      <c r="L37" s="49"/>
      <c r="M37" s="27"/>
      <c r="N37" s="27"/>
      <c r="O37" s="27"/>
      <c r="P37" s="27"/>
      <c r="Q37" s="27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9"/>
    </row>
    <row r="38" spans="1:54" ht="30" customHeight="1" x14ac:dyDescent="0.25">
      <c r="A38" s="48"/>
      <c r="B38" s="27"/>
      <c r="C38" s="27"/>
      <c r="D38" s="27"/>
      <c r="E38" s="27"/>
      <c r="F38" s="49"/>
      <c r="G38" s="27"/>
      <c r="H38" s="27"/>
      <c r="I38" s="27"/>
      <c r="J38" s="27"/>
      <c r="K38" s="27"/>
      <c r="L38" s="49"/>
      <c r="M38" s="27"/>
      <c r="N38" s="27"/>
      <c r="O38" s="27"/>
      <c r="P38" s="27"/>
      <c r="Q38" s="27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9"/>
    </row>
    <row r="39" spans="1:54" ht="30" customHeight="1" x14ac:dyDescent="0.25">
      <c r="A39" s="48"/>
      <c r="B39" s="27"/>
      <c r="C39" s="27"/>
      <c r="D39" s="27"/>
      <c r="E39" s="27"/>
      <c r="F39" s="49"/>
      <c r="G39" s="27"/>
      <c r="H39" s="27"/>
      <c r="I39" s="27"/>
      <c r="J39" s="27"/>
      <c r="K39" s="27"/>
      <c r="L39" s="49"/>
      <c r="M39" s="27"/>
      <c r="N39" s="27"/>
      <c r="O39" s="27"/>
      <c r="P39" s="27"/>
      <c r="Q39" s="27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9"/>
    </row>
    <row r="40" spans="1:54" ht="30" customHeight="1" x14ac:dyDescent="0.25">
      <c r="A40" s="48"/>
      <c r="B40" s="27"/>
      <c r="C40" s="27"/>
      <c r="D40" s="27"/>
      <c r="E40" s="27"/>
      <c r="F40" s="49"/>
      <c r="G40" s="27"/>
      <c r="H40" s="27"/>
      <c r="I40" s="27"/>
      <c r="J40" s="27"/>
      <c r="K40" s="27"/>
      <c r="L40" s="49"/>
      <c r="M40" s="27"/>
      <c r="N40" s="27"/>
      <c r="O40" s="27"/>
      <c r="P40" s="27"/>
      <c r="Q40" s="27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9"/>
    </row>
    <row r="41" spans="1:54" ht="30" customHeight="1" x14ac:dyDescent="0.25">
      <c r="A41" s="48"/>
      <c r="B41" s="27"/>
      <c r="C41" s="27"/>
      <c r="D41" s="27"/>
      <c r="E41" s="27"/>
      <c r="F41" s="49"/>
      <c r="G41" s="27"/>
      <c r="H41" s="27"/>
      <c r="I41" s="27"/>
      <c r="J41" s="27"/>
      <c r="K41" s="27"/>
      <c r="L41" s="49"/>
      <c r="M41" s="27"/>
      <c r="N41" s="27"/>
      <c r="O41" s="27"/>
      <c r="P41" s="27"/>
      <c r="Q41" s="27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9"/>
    </row>
    <row r="42" spans="1:54" ht="30" customHeight="1" x14ac:dyDescent="0.25">
      <c r="A42" s="48"/>
      <c r="B42" s="27"/>
      <c r="C42" s="27"/>
      <c r="D42" s="27"/>
      <c r="E42" s="27"/>
      <c r="F42" s="49"/>
      <c r="G42" s="27"/>
      <c r="H42" s="27"/>
      <c r="I42" s="27"/>
      <c r="J42" s="27"/>
      <c r="K42" s="27"/>
      <c r="L42" s="49"/>
      <c r="M42" s="27"/>
      <c r="N42" s="27"/>
      <c r="O42" s="27"/>
      <c r="P42" s="27"/>
      <c r="Q42" s="27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9"/>
    </row>
    <row r="43" spans="1:54" ht="30" customHeight="1" x14ac:dyDescent="0.25">
      <c r="A43" s="48"/>
      <c r="B43" s="27"/>
      <c r="C43" s="27"/>
      <c r="D43" s="27"/>
      <c r="E43" s="27"/>
      <c r="F43" s="49"/>
      <c r="G43" s="27"/>
      <c r="H43" s="27"/>
      <c r="I43" s="27"/>
      <c r="J43" s="27"/>
      <c r="K43" s="27"/>
      <c r="L43" s="49"/>
      <c r="M43" s="27"/>
      <c r="N43" s="27"/>
      <c r="O43" s="27"/>
      <c r="P43" s="27"/>
      <c r="Q43" s="27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9"/>
    </row>
    <row r="44" spans="1:54" ht="30" customHeight="1" x14ac:dyDescent="0.25">
      <c r="A44" s="48"/>
      <c r="B44" s="27"/>
      <c r="C44" s="27"/>
      <c r="D44" s="27"/>
      <c r="E44" s="27"/>
      <c r="F44" s="49"/>
      <c r="G44" s="27"/>
      <c r="H44" s="27"/>
      <c r="I44" s="27"/>
      <c r="J44" s="27"/>
      <c r="K44" s="27"/>
      <c r="L44" s="49"/>
      <c r="M44" s="27"/>
      <c r="N44" s="27"/>
      <c r="O44" s="27"/>
      <c r="P44" s="27"/>
      <c r="Q44" s="27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9"/>
    </row>
    <row r="45" spans="1:54" ht="30" customHeight="1" x14ac:dyDescent="0.25">
      <c r="A45" s="48"/>
      <c r="B45" s="27"/>
      <c r="C45" s="27"/>
      <c r="D45" s="27"/>
      <c r="E45" s="27"/>
      <c r="F45" s="49"/>
      <c r="G45" s="27"/>
      <c r="H45" s="27"/>
      <c r="I45" s="27"/>
      <c r="J45" s="27"/>
      <c r="K45" s="27"/>
      <c r="L45" s="49"/>
      <c r="M45" s="27"/>
      <c r="N45" s="27"/>
      <c r="O45" s="27"/>
      <c r="P45" s="27"/>
      <c r="Q45" s="27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9"/>
    </row>
    <row r="46" spans="1:54" ht="30" customHeight="1" x14ac:dyDescent="0.25">
      <c r="A46" s="48"/>
      <c r="B46" s="27"/>
      <c r="C46" s="27"/>
      <c r="D46" s="27"/>
      <c r="E46" s="27"/>
      <c r="F46" s="49"/>
      <c r="G46" s="27"/>
      <c r="H46" s="27"/>
      <c r="I46" s="27"/>
      <c r="J46" s="27"/>
      <c r="K46" s="27"/>
      <c r="L46" s="49"/>
      <c r="M46" s="27"/>
      <c r="N46" s="27"/>
      <c r="O46" s="27"/>
      <c r="P46" s="27"/>
      <c r="Q46" s="27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9"/>
    </row>
    <row r="47" spans="1:54" ht="30" customHeight="1" x14ac:dyDescent="0.25">
      <c r="A47" s="48"/>
      <c r="B47" s="27"/>
      <c r="C47" s="27"/>
      <c r="D47" s="27"/>
      <c r="E47" s="27"/>
      <c r="F47" s="49"/>
      <c r="G47" s="27"/>
      <c r="H47" s="27"/>
      <c r="I47" s="27"/>
      <c r="J47" s="27"/>
      <c r="K47" s="27"/>
      <c r="L47" s="49"/>
      <c r="M47" s="27"/>
      <c r="N47" s="27"/>
      <c r="O47" s="27"/>
      <c r="P47" s="27"/>
      <c r="Q47" s="27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9"/>
    </row>
    <row r="48" spans="1:54" ht="30" customHeight="1" x14ac:dyDescent="0.25">
      <c r="A48" s="48"/>
      <c r="B48" s="27"/>
      <c r="C48" s="27"/>
      <c r="D48" s="27"/>
      <c r="E48" s="27"/>
      <c r="F48" s="49"/>
      <c r="G48" s="27"/>
      <c r="H48" s="27"/>
      <c r="I48" s="27"/>
      <c r="J48" s="27"/>
      <c r="K48" s="27"/>
      <c r="L48" s="49"/>
      <c r="M48" s="27"/>
      <c r="N48" s="27"/>
      <c r="O48" s="27"/>
      <c r="P48" s="27"/>
      <c r="Q48" s="27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9"/>
    </row>
    <row r="49" spans="1:54" ht="30" customHeight="1" x14ac:dyDescent="0.25">
      <c r="A49" s="48"/>
      <c r="B49" s="27"/>
      <c r="C49" s="27"/>
      <c r="D49" s="27"/>
      <c r="E49" s="27"/>
      <c r="F49" s="49"/>
      <c r="G49" s="27"/>
      <c r="H49" s="27"/>
      <c r="I49" s="27"/>
      <c r="J49" s="27"/>
      <c r="K49" s="27"/>
      <c r="L49" s="49"/>
      <c r="M49" s="27"/>
      <c r="N49" s="27"/>
      <c r="O49" s="27"/>
      <c r="P49" s="27"/>
      <c r="Q49" s="27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9"/>
    </row>
    <row r="50" spans="1:54" ht="30" customHeight="1" x14ac:dyDescent="0.25">
      <c r="A50" s="48"/>
      <c r="B50" s="27"/>
      <c r="C50" s="27"/>
      <c r="D50" s="27"/>
      <c r="E50" s="27"/>
      <c r="F50" s="49"/>
      <c r="G50" s="27"/>
      <c r="H50" s="27"/>
      <c r="I50" s="27"/>
      <c r="J50" s="27"/>
      <c r="K50" s="27"/>
      <c r="L50" s="49"/>
      <c r="M50" s="27"/>
      <c r="N50" s="27"/>
      <c r="O50" s="27"/>
      <c r="P50" s="27"/>
      <c r="Q50" s="27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9"/>
    </row>
    <row r="51" spans="1:54" ht="30" customHeight="1" x14ac:dyDescent="0.25">
      <c r="A51" s="48"/>
      <c r="B51" s="27"/>
      <c r="C51" s="27"/>
      <c r="D51" s="27"/>
      <c r="E51" s="27"/>
      <c r="F51" s="49"/>
      <c r="G51" s="27"/>
      <c r="H51" s="27"/>
      <c r="I51" s="27"/>
      <c r="J51" s="27"/>
      <c r="K51" s="27"/>
      <c r="L51" s="49"/>
      <c r="M51" s="27"/>
      <c r="N51" s="27"/>
      <c r="O51" s="27"/>
      <c r="P51" s="27"/>
      <c r="Q51" s="27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9"/>
    </row>
    <row r="52" spans="1:54" ht="30" customHeight="1" x14ac:dyDescent="0.25">
      <c r="A52" s="48"/>
      <c r="B52" s="27"/>
      <c r="C52" s="27"/>
      <c r="D52" s="27"/>
      <c r="E52" s="27"/>
      <c r="F52" s="49"/>
      <c r="G52" s="27"/>
      <c r="H52" s="27"/>
      <c r="I52" s="27"/>
      <c r="J52" s="27"/>
      <c r="K52" s="27"/>
      <c r="L52" s="49"/>
      <c r="M52" s="27"/>
      <c r="N52" s="27"/>
      <c r="O52" s="27"/>
      <c r="P52" s="27"/>
      <c r="Q52" s="27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9"/>
    </row>
    <row r="53" spans="1:54" ht="30" customHeight="1" x14ac:dyDescent="0.25">
      <c r="A53" s="48"/>
      <c r="B53" s="27"/>
      <c r="C53" s="27"/>
      <c r="D53" s="27"/>
      <c r="E53" s="27"/>
      <c r="F53" s="49"/>
      <c r="G53" s="27"/>
      <c r="H53" s="27"/>
      <c r="I53" s="27"/>
      <c r="J53" s="27"/>
      <c r="K53" s="27"/>
      <c r="L53" s="49"/>
      <c r="M53" s="27"/>
      <c r="N53" s="27"/>
      <c r="O53" s="27"/>
      <c r="P53" s="27"/>
      <c r="Q53" s="27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9"/>
    </row>
    <row r="54" spans="1:54" ht="30" customHeight="1" x14ac:dyDescent="0.25">
      <c r="A54" s="48"/>
      <c r="B54" s="27"/>
      <c r="C54" s="27"/>
      <c r="D54" s="27"/>
      <c r="E54" s="27"/>
      <c r="F54" s="49"/>
      <c r="G54" s="27"/>
      <c r="H54" s="27"/>
      <c r="I54" s="27"/>
      <c r="J54" s="27"/>
      <c r="K54" s="27"/>
      <c r="L54" s="49"/>
      <c r="M54" s="27"/>
      <c r="N54" s="27"/>
      <c r="O54" s="27"/>
      <c r="P54" s="27"/>
      <c r="Q54" s="27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9"/>
    </row>
    <row r="55" spans="1:54" ht="30" customHeight="1" x14ac:dyDescent="0.25">
      <c r="A55" s="48"/>
      <c r="B55" s="27"/>
      <c r="C55" s="27"/>
      <c r="D55" s="27"/>
      <c r="E55" s="27"/>
      <c r="F55" s="49"/>
      <c r="G55" s="27"/>
      <c r="H55" s="27"/>
      <c r="I55" s="27"/>
      <c r="J55" s="27"/>
      <c r="K55" s="27"/>
      <c r="L55" s="49"/>
      <c r="M55" s="27"/>
      <c r="N55" s="27"/>
      <c r="O55" s="27"/>
      <c r="P55" s="27"/>
      <c r="Q55" s="27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9"/>
    </row>
    <row r="56" spans="1:54" ht="30" customHeight="1" x14ac:dyDescent="0.25">
      <c r="A56" s="48"/>
      <c r="B56" s="27"/>
      <c r="C56" s="27"/>
      <c r="D56" s="27"/>
      <c r="E56" s="27"/>
      <c r="F56" s="49"/>
      <c r="G56" s="27"/>
      <c r="H56" s="27"/>
      <c r="I56" s="27"/>
      <c r="J56" s="27"/>
      <c r="K56" s="27"/>
      <c r="L56" s="49"/>
      <c r="M56" s="27"/>
      <c r="N56" s="27"/>
      <c r="O56" s="27"/>
      <c r="P56" s="27"/>
      <c r="Q56" s="27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9"/>
    </row>
    <row r="57" spans="1:54" ht="30" customHeight="1" x14ac:dyDescent="0.25">
      <c r="A57" s="48"/>
      <c r="B57" s="27"/>
      <c r="C57" s="27"/>
      <c r="D57" s="27"/>
      <c r="E57" s="27"/>
      <c r="F57" s="49"/>
      <c r="G57" s="27"/>
      <c r="H57" s="27"/>
      <c r="I57" s="27"/>
      <c r="J57" s="27"/>
      <c r="K57" s="27"/>
      <c r="L57" s="49"/>
      <c r="M57" s="27"/>
      <c r="N57" s="27"/>
      <c r="O57" s="27"/>
      <c r="P57" s="27"/>
      <c r="Q57" s="27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9"/>
    </row>
    <row r="58" spans="1:54" ht="30" customHeight="1" x14ac:dyDescent="0.25">
      <c r="A58" s="48"/>
      <c r="B58" s="27"/>
      <c r="C58" s="27"/>
      <c r="D58" s="27"/>
      <c r="E58" s="27"/>
      <c r="F58" s="49"/>
      <c r="G58" s="27"/>
      <c r="H58" s="27"/>
      <c r="I58" s="27"/>
      <c r="J58" s="27"/>
      <c r="K58" s="27"/>
      <c r="L58" s="49"/>
      <c r="M58" s="27"/>
      <c r="N58" s="27"/>
      <c r="O58" s="27"/>
      <c r="P58" s="27"/>
      <c r="Q58" s="27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9"/>
    </row>
    <row r="59" spans="1:54" ht="30" customHeight="1" x14ac:dyDescent="0.25">
      <c r="A59" s="48"/>
      <c r="B59" s="27"/>
      <c r="C59" s="27"/>
      <c r="D59" s="27"/>
      <c r="E59" s="27"/>
      <c r="F59" s="49"/>
      <c r="G59" s="27"/>
      <c r="H59" s="27"/>
      <c r="I59" s="27"/>
      <c r="J59" s="27"/>
      <c r="K59" s="27"/>
      <c r="L59" s="49"/>
      <c r="M59" s="27"/>
      <c r="N59" s="27"/>
      <c r="O59" s="27"/>
      <c r="P59" s="27"/>
      <c r="Q59" s="27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9"/>
    </row>
    <row r="60" spans="1:54" ht="30" customHeight="1" x14ac:dyDescent="0.25">
      <c r="A60" s="48"/>
      <c r="B60" s="27"/>
      <c r="C60" s="27"/>
      <c r="D60" s="27"/>
      <c r="E60" s="27"/>
      <c r="F60" s="49"/>
      <c r="G60" s="27"/>
      <c r="H60" s="27"/>
      <c r="I60" s="27"/>
      <c r="J60" s="27"/>
      <c r="K60" s="27"/>
      <c r="L60" s="49"/>
      <c r="M60" s="27"/>
      <c r="N60" s="27"/>
      <c r="O60" s="27"/>
      <c r="P60" s="27"/>
      <c r="Q60" s="27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9"/>
    </row>
    <row r="61" spans="1:54" ht="30" customHeight="1" x14ac:dyDescent="0.25">
      <c r="A61" s="48"/>
      <c r="B61" s="27"/>
      <c r="C61" s="27"/>
      <c r="D61" s="27"/>
      <c r="E61" s="27"/>
      <c r="F61" s="49"/>
      <c r="G61" s="27"/>
      <c r="H61" s="27"/>
      <c r="I61" s="27"/>
      <c r="J61" s="27"/>
      <c r="K61" s="27"/>
      <c r="L61" s="49"/>
      <c r="M61" s="27"/>
      <c r="N61" s="27"/>
      <c r="O61" s="27"/>
      <c r="P61" s="27"/>
      <c r="Q61" s="27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9"/>
    </row>
    <row r="62" spans="1:54" ht="30" customHeight="1" x14ac:dyDescent="0.25">
      <c r="A62" s="48"/>
      <c r="B62" s="27"/>
      <c r="C62" s="27"/>
      <c r="D62" s="27"/>
      <c r="E62" s="27"/>
      <c r="F62" s="49"/>
      <c r="G62" s="27"/>
      <c r="H62" s="27"/>
      <c r="I62" s="27"/>
      <c r="J62" s="27"/>
      <c r="K62" s="27"/>
      <c r="L62" s="49"/>
      <c r="M62" s="27"/>
      <c r="N62" s="27"/>
      <c r="O62" s="27"/>
      <c r="P62" s="27"/>
      <c r="Q62" s="27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9"/>
    </row>
    <row r="63" spans="1:54" ht="30" customHeight="1" x14ac:dyDescent="0.25">
      <c r="A63" s="48"/>
      <c r="B63" s="27"/>
      <c r="C63" s="27"/>
      <c r="D63" s="27"/>
      <c r="E63" s="27"/>
      <c r="F63" s="49"/>
      <c r="G63" s="27"/>
      <c r="H63" s="27"/>
      <c r="I63" s="27"/>
      <c r="J63" s="27"/>
      <c r="K63" s="27"/>
      <c r="L63" s="49"/>
      <c r="M63" s="27"/>
      <c r="N63" s="27"/>
      <c r="O63" s="27"/>
      <c r="P63" s="27"/>
      <c r="Q63" s="27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9"/>
    </row>
    <row r="64" spans="1:54" ht="30" customHeight="1" x14ac:dyDescent="0.25">
      <c r="A64" s="48"/>
      <c r="B64" s="27"/>
      <c r="C64" s="27"/>
      <c r="D64" s="27"/>
      <c r="E64" s="27"/>
      <c r="F64" s="49"/>
      <c r="G64" s="27"/>
      <c r="H64" s="27"/>
      <c r="I64" s="27"/>
      <c r="J64" s="27"/>
      <c r="K64" s="27"/>
      <c r="L64" s="49"/>
      <c r="M64" s="27"/>
      <c r="N64" s="27"/>
      <c r="O64" s="27"/>
      <c r="P64" s="27"/>
      <c r="Q64" s="27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9"/>
    </row>
    <row r="65" spans="1:54" ht="30" customHeight="1" x14ac:dyDescent="0.25">
      <c r="A65" s="48"/>
      <c r="B65" s="27"/>
      <c r="C65" s="27"/>
      <c r="D65" s="27"/>
      <c r="E65" s="27"/>
      <c r="F65" s="49"/>
      <c r="G65" s="27"/>
      <c r="H65" s="27"/>
      <c r="I65" s="27"/>
      <c r="J65" s="27"/>
      <c r="K65" s="27"/>
      <c r="L65" s="49"/>
      <c r="M65" s="27"/>
      <c r="N65" s="27"/>
      <c r="O65" s="27"/>
      <c r="P65" s="27"/>
      <c r="Q65" s="27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9"/>
    </row>
    <row r="66" spans="1:54" ht="30" customHeight="1" x14ac:dyDescent="0.25">
      <c r="A66" s="48"/>
      <c r="B66" s="27"/>
      <c r="C66" s="27"/>
      <c r="D66" s="27"/>
      <c r="E66" s="27"/>
      <c r="F66" s="49"/>
      <c r="G66" s="27"/>
      <c r="H66" s="27"/>
      <c r="I66" s="27"/>
      <c r="J66" s="27"/>
      <c r="K66" s="27"/>
      <c r="L66" s="49"/>
      <c r="M66" s="27"/>
      <c r="N66" s="27"/>
      <c r="O66" s="27"/>
      <c r="P66" s="27"/>
      <c r="Q66" s="27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9"/>
    </row>
    <row r="67" spans="1:54" ht="30" customHeight="1" x14ac:dyDescent="0.25">
      <c r="A67" s="48"/>
      <c r="B67" s="27"/>
      <c r="C67" s="27"/>
      <c r="D67" s="27"/>
      <c r="E67" s="27"/>
      <c r="F67" s="49"/>
      <c r="G67" s="27"/>
      <c r="H67" s="27"/>
      <c r="I67" s="27"/>
      <c r="J67" s="27"/>
      <c r="K67" s="27"/>
      <c r="L67" s="49"/>
      <c r="M67" s="27"/>
      <c r="N67" s="27"/>
      <c r="O67" s="27"/>
      <c r="P67" s="27"/>
      <c r="Q67" s="27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9"/>
    </row>
    <row r="68" spans="1:54" ht="30" customHeight="1" x14ac:dyDescent="0.25">
      <c r="A68" s="48"/>
      <c r="B68" s="27"/>
      <c r="C68" s="27"/>
      <c r="D68" s="27"/>
      <c r="E68" s="27"/>
      <c r="F68" s="49"/>
      <c r="G68" s="27"/>
      <c r="H68" s="27"/>
      <c r="I68" s="27"/>
      <c r="J68" s="27"/>
      <c r="K68" s="27"/>
      <c r="L68" s="49"/>
      <c r="M68" s="27"/>
      <c r="N68" s="27"/>
      <c r="O68" s="27"/>
      <c r="P68" s="27"/>
      <c r="Q68" s="27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9"/>
    </row>
    <row r="69" spans="1:54" ht="30" customHeight="1" x14ac:dyDescent="0.25">
      <c r="A69" s="48"/>
      <c r="B69" s="27"/>
      <c r="C69" s="27"/>
      <c r="D69" s="27"/>
      <c r="E69" s="27"/>
      <c r="F69" s="49"/>
      <c r="G69" s="27"/>
      <c r="H69" s="27"/>
      <c r="I69" s="27"/>
      <c r="J69" s="27"/>
      <c r="K69" s="27"/>
      <c r="L69" s="49"/>
      <c r="M69" s="27"/>
      <c r="N69" s="27"/>
      <c r="O69" s="27"/>
      <c r="P69" s="27"/>
      <c r="Q69" s="27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9"/>
    </row>
    <row r="70" spans="1:54" ht="30" customHeight="1" x14ac:dyDescent="0.25">
      <c r="A70" s="48"/>
      <c r="B70" s="27"/>
      <c r="C70" s="27"/>
      <c r="D70" s="27"/>
      <c r="E70" s="27"/>
      <c r="F70" s="49"/>
      <c r="G70" s="27"/>
      <c r="H70" s="27"/>
      <c r="I70" s="27"/>
      <c r="J70" s="27"/>
      <c r="K70" s="27"/>
      <c r="L70" s="49"/>
      <c r="M70" s="27"/>
      <c r="N70" s="27"/>
      <c r="O70" s="27"/>
      <c r="P70" s="27"/>
      <c r="Q70" s="27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9"/>
    </row>
    <row r="71" spans="1:54" ht="30" customHeight="1" x14ac:dyDescent="0.25">
      <c r="A71" s="48"/>
      <c r="B71" s="27"/>
      <c r="C71" s="27"/>
      <c r="D71" s="27"/>
      <c r="E71" s="27"/>
      <c r="F71" s="49"/>
      <c r="G71" s="27"/>
      <c r="H71" s="27"/>
      <c r="I71" s="27"/>
      <c r="J71" s="27"/>
      <c r="K71" s="27"/>
      <c r="L71" s="49"/>
      <c r="M71" s="27"/>
      <c r="N71" s="27"/>
      <c r="O71" s="27"/>
      <c r="P71" s="27"/>
      <c r="Q71" s="27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9"/>
    </row>
    <row r="72" spans="1:54" ht="30" customHeight="1" x14ac:dyDescent="0.25">
      <c r="A72" s="48"/>
      <c r="B72" s="27"/>
      <c r="C72" s="27"/>
      <c r="D72" s="27"/>
      <c r="E72" s="27"/>
      <c r="F72" s="49"/>
      <c r="G72" s="27"/>
      <c r="H72" s="27"/>
      <c r="I72" s="27"/>
      <c r="J72" s="27"/>
      <c r="K72" s="27"/>
      <c r="L72" s="49"/>
      <c r="M72" s="27"/>
      <c r="N72" s="27"/>
      <c r="O72" s="27"/>
      <c r="P72" s="27"/>
      <c r="Q72" s="27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9"/>
    </row>
    <row r="73" spans="1:54" ht="30" customHeight="1" x14ac:dyDescent="0.25">
      <c r="A73" s="48"/>
      <c r="B73" s="27"/>
      <c r="C73" s="27"/>
      <c r="D73" s="27"/>
      <c r="E73" s="27"/>
      <c r="F73" s="49"/>
      <c r="G73" s="27"/>
      <c r="H73" s="27"/>
      <c r="I73" s="27"/>
      <c r="J73" s="27"/>
      <c r="K73" s="27"/>
      <c r="L73" s="49"/>
      <c r="M73" s="27"/>
      <c r="N73" s="27"/>
      <c r="O73" s="27"/>
      <c r="P73" s="27"/>
      <c r="Q73" s="27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9"/>
    </row>
    <row r="74" spans="1:54" ht="30" customHeight="1" x14ac:dyDescent="0.25">
      <c r="A74" s="48"/>
      <c r="B74" s="27"/>
      <c r="C74" s="27"/>
      <c r="D74" s="27"/>
      <c r="E74" s="27"/>
      <c r="F74" s="49"/>
      <c r="G74" s="27"/>
      <c r="H74" s="27"/>
      <c r="I74" s="27"/>
      <c r="J74" s="27"/>
      <c r="K74" s="27"/>
      <c r="L74" s="49"/>
      <c r="M74" s="27"/>
      <c r="N74" s="27"/>
      <c r="O74" s="27"/>
      <c r="P74" s="27"/>
      <c r="Q74" s="27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9"/>
    </row>
    <row r="75" spans="1:54" ht="30" customHeight="1" x14ac:dyDescent="0.25">
      <c r="A75" s="48"/>
      <c r="B75" s="27"/>
      <c r="C75" s="27"/>
      <c r="D75" s="27"/>
      <c r="E75" s="27"/>
      <c r="F75" s="49"/>
      <c r="G75" s="27"/>
      <c r="H75" s="27"/>
      <c r="I75" s="27"/>
      <c r="J75" s="27"/>
      <c r="K75" s="27"/>
      <c r="L75" s="49"/>
      <c r="M75" s="27"/>
      <c r="N75" s="27"/>
      <c r="O75" s="27"/>
      <c r="P75" s="27"/>
      <c r="Q75" s="27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9"/>
    </row>
    <row r="76" spans="1:54" ht="30" customHeight="1" x14ac:dyDescent="0.25">
      <c r="A76" s="48"/>
      <c r="B76" s="27"/>
      <c r="C76" s="27"/>
      <c r="D76" s="27"/>
      <c r="E76" s="27"/>
      <c r="F76" s="49"/>
      <c r="G76" s="27"/>
      <c r="H76" s="27"/>
      <c r="I76" s="27"/>
      <c r="J76" s="27"/>
      <c r="K76" s="27"/>
      <c r="L76" s="49"/>
      <c r="M76" s="27"/>
      <c r="N76" s="27"/>
      <c r="O76" s="27"/>
      <c r="P76" s="27"/>
      <c r="Q76" s="27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9"/>
    </row>
    <row r="77" spans="1:54" ht="30" customHeight="1" x14ac:dyDescent="0.25">
      <c r="A77" s="48"/>
      <c r="B77" s="27"/>
      <c r="C77" s="27"/>
      <c r="D77" s="27"/>
      <c r="E77" s="27"/>
      <c r="F77" s="49"/>
      <c r="G77" s="27"/>
      <c r="H77" s="27"/>
      <c r="I77" s="27"/>
      <c r="J77" s="27"/>
      <c r="K77" s="27"/>
      <c r="L77" s="49"/>
      <c r="M77" s="27"/>
      <c r="N77" s="27"/>
      <c r="O77" s="27"/>
      <c r="P77" s="27"/>
      <c r="Q77" s="2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9"/>
    </row>
    <row r="78" spans="1:54" ht="30" customHeight="1" x14ac:dyDescent="0.25">
      <c r="A78" s="48"/>
      <c r="B78" s="27"/>
      <c r="C78" s="27"/>
      <c r="D78" s="27"/>
      <c r="E78" s="27"/>
      <c r="F78" s="49"/>
      <c r="G78" s="27"/>
      <c r="H78" s="27"/>
      <c r="I78" s="27"/>
      <c r="J78" s="27"/>
      <c r="K78" s="27"/>
      <c r="L78" s="49"/>
      <c r="M78" s="27"/>
      <c r="N78" s="27"/>
      <c r="O78" s="27"/>
      <c r="P78" s="27"/>
      <c r="Q78" s="27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9"/>
    </row>
    <row r="79" spans="1:54" ht="30" customHeight="1" x14ac:dyDescent="0.25">
      <c r="A79" s="48"/>
      <c r="B79" s="27"/>
      <c r="C79" s="27"/>
      <c r="D79" s="27"/>
      <c r="E79" s="27"/>
      <c r="F79" s="49"/>
      <c r="G79" s="27"/>
      <c r="H79" s="27"/>
      <c r="I79" s="27"/>
      <c r="J79" s="27"/>
      <c r="K79" s="27"/>
      <c r="L79" s="49"/>
      <c r="M79" s="27"/>
      <c r="N79" s="27"/>
      <c r="O79" s="27"/>
      <c r="P79" s="27"/>
      <c r="Q79" s="27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9"/>
    </row>
    <row r="80" spans="1:54" ht="30" customHeight="1" x14ac:dyDescent="0.25">
      <c r="A80" s="48"/>
      <c r="B80" s="27"/>
      <c r="C80" s="27"/>
      <c r="D80" s="27"/>
      <c r="E80" s="27"/>
      <c r="F80" s="49"/>
      <c r="G80" s="27"/>
      <c r="H80" s="27"/>
      <c r="I80" s="27"/>
      <c r="J80" s="27"/>
      <c r="K80" s="27"/>
      <c r="L80" s="49"/>
      <c r="M80" s="27"/>
      <c r="N80" s="27"/>
      <c r="O80" s="27"/>
      <c r="P80" s="27"/>
      <c r="Q80" s="27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9"/>
    </row>
    <row r="81" spans="1:54" ht="30" customHeight="1" x14ac:dyDescent="0.25">
      <c r="A81" s="48"/>
      <c r="B81" s="27"/>
      <c r="C81" s="27"/>
      <c r="D81" s="27"/>
      <c r="E81" s="27"/>
      <c r="F81" s="49"/>
      <c r="G81" s="27"/>
      <c r="H81" s="27"/>
      <c r="I81" s="27"/>
      <c r="J81" s="27"/>
      <c r="K81" s="27"/>
      <c r="L81" s="49"/>
      <c r="M81" s="27"/>
      <c r="N81" s="27"/>
      <c r="O81" s="27"/>
      <c r="P81" s="27"/>
      <c r="Q81" s="27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9"/>
    </row>
    <row r="82" spans="1:54" ht="30" customHeight="1" x14ac:dyDescent="0.25">
      <c r="A82" s="48"/>
      <c r="B82" s="27"/>
      <c r="C82" s="27"/>
      <c r="D82" s="27"/>
      <c r="E82" s="27"/>
      <c r="F82" s="49"/>
      <c r="G82" s="27"/>
      <c r="H82" s="27"/>
      <c r="I82" s="27"/>
      <c r="J82" s="27"/>
      <c r="K82" s="27"/>
      <c r="L82" s="49"/>
      <c r="M82" s="27"/>
      <c r="N82" s="27"/>
      <c r="O82" s="27"/>
      <c r="P82" s="27"/>
      <c r="Q82" s="27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9"/>
    </row>
    <row r="83" spans="1:54" ht="30" customHeight="1" x14ac:dyDescent="0.25">
      <c r="A83" s="48"/>
      <c r="B83" s="27"/>
      <c r="C83" s="27"/>
      <c r="D83" s="27"/>
      <c r="E83" s="27"/>
      <c r="F83" s="49"/>
      <c r="G83" s="27"/>
      <c r="H83" s="27"/>
      <c r="I83" s="27"/>
      <c r="J83" s="27"/>
      <c r="K83" s="27"/>
      <c r="L83" s="49"/>
      <c r="M83" s="27"/>
      <c r="N83" s="27"/>
      <c r="O83" s="27"/>
      <c r="P83" s="27"/>
      <c r="Q83" s="27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9"/>
    </row>
    <row r="84" spans="1:54" ht="30" customHeight="1" x14ac:dyDescent="0.25">
      <c r="A84" s="48"/>
      <c r="B84" s="27"/>
      <c r="C84" s="27"/>
      <c r="D84" s="27"/>
      <c r="E84" s="27"/>
      <c r="F84" s="49"/>
      <c r="G84" s="27"/>
      <c r="H84" s="27"/>
      <c r="I84" s="27"/>
      <c r="J84" s="27"/>
      <c r="K84" s="27"/>
      <c r="L84" s="49"/>
      <c r="M84" s="27"/>
      <c r="N84" s="27"/>
      <c r="O84" s="27"/>
      <c r="P84" s="27"/>
      <c r="Q84" s="27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9"/>
    </row>
    <row r="85" spans="1:54" ht="30" customHeight="1" x14ac:dyDescent="0.25">
      <c r="A85" s="48"/>
      <c r="B85" s="27"/>
      <c r="C85" s="27"/>
      <c r="D85" s="27"/>
      <c r="E85" s="27"/>
      <c r="F85" s="49"/>
      <c r="G85" s="27"/>
      <c r="H85" s="27"/>
      <c r="I85" s="27"/>
      <c r="J85" s="27"/>
      <c r="K85" s="27"/>
      <c r="L85" s="49"/>
      <c r="M85" s="27"/>
      <c r="N85" s="27"/>
      <c r="O85" s="27"/>
      <c r="P85" s="27"/>
      <c r="Q85" s="27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9"/>
    </row>
    <row r="86" spans="1:54" ht="30" customHeight="1" x14ac:dyDescent="0.25">
      <c r="A86" s="48"/>
      <c r="B86" s="27"/>
      <c r="C86" s="27"/>
      <c r="D86" s="27"/>
      <c r="E86" s="27"/>
      <c r="F86" s="49"/>
      <c r="G86" s="27"/>
      <c r="H86" s="27"/>
      <c r="I86" s="27"/>
      <c r="J86" s="27"/>
      <c r="K86" s="27"/>
      <c r="L86" s="49"/>
      <c r="M86" s="27"/>
      <c r="N86" s="27"/>
      <c r="O86" s="27"/>
      <c r="P86" s="27"/>
      <c r="Q86" s="27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9"/>
    </row>
    <row r="87" spans="1:54" ht="30" customHeight="1" x14ac:dyDescent="0.25">
      <c r="A87" s="48"/>
      <c r="B87" s="27"/>
      <c r="C87" s="27"/>
      <c r="D87" s="27"/>
      <c r="E87" s="27"/>
      <c r="F87" s="49"/>
      <c r="G87" s="27"/>
      <c r="H87" s="27"/>
      <c r="I87" s="27"/>
      <c r="J87" s="27"/>
      <c r="K87" s="27"/>
      <c r="L87" s="49"/>
      <c r="M87" s="27"/>
      <c r="N87" s="27"/>
      <c r="O87" s="27"/>
      <c r="P87" s="27"/>
      <c r="Q87" s="27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9"/>
    </row>
    <row r="88" spans="1:54" ht="30" customHeight="1" x14ac:dyDescent="0.25">
      <c r="A88" s="48"/>
      <c r="B88" s="27"/>
      <c r="C88" s="27"/>
      <c r="D88" s="27"/>
      <c r="E88" s="27"/>
      <c r="F88" s="49"/>
      <c r="G88" s="27"/>
      <c r="H88" s="27"/>
      <c r="I88" s="27"/>
      <c r="J88" s="27"/>
      <c r="K88" s="27"/>
      <c r="L88" s="49"/>
      <c r="M88" s="27"/>
      <c r="N88" s="27"/>
      <c r="O88" s="27"/>
      <c r="P88" s="27"/>
      <c r="Q88" s="27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9"/>
    </row>
    <row r="89" spans="1:54" ht="30" customHeight="1" x14ac:dyDescent="0.25">
      <c r="A89" s="48"/>
      <c r="B89" s="27"/>
      <c r="C89" s="27"/>
      <c r="D89" s="27"/>
      <c r="E89" s="27"/>
      <c r="F89" s="49"/>
      <c r="G89" s="27"/>
      <c r="H89" s="27"/>
      <c r="I89" s="27"/>
      <c r="J89" s="27"/>
      <c r="K89" s="27"/>
      <c r="L89" s="49"/>
      <c r="M89" s="27"/>
      <c r="N89" s="27"/>
      <c r="O89" s="27"/>
      <c r="P89" s="27"/>
      <c r="Q89" s="27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9"/>
    </row>
    <row r="90" spans="1:54" ht="30" customHeight="1" x14ac:dyDescent="0.25">
      <c r="A90" s="48"/>
      <c r="B90" s="27"/>
      <c r="C90" s="27"/>
      <c r="D90" s="27"/>
      <c r="E90" s="27"/>
      <c r="F90" s="49"/>
      <c r="G90" s="27"/>
      <c r="H90" s="27"/>
      <c r="I90" s="27"/>
      <c r="J90" s="27"/>
      <c r="K90" s="27"/>
      <c r="L90" s="49"/>
      <c r="M90" s="27"/>
      <c r="N90" s="27"/>
      <c r="O90" s="27"/>
      <c r="P90" s="27"/>
      <c r="Q90" s="27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9"/>
    </row>
    <row r="91" spans="1:54" ht="30" customHeight="1" x14ac:dyDescent="0.25">
      <c r="A91" s="48"/>
      <c r="B91" s="27"/>
      <c r="C91" s="27"/>
      <c r="D91" s="27"/>
      <c r="E91" s="27"/>
      <c r="F91" s="49"/>
      <c r="G91" s="27"/>
      <c r="H91" s="27"/>
      <c r="I91" s="27"/>
      <c r="J91" s="27"/>
      <c r="K91" s="27"/>
      <c r="L91" s="49"/>
      <c r="M91" s="27"/>
      <c r="N91" s="27"/>
      <c r="O91" s="27"/>
      <c r="P91" s="27"/>
      <c r="Q91" s="27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9"/>
    </row>
    <row r="92" spans="1:54" ht="30" customHeight="1" x14ac:dyDescent="0.25">
      <c r="A92" s="48"/>
      <c r="B92" s="27"/>
      <c r="C92" s="27"/>
      <c r="D92" s="27"/>
      <c r="E92" s="27"/>
      <c r="F92" s="49"/>
      <c r="G92" s="27"/>
      <c r="H92" s="27"/>
      <c r="I92" s="27"/>
      <c r="J92" s="27"/>
      <c r="K92" s="27"/>
      <c r="L92" s="49"/>
      <c r="M92" s="27"/>
      <c r="N92" s="27"/>
      <c r="O92" s="27"/>
      <c r="P92" s="27"/>
      <c r="Q92" s="27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9"/>
    </row>
    <row r="93" spans="1:54" ht="30" customHeight="1" x14ac:dyDescent="0.25">
      <c r="A93" s="48"/>
      <c r="B93" s="27"/>
      <c r="C93" s="27"/>
      <c r="D93" s="27"/>
      <c r="E93" s="27"/>
      <c r="F93" s="49"/>
      <c r="G93" s="27"/>
      <c r="H93" s="27"/>
      <c r="I93" s="27"/>
      <c r="J93" s="27"/>
      <c r="K93" s="27"/>
      <c r="L93" s="49"/>
      <c r="M93" s="27"/>
      <c r="N93" s="27"/>
      <c r="O93" s="27"/>
      <c r="P93" s="27"/>
      <c r="Q93" s="27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9"/>
    </row>
    <row r="94" spans="1:54" ht="30" customHeight="1" x14ac:dyDescent="0.25">
      <c r="A94" s="48"/>
      <c r="B94" s="27"/>
      <c r="C94" s="27"/>
      <c r="D94" s="27"/>
      <c r="E94" s="27"/>
      <c r="F94" s="49"/>
      <c r="G94" s="27"/>
      <c r="H94" s="27"/>
      <c r="I94" s="27"/>
      <c r="J94" s="27"/>
      <c r="K94" s="27"/>
      <c r="L94" s="49"/>
      <c r="M94" s="27"/>
      <c r="N94" s="27"/>
      <c r="O94" s="27"/>
      <c r="P94" s="27"/>
      <c r="Q94" s="27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9"/>
    </row>
    <row r="95" spans="1:54" ht="30" customHeight="1" x14ac:dyDescent="0.25">
      <c r="A95" s="48"/>
      <c r="B95" s="27"/>
      <c r="C95" s="27"/>
      <c r="D95" s="27"/>
      <c r="E95" s="27"/>
      <c r="F95" s="49"/>
      <c r="G95" s="27"/>
      <c r="H95" s="27"/>
      <c r="I95" s="27"/>
      <c r="J95" s="27"/>
      <c r="K95" s="27"/>
      <c r="L95" s="49"/>
      <c r="M95" s="27"/>
      <c r="N95" s="27"/>
      <c r="O95" s="27"/>
      <c r="P95" s="27"/>
      <c r="Q95" s="27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9"/>
    </row>
    <row r="96" spans="1:54" ht="30" customHeight="1" x14ac:dyDescent="0.25">
      <c r="A96" s="48"/>
      <c r="B96" s="27"/>
      <c r="C96" s="27"/>
      <c r="D96" s="27"/>
      <c r="E96" s="27"/>
      <c r="F96" s="49"/>
      <c r="G96" s="27"/>
      <c r="H96" s="27"/>
      <c r="I96" s="27"/>
      <c r="J96" s="27"/>
      <c r="K96" s="27"/>
      <c r="L96" s="49"/>
      <c r="M96" s="27"/>
      <c r="N96" s="27"/>
      <c r="O96" s="27"/>
      <c r="P96" s="27"/>
      <c r="Q96" s="27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9"/>
    </row>
    <row r="97" spans="1:54" ht="30" customHeight="1" x14ac:dyDescent="0.25">
      <c r="A97" s="48"/>
      <c r="B97" s="27"/>
      <c r="C97" s="27"/>
      <c r="D97" s="27"/>
      <c r="E97" s="27"/>
      <c r="F97" s="49"/>
      <c r="G97" s="27"/>
      <c r="H97" s="27"/>
      <c r="I97" s="27"/>
      <c r="J97" s="27"/>
      <c r="K97" s="27"/>
      <c r="L97" s="49"/>
      <c r="M97" s="27"/>
      <c r="N97" s="27"/>
      <c r="O97" s="27"/>
      <c r="P97" s="27"/>
      <c r="Q97" s="27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9"/>
    </row>
    <row r="98" spans="1:54" ht="30" customHeight="1" x14ac:dyDescent="0.25">
      <c r="A98" s="48"/>
      <c r="B98" s="27"/>
      <c r="C98" s="27"/>
      <c r="D98" s="27"/>
      <c r="E98" s="27"/>
      <c r="F98" s="49"/>
      <c r="G98" s="27"/>
      <c r="H98" s="27"/>
      <c r="I98" s="27"/>
      <c r="J98" s="27"/>
      <c r="K98" s="27"/>
      <c r="L98" s="49"/>
      <c r="M98" s="27"/>
      <c r="N98" s="27"/>
      <c r="O98" s="27"/>
      <c r="P98" s="27"/>
      <c r="Q98" s="27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9"/>
    </row>
    <row r="99" spans="1:54" ht="30" customHeight="1" x14ac:dyDescent="0.25">
      <c r="A99" s="48"/>
      <c r="B99" s="27"/>
      <c r="C99" s="27"/>
      <c r="D99" s="27"/>
      <c r="E99" s="27"/>
      <c r="F99" s="49"/>
      <c r="G99" s="27"/>
      <c r="H99" s="27"/>
      <c r="I99" s="27"/>
      <c r="J99" s="27"/>
      <c r="K99" s="27"/>
      <c r="L99" s="49"/>
      <c r="M99" s="27"/>
      <c r="N99" s="27"/>
      <c r="O99" s="27"/>
      <c r="P99" s="27"/>
      <c r="Q99" s="27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9"/>
    </row>
    <row r="100" spans="1:54" ht="30" customHeight="1" x14ac:dyDescent="0.25">
      <c r="A100" s="48"/>
      <c r="B100" s="27"/>
      <c r="C100" s="27"/>
      <c r="D100" s="27"/>
      <c r="E100" s="27"/>
      <c r="F100" s="49"/>
      <c r="G100" s="27"/>
      <c r="H100" s="27"/>
      <c r="I100" s="27"/>
      <c r="J100" s="27"/>
      <c r="K100" s="27"/>
      <c r="L100" s="49"/>
      <c r="M100" s="27"/>
      <c r="N100" s="27"/>
      <c r="O100" s="27"/>
      <c r="P100" s="27"/>
      <c r="Q100" s="27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9"/>
    </row>
    <row r="101" spans="1:54" ht="30" customHeight="1" x14ac:dyDescent="0.25">
      <c r="A101" s="48"/>
      <c r="B101" s="27"/>
      <c r="C101" s="27"/>
      <c r="D101" s="27"/>
      <c r="E101" s="27"/>
      <c r="F101" s="49"/>
      <c r="G101" s="27"/>
      <c r="H101" s="27"/>
      <c r="I101" s="27"/>
      <c r="J101" s="27"/>
      <c r="K101" s="27"/>
      <c r="L101" s="49"/>
      <c r="M101" s="27"/>
      <c r="N101" s="27"/>
      <c r="O101" s="27"/>
      <c r="P101" s="27"/>
      <c r="Q101" s="27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9"/>
    </row>
    <row r="102" spans="1:54" ht="30" customHeight="1" x14ac:dyDescent="0.25">
      <c r="A102" s="48"/>
      <c r="B102" s="27"/>
      <c r="C102" s="27"/>
      <c r="D102" s="27"/>
      <c r="E102" s="27"/>
      <c r="F102" s="49"/>
      <c r="G102" s="27"/>
      <c r="H102" s="27"/>
      <c r="I102" s="27"/>
      <c r="J102" s="27"/>
      <c r="K102" s="27"/>
      <c r="L102" s="49"/>
      <c r="M102" s="27"/>
      <c r="N102" s="27"/>
      <c r="O102" s="27"/>
      <c r="P102" s="27"/>
      <c r="Q102" s="27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9"/>
    </row>
    <row r="103" spans="1:54" ht="30" customHeight="1" x14ac:dyDescent="0.25">
      <c r="A103" s="48"/>
      <c r="B103" s="27"/>
      <c r="C103" s="27"/>
      <c r="D103" s="27"/>
      <c r="E103" s="27"/>
      <c r="F103" s="49"/>
      <c r="G103" s="27"/>
      <c r="H103" s="27"/>
      <c r="I103" s="27"/>
      <c r="J103" s="27"/>
      <c r="K103" s="27"/>
      <c r="L103" s="49"/>
      <c r="M103" s="27"/>
      <c r="N103" s="27"/>
      <c r="O103" s="27"/>
      <c r="P103" s="27"/>
      <c r="Q103" s="27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9"/>
    </row>
    <row r="104" spans="1:54" ht="30" customHeight="1" x14ac:dyDescent="0.25">
      <c r="A104" s="48"/>
      <c r="B104" s="27"/>
      <c r="C104" s="27"/>
      <c r="D104" s="27"/>
      <c r="E104" s="27"/>
      <c r="F104" s="49"/>
      <c r="G104" s="27"/>
      <c r="H104" s="27"/>
      <c r="I104" s="27"/>
      <c r="J104" s="27"/>
      <c r="K104" s="27"/>
      <c r="L104" s="49"/>
      <c r="M104" s="27"/>
      <c r="N104" s="27"/>
      <c r="O104" s="27"/>
      <c r="P104" s="27"/>
      <c r="Q104" s="27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9"/>
    </row>
    <row r="105" spans="1:54" ht="30" customHeight="1" x14ac:dyDescent="0.25">
      <c r="A105" s="48"/>
      <c r="B105" s="27"/>
      <c r="C105" s="27"/>
      <c r="D105" s="27"/>
      <c r="E105" s="27"/>
      <c r="F105" s="49"/>
      <c r="G105" s="27"/>
      <c r="H105" s="27"/>
      <c r="I105" s="27"/>
      <c r="J105" s="27"/>
      <c r="K105" s="27"/>
      <c r="L105" s="49"/>
      <c r="M105" s="27"/>
      <c r="N105" s="27"/>
      <c r="O105" s="27"/>
      <c r="P105" s="27"/>
      <c r="Q105" s="27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9"/>
    </row>
    <row r="106" spans="1:54" ht="30" customHeight="1" x14ac:dyDescent="0.25">
      <c r="A106" s="48"/>
      <c r="B106" s="27"/>
      <c r="C106" s="27"/>
      <c r="D106" s="27"/>
      <c r="E106" s="27"/>
      <c r="F106" s="49"/>
      <c r="G106" s="27"/>
      <c r="H106" s="27"/>
      <c r="I106" s="27"/>
      <c r="J106" s="27"/>
      <c r="K106" s="27"/>
      <c r="L106" s="49"/>
      <c r="M106" s="27"/>
      <c r="N106" s="27"/>
      <c r="O106" s="27"/>
      <c r="P106" s="27"/>
      <c r="Q106" s="27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9"/>
    </row>
    <row r="107" spans="1:54" ht="30" customHeight="1" x14ac:dyDescent="0.25">
      <c r="A107" s="48"/>
      <c r="B107" s="27"/>
      <c r="C107" s="27"/>
      <c r="D107" s="27"/>
      <c r="E107" s="27"/>
      <c r="F107" s="49"/>
      <c r="G107" s="27"/>
      <c r="H107" s="27"/>
      <c r="I107" s="27"/>
      <c r="J107" s="27"/>
      <c r="K107" s="27"/>
      <c r="L107" s="49"/>
      <c r="M107" s="27"/>
      <c r="N107" s="27"/>
      <c r="O107" s="27"/>
      <c r="P107" s="27"/>
      <c r="Q107" s="27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9"/>
    </row>
    <row r="108" spans="1:54" ht="30" customHeight="1" x14ac:dyDescent="0.25">
      <c r="A108" s="48"/>
      <c r="B108" s="27"/>
      <c r="C108" s="27"/>
      <c r="D108" s="27"/>
      <c r="E108" s="27"/>
      <c r="F108" s="49"/>
      <c r="G108" s="27"/>
      <c r="H108" s="27"/>
      <c r="I108" s="27"/>
      <c r="J108" s="27"/>
      <c r="K108" s="27"/>
      <c r="L108" s="49"/>
      <c r="M108" s="27"/>
      <c r="N108" s="27"/>
      <c r="O108" s="27"/>
      <c r="P108" s="27"/>
      <c r="Q108" s="2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9"/>
    </row>
    <row r="109" spans="1:54" ht="30" customHeight="1" x14ac:dyDescent="0.25">
      <c r="A109" s="48"/>
      <c r="B109" s="27"/>
      <c r="C109" s="27"/>
      <c r="D109" s="27"/>
      <c r="E109" s="27"/>
      <c r="F109" s="49"/>
      <c r="G109" s="27"/>
      <c r="H109" s="27"/>
      <c r="I109" s="27"/>
      <c r="J109" s="27"/>
      <c r="K109" s="27"/>
      <c r="L109" s="49"/>
      <c r="M109" s="27"/>
      <c r="N109" s="27"/>
      <c r="O109" s="27"/>
      <c r="P109" s="27"/>
      <c r="Q109" s="27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9"/>
    </row>
    <row r="110" spans="1:54" ht="30" customHeight="1" x14ac:dyDescent="0.25">
      <c r="A110" s="48"/>
      <c r="B110" s="27"/>
      <c r="C110" s="27"/>
      <c r="D110" s="27"/>
      <c r="E110" s="27"/>
      <c r="F110" s="49"/>
      <c r="G110" s="27"/>
      <c r="H110" s="27"/>
      <c r="I110" s="27"/>
      <c r="J110" s="27"/>
      <c r="K110" s="27"/>
      <c r="L110" s="49"/>
      <c r="M110" s="27"/>
      <c r="N110" s="27"/>
      <c r="O110" s="27"/>
      <c r="P110" s="27"/>
      <c r="Q110" s="27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9"/>
    </row>
    <row r="111" spans="1:54" ht="30" customHeight="1" x14ac:dyDescent="0.25">
      <c r="A111" s="48"/>
      <c r="B111" s="27"/>
      <c r="C111" s="27"/>
      <c r="D111" s="27"/>
      <c r="E111" s="27"/>
      <c r="F111" s="49"/>
      <c r="G111" s="27"/>
      <c r="H111" s="27"/>
      <c r="I111" s="27"/>
      <c r="J111" s="27"/>
      <c r="K111" s="27"/>
      <c r="L111" s="49"/>
      <c r="M111" s="27"/>
      <c r="N111" s="27"/>
      <c r="O111" s="27"/>
      <c r="P111" s="27"/>
      <c r="Q111" s="27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9"/>
    </row>
    <row r="112" spans="1:54" ht="30" customHeight="1" x14ac:dyDescent="0.25">
      <c r="A112" s="48"/>
      <c r="B112" s="27"/>
      <c r="C112" s="27"/>
      <c r="D112" s="27"/>
      <c r="E112" s="27"/>
      <c r="F112" s="49"/>
      <c r="G112" s="27"/>
      <c r="H112" s="27"/>
      <c r="I112" s="27"/>
      <c r="J112" s="27"/>
      <c r="K112" s="27"/>
      <c r="L112" s="49"/>
      <c r="M112" s="27"/>
      <c r="N112" s="27"/>
      <c r="O112" s="27"/>
      <c r="P112" s="27"/>
      <c r="Q112" s="27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9"/>
    </row>
    <row r="113" spans="1:54" ht="30" customHeight="1" x14ac:dyDescent="0.25">
      <c r="A113" s="48"/>
      <c r="B113" s="27"/>
      <c r="C113" s="27"/>
      <c r="D113" s="27"/>
      <c r="E113" s="27"/>
      <c r="F113" s="49"/>
      <c r="G113" s="27"/>
      <c r="H113" s="27"/>
      <c r="I113" s="27"/>
      <c r="J113" s="27"/>
      <c r="K113" s="27"/>
      <c r="L113" s="49"/>
      <c r="M113" s="27"/>
      <c r="N113" s="27"/>
      <c r="O113" s="27"/>
      <c r="P113" s="27"/>
      <c r="Q113" s="27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9"/>
    </row>
    <row r="114" spans="1:54" ht="30" customHeight="1" x14ac:dyDescent="0.25">
      <c r="A114" s="48"/>
      <c r="B114" s="27"/>
      <c r="C114" s="27"/>
      <c r="D114" s="27"/>
      <c r="E114" s="27"/>
      <c r="F114" s="49"/>
      <c r="G114" s="27"/>
      <c r="H114" s="27"/>
      <c r="I114" s="27"/>
      <c r="J114" s="27"/>
      <c r="K114" s="27"/>
      <c r="L114" s="49"/>
      <c r="M114" s="27"/>
      <c r="N114" s="27"/>
      <c r="O114" s="27"/>
      <c r="P114" s="27"/>
      <c r="Q114" s="27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9"/>
    </row>
    <row r="115" spans="1:54" ht="30" customHeight="1" x14ac:dyDescent="0.25">
      <c r="A115" s="48"/>
      <c r="B115" s="27"/>
      <c r="C115" s="27"/>
      <c r="D115" s="27"/>
      <c r="E115" s="27"/>
      <c r="F115" s="49"/>
      <c r="G115" s="27"/>
      <c r="H115" s="27"/>
      <c r="I115" s="27"/>
      <c r="J115" s="27"/>
      <c r="K115" s="27"/>
      <c r="L115" s="49"/>
      <c r="M115" s="27"/>
      <c r="N115" s="27"/>
      <c r="O115" s="27"/>
      <c r="P115" s="27"/>
      <c r="Q115" s="27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9"/>
    </row>
    <row r="116" spans="1:54" ht="30" customHeight="1" x14ac:dyDescent="0.25">
      <c r="A116" s="48"/>
      <c r="B116" s="27"/>
      <c r="C116" s="27"/>
      <c r="D116" s="27"/>
      <c r="E116" s="27"/>
      <c r="F116" s="49"/>
      <c r="G116" s="27"/>
      <c r="H116" s="27"/>
      <c r="I116" s="27"/>
      <c r="J116" s="27"/>
      <c r="K116" s="27"/>
      <c r="L116" s="49"/>
      <c r="M116" s="27"/>
      <c r="N116" s="27"/>
      <c r="O116" s="27"/>
      <c r="P116" s="27"/>
      <c r="Q116" s="27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9"/>
    </row>
    <row r="117" spans="1:54" ht="30" customHeight="1" x14ac:dyDescent="0.25">
      <c r="A117" s="48"/>
      <c r="B117" s="27"/>
      <c r="C117" s="27"/>
      <c r="D117" s="27"/>
      <c r="E117" s="27"/>
      <c r="F117" s="49"/>
      <c r="G117" s="27"/>
      <c r="H117" s="27"/>
      <c r="I117" s="27"/>
      <c r="J117" s="27"/>
      <c r="K117" s="27"/>
      <c r="L117" s="49"/>
      <c r="M117" s="27"/>
      <c r="N117" s="27"/>
      <c r="O117" s="27"/>
      <c r="P117" s="27"/>
      <c r="Q117" s="27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9"/>
    </row>
    <row r="118" spans="1:54" ht="30" customHeight="1" x14ac:dyDescent="0.25">
      <c r="A118" s="48"/>
      <c r="B118" s="27"/>
      <c r="C118" s="27"/>
      <c r="D118" s="27"/>
      <c r="E118" s="27"/>
      <c r="F118" s="49"/>
      <c r="G118" s="27"/>
      <c r="H118" s="27"/>
      <c r="I118" s="27"/>
      <c r="J118" s="27"/>
      <c r="K118" s="27"/>
      <c r="L118" s="49"/>
      <c r="M118" s="27"/>
      <c r="N118" s="27"/>
      <c r="O118" s="27"/>
      <c r="P118" s="27"/>
      <c r="Q118" s="27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9"/>
    </row>
    <row r="119" spans="1:54" ht="30" customHeight="1" x14ac:dyDescent="0.25">
      <c r="A119" s="48"/>
      <c r="B119" s="27"/>
      <c r="C119" s="27"/>
      <c r="D119" s="27"/>
      <c r="E119" s="27"/>
      <c r="F119" s="49"/>
      <c r="G119" s="27"/>
      <c r="H119" s="27"/>
      <c r="I119" s="27"/>
      <c r="J119" s="27"/>
      <c r="K119" s="27"/>
      <c r="L119" s="49"/>
      <c r="M119" s="27"/>
      <c r="N119" s="27"/>
      <c r="O119" s="27"/>
      <c r="P119" s="27"/>
      <c r="Q119" s="27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9"/>
    </row>
    <row r="120" spans="1:54" ht="30" customHeight="1" x14ac:dyDescent="0.25">
      <c r="A120" s="48"/>
      <c r="B120" s="27"/>
      <c r="C120" s="27"/>
      <c r="D120" s="27"/>
      <c r="E120" s="27"/>
      <c r="F120" s="49"/>
      <c r="G120" s="27"/>
      <c r="H120" s="27"/>
      <c r="I120" s="27"/>
      <c r="J120" s="27"/>
      <c r="K120" s="27"/>
      <c r="L120" s="49"/>
      <c r="M120" s="27"/>
      <c r="N120" s="27"/>
      <c r="O120" s="27"/>
      <c r="P120" s="27"/>
      <c r="Q120" s="27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9"/>
    </row>
    <row r="121" spans="1:54" ht="30" customHeight="1" x14ac:dyDescent="0.25">
      <c r="A121" s="48"/>
      <c r="B121" s="27"/>
      <c r="C121" s="27"/>
      <c r="D121" s="27"/>
      <c r="E121" s="27"/>
      <c r="F121" s="49"/>
      <c r="G121" s="27"/>
      <c r="H121" s="27"/>
      <c r="I121" s="27"/>
      <c r="J121" s="27"/>
      <c r="K121" s="27"/>
      <c r="L121" s="49"/>
      <c r="M121" s="27"/>
      <c r="N121" s="27"/>
      <c r="O121" s="27"/>
      <c r="P121" s="27"/>
      <c r="Q121" s="27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9"/>
    </row>
    <row r="122" spans="1:54" ht="30" customHeight="1" x14ac:dyDescent="0.25">
      <c r="A122" s="48"/>
      <c r="B122" s="27"/>
      <c r="C122" s="27"/>
      <c r="D122" s="27"/>
      <c r="E122" s="27"/>
      <c r="F122" s="49"/>
      <c r="G122" s="27"/>
      <c r="H122" s="27"/>
      <c r="I122" s="27"/>
      <c r="J122" s="27"/>
      <c r="K122" s="27"/>
      <c r="L122" s="49"/>
      <c r="M122" s="27"/>
      <c r="N122" s="27"/>
      <c r="O122" s="27"/>
      <c r="P122" s="27"/>
      <c r="Q122" s="27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9"/>
    </row>
    <row r="123" spans="1:54" ht="30" customHeight="1" x14ac:dyDescent="0.25">
      <c r="A123" s="48"/>
      <c r="B123" s="27"/>
      <c r="C123" s="27"/>
      <c r="D123" s="27"/>
      <c r="E123" s="27"/>
      <c r="F123" s="49"/>
      <c r="G123" s="27"/>
      <c r="H123" s="27"/>
      <c r="I123" s="27"/>
      <c r="J123" s="27"/>
      <c r="K123" s="27"/>
      <c r="L123" s="49"/>
      <c r="M123" s="27"/>
      <c r="N123" s="27"/>
      <c r="O123" s="27"/>
      <c r="P123" s="27"/>
      <c r="Q123" s="27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9"/>
    </row>
    <row r="124" spans="1:54" ht="30" customHeight="1" x14ac:dyDescent="0.25">
      <c r="A124" s="48"/>
      <c r="B124" s="27"/>
      <c r="C124" s="27"/>
      <c r="D124" s="27"/>
      <c r="E124" s="27"/>
      <c r="F124" s="49"/>
      <c r="G124" s="27"/>
      <c r="H124" s="27"/>
      <c r="I124" s="27"/>
      <c r="J124" s="27"/>
      <c r="K124" s="27"/>
      <c r="L124" s="49"/>
      <c r="M124" s="27"/>
      <c r="N124" s="27"/>
      <c r="O124" s="27"/>
      <c r="P124" s="27"/>
      <c r="Q124" s="27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9"/>
    </row>
    <row r="125" spans="1:54" ht="30" customHeight="1" x14ac:dyDescent="0.25">
      <c r="A125" s="48"/>
      <c r="B125" s="27"/>
      <c r="C125" s="27"/>
      <c r="D125" s="27"/>
      <c r="E125" s="27"/>
      <c r="F125" s="49"/>
      <c r="G125" s="27"/>
      <c r="H125" s="27"/>
      <c r="I125" s="27"/>
      <c r="J125" s="27"/>
      <c r="K125" s="27"/>
      <c r="L125" s="49"/>
      <c r="M125" s="27"/>
      <c r="N125" s="27"/>
      <c r="O125" s="27"/>
      <c r="P125" s="27"/>
      <c r="Q125" s="27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9"/>
    </row>
    <row r="126" spans="1:54" ht="30" customHeight="1" x14ac:dyDescent="0.25">
      <c r="A126" s="48"/>
      <c r="B126" s="27"/>
      <c r="C126" s="27"/>
      <c r="D126" s="27"/>
      <c r="E126" s="27"/>
      <c r="F126" s="49"/>
      <c r="G126" s="27"/>
      <c r="H126" s="27"/>
      <c r="I126" s="27"/>
      <c r="J126" s="27"/>
      <c r="K126" s="27"/>
      <c r="L126" s="49"/>
      <c r="M126" s="27"/>
      <c r="N126" s="27"/>
      <c r="O126" s="27"/>
      <c r="P126" s="27"/>
      <c r="Q126" s="27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9"/>
    </row>
    <row r="127" spans="1:54" ht="30" customHeight="1" x14ac:dyDescent="0.25">
      <c r="A127" s="48"/>
      <c r="B127" s="27"/>
      <c r="C127" s="27"/>
      <c r="D127" s="27"/>
      <c r="E127" s="27"/>
      <c r="F127" s="49"/>
      <c r="G127" s="27"/>
      <c r="H127" s="27"/>
      <c r="I127" s="27"/>
      <c r="J127" s="27"/>
      <c r="K127" s="27"/>
      <c r="L127" s="49"/>
      <c r="M127" s="27"/>
      <c r="N127" s="27"/>
      <c r="O127" s="27"/>
      <c r="P127" s="27"/>
      <c r="Q127" s="27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9"/>
    </row>
    <row r="128" spans="1:54" ht="30" customHeight="1" x14ac:dyDescent="0.25">
      <c r="A128" s="48"/>
      <c r="B128" s="27"/>
      <c r="C128" s="27"/>
      <c r="D128" s="27"/>
      <c r="E128" s="27"/>
      <c r="F128" s="49"/>
      <c r="G128" s="27"/>
      <c r="H128" s="27"/>
      <c r="I128" s="27"/>
      <c r="J128" s="27"/>
      <c r="K128" s="27"/>
      <c r="L128" s="49"/>
      <c r="M128" s="27"/>
      <c r="N128" s="27"/>
      <c r="O128" s="27"/>
      <c r="P128" s="27"/>
      <c r="Q128" s="27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9"/>
    </row>
    <row r="129" spans="1:54" ht="30" customHeight="1" x14ac:dyDescent="0.25">
      <c r="A129" s="48"/>
      <c r="B129" s="27"/>
      <c r="C129" s="27"/>
      <c r="D129" s="27"/>
      <c r="E129" s="27"/>
      <c r="F129" s="49"/>
      <c r="G129" s="27"/>
      <c r="H129" s="27"/>
      <c r="I129" s="27"/>
      <c r="J129" s="27"/>
      <c r="K129" s="27"/>
      <c r="L129" s="49"/>
      <c r="M129" s="27"/>
      <c r="N129" s="27"/>
      <c r="O129" s="27"/>
      <c r="P129" s="27"/>
      <c r="Q129" s="27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9"/>
    </row>
    <row r="130" spans="1:54" ht="30" customHeight="1" x14ac:dyDescent="0.25">
      <c r="A130" s="48"/>
      <c r="B130" s="27"/>
      <c r="C130" s="27"/>
      <c r="D130" s="27"/>
      <c r="E130" s="27"/>
      <c r="F130" s="49"/>
      <c r="G130" s="27"/>
      <c r="H130" s="27"/>
      <c r="I130" s="27"/>
      <c r="J130" s="27"/>
      <c r="K130" s="27"/>
      <c r="L130" s="49"/>
      <c r="M130" s="27"/>
      <c r="N130" s="27"/>
      <c r="O130" s="27"/>
      <c r="P130" s="27"/>
      <c r="Q130" s="27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9"/>
    </row>
    <row r="131" spans="1:54" ht="30" customHeight="1" x14ac:dyDescent="0.25">
      <c r="A131" s="48"/>
      <c r="B131" s="27"/>
      <c r="C131" s="27"/>
      <c r="D131" s="27"/>
      <c r="E131" s="27"/>
      <c r="F131" s="49"/>
      <c r="G131" s="27"/>
      <c r="H131" s="27"/>
      <c r="I131" s="27"/>
      <c r="J131" s="27"/>
      <c r="K131" s="27"/>
      <c r="L131" s="49"/>
      <c r="M131" s="27"/>
      <c r="N131" s="27"/>
      <c r="O131" s="27"/>
      <c r="P131" s="27"/>
      <c r="Q131" s="27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9"/>
    </row>
    <row r="132" spans="1:54" ht="30" customHeight="1" x14ac:dyDescent="0.25">
      <c r="A132" s="48"/>
      <c r="B132" s="27"/>
      <c r="C132" s="27"/>
      <c r="D132" s="27"/>
      <c r="E132" s="27"/>
      <c r="F132" s="49"/>
      <c r="G132" s="27"/>
      <c r="H132" s="27"/>
      <c r="I132" s="27"/>
      <c r="J132" s="27"/>
      <c r="K132" s="27"/>
      <c r="L132" s="49"/>
      <c r="M132" s="27"/>
      <c r="N132" s="27"/>
      <c r="O132" s="27"/>
      <c r="P132" s="27"/>
      <c r="Q132" s="27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9"/>
    </row>
    <row r="133" spans="1:54" ht="30" customHeight="1" x14ac:dyDescent="0.25">
      <c r="A133" s="48"/>
      <c r="B133" s="27"/>
      <c r="C133" s="27"/>
      <c r="D133" s="27"/>
      <c r="E133" s="27"/>
      <c r="F133" s="49"/>
      <c r="G133" s="27"/>
      <c r="H133" s="27"/>
      <c r="I133" s="27"/>
      <c r="J133" s="27"/>
      <c r="K133" s="27"/>
      <c r="L133" s="49"/>
      <c r="M133" s="27"/>
      <c r="N133" s="27"/>
      <c r="O133" s="27"/>
      <c r="P133" s="27"/>
      <c r="Q133" s="27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9"/>
    </row>
    <row r="134" spans="1:54" ht="30" customHeight="1" x14ac:dyDescent="0.25">
      <c r="A134" s="48"/>
      <c r="B134" s="27"/>
      <c r="C134" s="27"/>
      <c r="D134" s="27"/>
      <c r="E134" s="27"/>
      <c r="F134" s="49"/>
      <c r="G134" s="27"/>
      <c r="H134" s="27"/>
      <c r="I134" s="27"/>
      <c r="J134" s="27"/>
      <c r="K134" s="27"/>
      <c r="L134" s="49"/>
      <c r="M134" s="27"/>
      <c r="N134" s="27"/>
      <c r="O134" s="27"/>
      <c r="P134" s="27"/>
      <c r="Q134" s="27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9"/>
    </row>
    <row r="135" spans="1:54" ht="30" customHeight="1" x14ac:dyDescent="0.25">
      <c r="A135" s="48"/>
      <c r="B135" s="27"/>
      <c r="C135" s="27"/>
      <c r="D135" s="27"/>
      <c r="E135" s="27"/>
      <c r="F135" s="49"/>
      <c r="G135" s="27"/>
      <c r="H135" s="27"/>
      <c r="I135" s="27"/>
      <c r="J135" s="27"/>
      <c r="K135" s="27"/>
      <c r="L135" s="49"/>
      <c r="M135" s="27"/>
      <c r="N135" s="27"/>
      <c r="O135" s="27"/>
      <c r="P135" s="27"/>
      <c r="Q135" s="27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9"/>
    </row>
    <row r="136" spans="1:54" ht="30" customHeight="1" x14ac:dyDescent="0.25">
      <c r="A136" s="48"/>
      <c r="B136" s="27"/>
      <c r="C136" s="27"/>
      <c r="D136" s="27"/>
      <c r="E136" s="27"/>
      <c r="F136" s="49"/>
      <c r="G136" s="27"/>
      <c r="H136" s="27"/>
      <c r="I136" s="27"/>
      <c r="J136" s="27"/>
      <c r="K136" s="27"/>
      <c r="L136" s="49"/>
      <c r="M136" s="27"/>
      <c r="N136" s="27"/>
      <c r="O136" s="27"/>
      <c r="P136" s="27"/>
      <c r="Q136" s="27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9"/>
    </row>
    <row r="137" spans="1:54" ht="30" customHeight="1" x14ac:dyDescent="0.25">
      <c r="A137" s="48"/>
      <c r="B137" s="27"/>
      <c r="C137" s="27"/>
      <c r="D137" s="27"/>
      <c r="E137" s="27"/>
      <c r="F137" s="49"/>
      <c r="G137" s="27"/>
      <c r="H137" s="27"/>
      <c r="I137" s="27"/>
      <c r="J137" s="27"/>
      <c r="K137" s="27"/>
      <c r="L137" s="49"/>
      <c r="M137" s="27"/>
      <c r="N137" s="27"/>
      <c r="O137" s="27"/>
      <c r="P137" s="27"/>
      <c r="Q137" s="27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9"/>
    </row>
    <row r="138" spans="1:54" ht="30" customHeight="1" x14ac:dyDescent="0.25">
      <c r="A138" s="48"/>
      <c r="B138" s="27"/>
      <c r="C138" s="27"/>
      <c r="D138" s="27"/>
      <c r="E138" s="27"/>
      <c r="F138" s="49"/>
      <c r="G138" s="27"/>
      <c r="H138" s="27"/>
      <c r="I138" s="27"/>
      <c r="J138" s="27"/>
      <c r="K138" s="27"/>
      <c r="L138" s="49"/>
      <c r="M138" s="27"/>
      <c r="N138" s="27"/>
      <c r="O138" s="27"/>
      <c r="P138" s="27"/>
      <c r="Q138" s="27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9"/>
    </row>
    <row r="139" spans="1:54" ht="30" customHeight="1" x14ac:dyDescent="0.25">
      <c r="A139" s="48"/>
      <c r="B139" s="27"/>
      <c r="C139" s="27"/>
      <c r="D139" s="27"/>
      <c r="E139" s="27"/>
      <c r="F139" s="49"/>
      <c r="G139" s="27"/>
      <c r="H139" s="27"/>
      <c r="I139" s="27"/>
      <c r="J139" s="27"/>
      <c r="K139" s="27"/>
      <c r="L139" s="49"/>
      <c r="M139" s="27"/>
      <c r="N139" s="27"/>
      <c r="O139" s="27"/>
      <c r="P139" s="27"/>
      <c r="Q139" s="27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9"/>
    </row>
    <row r="140" spans="1:54" ht="30" customHeight="1" x14ac:dyDescent="0.25">
      <c r="A140" s="48"/>
      <c r="B140" s="27"/>
      <c r="C140" s="27"/>
      <c r="D140" s="27"/>
      <c r="E140" s="27"/>
      <c r="F140" s="49"/>
      <c r="G140" s="27"/>
      <c r="H140" s="27"/>
      <c r="I140" s="27"/>
      <c r="J140" s="27"/>
      <c r="K140" s="27"/>
      <c r="L140" s="49"/>
      <c r="M140" s="27"/>
      <c r="N140" s="27"/>
      <c r="O140" s="27"/>
      <c r="P140" s="27"/>
      <c r="Q140" s="27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9"/>
    </row>
    <row r="141" spans="1:54" ht="33" customHeight="1" x14ac:dyDescent="0.25">
      <c r="A141" s="5"/>
      <c r="B141" s="1"/>
      <c r="C141" s="1"/>
      <c r="D141" s="1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9"/>
    </row>
    <row r="142" spans="1:54" ht="33" customHeight="1" x14ac:dyDescent="0.25">
      <c r="A142" s="5"/>
      <c r="B142" s="1"/>
      <c r="C142" s="1"/>
      <c r="D142" s="1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9"/>
    </row>
    <row r="143" spans="1:54" ht="33" customHeight="1" x14ac:dyDescent="0.25">
      <c r="A143" s="5"/>
      <c r="B143" s="1"/>
      <c r="C143" s="1"/>
      <c r="D143" s="1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9"/>
    </row>
    <row r="144" spans="1:54" ht="33" customHeight="1" x14ac:dyDescent="0.25">
      <c r="A144" s="5"/>
      <c r="B144" s="1"/>
      <c r="C144" s="1"/>
      <c r="D144" s="1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9"/>
    </row>
  </sheetData>
  <mergeCells count="2">
    <mergeCell ref="F2:N4"/>
    <mergeCell ref="A20:A21"/>
  </mergeCells>
  <conditionalFormatting sqref="F14:P14">
    <cfRule type="cellIs" dxfId="58" priority="2" operator="equal">
      <formula>0</formula>
    </cfRule>
  </conditionalFormatting>
  <conditionalFormatting sqref="F17:P17">
    <cfRule type="cellIs" dxfId="57" priority="3" operator="equal">
      <formula>0</formula>
    </cfRule>
  </conditionalFormatting>
  <conditionalFormatting sqref="F19:P19">
    <cfRule type="cellIs" dxfId="56" priority="4" operator="equal">
      <formula>0</formula>
    </cfRule>
  </conditionalFormatting>
  <hyperlinks>
    <hyperlink ref="A9" location="WACC!A1" display="WACC" xr:uid="{8C91183B-BB68-4783-B8A1-D8AF365E23B5}"/>
    <hyperlink ref="A8" location="Dashboard!A1" display="Dashboard" xr:uid="{15B9BF62-2574-443B-8252-6F31954CF85D}"/>
    <hyperlink ref="A13" location="'Projeções - Receita'!A1" display="Projeções" xr:uid="{741EC8E3-7913-4DE7-A669-99C26A633CCA}"/>
    <hyperlink ref="A10" location="'DRE + DCF'!A1" display="DRE + DCF" xr:uid="{816B15E6-D74F-44DD-9FF1-D0DA41E9A33D}"/>
    <hyperlink ref="A12" location="'Balanço Patrimonial'!A1" display="Balanço Patrimonial" xr:uid="{F93DC45F-0BC2-4B0D-8A3F-9A5887B64992}"/>
    <hyperlink ref="A15" location="'Capex + K. Giro'!A1" display="Capex + Capital de Giro" xr:uid="{3AA17088-DE33-4AEE-A7F4-842A19313B3F}"/>
    <hyperlink ref="A14" location="Lojas!A1" display="Lojas" xr:uid="{085EE7C0-FDD9-4040-8C3F-848D101950EB}"/>
    <hyperlink ref="A11" location="'DRE - Contas Abertas'!A1" display="Contas Abertas" xr:uid="{C354D64D-4BD6-4E05-B5D7-E1CB380654C4}"/>
    <hyperlink ref="A16" location="'Projeções Trimestrais'!A1" display="Projeções Trimestrais" xr:uid="{1A3A440A-2011-44BC-AD54-E1525614AAA8}"/>
    <hyperlink ref="A17" location="'Painel de Índices'!A1" display="Painel de Índices" xr:uid="{D6405122-2693-43DA-8AE1-C2AE6CF70EC6}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F24F-8A21-46EE-9722-2D91BC90ACDE}">
  <sheetPr codeName="Planilha16"/>
  <dimension ref="A1:CM88"/>
  <sheetViews>
    <sheetView showGridLines="0" topLeftCell="E12" zoomScale="55" zoomScaleNormal="55" workbookViewId="0">
      <selection activeCell="R23" sqref="R23"/>
    </sheetView>
  </sheetViews>
  <sheetFormatPr defaultColWidth="0" defaultRowHeight="15" x14ac:dyDescent="0.25"/>
  <cols>
    <col min="1" max="1" width="39.140625" style="50" customWidth="1"/>
    <col min="2" max="4" width="9.140625" style="53" customWidth="1"/>
    <col min="5" max="5" width="47.42578125" style="53" customWidth="1"/>
    <col min="6" max="13" width="13.28515625" style="53" bestFit="1" customWidth="1"/>
    <col min="14" max="15" width="13.140625" style="53" customWidth="1"/>
    <col min="16" max="17" width="13.28515625" style="53" bestFit="1" customWidth="1"/>
    <col min="18" max="18" width="13.42578125" style="53" bestFit="1" customWidth="1"/>
    <col min="19" max="19" width="13.85546875" style="53" bestFit="1" customWidth="1"/>
    <col min="20" max="31" width="16.28515625" style="53" bestFit="1" customWidth="1"/>
    <col min="32" max="32" width="18.42578125" style="53" bestFit="1" customWidth="1"/>
    <col min="33" max="33" width="13.42578125" style="53" bestFit="1" customWidth="1"/>
    <col min="34" max="34" width="10.42578125" style="53" bestFit="1" customWidth="1"/>
    <col min="35" max="39" width="9.140625" style="53" customWidth="1"/>
    <col min="40" max="40" width="13.42578125" style="53" bestFit="1" customWidth="1"/>
    <col min="41" max="91" width="9.140625" style="53" hidden="1" customWidth="1"/>
    <col min="92" max="16384" width="0" style="53" hidden="1"/>
  </cols>
  <sheetData>
    <row r="1" spans="1:42" s="51" customFormat="1" x14ac:dyDescent="0.25">
      <c r="A1" s="50"/>
    </row>
    <row r="2" spans="1:42" s="51" customFormat="1" x14ac:dyDescent="0.25">
      <c r="A2" s="50"/>
    </row>
    <row r="3" spans="1:42" ht="15" customHeight="1" x14ac:dyDescent="0.25">
      <c r="B3" s="51"/>
      <c r="C3" s="51"/>
      <c r="D3" s="51"/>
      <c r="E3" s="51"/>
      <c r="F3" s="51"/>
      <c r="G3" s="51"/>
      <c r="H3" s="51"/>
      <c r="I3" s="51"/>
      <c r="J3" s="51"/>
      <c r="K3" s="51"/>
      <c r="L3" s="52"/>
      <c r="M3" s="52"/>
      <c r="N3" s="52"/>
      <c r="O3" s="52"/>
      <c r="P3" s="52"/>
      <c r="Q3" s="52"/>
      <c r="R3" s="52"/>
      <c r="S3" s="52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</row>
    <row r="4" spans="1:42" ht="15" customHeight="1" x14ac:dyDescent="0.25">
      <c r="B4" s="51"/>
      <c r="C4" s="51"/>
      <c r="D4" s="51"/>
      <c r="E4" s="51"/>
      <c r="F4" s="51"/>
      <c r="G4" s="51"/>
      <c r="H4" s="51"/>
      <c r="I4" s="51"/>
      <c r="J4" s="51"/>
      <c r="K4" s="51"/>
      <c r="L4" s="52"/>
      <c r="M4" s="52"/>
      <c r="N4" s="52"/>
      <c r="O4" s="52" t="s">
        <v>386</v>
      </c>
      <c r="P4" s="52"/>
      <c r="Q4" s="52"/>
      <c r="R4" s="52"/>
      <c r="S4" s="52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</row>
    <row r="5" spans="1:42" ht="26.25" x14ac:dyDescent="0.25">
      <c r="B5" s="51"/>
      <c r="C5" s="51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440"/>
      <c r="P5" s="440"/>
      <c r="Q5" s="440"/>
      <c r="R5" s="440"/>
      <c r="S5" s="440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</row>
    <row r="6" spans="1:42" ht="15" customHeight="1" x14ac:dyDescent="0.25">
      <c r="B6" s="51"/>
      <c r="C6" s="51"/>
      <c r="D6" s="51"/>
      <c r="E6" s="51"/>
      <c r="F6" s="51"/>
      <c r="G6" s="51"/>
      <c r="H6" s="51"/>
      <c r="I6" s="51"/>
      <c r="J6" s="51"/>
      <c r="K6" s="52"/>
      <c r="L6" s="52"/>
      <c r="M6" s="52"/>
      <c r="N6" s="52"/>
      <c r="O6" s="73"/>
      <c r="P6" s="73"/>
      <c r="Q6" s="73"/>
      <c r="R6" s="73"/>
      <c r="S6" s="73"/>
      <c r="T6" s="56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</row>
    <row r="7" spans="1:42" s="57" customFormat="1" ht="24.75" customHeight="1" x14ac:dyDescent="0.25">
      <c r="A7" s="55" t="s">
        <v>39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1"/>
      <c r="M7" s="51"/>
      <c r="N7" s="51"/>
      <c r="O7" s="51"/>
      <c r="P7" s="51"/>
      <c r="Q7" s="51"/>
      <c r="R7" s="428"/>
      <c r="S7" s="428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</row>
    <row r="8" spans="1:42" ht="30" customHeight="1" x14ac:dyDescent="0.25">
      <c r="A8" s="25" t="s">
        <v>40</v>
      </c>
      <c r="B8" s="51"/>
      <c r="C8" s="51"/>
      <c r="D8" s="56"/>
      <c r="E8" s="58"/>
      <c r="F8" s="59"/>
      <c r="G8" s="59"/>
      <c r="H8" s="59"/>
      <c r="I8" s="59"/>
      <c r="J8" s="59"/>
      <c r="K8" s="59"/>
      <c r="AF8" s="51"/>
      <c r="AG8" s="51"/>
      <c r="AH8" s="51"/>
      <c r="AI8" s="51"/>
      <c r="AJ8" s="51"/>
      <c r="AK8" s="51"/>
      <c r="AL8" s="51"/>
      <c r="AM8" s="51"/>
      <c r="AN8" s="51"/>
    </row>
    <row r="9" spans="1:42" ht="30" customHeight="1" x14ac:dyDescent="0.25">
      <c r="A9" s="25" t="s">
        <v>22</v>
      </c>
      <c r="B9" s="51"/>
      <c r="C9" s="51"/>
      <c r="D9" s="51"/>
      <c r="E9" s="74"/>
      <c r="F9" s="62">
        <v>2010</v>
      </c>
      <c r="G9" s="62">
        <v>2011</v>
      </c>
      <c r="H9" s="62">
        <v>2012</v>
      </c>
      <c r="I9" s="62">
        <v>2013</v>
      </c>
      <c r="J9" s="62">
        <v>2014</v>
      </c>
      <c r="K9" s="62">
        <v>2015</v>
      </c>
      <c r="L9" s="62">
        <v>2016</v>
      </c>
      <c r="M9" s="62">
        <v>2017</v>
      </c>
      <c r="N9" s="62">
        <v>2018</v>
      </c>
      <c r="O9" s="62">
        <v>2019</v>
      </c>
      <c r="P9" s="62">
        <v>2020</v>
      </c>
      <c r="Q9" s="62">
        <v>2021</v>
      </c>
      <c r="R9" s="62">
        <v>2022</v>
      </c>
      <c r="S9" s="62">
        <v>2023</v>
      </c>
      <c r="T9" s="259">
        <v>2024</v>
      </c>
      <c r="U9" s="259">
        <v>2025</v>
      </c>
      <c r="V9" s="259">
        <v>2026</v>
      </c>
      <c r="W9" s="259">
        <v>2027</v>
      </c>
      <c r="X9" s="259">
        <v>2028</v>
      </c>
      <c r="Y9" s="259">
        <v>2029</v>
      </c>
      <c r="Z9" s="259">
        <v>2030</v>
      </c>
      <c r="AA9" s="259">
        <v>2031</v>
      </c>
      <c r="AB9" s="259">
        <v>2032</v>
      </c>
      <c r="AC9" s="259">
        <v>2033</v>
      </c>
      <c r="AD9" s="259">
        <v>2034</v>
      </c>
      <c r="AE9" s="259">
        <v>2035</v>
      </c>
      <c r="AF9" s="75"/>
      <c r="AG9" s="51"/>
      <c r="AH9" s="51"/>
      <c r="AI9" s="51"/>
      <c r="AJ9" s="51"/>
      <c r="AK9" s="51"/>
      <c r="AL9" s="51"/>
      <c r="AM9" s="51"/>
      <c r="AN9" s="51"/>
    </row>
    <row r="10" spans="1:42" ht="30" customHeight="1" x14ac:dyDescent="0.25">
      <c r="A10" s="438" t="s">
        <v>42</v>
      </c>
      <c r="B10" s="51"/>
      <c r="C10" s="51"/>
      <c r="D10" s="51"/>
      <c r="E10" s="76" t="s">
        <v>1124</v>
      </c>
      <c r="F10" s="64">
        <v>3278000</v>
      </c>
      <c r="G10" s="64">
        <v>4199105</v>
      </c>
      <c r="H10" s="64">
        <v>4999995</v>
      </c>
      <c r="I10" s="64">
        <v>5705530</v>
      </c>
      <c r="J10" s="64">
        <v>6846398</v>
      </c>
      <c r="K10" s="64">
        <v>8073387</v>
      </c>
      <c r="L10" s="64">
        <v>8450085</v>
      </c>
      <c r="M10" s="64">
        <v>10179721</v>
      </c>
      <c r="N10" s="64">
        <v>11420402</v>
      </c>
      <c r="O10" s="64">
        <v>12956886</v>
      </c>
      <c r="P10" s="64">
        <v>10341605</v>
      </c>
      <c r="Q10" s="64">
        <v>14395718</v>
      </c>
      <c r="R10" s="64">
        <v>17823739</v>
      </c>
      <c r="S10" s="64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255"/>
      <c r="AF10" s="51"/>
      <c r="AG10" s="51"/>
      <c r="AH10" s="51"/>
      <c r="AI10" s="51"/>
      <c r="AJ10" s="51"/>
      <c r="AK10" s="51"/>
      <c r="AL10" s="51"/>
      <c r="AM10" s="51"/>
      <c r="AN10" s="51"/>
    </row>
    <row r="11" spans="1:42" ht="30" customHeight="1" x14ac:dyDescent="0.25">
      <c r="A11" s="25" t="s">
        <v>987</v>
      </c>
      <c r="B11" s="51"/>
      <c r="C11" s="51"/>
      <c r="D11" s="51"/>
      <c r="E11" s="74" t="s">
        <v>1125</v>
      </c>
      <c r="F11" s="253">
        <f>F12-F10</f>
        <v>-526662</v>
      </c>
      <c r="G11" s="253">
        <f>G12-G10</f>
        <v>-960562</v>
      </c>
      <c r="H11" s="253">
        <f t="shared" ref="H11:R11" si="0">H12-H10</f>
        <v>-1137487</v>
      </c>
      <c r="I11" s="253">
        <f t="shared" si="0"/>
        <v>-1335202</v>
      </c>
      <c r="J11" s="253">
        <f t="shared" si="0"/>
        <v>-1629578</v>
      </c>
      <c r="K11" s="253">
        <f t="shared" si="0"/>
        <v>-1928189</v>
      </c>
      <c r="L11" s="253">
        <f t="shared" si="0"/>
        <v>-1998507</v>
      </c>
      <c r="M11" s="253">
        <f t="shared" si="0"/>
        <v>-2735416</v>
      </c>
      <c r="N11" s="253">
        <f t="shared" si="0"/>
        <v>-2993861</v>
      </c>
      <c r="O11" s="253">
        <f t="shared" si="0"/>
        <v>-3368449</v>
      </c>
      <c r="P11" s="253">
        <f t="shared" si="0"/>
        <v>-2804425</v>
      </c>
      <c r="Q11" s="253">
        <f t="shared" si="0"/>
        <v>-3824162</v>
      </c>
      <c r="R11" s="253">
        <f t="shared" si="0"/>
        <v>-4552602</v>
      </c>
      <c r="S11" s="253"/>
      <c r="T11" s="398"/>
      <c r="U11" s="398"/>
      <c r="V11" s="398"/>
      <c r="W11" s="398"/>
      <c r="X11" s="398"/>
      <c r="Y11" s="398"/>
      <c r="Z11" s="398"/>
      <c r="AA11" s="398"/>
      <c r="AB11" s="398"/>
      <c r="AC11" s="398"/>
      <c r="AD11" s="398"/>
      <c r="AE11" s="399"/>
      <c r="AF11" s="51"/>
      <c r="AG11" s="51"/>
      <c r="AH11" s="51"/>
      <c r="AI11" s="51"/>
      <c r="AJ11" s="51"/>
      <c r="AK11" s="51"/>
      <c r="AL11" s="51"/>
      <c r="AM11" s="51"/>
      <c r="AN11" s="51"/>
    </row>
    <row r="12" spans="1:42" ht="30" customHeight="1" x14ac:dyDescent="0.25">
      <c r="A12" s="25" t="s">
        <v>43</v>
      </c>
      <c r="B12" s="51"/>
      <c r="C12" s="51"/>
      <c r="D12" s="51"/>
      <c r="E12" s="76" t="s">
        <v>8</v>
      </c>
      <c r="F12" s="64">
        <v>2751338</v>
      </c>
      <c r="G12" s="64">
        <v>3238543</v>
      </c>
      <c r="H12" s="64">
        <v>3862508</v>
      </c>
      <c r="I12" s="64">
        <v>4370328</v>
      </c>
      <c r="J12" s="64">
        <v>5216820</v>
      </c>
      <c r="K12" s="64">
        <v>6145198</v>
      </c>
      <c r="L12" s="64">
        <v>6451578</v>
      </c>
      <c r="M12" s="64">
        <v>7444305</v>
      </c>
      <c r="N12" s="64">
        <v>8426541</v>
      </c>
      <c r="O12" s="64">
        <v>9588437</v>
      </c>
      <c r="P12" s="64">
        <v>7537180</v>
      </c>
      <c r="Q12" s="64">
        <v>10571556</v>
      </c>
      <c r="R12" s="77">
        <v>13271137</v>
      </c>
      <c r="S12" s="77">
        <v>13647849</v>
      </c>
      <c r="T12" s="400">
        <f>'Projeções - Receita'!T10</f>
        <v>14600541.847960988</v>
      </c>
      <c r="U12" s="400">
        <f>'Projeções - Receita'!U10</f>
        <v>15658982.439319737</v>
      </c>
      <c r="V12" s="400">
        <f>'Projeções - Receita'!V10</f>
        <v>16778375.178209808</v>
      </c>
      <c r="W12" s="400">
        <f>'Projeções - Receita'!W10</f>
        <v>17956931.438169353</v>
      </c>
      <c r="X12" s="400">
        <f>'Projeções - Receita'!X10</f>
        <v>19219477.028580904</v>
      </c>
      <c r="Y12" s="400">
        <f>'Projeções - Receita'!Y10</f>
        <v>20559832.16476294</v>
      </c>
      <c r="Z12" s="400">
        <f>'Projeções - Receita'!Z10</f>
        <v>21854969.2289607</v>
      </c>
      <c r="AA12" s="400">
        <f>'Projeções - Receita'!AA10</f>
        <v>23194854.286702234</v>
      </c>
      <c r="AB12" s="400">
        <f>'Projeções - Receita'!AB10</f>
        <v>24580295.809051227</v>
      </c>
      <c r="AC12" s="400">
        <f>'Projeções - Receita'!AC77</f>
        <v>25281677.005045664</v>
      </c>
      <c r="AD12" s="400">
        <f>'Projeções - Receita'!AD77</f>
        <v>26721689.151794106</v>
      </c>
      <c r="AE12" s="401">
        <f>'Projeções - Receita'!AE77</f>
        <v>28247991.036023594</v>
      </c>
      <c r="AF12" s="51"/>
      <c r="AG12" s="51"/>
      <c r="AH12" s="51"/>
      <c r="AI12" s="51"/>
      <c r="AJ12" s="51"/>
      <c r="AK12" s="51"/>
      <c r="AL12" s="51"/>
      <c r="AM12" s="51"/>
      <c r="AN12" s="51"/>
    </row>
    <row r="13" spans="1:42" ht="30" customHeight="1" x14ac:dyDescent="0.25">
      <c r="A13" s="25" t="s">
        <v>385</v>
      </c>
      <c r="B13" s="51"/>
      <c r="C13" s="51"/>
      <c r="D13" s="51"/>
      <c r="E13" s="78" t="s">
        <v>48</v>
      </c>
      <c r="F13" s="79" t="s">
        <v>21</v>
      </c>
      <c r="G13" s="278">
        <f t="shared" ref="G13:T13" si="1">G12/F12-1</f>
        <v>0.17707929741820161</v>
      </c>
      <c r="H13" s="278">
        <f t="shared" si="1"/>
        <v>0.19266843145204504</v>
      </c>
      <c r="I13" s="278">
        <f t="shared" si="1"/>
        <v>0.13147416134801526</v>
      </c>
      <c r="J13" s="278">
        <f t="shared" si="1"/>
        <v>0.19369072527279418</v>
      </c>
      <c r="K13" s="278">
        <f t="shared" si="1"/>
        <v>0.1779586031337097</v>
      </c>
      <c r="L13" s="278">
        <f t="shared" si="1"/>
        <v>4.9856815028580082E-2</v>
      </c>
      <c r="M13" s="278">
        <f t="shared" si="1"/>
        <v>0.15387351745572952</v>
      </c>
      <c r="N13" s="278">
        <f t="shared" si="1"/>
        <v>0.13194462075371716</v>
      </c>
      <c r="O13" s="278">
        <f t="shared" si="1"/>
        <v>0.13788528412785261</v>
      </c>
      <c r="P13" s="278">
        <f t="shared" si="1"/>
        <v>-0.21393027873051673</v>
      </c>
      <c r="Q13" s="278">
        <f t="shared" si="1"/>
        <v>0.40258770521600917</v>
      </c>
      <c r="R13" s="278">
        <f t="shared" si="1"/>
        <v>0.25536269211457618</v>
      </c>
      <c r="S13" s="278">
        <f t="shared" si="1"/>
        <v>2.8385812006914035E-2</v>
      </c>
      <c r="T13" s="278">
        <f t="shared" si="1"/>
        <v>6.9805347931457096E-2</v>
      </c>
      <c r="U13" s="279">
        <f t="shared" ref="U13:AB13" si="2">U12/T12-1</f>
        <v>7.249324048248007E-2</v>
      </c>
      <c r="V13" s="279">
        <f t="shared" si="2"/>
        <v>7.1485662828209895E-2</v>
      </c>
      <c r="W13" s="279">
        <f t="shared" si="2"/>
        <v>7.0242573994300894E-2</v>
      </c>
      <c r="X13" s="279">
        <f t="shared" si="2"/>
        <v>7.0309651443446475E-2</v>
      </c>
      <c r="Y13" s="279">
        <f t="shared" si="2"/>
        <v>6.9739417684925531E-2</v>
      </c>
      <c r="Z13" s="279">
        <f t="shared" si="2"/>
        <v>6.2993562098112355E-2</v>
      </c>
      <c r="AA13" s="279">
        <f t="shared" si="2"/>
        <v>6.1308027648284691E-2</v>
      </c>
      <c r="AB13" s="279">
        <f t="shared" si="2"/>
        <v>5.9730555114686501E-2</v>
      </c>
      <c r="AC13" s="279">
        <f t="shared" ref="AC13" si="3">AC12/AB12-1</f>
        <v>2.8534286220272653E-2</v>
      </c>
      <c r="AD13" s="279">
        <f t="shared" ref="AD13" si="4">AD12/AC12-1</f>
        <v>5.6958727321017921E-2</v>
      </c>
      <c r="AE13" s="402">
        <f t="shared" ref="AE13" si="5">AE12/AD12-1</f>
        <v>5.7118465661330164E-2</v>
      </c>
      <c r="AF13" s="51"/>
      <c r="AG13" s="51"/>
      <c r="AH13" s="51"/>
      <c r="AI13" s="51"/>
      <c r="AJ13" s="51"/>
      <c r="AK13" s="51"/>
      <c r="AL13" s="51"/>
      <c r="AM13" s="51"/>
      <c r="AN13" s="51"/>
    </row>
    <row r="14" spans="1:42" ht="30" customHeight="1" x14ac:dyDescent="0.25">
      <c r="A14" s="25" t="s">
        <v>73</v>
      </c>
      <c r="B14" s="51"/>
      <c r="C14" s="51"/>
      <c r="D14" s="51"/>
      <c r="E14" s="78" t="s">
        <v>9</v>
      </c>
      <c r="F14" s="67">
        <v>-1209459</v>
      </c>
      <c r="G14" s="67">
        <v>-1396129</v>
      </c>
      <c r="H14" s="67">
        <v>-1634246</v>
      </c>
      <c r="I14" s="67">
        <v>-1867584</v>
      </c>
      <c r="J14" s="67">
        <v>-2165915</v>
      </c>
      <c r="K14" s="67">
        <v>-2511352</v>
      </c>
      <c r="L14" s="67">
        <v>-2575083</v>
      </c>
      <c r="M14" s="67">
        <v>-2944913</v>
      </c>
      <c r="N14" s="67">
        <v>-3284517</v>
      </c>
      <c r="O14" s="67">
        <v>-3730521</v>
      </c>
      <c r="P14" s="67">
        <v>-3223570</v>
      </c>
      <c r="Q14" s="67">
        <v>-4399178</v>
      </c>
      <c r="R14" s="67">
        <v>-5286323</v>
      </c>
      <c r="S14" s="67">
        <v>-5427247</v>
      </c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256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2" ht="30" customHeight="1" x14ac:dyDescent="0.25">
      <c r="A15" s="25" t="s">
        <v>382</v>
      </c>
      <c r="B15" s="51"/>
      <c r="C15" s="51"/>
      <c r="D15" s="51"/>
      <c r="E15" s="76" t="s">
        <v>10</v>
      </c>
      <c r="F15" s="64">
        <f t="shared" ref="F15:S15" si="6">F12+F14</f>
        <v>1541879</v>
      </c>
      <c r="G15" s="64">
        <f t="shared" si="6"/>
        <v>1842414</v>
      </c>
      <c r="H15" s="64">
        <f t="shared" si="6"/>
        <v>2228262</v>
      </c>
      <c r="I15" s="64">
        <f t="shared" si="6"/>
        <v>2502744</v>
      </c>
      <c r="J15" s="64">
        <f t="shared" si="6"/>
        <v>3050905</v>
      </c>
      <c r="K15" s="64">
        <f t="shared" si="6"/>
        <v>3633846</v>
      </c>
      <c r="L15" s="64">
        <f t="shared" si="6"/>
        <v>3876495</v>
      </c>
      <c r="M15" s="64">
        <f t="shared" si="6"/>
        <v>4499392</v>
      </c>
      <c r="N15" s="64">
        <f t="shared" si="6"/>
        <v>5142024</v>
      </c>
      <c r="O15" s="64">
        <f t="shared" si="6"/>
        <v>5857916</v>
      </c>
      <c r="P15" s="64">
        <f t="shared" si="6"/>
        <v>4313610</v>
      </c>
      <c r="Q15" s="64">
        <f t="shared" si="6"/>
        <v>6172378</v>
      </c>
      <c r="R15" s="64">
        <f t="shared" si="6"/>
        <v>7984814</v>
      </c>
      <c r="S15" s="64">
        <f t="shared" si="6"/>
        <v>8220602</v>
      </c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256"/>
      <c r="AF15" s="51"/>
      <c r="AG15" s="51"/>
      <c r="AH15" s="51"/>
      <c r="AI15" s="51"/>
      <c r="AJ15" s="51"/>
      <c r="AK15" s="51"/>
      <c r="AL15" s="51"/>
      <c r="AM15" s="51"/>
      <c r="AN15" s="51"/>
    </row>
    <row r="16" spans="1:42" ht="30" customHeight="1" x14ac:dyDescent="0.25">
      <c r="A16" s="25" t="s">
        <v>1307</v>
      </c>
      <c r="B16" s="51"/>
      <c r="C16" s="51"/>
      <c r="D16" s="51"/>
      <c r="E16" s="432" t="s">
        <v>53</v>
      </c>
      <c r="F16" s="278">
        <f t="shared" ref="F16:S16" si="7">F15/F12</f>
        <v>0.56041060749351768</v>
      </c>
      <c r="G16" s="278">
        <f t="shared" si="7"/>
        <v>0.56890212666621998</v>
      </c>
      <c r="H16" s="278">
        <f t="shared" si="7"/>
        <v>0.57689511581594133</v>
      </c>
      <c r="I16" s="278">
        <f t="shared" si="7"/>
        <v>0.57266731467294907</v>
      </c>
      <c r="J16" s="278">
        <f t="shared" si="7"/>
        <v>0.58482082954750214</v>
      </c>
      <c r="K16" s="278">
        <f t="shared" si="7"/>
        <v>0.59133098721961441</v>
      </c>
      <c r="L16" s="278">
        <f t="shared" si="7"/>
        <v>0.60085997565246829</v>
      </c>
      <c r="M16" s="278">
        <f t="shared" si="7"/>
        <v>0.60440726165840863</v>
      </c>
      <c r="N16" s="278">
        <f t="shared" si="7"/>
        <v>0.61021764446408078</v>
      </c>
      <c r="O16" s="278">
        <f t="shared" si="7"/>
        <v>0.6109354423458172</v>
      </c>
      <c r="P16" s="278">
        <f t="shared" si="7"/>
        <v>0.57231086427549827</v>
      </c>
      <c r="Q16" s="278">
        <f t="shared" si="7"/>
        <v>0.58386655663556053</v>
      </c>
      <c r="R16" s="79">
        <f t="shared" si="7"/>
        <v>0.6016676641948614</v>
      </c>
      <c r="S16" s="79">
        <f t="shared" si="7"/>
        <v>0.60233682245458608</v>
      </c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256"/>
      <c r="AF16" s="51"/>
      <c r="AG16" s="51"/>
      <c r="AH16" s="51"/>
      <c r="AI16" s="51"/>
      <c r="AJ16" s="51"/>
      <c r="AK16" s="51"/>
      <c r="AL16" s="51"/>
      <c r="AM16" s="51"/>
      <c r="AN16" s="51"/>
    </row>
    <row r="17" spans="1:40" ht="30" customHeight="1" x14ac:dyDescent="0.25">
      <c r="A17" s="25" t="s">
        <v>1086</v>
      </c>
      <c r="B17" s="51"/>
      <c r="C17" s="51"/>
      <c r="D17" s="51"/>
      <c r="E17" s="78" t="s">
        <v>11</v>
      </c>
      <c r="F17" s="80">
        <f t="shared" ref="F17" si="8">F19+F21+F23+F24+F25</f>
        <v>-1137405</v>
      </c>
      <c r="G17" s="80">
        <f t="shared" ref="G17" si="9">G19+G21+G23+G24+G25</f>
        <v>-1369781</v>
      </c>
      <c r="H17" s="80">
        <f t="shared" ref="H17" si="10">H19+H21+H23+H24+H25</f>
        <v>-1669012</v>
      </c>
      <c r="I17" s="80">
        <f t="shared" ref="I17" si="11">I19+I21+I23+I24+I25</f>
        <v>-1852306</v>
      </c>
      <c r="J17" s="80">
        <f t="shared" ref="J17" si="12">J19+J21+J23+J24+J25</f>
        <v>-2248855</v>
      </c>
      <c r="K17" s="80">
        <f t="shared" ref="K17" si="13">K19+K21+K23+K24+K25</f>
        <v>-2700593</v>
      </c>
      <c r="L17" s="80">
        <f t="shared" ref="L17" si="14">L19+L21+L23+L24+L25</f>
        <v>-2900805</v>
      </c>
      <c r="M17" s="80">
        <f t="shared" ref="M17" si="15">M19+M21+M23+M24+M25</f>
        <v>-3412154</v>
      </c>
      <c r="N17" s="80">
        <f t="shared" ref="N17" si="16">N19+N21+N23+N24+N25</f>
        <v>-3718203</v>
      </c>
      <c r="O17" s="80">
        <f t="shared" ref="O17" si="17">O19+O21+O23+O24+O25</f>
        <v>-4214262</v>
      </c>
      <c r="P17" s="80">
        <f t="shared" ref="P17" si="18">P19+P21+P23+P24+P25</f>
        <v>-3456731</v>
      </c>
      <c r="Q17" s="80">
        <f>Q19+Q21+Q23+Q24+Q25</f>
        <v>-5358434</v>
      </c>
      <c r="R17" s="80">
        <f>R19+R21+R23+R24+R25</f>
        <v>-6577413</v>
      </c>
      <c r="S17" s="80">
        <f>S19+S21+S23+S24+S25</f>
        <v>-7331525</v>
      </c>
      <c r="T17" s="404"/>
      <c r="U17" s="143"/>
      <c r="V17" s="143"/>
      <c r="W17" s="143"/>
      <c r="X17" s="143"/>
      <c r="Y17" s="143"/>
      <c r="Z17" s="143"/>
      <c r="AA17" s="143"/>
      <c r="AB17" s="143"/>
      <c r="AC17" s="143"/>
      <c r="AD17" s="405"/>
      <c r="AE17" s="256"/>
      <c r="AF17" s="51"/>
      <c r="AG17" s="51"/>
      <c r="AH17" s="51"/>
      <c r="AI17" s="51"/>
      <c r="AJ17" s="51"/>
      <c r="AK17" s="51"/>
      <c r="AL17" s="51"/>
      <c r="AM17" s="51"/>
      <c r="AN17" s="51"/>
    </row>
    <row r="18" spans="1:40" ht="30" customHeight="1" x14ac:dyDescent="0.25">
      <c r="A18" s="25"/>
      <c r="B18" s="51"/>
      <c r="C18" s="51"/>
      <c r="D18" s="51"/>
      <c r="E18" s="433" t="s">
        <v>34</v>
      </c>
      <c r="F18" s="278">
        <f>F17/F12</f>
        <v>-0.41340067996007762</v>
      </c>
      <c r="G18" s="278">
        <f t="shared" ref="G18:Q18" si="19">G17/G12</f>
        <v>-0.4229621159885788</v>
      </c>
      <c r="H18" s="278">
        <f t="shared" si="19"/>
        <v>-0.43210577169031106</v>
      </c>
      <c r="I18" s="278">
        <f t="shared" si="19"/>
        <v>-0.42383683787578413</v>
      </c>
      <c r="J18" s="278">
        <f t="shared" si="19"/>
        <v>-0.43107774467970911</v>
      </c>
      <c r="K18" s="278">
        <f t="shared" si="19"/>
        <v>-0.43946395217859541</v>
      </c>
      <c r="L18" s="278">
        <f t="shared" si="19"/>
        <v>-0.44962720748319246</v>
      </c>
      <c r="M18" s="278">
        <f t="shared" si="19"/>
        <v>-0.45835763043024164</v>
      </c>
      <c r="N18" s="278">
        <f t="shared" si="19"/>
        <v>-0.44124902495579149</v>
      </c>
      <c r="O18" s="278">
        <f t="shared" si="19"/>
        <v>-0.43951501167499979</v>
      </c>
      <c r="P18" s="278">
        <f t="shared" si="19"/>
        <v>-0.45862391504514949</v>
      </c>
      <c r="Q18" s="278">
        <f t="shared" si="19"/>
        <v>-0.50687278201997887</v>
      </c>
      <c r="R18" s="278">
        <f>R17/R12</f>
        <v>-0.49561789619080865</v>
      </c>
      <c r="S18" s="278">
        <f>S17/S12</f>
        <v>-0.53719271073412378</v>
      </c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397"/>
      <c r="AE18" s="256"/>
      <c r="AF18" s="51"/>
      <c r="AG18" s="51"/>
      <c r="AH18" s="51"/>
      <c r="AI18" s="51"/>
      <c r="AJ18" s="51"/>
      <c r="AK18" s="51"/>
      <c r="AL18" s="51"/>
      <c r="AM18" s="51"/>
      <c r="AN18" s="51"/>
    </row>
    <row r="19" spans="1:40" ht="30" customHeight="1" x14ac:dyDescent="0.25">
      <c r="A19" s="8"/>
      <c r="B19" s="51"/>
      <c r="C19" s="51"/>
      <c r="D19" s="51"/>
      <c r="E19" s="81" t="s">
        <v>44</v>
      </c>
      <c r="F19" s="67">
        <v>-641702</v>
      </c>
      <c r="G19" s="67">
        <v>-775541</v>
      </c>
      <c r="H19" s="67">
        <v>-929554</v>
      </c>
      <c r="I19" s="67">
        <v>-1030055</v>
      </c>
      <c r="J19" s="67">
        <v>-1171753</v>
      </c>
      <c r="K19" s="67">
        <v>-1389728</v>
      </c>
      <c r="L19" s="67">
        <v>-1547462</v>
      </c>
      <c r="M19" s="67">
        <v>-1792022</v>
      </c>
      <c r="N19" s="67">
        <v>-2256607</v>
      </c>
      <c r="O19" s="67">
        <v>-2537083</v>
      </c>
      <c r="P19" s="67">
        <v>-2468018</v>
      </c>
      <c r="Q19" s="67">
        <v>-3204715</v>
      </c>
      <c r="R19" s="67">
        <v>-3563412</v>
      </c>
      <c r="S19" s="67">
        <v>-3658154</v>
      </c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406"/>
      <c r="AE19" s="256"/>
      <c r="AF19" s="51"/>
      <c r="AG19" s="51"/>
      <c r="AH19" s="51"/>
      <c r="AI19" s="51"/>
      <c r="AJ19" s="51"/>
      <c r="AK19" s="51"/>
      <c r="AL19" s="51"/>
      <c r="AM19" s="51"/>
      <c r="AN19" s="51"/>
    </row>
    <row r="20" spans="1:40" ht="30" customHeight="1" x14ac:dyDescent="0.25">
      <c r="B20" s="51"/>
      <c r="C20" s="51"/>
      <c r="D20" s="51"/>
      <c r="E20" s="434" t="s">
        <v>34</v>
      </c>
      <c r="F20" s="278">
        <f>F19/F12</f>
        <v>-0.2332327035064394</v>
      </c>
      <c r="G20" s="278">
        <f t="shared" ref="G20:S20" si="20">G19/G12</f>
        <v>-0.23947219474930548</v>
      </c>
      <c r="H20" s="278">
        <f t="shared" si="20"/>
        <v>-0.24066073131757915</v>
      </c>
      <c r="I20" s="278">
        <f t="shared" si="20"/>
        <v>-0.23569283586952741</v>
      </c>
      <c r="J20" s="278">
        <f t="shared" si="20"/>
        <v>-0.22461058652589125</v>
      </c>
      <c r="K20" s="278">
        <f t="shared" si="20"/>
        <v>-0.22614861229857849</v>
      </c>
      <c r="L20" s="278">
        <f t="shared" si="20"/>
        <v>-0.23985790763128029</v>
      </c>
      <c r="M20" s="278">
        <f t="shared" si="20"/>
        <v>-0.24072388221600272</v>
      </c>
      <c r="N20" s="278">
        <f t="shared" si="20"/>
        <v>-0.26779754587321181</v>
      </c>
      <c r="O20" s="278">
        <f t="shared" si="20"/>
        <v>-0.26459818216462183</v>
      </c>
      <c r="P20" s="278">
        <f>P19/P12</f>
        <v>-0.32744580864461242</v>
      </c>
      <c r="Q20" s="278">
        <f t="shared" si="20"/>
        <v>-0.30314506208925157</v>
      </c>
      <c r="R20" s="278">
        <f t="shared" si="20"/>
        <v>-0.26850841792982771</v>
      </c>
      <c r="S20" s="278">
        <f t="shared" si="20"/>
        <v>-0.26803886824949485</v>
      </c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256"/>
      <c r="AF20" s="51"/>
      <c r="AG20" s="51"/>
      <c r="AH20" s="51"/>
      <c r="AI20" s="51"/>
      <c r="AJ20" s="51"/>
      <c r="AK20" s="51"/>
      <c r="AL20" s="51"/>
      <c r="AM20" s="51"/>
      <c r="AN20" s="51"/>
    </row>
    <row r="21" spans="1:40" ht="30" customHeight="1" x14ac:dyDescent="0.25">
      <c r="B21" s="51"/>
      <c r="C21" s="51"/>
      <c r="D21" s="51"/>
      <c r="E21" s="81" t="s">
        <v>45</v>
      </c>
      <c r="F21" s="67">
        <v>-211764</v>
      </c>
      <c r="G21" s="67">
        <v>-250682</v>
      </c>
      <c r="H21" s="67">
        <v>-293931</v>
      </c>
      <c r="I21" s="67">
        <v>-330255</v>
      </c>
      <c r="J21" s="67">
        <v>-397998</v>
      </c>
      <c r="K21" s="67">
        <v>-469389</v>
      </c>
      <c r="L21" s="67">
        <v>-521149</v>
      </c>
      <c r="M21" s="67">
        <v>-610734</v>
      </c>
      <c r="N21" s="67">
        <v>-819994</v>
      </c>
      <c r="O21" s="67">
        <v>-880620</v>
      </c>
      <c r="P21" s="67">
        <v>-885233</v>
      </c>
      <c r="Q21" s="67">
        <v>-1181073</v>
      </c>
      <c r="R21" s="67">
        <v>-1535798</v>
      </c>
      <c r="S21" s="67">
        <v>-1726176</v>
      </c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256"/>
      <c r="AF21" s="51"/>
      <c r="AG21" s="51"/>
      <c r="AH21" s="51"/>
      <c r="AI21" s="51"/>
      <c r="AJ21" s="51"/>
      <c r="AK21" s="51"/>
      <c r="AL21" s="51"/>
      <c r="AM21" s="51"/>
      <c r="AN21" s="51"/>
    </row>
    <row r="22" spans="1:40" ht="30" customHeight="1" x14ac:dyDescent="0.25">
      <c r="A22" s="60"/>
      <c r="B22" s="51"/>
      <c r="C22" s="51"/>
      <c r="D22" s="51"/>
      <c r="E22" s="434" t="s">
        <v>34</v>
      </c>
      <c r="F22" s="278">
        <f t="shared" ref="F22:S22" si="21">F21/F12</f>
        <v>-7.6967642652411294E-2</v>
      </c>
      <c r="G22" s="278">
        <f t="shared" si="21"/>
        <v>-7.7405796372010505E-2</v>
      </c>
      <c r="H22" s="278">
        <f t="shared" si="21"/>
        <v>-7.6098483161717717E-2</v>
      </c>
      <c r="I22" s="278">
        <f t="shared" si="21"/>
        <v>-7.5567554654936656E-2</v>
      </c>
      <c r="J22" s="278">
        <f t="shared" si="21"/>
        <v>-7.6291303897776802E-2</v>
      </c>
      <c r="K22" s="278">
        <f t="shared" si="21"/>
        <v>-7.6383055517495121E-2</v>
      </c>
      <c r="L22" s="278">
        <f t="shared" si="21"/>
        <v>-8.0778532011858181E-2</v>
      </c>
      <c r="M22" s="278">
        <f t="shared" si="21"/>
        <v>-8.2040432249887663E-2</v>
      </c>
      <c r="N22" s="278">
        <f t="shared" si="21"/>
        <v>-9.7310865751439407E-2</v>
      </c>
      <c r="O22" s="278">
        <f t="shared" si="21"/>
        <v>-9.1841871620995164E-2</v>
      </c>
      <c r="P22" s="278">
        <f t="shared" si="21"/>
        <v>-0.11744883364865905</v>
      </c>
      <c r="Q22" s="278">
        <f t="shared" si="21"/>
        <v>-0.11172177492130771</v>
      </c>
      <c r="R22" s="278">
        <f t="shared" si="21"/>
        <v>-0.11572467377889324</v>
      </c>
      <c r="S22" s="278">
        <f t="shared" si="21"/>
        <v>-0.126479711198446</v>
      </c>
      <c r="T22" s="279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256"/>
      <c r="AF22" s="51"/>
      <c r="AG22" s="51"/>
      <c r="AH22" s="51"/>
      <c r="AI22" s="51"/>
      <c r="AJ22" s="51"/>
      <c r="AK22" s="51"/>
      <c r="AL22" s="51"/>
      <c r="AM22" s="51"/>
      <c r="AN22" s="51"/>
    </row>
    <row r="23" spans="1:40" ht="30" customHeight="1" x14ac:dyDescent="0.25">
      <c r="A23" s="60"/>
      <c r="B23" s="51"/>
      <c r="C23" s="51"/>
      <c r="D23" s="51"/>
      <c r="E23" s="81" t="s">
        <v>447</v>
      </c>
      <c r="F23" s="67">
        <v>-88172</v>
      </c>
      <c r="G23" s="67">
        <v>-109427</v>
      </c>
      <c r="H23" s="67">
        <v>-126080</v>
      </c>
      <c r="I23" s="67">
        <v>-142489</v>
      </c>
      <c r="J23" s="67">
        <v>-188460</v>
      </c>
      <c r="K23" s="67">
        <v>-281141</v>
      </c>
      <c r="L23" s="67">
        <v>-262203</v>
      </c>
      <c r="M23" s="67">
        <v>-255835</v>
      </c>
      <c r="N23" s="67">
        <v>-280673</v>
      </c>
      <c r="O23" s="67">
        <v>-381049</v>
      </c>
      <c r="P23" s="67">
        <v>-412636</v>
      </c>
      <c r="Q23" s="67">
        <v>-339801</v>
      </c>
      <c r="R23" s="67">
        <v>-991742</v>
      </c>
      <c r="S23" s="67">
        <v>-1343277</v>
      </c>
      <c r="T23" s="279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256"/>
      <c r="AF23" s="51"/>
      <c r="AG23" s="51"/>
      <c r="AH23" s="51"/>
      <c r="AI23" s="51"/>
      <c r="AJ23" s="51"/>
      <c r="AK23" s="51"/>
      <c r="AL23" s="51"/>
      <c r="AM23" s="51"/>
      <c r="AN23" s="51"/>
    </row>
    <row r="24" spans="1:40" ht="30" customHeight="1" x14ac:dyDescent="0.25">
      <c r="A24" s="60"/>
      <c r="B24" s="51"/>
      <c r="C24" s="51"/>
      <c r="D24" s="51"/>
      <c r="E24" s="81" t="s">
        <v>448</v>
      </c>
      <c r="F24" s="67">
        <v>13611</v>
      </c>
      <c r="G24" s="67">
        <v>15495</v>
      </c>
      <c r="H24" s="67">
        <v>24053</v>
      </c>
      <c r="I24" s="67">
        <v>31494</v>
      </c>
      <c r="J24" s="67">
        <v>15034</v>
      </c>
      <c r="K24" s="67">
        <v>48741</v>
      </c>
      <c r="L24" s="67">
        <v>71455</v>
      </c>
      <c r="M24" s="67">
        <v>13501</v>
      </c>
      <c r="N24" s="67">
        <v>36773</v>
      </c>
      <c r="O24" s="67">
        <v>87384</v>
      </c>
      <c r="P24" s="67">
        <v>815120</v>
      </c>
      <c r="Q24" s="67">
        <v>79100</v>
      </c>
      <c r="R24" s="67">
        <v>110066</v>
      </c>
      <c r="S24" s="67">
        <v>198797</v>
      </c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256"/>
      <c r="AF24" s="51"/>
      <c r="AG24" s="51"/>
      <c r="AH24" s="51"/>
      <c r="AI24" s="51"/>
      <c r="AJ24" s="51"/>
      <c r="AK24" s="51"/>
      <c r="AL24" s="51"/>
      <c r="AM24" s="51"/>
      <c r="AN24" s="51"/>
    </row>
    <row r="25" spans="1:40" ht="30" customHeight="1" x14ac:dyDescent="0.25">
      <c r="A25" s="60"/>
      <c r="B25" s="51"/>
      <c r="C25" s="51"/>
      <c r="D25" s="56"/>
      <c r="E25" s="81" t="s">
        <v>449</v>
      </c>
      <c r="F25" s="67">
        <v>-209378</v>
      </c>
      <c r="G25" s="67">
        <v>-249626</v>
      </c>
      <c r="H25" s="67">
        <v>-343500</v>
      </c>
      <c r="I25" s="67">
        <v>-381001</v>
      </c>
      <c r="J25" s="67">
        <v>-505678</v>
      </c>
      <c r="K25" s="67">
        <v>-609076</v>
      </c>
      <c r="L25" s="67">
        <v>-641446</v>
      </c>
      <c r="M25" s="67">
        <v>-767064</v>
      </c>
      <c r="N25" s="67">
        <v>-397702</v>
      </c>
      <c r="O25" s="67">
        <v>-502894</v>
      </c>
      <c r="P25" s="67">
        <v>-505964</v>
      </c>
      <c r="Q25" s="67">
        <v>-711945</v>
      </c>
      <c r="R25" s="67">
        <f>-486461-R24</f>
        <v>-596527</v>
      </c>
      <c r="S25" s="67">
        <v>-802715</v>
      </c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256"/>
      <c r="AF25" s="51"/>
      <c r="AG25" s="51"/>
      <c r="AH25" s="51"/>
      <c r="AI25" s="51"/>
      <c r="AJ25" s="51"/>
      <c r="AK25" s="51"/>
      <c r="AL25" s="51"/>
      <c r="AM25" s="51"/>
      <c r="AN25" s="51"/>
    </row>
    <row r="26" spans="1:40" ht="30" customHeight="1" x14ac:dyDescent="0.25">
      <c r="A26" s="60"/>
      <c r="B26" s="51"/>
      <c r="C26" s="51"/>
      <c r="D26" s="56"/>
      <c r="E26" s="76" t="s">
        <v>12</v>
      </c>
      <c r="F26" s="64">
        <f t="shared" ref="F26:S26" si="22">F15+F17</f>
        <v>404474</v>
      </c>
      <c r="G26" s="64">
        <f t="shared" si="22"/>
        <v>472633</v>
      </c>
      <c r="H26" s="64">
        <f t="shared" si="22"/>
        <v>559250</v>
      </c>
      <c r="I26" s="64">
        <f t="shared" si="22"/>
        <v>650438</v>
      </c>
      <c r="J26" s="64">
        <f t="shared" si="22"/>
        <v>802050</v>
      </c>
      <c r="K26" s="64">
        <f t="shared" si="22"/>
        <v>933253</v>
      </c>
      <c r="L26" s="64">
        <f t="shared" si="22"/>
        <v>975690</v>
      </c>
      <c r="M26" s="64">
        <f t="shared" si="22"/>
        <v>1087238</v>
      </c>
      <c r="N26" s="64">
        <f t="shared" si="22"/>
        <v>1423821</v>
      </c>
      <c r="O26" s="64">
        <f t="shared" si="22"/>
        <v>1643654</v>
      </c>
      <c r="P26" s="64">
        <f t="shared" si="22"/>
        <v>856879</v>
      </c>
      <c r="Q26" s="64">
        <f t="shared" si="22"/>
        <v>813944</v>
      </c>
      <c r="R26" s="64">
        <f t="shared" si="22"/>
        <v>1407401</v>
      </c>
      <c r="S26" s="64">
        <f t="shared" si="22"/>
        <v>889077</v>
      </c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256"/>
      <c r="AF26" s="51"/>
      <c r="AG26" s="51"/>
      <c r="AH26" s="51"/>
      <c r="AI26" s="51"/>
      <c r="AJ26" s="51"/>
      <c r="AK26" s="51"/>
      <c r="AL26" s="51"/>
      <c r="AM26" s="51"/>
      <c r="AN26" s="51"/>
    </row>
    <row r="27" spans="1:40" ht="30" customHeight="1" x14ac:dyDescent="0.25">
      <c r="A27" s="60"/>
      <c r="B27" s="51" t="s">
        <v>1058</v>
      </c>
      <c r="C27" s="51"/>
      <c r="D27" s="56"/>
      <c r="E27" s="432" t="s">
        <v>52</v>
      </c>
      <c r="F27" s="278">
        <f t="shared" ref="F27:S27" si="23">F26/F12</f>
        <v>0.14700992753344008</v>
      </c>
      <c r="G27" s="278">
        <f t="shared" si="23"/>
        <v>0.14594001067764115</v>
      </c>
      <c r="H27" s="278">
        <f t="shared" si="23"/>
        <v>0.1447893441256303</v>
      </c>
      <c r="I27" s="278">
        <f t="shared" si="23"/>
        <v>0.14883047679716488</v>
      </c>
      <c r="J27" s="278">
        <f t="shared" si="23"/>
        <v>0.15374308486779303</v>
      </c>
      <c r="K27" s="278">
        <f t="shared" si="23"/>
        <v>0.15186703504101903</v>
      </c>
      <c r="L27" s="278">
        <f t="shared" si="23"/>
        <v>0.15123276816927581</v>
      </c>
      <c r="M27" s="278">
        <f t="shared" si="23"/>
        <v>0.14604963122816703</v>
      </c>
      <c r="N27" s="278">
        <f t="shared" si="23"/>
        <v>0.16896861950828934</v>
      </c>
      <c r="O27" s="278">
        <f t="shared" si="23"/>
        <v>0.17142043067081736</v>
      </c>
      <c r="P27" s="278">
        <f t="shared" si="23"/>
        <v>0.11368694923034875</v>
      </c>
      <c r="Q27" s="278">
        <f t="shared" si="23"/>
        <v>7.6993774615581656E-2</v>
      </c>
      <c r="R27" s="79">
        <f t="shared" si="23"/>
        <v>0.10604976800405271</v>
      </c>
      <c r="S27" s="79">
        <f t="shared" si="23"/>
        <v>6.5144111720462319E-2</v>
      </c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256"/>
      <c r="AF27" s="51"/>
      <c r="AG27" s="51"/>
      <c r="AH27" s="51"/>
      <c r="AI27" s="51"/>
      <c r="AJ27" s="51"/>
      <c r="AK27" s="51"/>
      <c r="AL27" s="51"/>
      <c r="AM27" s="51"/>
      <c r="AN27" s="51"/>
    </row>
    <row r="28" spans="1:40" ht="30" customHeight="1" x14ac:dyDescent="0.25">
      <c r="A28" s="60"/>
      <c r="B28" s="51"/>
      <c r="C28" s="51"/>
      <c r="D28" s="51"/>
      <c r="E28" s="78" t="s">
        <v>75</v>
      </c>
      <c r="F28" s="67">
        <f>'DRE - Contas Abertas'!F61</f>
        <v>0</v>
      </c>
      <c r="G28" s="67">
        <f>'DRE - Contas Abertas'!G61</f>
        <v>0</v>
      </c>
      <c r="H28" s="67">
        <f>'DRE - Contas Abertas'!H61</f>
        <v>0</v>
      </c>
      <c r="I28" s="67">
        <f>'DRE - Contas Abertas'!I61</f>
        <v>0</v>
      </c>
      <c r="J28" s="67">
        <f>'DRE - Contas Abertas'!J61</f>
        <v>0</v>
      </c>
      <c r="K28" s="67">
        <f>'DRE - Contas Abertas'!K61</f>
        <v>0</v>
      </c>
      <c r="L28" s="67">
        <f>'DRE - Contas Abertas'!L61</f>
        <v>0</v>
      </c>
      <c r="M28" s="67">
        <f>'DRE - Contas Abertas'!M61</f>
        <v>0</v>
      </c>
      <c r="N28" s="67">
        <f>'DRE - Contas Abertas'!N61</f>
        <v>0</v>
      </c>
      <c r="O28" s="67">
        <f>'DRE - Contas Abertas'!O61</f>
        <v>0</v>
      </c>
      <c r="P28" s="67">
        <f>'DRE - Contas Abertas'!P61</f>
        <v>784619</v>
      </c>
      <c r="Q28" s="67">
        <f>'DRE - Contas Abertas'!Q61</f>
        <v>0</v>
      </c>
      <c r="R28" s="67">
        <f>'DRE - Contas Abertas'!R61</f>
        <v>0</v>
      </c>
      <c r="S28" s="67">
        <f>'DRE - Contas Abertas'!S61</f>
        <v>0</v>
      </c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255"/>
      <c r="AF28" s="51"/>
      <c r="AG28" s="51"/>
      <c r="AH28" s="51"/>
      <c r="AI28" s="51"/>
      <c r="AJ28" s="51"/>
      <c r="AK28" s="51"/>
      <c r="AL28" s="51"/>
      <c r="AM28" s="51"/>
      <c r="AN28" s="51"/>
    </row>
    <row r="29" spans="1:40" ht="30" customHeight="1" x14ac:dyDescent="0.25">
      <c r="A29" s="60"/>
      <c r="B29" s="51"/>
      <c r="C29" s="51"/>
      <c r="D29" s="51"/>
      <c r="E29" s="76" t="s">
        <v>76</v>
      </c>
      <c r="F29" s="64">
        <f>F26-F28</f>
        <v>404474</v>
      </c>
      <c r="G29" s="64">
        <f t="shared" ref="G29:O29" si="24">G26-G28</f>
        <v>472633</v>
      </c>
      <c r="H29" s="64">
        <f t="shared" si="24"/>
        <v>559250</v>
      </c>
      <c r="I29" s="64">
        <f t="shared" si="24"/>
        <v>650438</v>
      </c>
      <c r="J29" s="64">
        <f t="shared" si="24"/>
        <v>802050</v>
      </c>
      <c r="K29" s="64">
        <f t="shared" si="24"/>
        <v>933253</v>
      </c>
      <c r="L29" s="64">
        <f t="shared" si="24"/>
        <v>975690</v>
      </c>
      <c r="M29" s="64">
        <f t="shared" si="24"/>
        <v>1087238</v>
      </c>
      <c r="N29" s="64">
        <f t="shared" si="24"/>
        <v>1423821</v>
      </c>
      <c r="O29" s="64">
        <f t="shared" si="24"/>
        <v>1643654</v>
      </c>
      <c r="P29" s="64">
        <f>P26-P28</f>
        <v>72260</v>
      </c>
      <c r="Q29" s="64">
        <f>Q26-Q28</f>
        <v>813944</v>
      </c>
      <c r="R29" s="64">
        <f>R26-R28</f>
        <v>1407401</v>
      </c>
      <c r="S29" s="64">
        <f>S26-S28</f>
        <v>889077</v>
      </c>
      <c r="T29" s="142">
        <f>T30*T12</f>
        <v>1289738.9812538675</v>
      </c>
      <c r="U29" s="142">
        <f>U30*U12</f>
        <v>1746382.1773072635</v>
      </c>
      <c r="V29" s="142">
        <f>V30*V12</f>
        <v>2260329.0236566029</v>
      </c>
      <c r="W29" s="142">
        <f t="shared" ref="W29:AB29" si="25">W30*W12</f>
        <v>2835537.6872147615</v>
      </c>
      <c r="X29" s="142">
        <f t="shared" si="25"/>
        <v>3034903.3536575874</v>
      </c>
      <c r="Y29" s="142">
        <f t="shared" si="25"/>
        <v>3246555.7462716955</v>
      </c>
      <c r="Z29" s="142">
        <f t="shared" si="25"/>
        <v>3451067.8572794446</v>
      </c>
      <c r="AA29" s="142">
        <f t="shared" si="25"/>
        <v>3662646.0208896394</v>
      </c>
      <c r="AB29" s="142">
        <f t="shared" si="25"/>
        <v>3881417.9009059756</v>
      </c>
      <c r="AC29" s="142">
        <f>$AB$30*AC12-'Projeções - Receita'!AC75</f>
        <v>3260520.8642115523</v>
      </c>
      <c r="AD29" s="142">
        <f>$AB$30*AD12-'Projeções - Receita'!AD75</f>
        <v>3446235.9830406676</v>
      </c>
      <c r="AE29" s="255">
        <f>$AB$30*AE12-'Projeções - Receita'!AE75</f>
        <v>3643079.6946988162</v>
      </c>
      <c r="AF29" s="75"/>
      <c r="AG29" s="51"/>
      <c r="AH29" s="51"/>
      <c r="AI29" s="51"/>
      <c r="AJ29" s="51"/>
      <c r="AK29" s="51"/>
      <c r="AL29" s="51"/>
      <c r="AM29" s="51"/>
      <c r="AN29" s="51"/>
    </row>
    <row r="30" spans="1:40" ht="30" customHeight="1" x14ac:dyDescent="0.25">
      <c r="A30" s="60"/>
      <c r="B30" s="51"/>
      <c r="C30" s="51"/>
      <c r="D30" s="51"/>
      <c r="E30" s="432" t="s">
        <v>71</v>
      </c>
      <c r="F30" s="278">
        <f t="shared" ref="F30:R30" si="26">F29/F12</f>
        <v>0.14700992753344008</v>
      </c>
      <c r="G30" s="278">
        <f t="shared" si="26"/>
        <v>0.14594001067764115</v>
      </c>
      <c r="H30" s="278">
        <f t="shared" si="26"/>
        <v>0.1447893441256303</v>
      </c>
      <c r="I30" s="278">
        <f t="shared" si="26"/>
        <v>0.14883047679716488</v>
      </c>
      <c r="J30" s="278">
        <f t="shared" si="26"/>
        <v>0.15374308486779303</v>
      </c>
      <c r="K30" s="278">
        <f t="shared" si="26"/>
        <v>0.15186703504101903</v>
      </c>
      <c r="L30" s="278">
        <f t="shared" si="26"/>
        <v>0.15123276816927581</v>
      </c>
      <c r="M30" s="278">
        <f t="shared" si="26"/>
        <v>0.14604963122816703</v>
      </c>
      <c r="N30" s="278">
        <f t="shared" si="26"/>
        <v>0.16896861950828934</v>
      </c>
      <c r="O30" s="278">
        <f t="shared" si="26"/>
        <v>0.17142043067081736</v>
      </c>
      <c r="P30" s="278">
        <f t="shared" si="26"/>
        <v>9.5871400178846738E-3</v>
      </c>
      <c r="Q30" s="278">
        <f t="shared" si="26"/>
        <v>7.6993774615581656E-2</v>
      </c>
      <c r="R30" s="278">
        <f t="shared" si="26"/>
        <v>0.10604976800405271</v>
      </c>
      <c r="S30" s="278">
        <f>S29/S12</f>
        <v>6.5144111720462319E-2</v>
      </c>
      <c r="T30" s="403">
        <f t="shared" ref="T30:U30" si="27">($W$30-$S$30)/4+S30</f>
        <v>8.8335008021225167E-2</v>
      </c>
      <c r="U30" s="403">
        <f t="shared" si="27"/>
        <v>0.11152590432198801</v>
      </c>
      <c r="V30" s="403">
        <f>($W$30-$S$30)/4+U30</f>
        <v>0.13471680062275088</v>
      </c>
      <c r="W30" s="279">
        <f>AVERAGE(K30:O30)</f>
        <v>0.15790769692351372</v>
      </c>
      <c r="X30" s="279">
        <f t="shared" ref="X30:AB30" si="28">W30</f>
        <v>0.15790769692351372</v>
      </c>
      <c r="Y30" s="279">
        <f t="shared" si="28"/>
        <v>0.15790769692351372</v>
      </c>
      <c r="Z30" s="279">
        <f t="shared" si="28"/>
        <v>0.15790769692351372</v>
      </c>
      <c r="AA30" s="279">
        <f t="shared" si="28"/>
        <v>0.15790769692351372</v>
      </c>
      <c r="AB30" s="279">
        <f t="shared" si="28"/>
        <v>0.15790769692351372</v>
      </c>
      <c r="AC30" s="403">
        <f>AC29/AC12</f>
        <v>0.12896774464608596</v>
      </c>
      <c r="AD30" s="279">
        <f>AD29/AD12</f>
        <v>0.12896774464608596</v>
      </c>
      <c r="AE30" s="279">
        <f>AE29/AE12</f>
        <v>0.12896774464608596</v>
      </c>
      <c r="AF30" s="51"/>
      <c r="AG30" s="51"/>
      <c r="AH30" s="51"/>
      <c r="AI30" s="51"/>
      <c r="AJ30" s="51"/>
      <c r="AK30" s="51"/>
      <c r="AL30" s="51"/>
      <c r="AM30" s="51"/>
      <c r="AN30" s="51"/>
    </row>
    <row r="31" spans="1:40" ht="30" customHeight="1" x14ac:dyDescent="0.25">
      <c r="A31" s="60"/>
      <c r="B31" s="51"/>
      <c r="C31" s="51"/>
      <c r="D31" s="51"/>
      <c r="E31" s="74" t="s">
        <v>13</v>
      </c>
      <c r="F31" s="67">
        <f>F32+F33</f>
        <v>27297</v>
      </c>
      <c r="G31" s="67">
        <f t="shared" ref="G31:S31" si="29">G32+G33</f>
        <v>2760</v>
      </c>
      <c r="H31" s="67">
        <f t="shared" si="29"/>
        <v>-50430</v>
      </c>
      <c r="I31" s="67">
        <f t="shared" si="29"/>
        <v>-67724</v>
      </c>
      <c r="J31" s="67">
        <f t="shared" si="29"/>
        <v>-93875</v>
      </c>
      <c r="K31" s="67">
        <f t="shared" si="29"/>
        <v>-104586</v>
      </c>
      <c r="L31" s="67">
        <f t="shared" si="29"/>
        <v>-103310</v>
      </c>
      <c r="M31" s="67">
        <f t="shared" si="29"/>
        <v>-83101</v>
      </c>
      <c r="N31" s="67">
        <f t="shared" si="29"/>
        <v>-53628</v>
      </c>
      <c r="O31" s="67">
        <f t="shared" si="29"/>
        <v>-131800</v>
      </c>
      <c r="P31" s="67">
        <f t="shared" si="29"/>
        <v>343882</v>
      </c>
      <c r="Q31" s="67">
        <f t="shared" si="29"/>
        <v>-174091</v>
      </c>
      <c r="R31" s="67">
        <f t="shared" si="29"/>
        <v>-23116</v>
      </c>
      <c r="S31" s="67">
        <f t="shared" si="29"/>
        <v>-48410</v>
      </c>
      <c r="T31" s="407"/>
      <c r="U31" s="407"/>
      <c r="V31" s="407"/>
      <c r="W31" s="407"/>
      <c r="X31" s="407"/>
      <c r="Y31" s="407"/>
      <c r="Z31" s="407"/>
      <c r="AA31" s="407"/>
      <c r="AB31" s="407"/>
      <c r="AC31" s="407"/>
      <c r="AD31" s="407"/>
      <c r="AE31" s="408"/>
      <c r="AF31" s="51"/>
      <c r="AG31" s="51"/>
      <c r="AH31" s="51"/>
      <c r="AI31" s="51"/>
      <c r="AJ31" s="51"/>
      <c r="AK31" s="51"/>
      <c r="AL31" s="51"/>
      <c r="AM31" s="51"/>
      <c r="AN31" s="51"/>
    </row>
    <row r="32" spans="1:40" ht="30" customHeight="1" x14ac:dyDescent="0.25">
      <c r="A32" s="60"/>
      <c r="B32" s="51"/>
      <c r="C32" s="51"/>
      <c r="D32" s="51"/>
      <c r="E32" s="78" t="s">
        <v>47</v>
      </c>
      <c r="F32" s="67">
        <v>39785</v>
      </c>
      <c r="G32" s="67">
        <v>50299</v>
      </c>
      <c r="H32" s="67">
        <v>33362</v>
      </c>
      <c r="I32" s="67">
        <v>52345</v>
      </c>
      <c r="J32" s="67">
        <v>93088</v>
      </c>
      <c r="K32" s="67">
        <v>93853</v>
      </c>
      <c r="L32" s="67">
        <v>87472</v>
      </c>
      <c r="M32" s="67">
        <v>59058</v>
      </c>
      <c r="N32" s="67">
        <v>49164</v>
      </c>
      <c r="O32" s="67">
        <v>74422</v>
      </c>
      <c r="P32" s="67">
        <v>712925</v>
      </c>
      <c r="Q32" s="67">
        <v>383304</v>
      </c>
      <c r="R32" s="67">
        <v>703939</v>
      </c>
      <c r="S32" s="67">
        <v>610615</v>
      </c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256"/>
      <c r="AF32" s="51"/>
      <c r="AG32" s="51"/>
      <c r="AH32" s="51"/>
      <c r="AI32" s="51"/>
      <c r="AJ32" s="51"/>
      <c r="AK32" s="51"/>
      <c r="AL32" s="51"/>
      <c r="AM32" s="51"/>
      <c r="AN32" s="51"/>
    </row>
    <row r="33" spans="1:42" ht="30" customHeight="1" x14ac:dyDescent="0.25">
      <c r="A33" s="60"/>
      <c r="B33" s="51"/>
      <c r="C33" s="51"/>
      <c r="D33" s="51"/>
      <c r="E33" s="78" t="s">
        <v>46</v>
      </c>
      <c r="F33" s="67">
        <v>-12488</v>
      </c>
      <c r="G33" s="67">
        <v>-47539</v>
      </c>
      <c r="H33" s="67">
        <v>-83792</v>
      </c>
      <c r="I33" s="67">
        <v>-120069</v>
      </c>
      <c r="J33" s="67">
        <v>-186963</v>
      </c>
      <c r="K33" s="67">
        <v>-198439</v>
      </c>
      <c r="L33" s="67">
        <v>-190782</v>
      </c>
      <c r="M33" s="67">
        <v>-142159</v>
      </c>
      <c r="N33" s="67">
        <v>-102792</v>
      </c>
      <c r="O33" s="67">
        <v>-206222</v>
      </c>
      <c r="P33" s="67">
        <v>-369043</v>
      </c>
      <c r="Q33" s="67">
        <v>-557395</v>
      </c>
      <c r="R33" s="67">
        <v>-727055</v>
      </c>
      <c r="S33" s="67">
        <v>-659025</v>
      </c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256"/>
      <c r="AF33" s="51"/>
      <c r="AG33" s="51"/>
      <c r="AH33" s="51"/>
      <c r="AI33" s="51"/>
      <c r="AJ33" s="51"/>
      <c r="AK33" s="51"/>
      <c r="AL33" s="51"/>
      <c r="AM33" s="51"/>
      <c r="AN33" s="51"/>
    </row>
    <row r="34" spans="1:42" ht="30" customHeight="1" x14ac:dyDescent="0.25">
      <c r="A34" s="60"/>
      <c r="B34" s="51"/>
      <c r="C34" s="51"/>
      <c r="D34" s="51"/>
      <c r="E34" s="76" t="s">
        <v>14</v>
      </c>
      <c r="F34" s="64">
        <f t="shared" ref="F34:S34" si="30">F26+F31</f>
        <v>431771</v>
      </c>
      <c r="G34" s="64">
        <f t="shared" si="30"/>
        <v>475393</v>
      </c>
      <c r="H34" s="64">
        <f t="shared" si="30"/>
        <v>508820</v>
      </c>
      <c r="I34" s="64">
        <f t="shared" si="30"/>
        <v>582714</v>
      </c>
      <c r="J34" s="64">
        <f t="shared" si="30"/>
        <v>708175</v>
      </c>
      <c r="K34" s="64">
        <f t="shared" si="30"/>
        <v>828667</v>
      </c>
      <c r="L34" s="64">
        <f t="shared" si="30"/>
        <v>872380</v>
      </c>
      <c r="M34" s="64">
        <f t="shared" si="30"/>
        <v>1004137</v>
      </c>
      <c r="N34" s="64">
        <f t="shared" si="30"/>
        <v>1370193</v>
      </c>
      <c r="O34" s="64">
        <f t="shared" si="30"/>
        <v>1511854</v>
      </c>
      <c r="P34" s="64">
        <f t="shared" si="30"/>
        <v>1200761</v>
      </c>
      <c r="Q34" s="64">
        <f t="shared" si="30"/>
        <v>639853</v>
      </c>
      <c r="R34" s="64">
        <f t="shared" si="30"/>
        <v>1384285</v>
      </c>
      <c r="S34" s="64">
        <f t="shared" si="30"/>
        <v>840667</v>
      </c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256"/>
      <c r="AF34" s="51"/>
      <c r="AG34" s="51"/>
      <c r="AH34" s="51"/>
      <c r="AI34" s="51"/>
      <c r="AJ34" s="51"/>
      <c r="AK34" s="51"/>
      <c r="AL34" s="51"/>
      <c r="AM34" s="51"/>
      <c r="AN34" s="51"/>
    </row>
    <row r="35" spans="1:42" ht="30" customHeight="1" x14ac:dyDescent="0.25">
      <c r="A35" s="60"/>
      <c r="B35" s="51"/>
      <c r="C35" s="51"/>
      <c r="D35" s="51"/>
      <c r="E35" s="78" t="s">
        <v>36</v>
      </c>
      <c r="F35" s="67">
        <v>-123743</v>
      </c>
      <c r="G35" s="67">
        <v>-138486</v>
      </c>
      <c r="H35" s="67">
        <v>-153419</v>
      </c>
      <c r="I35" s="67">
        <v>-175310</v>
      </c>
      <c r="J35" s="67">
        <v>-236755</v>
      </c>
      <c r="K35" s="67">
        <v>-249829</v>
      </c>
      <c r="L35" s="67">
        <v>-247322</v>
      </c>
      <c r="M35" s="67">
        <v>-271458</v>
      </c>
      <c r="N35" s="67">
        <v>-350057</v>
      </c>
      <c r="O35" s="67">
        <v>-412761</v>
      </c>
      <c r="P35" s="67">
        <v>-104492</v>
      </c>
      <c r="Q35" s="67">
        <v>-6741</v>
      </c>
      <c r="R35" s="67">
        <v>-92581</v>
      </c>
      <c r="S35" s="67">
        <v>135592</v>
      </c>
      <c r="T35" s="143">
        <f>-T29*T41</f>
        <v>-346283.09985833202</v>
      </c>
      <c r="U35" s="143">
        <f>-U29*U41</f>
        <v>-468887.61422670149</v>
      </c>
      <c r="V35" s="143">
        <f>-V29*V41</f>
        <v>-606877.63368260872</v>
      </c>
      <c r="W35" s="143">
        <f t="shared" ref="W35:AE35" si="31">-W29*W41</f>
        <v>-761315.8897773748</v>
      </c>
      <c r="X35" s="143">
        <f t="shared" si="31"/>
        <v>-814843.74462597922</v>
      </c>
      <c r="Y35" s="143">
        <f t="shared" si="31"/>
        <v>-871670.47288039932</v>
      </c>
      <c r="Z35" s="143">
        <f t="shared" si="31"/>
        <v>-926580.10094288155</v>
      </c>
      <c r="AA35" s="143">
        <f t="shared" si="31"/>
        <v>-983386.89938983822</v>
      </c>
      <c r="AB35" s="143">
        <f t="shared" si="31"/>
        <v>-1042125.1447829037</v>
      </c>
      <c r="AC35" s="143">
        <f t="shared" si="31"/>
        <v>-919802.47425293201</v>
      </c>
      <c r="AD35" s="143">
        <f t="shared" si="31"/>
        <v>-972193.25257310225</v>
      </c>
      <c r="AE35" s="256">
        <f t="shared" si="31"/>
        <v>-1027723.4394863758</v>
      </c>
      <c r="AF35" s="51"/>
      <c r="AG35" s="51"/>
      <c r="AH35" s="51"/>
      <c r="AI35" s="51"/>
      <c r="AJ35" s="51"/>
      <c r="AK35" s="51"/>
      <c r="AL35" s="51"/>
      <c r="AM35" s="51"/>
      <c r="AN35" s="51"/>
    </row>
    <row r="36" spans="1:42" ht="30" customHeight="1" x14ac:dyDescent="0.25">
      <c r="A36" s="60"/>
      <c r="B36" s="51"/>
      <c r="C36" s="51"/>
      <c r="D36" s="51"/>
      <c r="E36" s="76" t="s">
        <v>15</v>
      </c>
      <c r="F36" s="64">
        <f t="shared" ref="F36:K36" si="32">F34+F35</f>
        <v>308028</v>
      </c>
      <c r="G36" s="64">
        <f t="shared" si="32"/>
        <v>336907</v>
      </c>
      <c r="H36" s="64">
        <f t="shared" si="32"/>
        <v>355401</v>
      </c>
      <c r="I36" s="64">
        <f t="shared" si="32"/>
        <v>407404</v>
      </c>
      <c r="J36" s="64">
        <f t="shared" si="32"/>
        <v>471420</v>
      </c>
      <c r="K36" s="64">
        <f t="shared" si="32"/>
        <v>578838</v>
      </c>
      <c r="L36" s="64">
        <f t="shared" ref="L36:S36" si="33">L34+L35</f>
        <v>625058</v>
      </c>
      <c r="M36" s="64">
        <f t="shared" si="33"/>
        <v>732679</v>
      </c>
      <c r="N36" s="64">
        <f t="shared" si="33"/>
        <v>1020136</v>
      </c>
      <c r="O36" s="64">
        <f t="shared" si="33"/>
        <v>1099093</v>
      </c>
      <c r="P36" s="64">
        <f t="shared" si="33"/>
        <v>1096269</v>
      </c>
      <c r="Q36" s="64">
        <f t="shared" si="33"/>
        <v>633112</v>
      </c>
      <c r="R36" s="64">
        <f t="shared" si="33"/>
        <v>1291704</v>
      </c>
      <c r="S36" s="64">
        <f t="shared" si="33"/>
        <v>976259</v>
      </c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256"/>
      <c r="AF36" s="51"/>
      <c r="AG36" s="51"/>
      <c r="AH36" s="51"/>
      <c r="AI36" s="51"/>
      <c r="AJ36" s="51"/>
      <c r="AK36" s="51"/>
      <c r="AL36" s="51"/>
      <c r="AM36" s="51"/>
      <c r="AN36" s="51"/>
    </row>
    <row r="37" spans="1:42" ht="30" customHeight="1" thickBot="1" x14ac:dyDescent="0.3">
      <c r="A37" s="60"/>
      <c r="B37" s="51"/>
      <c r="C37" s="51"/>
      <c r="D37" s="51"/>
      <c r="E37" s="435" t="s">
        <v>51</v>
      </c>
      <c r="F37" s="82">
        <f t="shared" ref="F37:S37" si="34">F36/F12</f>
        <v>0.11195571027623651</v>
      </c>
      <c r="G37" s="82">
        <f t="shared" si="34"/>
        <v>0.10403042355775421</v>
      </c>
      <c r="H37" s="82">
        <f t="shared" si="34"/>
        <v>9.2013013306380204E-2</v>
      </c>
      <c r="I37" s="82">
        <f t="shared" si="34"/>
        <v>9.3220463086523486E-2</v>
      </c>
      <c r="J37" s="82">
        <f t="shared" si="34"/>
        <v>9.0365395010753677E-2</v>
      </c>
      <c r="K37" s="82">
        <f t="shared" si="34"/>
        <v>9.4193547547206782E-2</v>
      </c>
      <c r="L37" s="82">
        <f t="shared" si="34"/>
        <v>9.688451414522152E-2</v>
      </c>
      <c r="M37" s="82">
        <f t="shared" si="34"/>
        <v>9.8421410729409936E-2</v>
      </c>
      <c r="N37" s="82">
        <f t="shared" si="34"/>
        <v>0.12106224843622075</v>
      </c>
      <c r="O37" s="82">
        <f t="shared" si="34"/>
        <v>0.11462691990362976</v>
      </c>
      <c r="P37" s="82">
        <f t="shared" si="34"/>
        <v>0.14544816496355401</v>
      </c>
      <c r="Q37" s="82">
        <f t="shared" si="34"/>
        <v>5.9888251076757291E-2</v>
      </c>
      <c r="R37" s="82">
        <f t="shared" si="34"/>
        <v>9.7331826202984723E-2</v>
      </c>
      <c r="S37" s="82">
        <f t="shared" si="34"/>
        <v>7.1532078058601026E-2</v>
      </c>
      <c r="T37" s="409"/>
      <c r="U37" s="409"/>
      <c r="V37" s="409"/>
      <c r="W37" s="409"/>
      <c r="X37" s="409"/>
      <c r="Y37" s="409"/>
      <c r="Z37" s="409"/>
      <c r="AA37" s="409"/>
      <c r="AB37" s="409"/>
      <c r="AC37" s="409"/>
      <c r="AD37" s="409"/>
      <c r="AE37" s="410"/>
      <c r="AF37" s="51"/>
      <c r="AG37" s="51"/>
      <c r="AH37" s="51"/>
      <c r="AI37" s="51"/>
      <c r="AJ37" s="51"/>
      <c r="AK37" s="51"/>
      <c r="AL37" s="51"/>
      <c r="AM37" s="51"/>
      <c r="AN37" s="51"/>
    </row>
    <row r="38" spans="1:42" s="51" customFormat="1" ht="30" customHeight="1" x14ac:dyDescent="0.25">
      <c r="A38" s="60"/>
      <c r="R38" s="71"/>
      <c r="S38" s="71"/>
    </row>
    <row r="39" spans="1:42" s="51" customFormat="1" ht="30" customHeight="1" x14ac:dyDescent="0.25">
      <c r="A39" s="60"/>
      <c r="E39" s="83"/>
      <c r="F39" s="83"/>
      <c r="G39" s="83"/>
      <c r="H39" s="83"/>
      <c r="I39" s="83"/>
      <c r="J39" s="83"/>
      <c r="K39" s="83"/>
      <c r="L39" s="84"/>
      <c r="M39" s="84"/>
      <c r="N39" s="84"/>
      <c r="O39" s="84"/>
    </row>
    <row r="40" spans="1:42" s="51" customFormat="1" ht="30" customHeight="1" x14ac:dyDescent="0.25">
      <c r="A40" s="60"/>
      <c r="E40" s="85"/>
      <c r="F40" s="62">
        <v>2010</v>
      </c>
      <c r="G40" s="62">
        <v>2011</v>
      </c>
      <c r="H40" s="62">
        <v>2012</v>
      </c>
      <c r="I40" s="62">
        <v>2013</v>
      </c>
      <c r="J40" s="62">
        <v>2014</v>
      </c>
      <c r="K40" s="62">
        <v>2015</v>
      </c>
      <c r="L40" s="62">
        <v>2016</v>
      </c>
      <c r="M40" s="62">
        <v>2017</v>
      </c>
      <c r="N40" s="62">
        <v>2018</v>
      </c>
      <c r="O40" s="62">
        <v>2019</v>
      </c>
      <c r="P40" s="62">
        <v>2020</v>
      </c>
      <c r="Q40" s="62">
        <v>2021</v>
      </c>
      <c r="R40" s="62">
        <v>2022</v>
      </c>
      <c r="S40" s="62">
        <v>2023</v>
      </c>
      <c r="T40" s="259">
        <v>2024</v>
      </c>
      <c r="U40" s="259">
        <v>2025</v>
      </c>
      <c r="V40" s="259">
        <v>2026</v>
      </c>
      <c r="W40" s="259">
        <v>2027</v>
      </c>
      <c r="X40" s="259">
        <v>2028</v>
      </c>
      <c r="Y40" s="259">
        <v>2029</v>
      </c>
      <c r="Z40" s="259">
        <v>2030</v>
      </c>
      <c r="AA40" s="259">
        <v>2031</v>
      </c>
      <c r="AB40" s="259">
        <v>2032</v>
      </c>
      <c r="AC40" s="259">
        <v>2033</v>
      </c>
      <c r="AD40" s="259">
        <v>2034</v>
      </c>
      <c r="AE40" s="259">
        <v>2035</v>
      </c>
      <c r="AF40" s="62" t="s">
        <v>32</v>
      </c>
      <c r="AG40" s="62" t="s">
        <v>378</v>
      </c>
      <c r="AH40" s="86" t="s">
        <v>33</v>
      </c>
    </row>
    <row r="41" spans="1:42" s="51" customFormat="1" ht="30" customHeight="1" thickBot="1" x14ac:dyDescent="0.3">
      <c r="A41" s="60"/>
      <c r="E41" s="87" t="s">
        <v>23</v>
      </c>
      <c r="F41" s="278">
        <f t="shared" ref="F41:R41" si="35">IFERROR(IF(F26&gt;0,-F35/F26,"-"),"-")</f>
        <v>0.30593561019991394</v>
      </c>
      <c r="G41" s="278">
        <f t="shared" si="35"/>
        <v>0.29300958671950539</v>
      </c>
      <c r="H41" s="278">
        <f t="shared" si="35"/>
        <v>0.2743299061242736</v>
      </c>
      <c r="I41" s="278">
        <f t="shared" si="35"/>
        <v>0.26952607319990529</v>
      </c>
      <c r="J41" s="278">
        <f t="shared" si="35"/>
        <v>0.29518733246056977</v>
      </c>
      <c r="K41" s="278">
        <f t="shared" si="35"/>
        <v>0.26769696963202905</v>
      </c>
      <c r="L41" s="278">
        <f t="shared" si="35"/>
        <v>0.25348420092447393</v>
      </c>
      <c r="M41" s="278">
        <f t="shared" si="35"/>
        <v>0.24967670372080447</v>
      </c>
      <c r="N41" s="278">
        <f t="shared" si="35"/>
        <v>0.24585744977774593</v>
      </c>
      <c r="O41" s="278">
        <f t="shared" si="35"/>
        <v>0.25112402001881173</v>
      </c>
      <c r="P41" s="278">
        <f t="shared" si="35"/>
        <v>0.12194487202977317</v>
      </c>
      <c r="Q41" s="278">
        <f t="shared" si="35"/>
        <v>8.281896543251132E-3</v>
      </c>
      <c r="R41" s="278">
        <f t="shared" si="35"/>
        <v>6.5781536321204828E-2</v>
      </c>
      <c r="S41" s="278">
        <f>-S35/S29</f>
        <v>-0.15250872534099971</v>
      </c>
      <c r="T41" s="279">
        <f>-AVERAGE('DRE - Contas Abertas'!$F$123:$O$123)</f>
        <v>0.26849083798465956</v>
      </c>
      <c r="U41" s="279">
        <f>T41</f>
        <v>0.26849083798465956</v>
      </c>
      <c r="V41" s="279">
        <f t="shared" ref="V41:AB41" si="36">U41</f>
        <v>0.26849083798465956</v>
      </c>
      <c r="W41" s="279">
        <f t="shared" si="36"/>
        <v>0.26849083798465956</v>
      </c>
      <c r="X41" s="279">
        <f t="shared" si="36"/>
        <v>0.26849083798465956</v>
      </c>
      <c r="Y41" s="279">
        <f t="shared" si="36"/>
        <v>0.26849083798465956</v>
      </c>
      <c r="Z41" s="279">
        <f t="shared" si="36"/>
        <v>0.26849083798465956</v>
      </c>
      <c r="AA41" s="279">
        <f t="shared" si="36"/>
        <v>0.26849083798465956</v>
      </c>
      <c r="AB41" s="279">
        <f t="shared" si="36"/>
        <v>0.26849083798465956</v>
      </c>
      <c r="AC41" s="279">
        <f>-AVERAGE('DRE - Contas Abertas'!$F$125:$O$125)</f>
        <v>0.28210292544021348</v>
      </c>
      <c r="AD41" s="279">
        <f>AC41</f>
        <v>0.28210292544021348</v>
      </c>
      <c r="AE41" s="279">
        <f>AD41</f>
        <v>0.28210292544021348</v>
      </c>
      <c r="AF41" s="79"/>
      <c r="AG41" s="88">
        <f>AF55</f>
        <v>0.1764483511421924</v>
      </c>
      <c r="AH41" s="394">
        <f>(1+'Capex + K. Giro'!AE10)*(1+0.01989) - 1</f>
        <v>7.0527538499999931E-2</v>
      </c>
    </row>
    <row r="42" spans="1:42" s="51" customFormat="1" ht="30" customHeight="1" x14ac:dyDescent="0.25">
      <c r="A42" s="60"/>
      <c r="E42" s="87" t="s">
        <v>1056</v>
      </c>
      <c r="F42" s="67">
        <v>0</v>
      </c>
      <c r="G42" s="67">
        <v>0</v>
      </c>
      <c r="H42" s="67">
        <v>0</v>
      </c>
      <c r="I42" s="67">
        <v>0</v>
      </c>
      <c r="J42" s="67">
        <v>0</v>
      </c>
      <c r="K42" s="67">
        <v>0</v>
      </c>
      <c r="L42" s="67">
        <v>0</v>
      </c>
      <c r="M42" s="67">
        <v>0</v>
      </c>
      <c r="N42" s="67">
        <v>0</v>
      </c>
      <c r="O42" s="67">
        <v>369161</v>
      </c>
      <c r="P42" s="67">
        <v>366409</v>
      </c>
      <c r="Q42" s="67">
        <v>458500</v>
      </c>
      <c r="R42" s="67">
        <v>541163</v>
      </c>
      <c r="S42" s="67">
        <v>460462</v>
      </c>
      <c r="T42" s="143">
        <f t="shared" ref="T42:AE42" si="37">T43*T12</f>
        <v>598626.65355430858</v>
      </c>
      <c r="U42" s="143">
        <f t="shared" si="37"/>
        <v>642023.03950964333</v>
      </c>
      <c r="V42" s="143">
        <f t="shared" si="37"/>
        <v>687918.48203997209</v>
      </c>
      <c r="W42" s="143">
        <f t="shared" si="37"/>
        <v>736239.64691671205</v>
      </c>
      <c r="X42" s="143">
        <f t="shared" si="37"/>
        <v>788004.39987027214</v>
      </c>
      <c r="Y42" s="143">
        <f t="shared" si="37"/>
        <v>842959.36785038409</v>
      </c>
      <c r="Z42" s="143">
        <f t="shared" si="37"/>
        <v>896060.38113525277</v>
      </c>
      <c r="AA42" s="143">
        <f t="shared" si="37"/>
        <v>950996.07575642539</v>
      </c>
      <c r="AB42" s="143">
        <f t="shared" si="37"/>
        <v>1007799.5992732452</v>
      </c>
      <c r="AC42" s="143">
        <f t="shared" si="37"/>
        <v>1036556.4414915841</v>
      </c>
      <c r="AD42" s="143">
        <f t="shared" si="37"/>
        <v>1095597.3771953478</v>
      </c>
      <c r="AE42" s="143">
        <f t="shared" si="37"/>
        <v>1158176.2183633235</v>
      </c>
      <c r="AF42" s="68"/>
      <c r="AG42" s="93"/>
      <c r="AH42" s="93"/>
    </row>
    <row r="43" spans="1:42" s="51" customFormat="1" ht="30" customHeight="1" x14ac:dyDescent="0.25">
      <c r="A43" s="60"/>
      <c r="E43" s="277" t="s">
        <v>70</v>
      </c>
      <c r="F43" s="276">
        <f>F42/F12</f>
        <v>0</v>
      </c>
      <c r="G43" s="276">
        <f t="shared" ref="G43:S43" si="38">G42/G12</f>
        <v>0</v>
      </c>
      <c r="H43" s="276">
        <f t="shared" si="38"/>
        <v>0</v>
      </c>
      <c r="I43" s="276">
        <f t="shared" si="38"/>
        <v>0</v>
      </c>
      <c r="J43" s="276">
        <f t="shared" si="38"/>
        <v>0</v>
      </c>
      <c r="K43" s="276">
        <f t="shared" si="38"/>
        <v>0</v>
      </c>
      <c r="L43" s="276">
        <f t="shared" si="38"/>
        <v>0</v>
      </c>
      <c r="M43" s="276">
        <f t="shared" si="38"/>
        <v>0</v>
      </c>
      <c r="N43" s="276">
        <f t="shared" si="38"/>
        <v>0</v>
      </c>
      <c r="O43" s="436">
        <f t="shared" si="38"/>
        <v>3.8500644057003243E-2</v>
      </c>
      <c r="P43" s="436">
        <f t="shared" si="38"/>
        <v>4.8613539811972119E-2</v>
      </c>
      <c r="Q43" s="436">
        <f t="shared" si="38"/>
        <v>4.3371098824052011E-2</v>
      </c>
      <c r="R43" s="436">
        <f t="shared" si="38"/>
        <v>4.0777440546352586E-2</v>
      </c>
      <c r="S43" s="436">
        <f t="shared" si="38"/>
        <v>3.3738796494597795E-2</v>
      </c>
      <c r="T43" s="437">
        <f>AVERAGE(O43:S43)</f>
        <v>4.1000303946795554E-2</v>
      </c>
      <c r="U43" s="437">
        <f t="shared" ref="U43:AE43" si="39">T43</f>
        <v>4.1000303946795554E-2</v>
      </c>
      <c r="V43" s="437">
        <f t="shared" si="39"/>
        <v>4.1000303946795554E-2</v>
      </c>
      <c r="W43" s="437">
        <f t="shared" si="39"/>
        <v>4.1000303946795554E-2</v>
      </c>
      <c r="X43" s="437">
        <f t="shared" si="39"/>
        <v>4.1000303946795554E-2</v>
      </c>
      <c r="Y43" s="437">
        <f t="shared" si="39"/>
        <v>4.1000303946795554E-2</v>
      </c>
      <c r="Z43" s="437">
        <f t="shared" si="39"/>
        <v>4.1000303946795554E-2</v>
      </c>
      <c r="AA43" s="437">
        <f t="shared" si="39"/>
        <v>4.1000303946795554E-2</v>
      </c>
      <c r="AB43" s="437">
        <f t="shared" si="39"/>
        <v>4.1000303946795554E-2</v>
      </c>
      <c r="AC43" s="437">
        <f t="shared" si="39"/>
        <v>4.1000303946795554E-2</v>
      </c>
      <c r="AD43" s="437">
        <f t="shared" si="39"/>
        <v>4.1000303946795554E-2</v>
      </c>
      <c r="AE43" s="437">
        <f t="shared" si="39"/>
        <v>4.1000303946795554E-2</v>
      </c>
      <c r="AF43" s="68"/>
      <c r="AG43" s="93"/>
      <c r="AH43" s="93"/>
    </row>
    <row r="44" spans="1:42" s="51" customFormat="1" ht="30" customHeight="1" x14ac:dyDescent="0.25">
      <c r="A44" s="60"/>
      <c r="E44" s="91" t="s">
        <v>24</v>
      </c>
      <c r="F44" s="64">
        <f t="shared" ref="F44:O44" si="40">F26+F35</f>
        <v>280731</v>
      </c>
      <c r="G44" s="64">
        <f t="shared" si="40"/>
        <v>334147</v>
      </c>
      <c r="H44" s="64">
        <f t="shared" si="40"/>
        <v>405831</v>
      </c>
      <c r="I44" s="64">
        <f t="shared" si="40"/>
        <v>475128</v>
      </c>
      <c r="J44" s="64">
        <f t="shared" si="40"/>
        <v>565295</v>
      </c>
      <c r="K44" s="64">
        <f t="shared" si="40"/>
        <v>683424</v>
      </c>
      <c r="L44" s="64">
        <f t="shared" si="40"/>
        <v>728368</v>
      </c>
      <c r="M44" s="64">
        <f t="shared" si="40"/>
        <v>815780</v>
      </c>
      <c r="N44" s="64">
        <f t="shared" si="40"/>
        <v>1073764</v>
      </c>
      <c r="O44" s="64">
        <f t="shared" si="40"/>
        <v>1230893</v>
      </c>
      <c r="P44" s="64">
        <f>P26+P35</f>
        <v>752387</v>
      </c>
      <c r="Q44" s="64">
        <f>Q26*(1-Q41)</f>
        <v>807203</v>
      </c>
      <c r="R44" s="64">
        <f>R26*(1-R41)</f>
        <v>1314820</v>
      </c>
      <c r="S44" s="64">
        <f t="shared" ref="S44:V44" si="41">S29+S35+S42</f>
        <v>1485131</v>
      </c>
      <c r="T44" s="142">
        <f t="shared" si="41"/>
        <v>1542082.5349498442</v>
      </c>
      <c r="U44" s="142">
        <f t="shared" si="41"/>
        <v>1919517.6025902054</v>
      </c>
      <c r="V44" s="142">
        <f t="shared" si="41"/>
        <v>2341369.8720139666</v>
      </c>
      <c r="W44" s="142">
        <f t="shared" ref="W44:AE44" si="42">W29+W35+W42</f>
        <v>2810461.4443540988</v>
      </c>
      <c r="X44" s="142">
        <f t="shared" si="42"/>
        <v>3008064.0089018806</v>
      </c>
      <c r="Y44" s="142">
        <f t="shared" si="42"/>
        <v>3217844.6412416804</v>
      </c>
      <c r="Z44" s="142">
        <f t="shared" si="42"/>
        <v>3420548.137471816</v>
      </c>
      <c r="AA44" s="142">
        <f t="shared" si="42"/>
        <v>3630255.1972562266</v>
      </c>
      <c r="AB44" s="142">
        <f t="shared" si="42"/>
        <v>3847092.3553963173</v>
      </c>
      <c r="AC44" s="142">
        <f t="shared" si="42"/>
        <v>3377274.8314502044</v>
      </c>
      <c r="AD44" s="142">
        <f t="shared" si="42"/>
        <v>3569640.1076629134</v>
      </c>
      <c r="AE44" s="142">
        <f t="shared" si="42"/>
        <v>3773532.4735757634</v>
      </c>
      <c r="AF44" s="65">
        <f>AE44</f>
        <v>3773532.4735757634</v>
      </c>
    </row>
    <row r="45" spans="1:42" s="51" customFormat="1" ht="30" customHeight="1" x14ac:dyDescent="0.25">
      <c r="A45" s="92"/>
      <c r="B45" s="93"/>
      <c r="C45" s="93"/>
      <c r="D45" s="93"/>
      <c r="E45" s="91" t="s">
        <v>25</v>
      </c>
      <c r="F45" s="273">
        <f t="shared" ref="F45:K45" si="43">IFERROR(SUM(F46,F51)/(F44),0)</f>
        <v>0.30068998436225425</v>
      </c>
      <c r="G45" s="273">
        <f t="shared" si="43"/>
        <v>0.78958699015702671</v>
      </c>
      <c r="H45" s="273">
        <f t="shared" si="43"/>
        <v>1.0821182339446715</v>
      </c>
      <c r="I45" s="273">
        <f t="shared" si="43"/>
        <v>1.017343615985588</v>
      </c>
      <c r="J45" s="273">
        <f t="shared" si="43"/>
        <v>0.89570557758819869</v>
      </c>
      <c r="K45" s="273">
        <f t="shared" si="43"/>
        <v>0.76812978553577327</v>
      </c>
      <c r="L45" s="273">
        <f>IFERROR(SUM(L46,L51)/(L44),0)</f>
        <v>0.17221602486929666</v>
      </c>
      <c r="M45" s="273">
        <f t="shared" ref="M45:AB45" si="44">IFERROR(SUM(M46,M51)/(M44),0)</f>
        <v>0.34257154782879723</v>
      </c>
      <c r="N45" s="273">
        <f t="shared" si="44"/>
        <v>0.58891888573466777</v>
      </c>
      <c r="O45" s="273">
        <f t="shared" si="44"/>
        <v>0.47164201822215324</v>
      </c>
      <c r="P45" s="273">
        <f t="shared" si="44"/>
        <v>5.4525548309136369E-2</v>
      </c>
      <c r="Q45" s="273">
        <f t="shared" si="44"/>
        <v>1.5106871793370231</v>
      </c>
      <c r="R45" s="273">
        <f t="shared" si="44"/>
        <v>1.0345404585494218</v>
      </c>
      <c r="S45" s="273">
        <f t="shared" si="44"/>
        <v>0.25254231844890596</v>
      </c>
      <c r="T45" s="274">
        <f t="shared" si="44"/>
        <v>0.18094754198080448</v>
      </c>
      <c r="U45" s="274">
        <f t="shared" si="44"/>
        <v>0.33017225322066596</v>
      </c>
      <c r="V45" s="274">
        <f t="shared" si="44"/>
        <v>0.28549404165488496</v>
      </c>
      <c r="W45" s="274">
        <f t="shared" si="44"/>
        <v>0.25057389787220058</v>
      </c>
      <c r="X45" s="274">
        <f t="shared" si="44"/>
        <v>0.24774144223235722</v>
      </c>
      <c r="Y45" s="274">
        <f t="shared" si="44"/>
        <v>0.24503683215926664</v>
      </c>
      <c r="Z45" s="274">
        <f t="shared" si="44"/>
        <v>0.18835310713241979</v>
      </c>
      <c r="AA45" s="274">
        <f t="shared" si="44"/>
        <v>0.18553557102923751</v>
      </c>
      <c r="AB45" s="274">
        <f t="shared" si="44"/>
        <v>0.18294457114312396</v>
      </c>
      <c r="AC45" s="274">
        <f t="shared" ref="AC45:AE45" si="45">IFERROR(SUM(AC46,AC51)/(AC44),0)</f>
        <v>0.1651099966437361</v>
      </c>
      <c r="AD45" s="274">
        <f t="shared" si="45"/>
        <v>0.2107792985361063</v>
      </c>
      <c r="AE45" s="274">
        <f t="shared" si="45"/>
        <v>0.21060576318444266</v>
      </c>
      <c r="AF45" s="275">
        <f>(AH41-'Capex + K. Giro'!AE10)/(AF55-'Capex + K. Giro'!AE10)</f>
        <v>0.1646514983194674</v>
      </c>
      <c r="AG45" s="93"/>
      <c r="AH45" s="230"/>
      <c r="AI45" s="93"/>
      <c r="AJ45" s="93"/>
      <c r="AK45" s="93"/>
      <c r="AL45" s="93"/>
      <c r="AM45" s="93"/>
    </row>
    <row r="46" spans="1:42" s="51" customFormat="1" ht="30" customHeight="1" x14ac:dyDescent="0.25">
      <c r="A46" s="60"/>
      <c r="E46" s="89" t="s">
        <v>26</v>
      </c>
      <c r="F46" s="67">
        <f>F47-F49</f>
        <v>84413</v>
      </c>
      <c r="G46" s="67">
        <f t="shared" ref="G46:K46" si="46">G47-G49</f>
        <v>198969.99900000001</v>
      </c>
      <c r="H46" s="67">
        <f t="shared" si="46"/>
        <v>249351</v>
      </c>
      <c r="I46" s="67">
        <f t="shared" si="46"/>
        <v>244704.93757600017</v>
      </c>
      <c r="J46" s="67">
        <f t="shared" si="46"/>
        <v>289317.58448272094</v>
      </c>
      <c r="K46" s="67">
        <f t="shared" si="46"/>
        <v>306569.88055000012</v>
      </c>
      <c r="L46" s="67">
        <f>L47-L49</f>
        <v>201294.14160199987</v>
      </c>
      <c r="M46" s="67">
        <f t="shared" ref="M46:S46" si="47">M47-M49</f>
        <v>221347.84228777641</v>
      </c>
      <c r="N46" s="67">
        <f t="shared" si="47"/>
        <v>295786.99842199939</v>
      </c>
      <c r="O46" s="67">
        <f t="shared" si="47"/>
        <v>390401.45873552142</v>
      </c>
      <c r="P46" s="67">
        <f t="shared" si="47"/>
        <v>119349.738715666</v>
      </c>
      <c r="Q46" s="67">
        <f t="shared" si="47"/>
        <v>630501.82322238269</v>
      </c>
      <c r="R46" s="67">
        <f t="shared" si="47"/>
        <v>495202.9607099503</v>
      </c>
      <c r="S46" s="67">
        <f t="shared" si="47"/>
        <v>308254.62594034325</v>
      </c>
      <c r="T46" s="143">
        <f t="shared" ref="T46:AB46" si="48">T47-T49</f>
        <v>370082.71864219476</v>
      </c>
      <c r="U46" s="143">
        <f t="shared" si="48"/>
        <v>384537.98390669643</v>
      </c>
      <c r="V46" s="143">
        <f t="shared" si="48"/>
        <v>404861.13577581721</v>
      </c>
      <c r="W46" s="143">
        <f t="shared" si="48"/>
        <v>426710.89501313551</v>
      </c>
      <c r="X46" s="143">
        <f t="shared" si="48"/>
        <v>447927.56896913773</v>
      </c>
      <c r="Y46" s="143">
        <f t="shared" si="48"/>
        <v>472873.91561528889</v>
      </c>
      <c r="Z46" s="143">
        <f t="shared" si="48"/>
        <v>339301.93272340077</v>
      </c>
      <c r="AA46" s="143">
        <f t="shared" si="48"/>
        <v>358035.61981336086</v>
      </c>
      <c r="AB46" s="143">
        <f t="shared" si="48"/>
        <v>377571.52322662249</v>
      </c>
      <c r="AC46" s="143">
        <f t="shared" ref="AC46:AE46" si="49">AC47-AC49</f>
        <v>392465.97441435372</v>
      </c>
      <c r="AD46" s="143">
        <f t="shared" si="49"/>
        <v>413323.22817863408</v>
      </c>
      <c r="AE46" s="143">
        <f t="shared" si="49"/>
        <v>435325.83155854302</v>
      </c>
      <c r="AF46" s="68"/>
    </row>
    <row r="47" spans="1:42" s="51" customFormat="1" ht="30" customHeight="1" x14ac:dyDescent="0.25">
      <c r="A47" s="60"/>
      <c r="E47" s="95" t="s">
        <v>27</v>
      </c>
      <c r="F47" s="67">
        <f>'Capex + K. Giro'!F13</f>
        <v>160200</v>
      </c>
      <c r="G47" s="67">
        <f>'Capex + K. Giro'!G13</f>
        <v>296606.99900000001</v>
      </c>
      <c r="H47" s="67">
        <f>'Capex + K. Giro'!H13</f>
        <v>382300</v>
      </c>
      <c r="I47" s="67">
        <f>'Capex + K. Giro'!I13</f>
        <v>412141.93757600017</v>
      </c>
      <c r="J47" s="67">
        <f>'Capex + K. Giro'!J13</f>
        <v>502049.58448272094</v>
      </c>
      <c r="K47" s="67">
        <f>'Capex + K. Giro'!K13</f>
        <v>571349.88055000012</v>
      </c>
      <c r="L47" s="67">
        <f>'Capex + K. Giro'!L13</f>
        <v>512555.14160199987</v>
      </c>
      <c r="M47" s="67">
        <f>'Capex + K. Giro'!M13</f>
        <v>550398.84228777641</v>
      </c>
      <c r="N47" s="67">
        <f>'Capex + K. Giro'!N13</f>
        <v>610360.99842199939</v>
      </c>
      <c r="O47" s="67">
        <f>'Capex + K. Giro'!O13</f>
        <v>751331.45873552142</v>
      </c>
      <c r="P47" s="67">
        <f>'Capex + K. Giro'!P13</f>
        <v>543976.738715666</v>
      </c>
      <c r="Q47" s="67">
        <f>'Capex + K. Giro'!Q13</f>
        <v>1088071.8232223827</v>
      </c>
      <c r="R47" s="67">
        <f>'Capex + K. Giro'!R13</f>
        <v>995064.9607099503</v>
      </c>
      <c r="S47" s="67">
        <f>'Capex + K. Giro'!S13</f>
        <v>888817.62594034325</v>
      </c>
      <c r="T47" s="143">
        <f>'Capex + K. Giro'!T13</f>
        <v>1005110.3044054013</v>
      </c>
      <c r="U47" s="143">
        <f>'Capex + K. Giro'!U13</f>
        <v>1065600.7771576438</v>
      </c>
      <c r="V47" s="143">
        <f>'Capex + K. Giro'!V13</f>
        <v>1134610.1542299406</v>
      </c>
      <c r="W47" s="143">
        <f>'Capex + K. Giro'!W13</f>
        <v>1207719.3628932913</v>
      </c>
      <c r="X47" s="143">
        <f>'Capex + K. Giro'!X13</f>
        <v>1283848.4700003273</v>
      </c>
      <c r="Y47" s="143">
        <f>'Capex + K. Giro'!Y13</f>
        <v>1367091.4535150519</v>
      </c>
      <c r="Z47" s="143">
        <f>'Capex + K. Giro'!Z13</f>
        <v>1289849.4186260735</v>
      </c>
      <c r="AA47" s="143">
        <f>'Capex + K. Giro'!AA13</f>
        <v>1366859.2972627622</v>
      </c>
      <c r="AB47" s="143">
        <f>'Capex + K. Giro'!AB13</f>
        <v>1446652.7989429161</v>
      </c>
      <c r="AC47" s="143">
        <f>'Capex + K. Giro'!AC13</f>
        <v>1492052.7212446705</v>
      </c>
      <c r="AD47" s="143">
        <f>'Capex + K. Giro'!AD13</f>
        <v>1575541.0366874638</v>
      </c>
      <c r="AE47" s="143">
        <f>'Capex + K. Giro'!AE13</f>
        <v>1663927.7380536706</v>
      </c>
      <c r="AF47" s="68"/>
    </row>
    <row r="48" spans="1:42" ht="30" customHeight="1" x14ac:dyDescent="0.25">
      <c r="A48" s="60"/>
      <c r="B48" s="51"/>
      <c r="C48" s="51"/>
      <c r="D48" s="51"/>
      <c r="E48" s="434" t="s">
        <v>34</v>
      </c>
      <c r="F48" s="436">
        <f t="shared" ref="F48:AB48" si="50">F47/F12</f>
        <v>5.8226215753934996E-2</v>
      </c>
      <c r="G48" s="436">
        <f t="shared" si="50"/>
        <v>9.1586555744357881E-2</v>
      </c>
      <c r="H48" s="436">
        <f t="shared" si="50"/>
        <v>9.8977141277118388E-2</v>
      </c>
      <c r="I48" s="436">
        <f t="shared" si="50"/>
        <v>9.4304577957535496E-2</v>
      </c>
      <c r="J48" s="436">
        <f t="shared" si="50"/>
        <v>9.6236708278744698E-2</v>
      </c>
      <c r="K48" s="436">
        <f t="shared" si="50"/>
        <v>9.2975015703318287E-2</v>
      </c>
      <c r="L48" s="436">
        <f t="shared" si="50"/>
        <v>7.9446476753749218E-2</v>
      </c>
      <c r="M48" s="436">
        <f t="shared" si="50"/>
        <v>7.3935557756939885E-2</v>
      </c>
      <c r="N48" s="436">
        <f t="shared" si="50"/>
        <v>7.2433160702831609E-2</v>
      </c>
      <c r="O48" s="436">
        <f t="shared" si="50"/>
        <v>7.8358074286301455E-2</v>
      </c>
      <c r="P48" s="436">
        <f t="shared" si="50"/>
        <v>7.2172448941867653E-2</v>
      </c>
      <c r="Q48" s="436">
        <f t="shared" si="50"/>
        <v>0.10292447235036949</v>
      </c>
      <c r="R48" s="436">
        <f t="shared" si="50"/>
        <v>7.4979631414395786E-2</v>
      </c>
      <c r="S48" s="436">
        <f t="shared" si="50"/>
        <v>6.5125106963034488E-2</v>
      </c>
      <c r="T48" s="437">
        <f t="shared" si="50"/>
        <v>6.8840616661481516E-2</v>
      </c>
      <c r="U48" s="437">
        <f t="shared" si="50"/>
        <v>6.8050448443055786E-2</v>
      </c>
      <c r="V48" s="437">
        <f t="shared" si="50"/>
        <v>6.7623362940618159E-2</v>
      </c>
      <c r="W48" s="437">
        <f t="shared" si="50"/>
        <v>6.7256444512905827E-2</v>
      </c>
      <c r="X48" s="437">
        <f t="shared" si="50"/>
        <v>6.6799344648719713E-2</v>
      </c>
      <c r="Y48" s="437">
        <f t="shared" si="50"/>
        <v>6.6493317774163591E-2</v>
      </c>
      <c r="Z48" s="437">
        <f t="shared" si="50"/>
        <v>5.9018587723145999E-2</v>
      </c>
      <c r="AA48" s="437">
        <f t="shared" si="50"/>
        <v>5.8929419446553361E-2</v>
      </c>
      <c r="AB48" s="437">
        <f t="shared" si="50"/>
        <v>5.8854165555249895E-2</v>
      </c>
      <c r="AC48" s="437">
        <f t="shared" ref="AC48:AE48" si="51">AC47/AC12</f>
        <v>5.901715779957515E-2</v>
      </c>
      <c r="AD48" s="437">
        <f t="shared" si="51"/>
        <v>5.8961131825818025E-2</v>
      </c>
      <c r="AE48" s="437">
        <f t="shared" si="51"/>
        <v>5.8904285828033809E-2</v>
      </c>
      <c r="AF48" s="68"/>
      <c r="AG48" s="51"/>
      <c r="AH48" s="51"/>
      <c r="AI48" s="51"/>
      <c r="AJ48" s="51"/>
      <c r="AK48" s="51"/>
      <c r="AL48" s="51"/>
      <c r="AM48" s="51"/>
      <c r="AN48" s="51"/>
      <c r="AO48" s="51"/>
      <c r="AP48" s="51"/>
    </row>
    <row r="49" spans="1:42" ht="30" customHeight="1" x14ac:dyDescent="0.25">
      <c r="A49" s="60"/>
      <c r="B49" s="51"/>
      <c r="C49" s="51"/>
      <c r="D49" s="51"/>
      <c r="E49" s="95" t="s">
        <v>28</v>
      </c>
      <c r="F49" s="67">
        <v>75787</v>
      </c>
      <c r="G49" s="67">
        <v>97637</v>
      </c>
      <c r="H49" s="67">
        <v>132949</v>
      </c>
      <c r="I49" s="67">
        <v>167437</v>
      </c>
      <c r="J49" s="67">
        <v>212732</v>
      </c>
      <c r="K49" s="67">
        <v>264780</v>
      </c>
      <c r="L49" s="67">
        <v>311261</v>
      </c>
      <c r="M49" s="67">
        <v>329051</v>
      </c>
      <c r="N49" s="67">
        <v>314574</v>
      </c>
      <c r="O49" s="67">
        <f>257542+90558+12830</f>
        <v>360930</v>
      </c>
      <c r="P49" s="67">
        <f>278040+131873+14714</f>
        <v>424627</v>
      </c>
      <c r="Q49" s="67">
        <f>916070-Q42</f>
        <v>457570</v>
      </c>
      <c r="R49" s="67">
        <f>1041025-R42</f>
        <v>499862</v>
      </c>
      <c r="S49" s="67">
        <f>1041025-S42</f>
        <v>580563</v>
      </c>
      <c r="T49" s="143">
        <f t="shared" ref="T49:AB49" si="52">T50*T12</f>
        <v>635027.58576320659</v>
      </c>
      <c r="U49" s="143">
        <f t="shared" si="52"/>
        <v>681062.79325094738</v>
      </c>
      <c r="V49" s="143">
        <f t="shared" si="52"/>
        <v>729749.0184541234</v>
      </c>
      <c r="W49" s="143">
        <f t="shared" si="52"/>
        <v>781008.46788015577</v>
      </c>
      <c r="X49" s="143">
        <f t="shared" si="52"/>
        <v>835920.9010311896</v>
      </c>
      <c r="Y49" s="143">
        <f t="shared" si="52"/>
        <v>894217.53789976297</v>
      </c>
      <c r="Z49" s="143">
        <f t="shared" si="52"/>
        <v>950547.48590267275</v>
      </c>
      <c r="AA49" s="143">
        <f t="shared" si="52"/>
        <v>1008823.6774494014</v>
      </c>
      <c r="AB49" s="143">
        <f t="shared" si="52"/>
        <v>1069081.2757162936</v>
      </c>
      <c r="AC49" s="143">
        <f t="shared" ref="AC49:AE49" si="53">AC50*AC12</f>
        <v>1099586.7468303167</v>
      </c>
      <c r="AD49" s="143">
        <f t="shared" si="53"/>
        <v>1162217.8085088297</v>
      </c>
      <c r="AE49" s="143">
        <f t="shared" si="53"/>
        <v>1228601.9064951276</v>
      </c>
      <c r="AF49" s="68"/>
      <c r="AG49" s="51"/>
      <c r="AH49" s="51"/>
      <c r="AI49" s="51"/>
      <c r="AJ49" s="51"/>
      <c r="AK49" s="51"/>
      <c r="AL49" s="51"/>
      <c r="AM49" s="51"/>
      <c r="AN49" s="51"/>
      <c r="AO49" s="51"/>
      <c r="AP49" s="51"/>
    </row>
    <row r="50" spans="1:42" ht="30" customHeight="1" x14ac:dyDescent="0.25">
      <c r="A50" s="60"/>
      <c r="B50" s="51"/>
      <c r="C50" s="51"/>
      <c r="D50" s="51"/>
      <c r="E50" s="434" t="s">
        <v>34</v>
      </c>
      <c r="F50" s="436">
        <f t="shared" ref="F50:S50" si="54">F49/F12</f>
        <v>2.7545506949709558E-2</v>
      </c>
      <c r="G50" s="436">
        <f t="shared" si="54"/>
        <v>3.0148434033452697E-2</v>
      </c>
      <c r="H50" s="436">
        <f t="shared" si="54"/>
        <v>3.4420381783028024E-2</v>
      </c>
      <c r="I50" s="436">
        <f t="shared" si="54"/>
        <v>3.8312227366000907E-2</v>
      </c>
      <c r="J50" s="436">
        <f t="shared" si="54"/>
        <v>4.0778098535122931E-2</v>
      </c>
      <c r="K50" s="436">
        <f t="shared" si="54"/>
        <v>4.3087301662208442E-2</v>
      </c>
      <c r="L50" s="436">
        <f t="shared" si="54"/>
        <v>4.8245716009323612E-2</v>
      </c>
      <c r="M50" s="436">
        <f t="shared" si="54"/>
        <v>4.4201708554391581E-2</v>
      </c>
      <c r="N50" s="436">
        <f t="shared" si="54"/>
        <v>3.7331332037665275E-2</v>
      </c>
      <c r="O50" s="436">
        <f t="shared" si="54"/>
        <v>3.7642214262866826E-2</v>
      </c>
      <c r="P50" s="436">
        <f t="shared" si="54"/>
        <v>5.6337648828872336E-2</v>
      </c>
      <c r="Q50" s="436">
        <f t="shared" si="54"/>
        <v>4.328312691149723E-2</v>
      </c>
      <c r="R50" s="436">
        <f t="shared" si="54"/>
        <v>3.766534849274783E-2</v>
      </c>
      <c r="S50" s="436">
        <f t="shared" si="54"/>
        <v>4.2538791277658479E-2</v>
      </c>
      <c r="T50" s="437">
        <f>AVERAGE(O50:S50)</f>
        <v>4.3493425954728535E-2</v>
      </c>
      <c r="U50" s="437">
        <f t="shared" ref="U50:AB50" si="55">T50</f>
        <v>4.3493425954728535E-2</v>
      </c>
      <c r="V50" s="437">
        <f t="shared" si="55"/>
        <v>4.3493425954728535E-2</v>
      </c>
      <c r="W50" s="437">
        <f t="shared" si="55"/>
        <v>4.3493425954728535E-2</v>
      </c>
      <c r="X50" s="437">
        <f t="shared" si="55"/>
        <v>4.3493425954728535E-2</v>
      </c>
      <c r="Y50" s="437">
        <f t="shared" si="55"/>
        <v>4.3493425954728535E-2</v>
      </c>
      <c r="Z50" s="437">
        <f t="shared" si="55"/>
        <v>4.3493425954728535E-2</v>
      </c>
      <c r="AA50" s="437">
        <f t="shared" si="55"/>
        <v>4.3493425954728535E-2</v>
      </c>
      <c r="AB50" s="437">
        <f t="shared" si="55"/>
        <v>4.3493425954728535E-2</v>
      </c>
      <c r="AC50" s="437">
        <f t="shared" ref="AC50" si="56">AB50</f>
        <v>4.3493425954728535E-2</v>
      </c>
      <c r="AD50" s="437">
        <f t="shared" ref="AD50" si="57">AC50</f>
        <v>4.3493425954728535E-2</v>
      </c>
      <c r="AE50" s="437">
        <f t="shared" ref="AE50" si="58">AD50</f>
        <v>4.3493425954728535E-2</v>
      </c>
      <c r="AF50" s="90"/>
      <c r="AG50" s="51"/>
      <c r="AH50" s="51"/>
      <c r="AI50" s="51"/>
      <c r="AJ50" s="51"/>
      <c r="AK50" s="51"/>
      <c r="AL50" s="51"/>
      <c r="AM50" s="51"/>
      <c r="AN50" s="51"/>
      <c r="AO50" s="51"/>
      <c r="AP50" s="51"/>
    </row>
    <row r="51" spans="1:42" ht="30" customHeight="1" x14ac:dyDescent="0.25">
      <c r="A51" s="60"/>
      <c r="B51" s="51"/>
      <c r="C51" s="51"/>
      <c r="D51" s="51"/>
      <c r="E51" s="89" t="s">
        <v>35</v>
      </c>
      <c r="F51" s="67" t="s">
        <v>21</v>
      </c>
      <c r="G51" s="67">
        <f>'Capex + K. Giro'!G11-'Capex + K. Giro'!F11</f>
        <v>64868.125</v>
      </c>
      <c r="H51" s="67">
        <f>'Capex + K. Giro'!H11-'Capex + K. Giro'!G11</f>
        <v>189806.125</v>
      </c>
      <c r="I51" s="67">
        <f>'Capex + K. Giro'!I11-'Capex + K. Giro'!H11</f>
        <v>238663.50000000023</v>
      </c>
      <c r="J51" s="67">
        <f>'Capex + K. Giro'!J11-'Capex + K. Giro'!I11</f>
        <v>217020.29999999981</v>
      </c>
      <c r="K51" s="67">
        <f>'Capex + K. Giro'!K11-'Capex + K. Giro'!J11</f>
        <v>218388.45000000019</v>
      </c>
      <c r="L51" s="67">
        <f>'Capex + K. Giro'!L11-'Capex + K. Giro'!K11</f>
        <v>-75857.5</v>
      </c>
      <c r="M51" s="67">
        <f>'Capex + K. Giro'!M11-'Capex + K. Giro'!L11</f>
        <v>58115.174999999814</v>
      </c>
      <c r="N51" s="67">
        <f>'Capex + K. Giro'!N11-'Capex + K. Giro'!M11</f>
        <v>336572.90000000037</v>
      </c>
      <c r="O51" s="67">
        <f>'Capex + K. Giro'!O11-'Capex + K. Giro'!N11</f>
        <v>190139.39999999944</v>
      </c>
      <c r="P51" s="67">
        <f>'Capex + K. Giro'!P11-'Capex + K. Giro'!O11</f>
        <v>-78325.424999999814</v>
      </c>
      <c r="Q51" s="67">
        <f>'Capex + K. Giro'!Q11-'Capex + K. Giro'!P11</f>
        <v>588929.40000000037</v>
      </c>
      <c r="R51" s="67">
        <f>'Capex + K. Giro'!R11-'Capex + K. Giro'!Q11</f>
        <v>865031.52500000037</v>
      </c>
      <c r="S51" s="67">
        <f>'Capex + K. Giro'!S11-'Capex + K. Giro'!R11</f>
        <v>66803.799999998882</v>
      </c>
      <c r="T51" s="143">
        <f>'Capex + K. Giro'!T11-'Capex + K. Giro'!S11</f>
        <v>-91046.674411492422</v>
      </c>
      <c r="U51" s="143">
        <f>'Capex + K. Giro'!U11-'Capex + K. Giro'!T11</f>
        <v>249233.46803724254</v>
      </c>
      <c r="V51" s="143">
        <f>'Capex + K. Giro'!V11-'Capex + K. Giro'!U11</f>
        <v>263586.0119944308</v>
      </c>
      <c r="W51" s="143">
        <f>'Capex + K. Giro'!W11-'Capex + K. Giro'!V11</f>
        <v>277517.38391820574</v>
      </c>
      <c r="X51" s="143">
        <f>'Capex + K. Giro'!X11-'Capex + K. Giro'!W11</f>
        <v>297294.54692346044</v>
      </c>
      <c r="Y51" s="143">
        <f>'Capex + K. Giro'!Y11-'Capex + K. Giro'!X11</f>
        <v>315616.54165524431</v>
      </c>
      <c r="Z51" s="143">
        <f>'Capex + K. Giro'!Z11-'Capex + K. Giro'!Y11</f>
        <v>304968.93706542719</v>
      </c>
      <c r="AA51" s="143">
        <f>'Capex + K. Giro'!AA11-'Capex + K. Giro'!Z11</f>
        <v>315505.85119143035</v>
      </c>
      <c r="AB51" s="143">
        <f>'Capex + K. Giro'!AB11-'Capex + K. Giro'!AA11</f>
        <v>326233.13787934743</v>
      </c>
      <c r="AC51" s="143">
        <f>'Capex + K. Giro'!AC11-'Capex + K. Giro'!AB11</f>
        <v>165155.86167136393</v>
      </c>
      <c r="AD51" s="143">
        <f>'Capex + K. Giro'!AD11-'Capex + K. Giro'!AC11</f>
        <v>339083.00974090584</v>
      </c>
      <c r="AE51" s="143">
        <f>'Capex + K. Giro'!AE11-'Capex + K. Giro'!AD11</f>
        <v>359401.85494015832</v>
      </c>
      <c r="AF51" s="68"/>
      <c r="AG51" s="51"/>
      <c r="AH51" s="51"/>
      <c r="AI51" s="51"/>
      <c r="AJ51" s="51"/>
      <c r="AK51" s="51"/>
      <c r="AL51" s="51"/>
      <c r="AM51" s="51"/>
      <c r="AN51" s="51"/>
      <c r="AO51" s="51"/>
      <c r="AP51" s="51"/>
    </row>
    <row r="52" spans="1:42" s="94" customFormat="1" ht="30" customHeight="1" x14ac:dyDescent="0.25">
      <c r="A52" s="92"/>
      <c r="B52" s="93"/>
      <c r="C52" s="93"/>
      <c r="D52" s="93"/>
      <c r="E52" s="91" t="s">
        <v>50</v>
      </c>
      <c r="F52" s="64">
        <f t="shared" ref="F52:K52" si="59">(F44)*(1-F45)</f>
        <v>196318</v>
      </c>
      <c r="G52" s="64">
        <f t="shared" si="59"/>
        <v>70308.875999999989</v>
      </c>
      <c r="H52" s="64">
        <f t="shared" si="59"/>
        <v>-33326.125</v>
      </c>
      <c r="I52" s="64">
        <f t="shared" si="59"/>
        <v>-8240.4375760004459</v>
      </c>
      <c r="J52" s="64">
        <f t="shared" si="59"/>
        <v>58957.115517279221</v>
      </c>
      <c r="K52" s="64">
        <f t="shared" si="59"/>
        <v>158465.6694499997</v>
      </c>
      <c r="L52" s="64">
        <f>(L44)*(1-L45)</f>
        <v>602931.35839800013</v>
      </c>
      <c r="M52" s="64">
        <f t="shared" ref="M52:AB52" si="60">(M44)*(1-M45)</f>
        <v>536316.98271222389</v>
      </c>
      <c r="N52" s="64">
        <f t="shared" si="60"/>
        <v>441404.10157800018</v>
      </c>
      <c r="O52" s="64">
        <f t="shared" si="60"/>
        <v>650352.14126447914</v>
      </c>
      <c r="P52" s="64">
        <f t="shared" si="60"/>
        <v>711362.68628433382</v>
      </c>
      <c r="Q52" s="64">
        <f t="shared" si="60"/>
        <v>-412228.22322238307</v>
      </c>
      <c r="R52" s="64">
        <f t="shared" si="60"/>
        <v>-45414.48570995075</v>
      </c>
      <c r="S52" s="64">
        <f t="shared" si="60"/>
        <v>1110072.5740596578</v>
      </c>
      <c r="T52" s="142">
        <f t="shared" si="60"/>
        <v>1263046.4907191419</v>
      </c>
      <c r="U52" s="142">
        <f t="shared" si="60"/>
        <v>1285746.1506462665</v>
      </c>
      <c r="V52" s="142">
        <f t="shared" si="60"/>
        <v>1672922.7242437184</v>
      </c>
      <c r="W52" s="142">
        <f t="shared" si="60"/>
        <v>2106233.1654227576</v>
      </c>
      <c r="X52" s="142">
        <f t="shared" si="60"/>
        <v>2262841.8930092826</v>
      </c>
      <c r="Y52" s="142">
        <f t="shared" si="60"/>
        <v>2429354.1839711471</v>
      </c>
      <c r="Z52" s="142">
        <f t="shared" si="60"/>
        <v>2776277.2676829882</v>
      </c>
      <c r="AA52" s="142">
        <f t="shared" si="60"/>
        <v>2956713.7262514355</v>
      </c>
      <c r="AB52" s="142">
        <f t="shared" si="60"/>
        <v>3143287.6942903479</v>
      </c>
      <c r="AC52" s="142">
        <f t="shared" ref="AC52:AE52" si="61">(AC44)*(1-AC45)</f>
        <v>2819652.9953644867</v>
      </c>
      <c r="AD52" s="142">
        <f t="shared" si="61"/>
        <v>2817233.8697433732</v>
      </c>
      <c r="AE52" s="142">
        <f t="shared" si="61"/>
        <v>2978804.7870770618</v>
      </c>
      <c r="AF52" s="65">
        <f>(AF44)*(1-AF45)</f>
        <v>3152214.6978443479</v>
      </c>
      <c r="AG52" s="93"/>
      <c r="AH52" s="93"/>
      <c r="AI52" s="93"/>
      <c r="AJ52" s="93"/>
      <c r="AK52" s="93"/>
      <c r="AL52" s="93"/>
      <c r="AM52" s="93"/>
      <c r="AN52" s="93"/>
      <c r="AO52" s="93"/>
      <c r="AP52" s="93"/>
    </row>
    <row r="53" spans="1:42" s="94" customFormat="1" ht="30" customHeight="1" x14ac:dyDescent="0.25">
      <c r="A53" s="92"/>
      <c r="B53" s="93"/>
      <c r="C53" s="93"/>
      <c r="D53" s="93"/>
      <c r="E53" s="87" t="s">
        <v>380</v>
      </c>
      <c r="F53" s="327">
        <v>0</v>
      </c>
      <c r="G53" s="327">
        <v>0</v>
      </c>
      <c r="H53" s="327">
        <v>0</v>
      </c>
      <c r="I53" s="327">
        <v>0</v>
      </c>
      <c r="J53" s="327">
        <v>0</v>
      </c>
      <c r="K53" s="327">
        <v>0</v>
      </c>
      <c r="L53" s="327">
        <v>0</v>
      </c>
      <c r="M53" s="327">
        <v>0</v>
      </c>
      <c r="N53" s="327">
        <v>0</v>
      </c>
      <c r="O53" s="327">
        <v>0</v>
      </c>
      <c r="P53" s="327">
        <v>0</v>
      </c>
      <c r="Q53" s="327">
        <v>0</v>
      </c>
      <c r="R53" s="327">
        <v>0</v>
      </c>
      <c r="S53" s="327"/>
      <c r="T53" s="280">
        <f>WACC!F21</f>
        <v>1.1482845479356729</v>
      </c>
      <c r="U53" s="280">
        <f>WACC!G21</f>
        <v>1.3155544329258999</v>
      </c>
      <c r="V53" s="280">
        <f>WACC!H21</f>
        <v>1.5079753006108112</v>
      </c>
      <c r="W53" s="280">
        <f>WACC!I21</f>
        <v>1.7300880061224324</v>
      </c>
      <c r="X53" s="280">
        <f>WACC!J21</f>
        <v>1.9849710485780161</v>
      </c>
      <c r="Y53" s="280">
        <f>WACC!K21</f>
        <v>2.2755748453925073</v>
      </c>
      <c r="Z53" s="280">
        <f>WACC!L21</f>
        <v>2.6056577751099268</v>
      </c>
      <c r="AA53" s="280">
        <f>WACC!M21</f>
        <v>2.980127286498329</v>
      </c>
      <c r="AB53" s="280">
        <f>WACC!N21</f>
        <v>3.4056657470172018</v>
      </c>
      <c r="AC53" s="280">
        <f>WACC!O21</f>
        <v>3.8915898734600045</v>
      </c>
      <c r="AD53" s="280">
        <f>WACC!P21</f>
        <v>4.4502408532216391</v>
      </c>
      <c r="AE53" s="280">
        <f>AD53*(1+WACC!P20)</f>
        <v>5.0890880837025598</v>
      </c>
      <c r="AF53" s="281">
        <f>AE53</f>
        <v>5.0890880837025598</v>
      </c>
      <c r="AG53" s="93"/>
      <c r="AH53" s="93"/>
      <c r="AI53" s="93"/>
      <c r="AJ53" s="93"/>
      <c r="AK53" s="93"/>
      <c r="AL53" s="93"/>
      <c r="AM53" s="93"/>
      <c r="AN53" s="93"/>
      <c r="AO53" s="93"/>
      <c r="AP53" s="93"/>
    </row>
    <row r="54" spans="1:42" s="94" customFormat="1" ht="30" customHeight="1" x14ac:dyDescent="0.25">
      <c r="A54" s="92"/>
      <c r="B54" s="93"/>
      <c r="C54" s="93"/>
      <c r="D54" s="93"/>
      <c r="E54" s="91" t="s">
        <v>381</v>
      </c>
      <c r="F54" s="67">
        <v>0</v>
      </c>
      <c r="G54" s="67">
        <v>0</v>
      </c>
      <c r="H54" s="67">
        <v>0</v>
      </c>
      <c r="I54" s="67">
        <v>0</v>
      </c>
      <c r="J54" s="67">
        <v>0</v>
      </c>
      <c r="K54" s="67">
        <v>0</v>
      </c>
      <c r="L54" s="67">
        <v>0</v>
      </c>
      <c r="M54" s="67">
        <v>0</v>
      </c>
      <c r="N54" s="67">
        <v>0</v>
      </c>
      <c r="O54" s="67">
        <v>0</v>
      </c>
      <c r="P54" s="67">
        <v>0</v>
      </c>
      <c r="Q54" s="67">
        <v>0</v>
      </c>
      <c r="R54" s="67">
        <v>0</v>
      </c>
      <c r="S54" s="67"/>
      <c r="T54" s="142">
        <f>T52/T53</f>
        <v>1099942.077065987</v>
      </c>
      <c r="U54" s="142">
        <f t="shared" ref="U54:AB54" si="62">U52/U53</f>
        <v>977341.65798572288</v>
      </c>
      <c r="V54" s="142">
        <f t="shared" si="62"/>
        <v>1109383.3722383215</v>
      </c>
      <c r="W54" s="142">
        <f t="shared" si="62"/>
        <v>1217413.8875994883</v>
      </c>
      <c r="X54" s="142">
        <f t="shared" si="62"/>
        <v>1139987.3537855004</v>
      </c>
      <c r="Y54" s="142">
        <f t="shared" si="62"/>
        <v>1067578.2380395029</v>
      </c>
      <c r="Z54" s="142">
        <f t="shared" si="62"/>
        <v>1065480.392015741</v>
      </c>
      <c r="AA54" s="142">
        <f t="shared" si="62"/>
        <v>992143.43617033737</v>
      </c>
      <c r="AB54" s="142">
        <f t="shared" si="62"/>
        <v>922958.36637619138</v>
      </c>
      <c r="AC54" s="142">
        <f t="shared" ref="AC54:AE54" si="63">AC52/AC53</f>
        <v>724550.39894980995</v>
      </c>
      <c r="AD54" s="142">
        <f t="shared" si="63"/>
        <v>633051.99935502547</v>
      </c>
      <c r="AE54" s="142">
        <f t="shared" si="63"/>
        <v>585331.74079192511</v>
      </c>
      <c r="AF54" s="65">
        <f>AF52*(1+AH41)/((WACC!P20-AH41)*(AF53))</f>
        <v>9080231.9545595199</v>
      </c>
      <c r="AG54" s="93"/>
      <c r="AH54" s="93"/>
      <c r="AI54" s="93"/>
      <c r="AJ54" s="93"/>
      <c r="AK54" s="93"/>
      <c r="AL54" s="93"/>
      <c r="AM54" s="93"/>
      <c r="AN54" s="93"/>
      <c r="AO54" s="93"/>
      <c r="AP54" s="93"/>
    </row>
    <row r="55" spans="1:42" s="94" customFormat="1" ht="30" customHeight="1" thickBot="1" x14ac:dyDescent="0.3">
      <c r="A55" s="92"/>
      <c r="B55" s="93"/>
      <c r="C55" s="93"/>
      <c r="D55" s="93"/>
      <c r="E55" s="324" t="s">
        <v>29</v>
      </c>
      <c r="F55" s="82">
        <f>F44/('Balanço Patrimonial'!F84+'Balanço Patrimonial'!F71+'Balanço Patrimonial'!F53+'Balanço Patrimonial'!F66+'Balanço Patrimonial'!F77-'Balanço Patrimonial'!F15)</f>
        <v>0.26410991592175026</v>
      </c>
      <c r="G55" s="82">
        <f>G44/('Balanço Patrimonial'!G84+'Balanço Patrimonial'!G71+'Balanço Patrimonial'!G53+'Balanço Patrimonial'!G66+'Balanço Patrimonial'!G77-'Balanço Patrimonial'!G15)</f>
        <v>0.22047313140621769</v>
      </c>
      <c r="H55" s="82">
        <f>H44/('Balanço Patrimonial'!H84+'Balanço Patrimonial'!H71+'Balanço Patrimonial'!H53+'Balanço Patrimonial'!H66+'Balanço Patrimonial'!H77-'Balanço Patrimonial'!H15)</f>
        <v>0.19537869832939903</v>
      </c>
      <c r="I55" s="82">
        <f>I44/('Balanço Patrimonial'!I84+'Balanço Patrimonial'!I71+'Balanço Patrimonial'!I53+'Balanço Patrimonial'!I66+'Balanço Patrimonial'!I77-'Balanço Patrimonial'!I15)</f>
        <v>0.18391831860176741</v>
      </c>
      <c r="J55" s="82">
        <f>J44/('Balanço Patrimonial'!J84+'Balanço Patrimonial'!J71+'Balanço Patrimonial'!J53+'Balanço Patrimonial'!J66+'Balanço Patrimonial'!J77-'Balanço Patrimonial'!J15)</f>
        <v>0.18218417652136654</v>
      </c>
      <c r="K55" s="82">
        <f>K44/('Balanço Patrimonial'!K84+'Balanço Patrimonial'!K71+'Balanço Patrimonial'!K53+'Balanço Patrimonial'!K66+'Balanço Patrimonial'!K77-'Balanço Patrimonial'!K15)</f>
        <v>0.18827050645673671</v>
      </c>
      <c r="L55" s="82">
        <f>L44/('Balanço Patrimonial'!L84+'Balanço Patrimonial'!L71+'Balanço Patrimonial'!L53+'Balanço Patrimonial'!L66+'Balanço Patrimonial'!L77-'Balanço Patrimonial'!L15)</f>
        <v>0.18925425882038879</v>
      </c>
      <c r="M55" s="82">
        <f>M44/('Balanço Patrimonial'!M84+'Balanço Patrimonial'!M71+'Balanço Patrimonial'!M53+'Balanço Patrimonial'!M66+'Balanço Patrimonial'!M77-'Balanço Patrimonial'!M15)</f>
        <v>0.19437065967529857</v>
      </c>
      <c r="N55" s="82">
        <f>N44/('Balanço Patrimonial'!N84+'Balanço Patrimonial'!N71+'Balanço Patrimonial'!N53+'Balanço Patrimonial'!N66+'Balanço Patrimonial'!N77-'Balanço Patrimonial'!N15)</f>
        <v>0.22663449768669874</v>
      </c>
      <c r="O55" s="82">
        <f>O44/('Balanço Patrimonial'!O84+'Balanço Patrimonial'!O71+'Balanço Patrimonial'!O53+'Balanço Patrimonial'!O66+'Balanço Patrimonial'!O77-'Balanço Patrimonial'!O15)</f>
        <v>0.17729011667838027</v>
      </c>
      <c r="P55" s="82">
        <f>P44/('Balanço Patrimonial'!P84+'Balanço Patrimonial'!P71+'Balanço Patrimonial'!P53+'Balanço Patrimonial'!P66+'Balanço Patrimonial'!P77-'Balanço Patrimonial'!P15)</f>
        <v>9.103556988386291E-2</v>
      </c>
      <c r="Q55" s="82">
        <f>Q44/('Balanço Patrimonial'!Q84+'Balanço Patrimonial'!Q71+'Balanço Patrimonial'!Q53+'Balanço Patrimonial'!Q66+'Balanço Patrimonial'!Q77-'Balanço Patrimonial'!Q15)</f>
        <v>7.8739636721521192E-2</v>
      </c>
      <c r="R55" s="82">
        <f>R44/('Balanço Patrimonial'!R84+'Balanço Patrimonial'!R71+'Balanço Patrimonial'!R53+'Balanço Patrimonial'!R66+'Balanço Patrimonial'!R77-'Balanço Patrimonial'!R15)</f>
        <v>0.10749813052839209</v>
      </c>
      <c r="S55" s="82">
        <f>S44/('Balanço Patrimonial'!S84+'Balanço Patrimonial'!S71+'Balanço Patrimonial'!S53+'Balanço Patrimonial'!S66+'Balanço Patrimonial'!S77-'Balanço Patrimonial'!S15)</f>
        <v>0.12423983820681728</v>
      </c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179">
        <f>AVERAGE(M55:O55,R55)</f>
        <v>0.1764483511421924</v>
      </c>
      <c r="AG55" s="93"/>
      <c r="AH55" s="93"/>
      <c r="AI55" s="93"/>
      <c r="AJ55" s="93"/>
      <c r="AK55" s="93"/>
      <c r="AL55" s="93"/>
      <c r="AM55" s="93"/>
      <c r="AN55" s="93"/>
      <c r="AO55" s="93"/>
      <c r="AP55" s="93"/>
    </row>
    <row r="56" spans="1:42" ht="30" customHeight="1" x14ac:dyDescent="0.25">
      <c r="A56" s="60"/>
      <c r="B56" s="51"/>
      <c r="C56" s="51"/>
      <c r="D56" s="51"/>
      <c r="E56" s="96"/>
      <c r="F56" s="319"/>
      <c r="G56" s="319"/>
      <c r="H56" s="319"/>
      <c r="I56" s="319"/>
      <c r="J56" s="319"/>
      <c r="K56" s="319"/>
      <c r="L56" s="319"/>
      <c r="M56" s="319"/>
      <c r="N56" s="319"/>
      <c r="O56" s="319"/>
      <c r="P56" s="319"/>
      <c r="Q56" s="319"/>
      <c r="R56" s="323"/>
      <c r="S56" s="323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</row>
    <row r="57" spans="1:42" ht="30" customHeight="1" x14ac:dyDescent="0.25">
      <c r="A57" s="60"/>
      <c r="B57" s="51"/>
      <c r="C57" s="51"/>
      <c r="D57" s="51"/>
      <c r="E57" s="96" t="s">
        <v>49</v>
      </c>
      <c r="F57" s="96"/>
      <c r="G57" s="96"/>
      <c r="H57" s="96"/>
      <c r="I57" s="96"/>
      <c r="J57" s="96"/>
      <c r="K57" s="96"/>
      <c r="L57" s="84"/>
      <c r="M57" s="84"/>
      <c r="N57" s="84"/>
      <c r="O57" s="84"/>
      <c r="P57" s="97"/>
      <c r="Q57" s="51"/>
      <c r="R57" s="51"/>
      <c r="S57" s="51"/>
      <c r="T57" s="319"/>
      <c r="U57" s="319"/>
      <c r="V57" s="319"/>
      <c r="W57" s="319"/>
      <c r="X57" s="319"/>
      <c r="Y57" s="319"/>
      <c r="Z57" s="319"/>
      <c r="AA57" s="319"/>
      <c r="AB57" s="319"/>
      <c r="AC57" s="319"/>
      <c r="AD57" s="319"/>
      <c r="AE57" s="319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</row>
    <row r="58" spans="1:42" ht="30" customHeight="1" x14ac:dyDescent="0.25">
      <c r="A58" s="60"/>
      <c r="B58" s="51"/>
      <c r="C58" s="51"/>
      <c r="D58" s="51"/>
      <c r="E58" s="83"/>
      <c r="F58" s="83"/>
      <c r="G58" s="83"/>
      <c r="H58" s="83"/>
      <c r="I58" s="83"/>
      <c r="J58" s="83"/>
      <c r="K58" s="83"/>
      <c r="L58" s="98"/>
      <c r="M58" s="98"/>
      <c r="N58" s="98"/>
      <c r="O58" s="99"/>
      <c r="P58" s="97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</row>
    <row r="59" spans="1:42" ht="30" customHeight="1" x14ac:dyDescent="0.25">
      <c r="A59" s="60"/>
      <c r="B59" s="51"/>
      <c r="C59" s="51"/>
      <c r="D59" s="51"/>
      <c r="E59" s="83"/>
      <c r="F59" s="83"/>
      <c r="G59" s="83"/>
      <c r="H59" s="83"/>
      <c r="I59" s="83"/>
      <c r="J59" s="83"/>
      <c r="K59" s="83"/>
      <c r="L59" s="84"/>
      <c r="M59" s="84"/>
      <c r="N59" s="84"/>
      <c r="O59" s="84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</row>
    <row r="60" spans="1:42" ht="30" customHeight="1" x14ac:dyDescent="0.25">
      <c r="A60" s="60"/>
      <c r="B60" s="51"/>
      <c r="C60" s="51"/>
      <c r="D60" s="51"/>
      <c r="E60" s="83"/>
      <c r="F60" s="83"/>
      <c r="G60" s="83"/>
      <c r="H60" s="83"/>
      <c r="I60" s="83"/>
      <c r="J60" s="83"/>
      <c r="K60" s="83"/>
      <c r="L60" s="84"/>
      <c r="M60" s="84"/>
      <c r="N60" s="84"/>
      <c r="O60" s="100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</row>
    <row r="61" spans="1:42" ht="30" customHeight="1" x14ac:dyDescent="0.25">
      <c r="A61" s="60"/>
      <c r="B61" s="51"/>
      <c r="C61" s="51"/>
      <c r="D61" s="51"/>
      <c r="E61" s="83"/>
      <c r="F61" s="83"/>
      <c r="G61" s="83"/>
      <c r="H61" s="83"/>
      <c r="I61" s="83"/>
      <c r="J61" s="83"/>
      <c r="K61" s="83"/>
      <c r="L61" s="84"/>
      <c r="M61" s="84"/>
      <c r="N61" s="84"/>
      <c r="O61" s="84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</row>
    <row r="62" spans="1:42" ht="30" customHeight="1" x14ac:dyDescent="0.25">
      <c r="A62" s="60"/>
      <c r="B62" s="51"/>
      <c r="C62" s="51"/>
      <c r="D62" s="51"/>
      <c r="E62" s="83"/>
      <c r="F62" s="83"/>
      <c r="G62" s="83"/>
      <c r="H62" s="83"/>
      <c r="I62" s="83"/>
      <c r="J62" s="83"/>
      <c r="K62" s="83"/>
      <c r="L62" s="84"/>
      <c r="M62" s="84"/>
      <c r="N62" s="84"/>
      <c r="O62" s="84"/>
      <c r="P62" s="84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</row>
    <row r="63" spans="1:42" ht="30" customHeight="1" x14ac:dyDescent="0.25">
      <c r="A63" s="60"/>
      <c r="B63" s="51"/>
      <c r="C63" s="51"/>
      <c r="D63" s="51"/>
      <c r="E63" s="83"/>
      <c r="F63" s="83"/>
      <c r="G63" s="83"/>
      <c r="H63" s="83"/>
      <c r="I63" s="83"/>
      <c r="J63" s="83"/>
      <c r="K63" s="83"/>
      <c r="L63" s="84"/>
      <c r="M63" s="84"/>
      <c r="N63" s="84"/>
      <c r="O63" s="84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</row>
    <row r="64" spans="1:42" ht="30" customHeight="1" x14ac:dyDescent="0.25">
      <c r="A64" s="60"/>
      <c r="B64" s="51"/>
      <c r="C64" s="51"/>
      <c r="D64" s="51"/>
      <c r="E64" s="83"/>
      <c r="F64" s="83"/>
      <c r="G64" s="83"/>
      <c r="H64" s="83"/>
      <c r="I64" s="83"/>
      <c r="J64" s="83"/>
      <c r="K64" s="83"/>
      <c r="L64" s="84"/>
      <c r="M64" s="84"/>
      <c r="N64" s="84"/>
      <c r="O64" s="84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</row>
    <row r="65" spans="1:42" ht="30" customHeight="1" x14ac:dyDescent="0.25">
      <c r="A65" s="60"/>
      <c r="B65" s="51"/>
      <c r="C65" s="51"/>
      <c r="D65" s="51"/>
      <c r="E65" s="83"/>
      <c r="F65" s="83"/>
      <c r="G65" s="83"/>
      <c r="H65" s="83"/>
      <c r="I65" s="83"/>
      <c r="J65" s="83"/>
      <c r="K65" s="83"/>
      <c r="L65" s="84"/>
      <c r="M65" s="84"/>
      <c r="N65" s="84"/>
      <c r="O65" s="84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</row>
    <row r="66" spans="1:42" ht="30" customHeight="1" x14ac:dyDescent="0.25">
      <c r="A66" s="60"/>
      <c r="B66" s="51"/>
      <c r="C66" s="51"/>
      <c r="D66" s="51"/>
      <c r="E66" s="83"/>
      <c r="F66" s="83"/>
      <c r="G66" s="83"/>
      <c r="H66" s="83"/>
      <c r="I66" s="83"/>
      <c r="J66" s="83"/>
      <c r="K66" s="83"/>
      <c r="L66" s="84"/>
      <c r="M66" s="84"/>
      <c r="N66" s="84"/>
      <c r="O66" s="84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</row>
    <row r="67" spans="1:42" ht="30" customHeight="1" x14ac:dyDescent="0.25">
      <c r="A67" s="60"/>
      <c r="B67" s="51"/>
      <c r="C67" s="51"/>
      <c r="D67" s="51"/>
      <c r="E67" s="83"/>
      <c r="F67" s="83"/>
      <c r="G67" s="83"/>
      <c r="H67" s="83"/>
      <c r="I67" s="83"/>
      <c r="J67" s="83"/>
      <c r="K67" s="83"/>
      <c r="L67" s="84"/>
      <c r="M67" s="84"/>
      <c r="N67" s="84"/>
      <c r="O67" s="84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</row>
    <row r="68" spans="1:42" ht="30" customHeight="1" x14ac:dyDescent="0.25">
      <c r="A68" s="60"/>
      <c r="B68" s="51"/>
      <c r="C68" s="51"/>
      <c r="D68" s="51"/>
      <c r="E68" s="83"/>
      <c r="F68" s="83"/>
      <c r="G68" s="83"/>
      <c r="H68" s="83"/>
      <c r="I68" s="83"/>
      <c r="J68" s="83"/>
      <c r="K68" s="83"/>
      <c r="L68" s="84"/>
      <c r="M68" s="84"/>
      <c r="N68" s="84"/>
      <c r="O68" s="84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</row>
    <row r="69" spans="1:42" ht="30" customHeight="1" x14ac:dyDescent="0.25">
      <c r="A69" s="60"/>
      <c r="B69" s="51"/>
      <c r="C69" s="51"/>
      <c r="D69" s="51"/>
      <c r="E69" s="83"/>
      <c r="F69" s="83"/>
      <c r="G69" s="83"/>
      <c r="H69" s="83"/>
      <c r="I69" s="83"/>
      <c r="J69" s="83"/>
      <c r="K69" s="83"/>
      <c r="L69" s="84"/>
      <c r="M69" s="84"/>
      <c r="N69" s="84"/>
      <c r="O69" s="84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</row>
    <row r="70" spans="1:42" ht="30" customHeight="1" x14ac:dyDescent="0.25">
      <c r="A70" s="60"/>
      <c r="B70" s="51"/>
      <c r="C70" s="51"/>
      <c r="D70" s="51"/>
      <c r="E70" s="83"/>
      <c r="F70" s="83"/>
      <c r="G70" s="83"/>
      <c r="H70" s="83"/>
      <c r="I70" s="83"/>
      <c r="J70" s="83"/>
      <c r="K70" s="83"/>
      <c r="L70" s="84"/>
      <c r="M70" s="84"/>
      <c r="N70" s="84"/>
      <c r="O70" s="84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</row>
    <row r="71" spans="1:42" ht="30" customHeight="1" x14ac:dyDescent="0.25">
      <c r="A71" s="60"/>
      <c r="B71" s="51"/>
      <c r="C71" s="51"/>
      <c r="D71" s="51"/>
      <c r="E71" s="83"/>
      <c r="F71" s="83"/>
      <c r="G71" s="83"/>
      <c r="H71" s="83"/>
      <c r="I71" s="83"/>
      <c r="J71" s="83"/>
      <c r="K71" s="83"/>
      <c r="L71" s="84"/>
      <c r="M71" s="84"/>
      <c r="N71" s="84"/>
      <c r="O71" s="84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</row>
    <row r="72" spans="1:42" ht="30" customHeight="1" x14ac:dyDescent="0.25">
      <c r="A72" s="60"/>
      <c r="B72" s="51"/>
      <c r="C72" s="51"/>
      <c r="D72" s="51"/>
      <c r="E72" s="83"/>
      <c r="F72" s="83"/>
      <c r="G72" s="83"/>
      <c r="H72" s="83"/>
      <c r="I72" s="83"/>
      <c r="J72" s="83"/>
      <c r="K72" s="83"/>
      <c r="L72" s="84"/>
      <c r="M72" s="84"/>
      <c r="N72" s="84"/>
      <c r="O72" s="84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</row>
    <row r="73" spans="1:42" ht="30" customHeight="1" x14ac:dyDescent="0.25">
      <c r="A73" s="60"/>
      <c r="B73" s="51"/>
      <c r="C73" s="51"/>
      <c r="D73" s="51"/>
      <c r="E73" s="83"/>
      <c r="F73" s="83"/>
      <c r="G73" s="83"/>
      <c r="H73" s="83"/>
      <c r="I73" s="83"/>
      <c r="J73" s="83"/>
      <c r="K73" s="83"/>
      <c r="L73" s="84"/>
      <c r="M73" s="84"/>
      <c r="N73" s="84"/>
      <c r="O73" s="84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</row>
    <row r="74" spans="1:42" ht="30" customHeight="1" x14ac:dyDescent="0.25">
      <c r="A74" s="60"/>
      <c r="B74" s="51"/>
      <c r="C74" s="51"/>
      <c r="D74" s="51"/>
      <c r="E74" s="83"/>
      <c r="F74" s="83"/>
      <c r="G74" s="83"/>
      <c r="H74" s="83"/>
      <c r="I74" s="83"/>
      <c r="J74" s="83"/>
      <c r="K74" s="83"/>
      <c r="L74" s="84"/>
      <c r="M74" s="84"/>
      <c r="N74" s="84"/>
      <c r="O74" s="84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</row>
    <row r="75" spans="1:42" ht="30" customHeight="1" x14ac:dyDescent="0.25">
      <c r="A75" s="60"/>
      <c r="B75" s="51"/>
      <c r="C75" s="51"/>
      <c r="D75" s="51"/>
      <c r="E75" s="83"/>
      <c r="F75" s="83"/>
      <c r="G75" s="83"/>
      <c r="H75" s="83"/>
      <c r="I75" s="83"/>
      <c r="J75" s="83"/>
      <c r="K75" s="83"/>
      <c r="L75" s="84"/>
      <c r="M75" s="84"/>
      <c r="N75" s="84"/>
      <c r="O75" s="84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</row>
    <row r="76" spans="1:42" ht="30" customHeight="1" x14ac:dyDescent="0.25">
      <c r="A76" s="60"/>
      <c r="B76" s="51"/>
      <c r="C76" s="51"/>
      <c r="D76" s="51"/>
      <c r="E76" s="83"/>
      <c r="F76" s="83"/>
      <c r="G76" s="83"/>
      <c r="H76" s="83"/>
      <c r="I76" s="83"/>
      <c r="J76" s="83"/>
      <c r="K76" s="83"/>
      <c r="L76" s="84"/>
      <c r="M76" s="84"/>
      <c r="N76" s="84"/>
      <c r="O76" s="84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</row>
    <row r="77" spans="1:42" ht="30" customHeight="1" x14ac:dyDescent="0.25">
      <c r="A77" s="60"/>
      <c r="B77" s="51"/>
      <c r="C77" s="51"/>
      <c r="D77" s="51"/>
      <c r="E77" s="83"/>
      <c r="F77" s="83"/>
      <c r="G77" s="83"/>
      <c r="H77" s="83"/>
      <c r="I77" s="83"/>
      <c r="J77" s="83"/>
      <c r="K77" s="83"/>
      <c r="L77" s="84"/>
      <c r="M77" s="84"/>
      <c r="N77" s="84"/>
      <c r="O77" s="84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</row>
    <row r="78" spans="1:42" ht="30" customHeight="1" x14ac:dyDescent="0.25">
      <c r="A78" s="60"/>
      <c r="B78" s="51"/>
      <c r="C78" s="51"/>
      <c r="D78" s="51"/>
      <c r="E78" s="83"/>
      <c r="F78" s="83"/>
      <c r="G78" s="83"/>
      <c r="H78" s="83"/>
      <c r="I78" s="83"/>
      <c r="J78" s="83"/>
      <c r="K78" s="83"/>
      <c r="L78" s="84"/>
      <c r="M78" s="84"/>
      <c r="N78" s="84"/>
      <c r="O78" s="84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</row>
    <row r="79" spans="1:42" ht="30" customHeight="1" x14ac:dyDescent="0.25">
      <c r="A79" s="60"/>
      <c r="B79" s="51"/>
      <c r="C79" s="51"/>
      <c r="D79" s="51"/>
      <c r="E79" s="83"/>
      <c r="F79" s="83"/>
      <c r="G79" s="83"/>
      <c r="H79" s="83"/>
      <c r="I79" s="83"/>
      <c r="J79" s="83"/>
      <c r="K79" s="83"/>
      <c r="L79" s="84"/>
      <c r="M79" s="84"/>
      <c r="N79" s="84"/>
      <c r="O79" s="84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</row>
    <row r="80" spans="1:42" ht="30" customHeight="1" x14ac:dyDescent="0.25">
      <c r="A80" s="60"/>
      <c r="B80" s="51"/>
      <c r="C80" s="51"/>
      <c r="D80" s="51"/>
      <c r="E80" s="83"/>
      <c r="F80" s="83"/>
      <c r="G80" s="83"/>
      <c r="H80" s="83"/>
      <c r="I80" s="83"/>
      <c r="J80" s="83"/>
      <c r="K80" s="83"/>
      <c r="L80" s="84"/>
      <c r="M80" s="84"/>
      <c r="N80" s="84"/>
      <c r="O80" s="84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</row>
    <row r="81" spans="1:42" ht="30" customHeight="1" x14ac:dyDescent="0.25">
      <c r="A81" s="60"/>
      <c r="B81" s="51"/>
      <c r="C81" s="51"/>
      <c r="D81" s="51"/>
      <c r="E81" s="83"/>
      <c r="F81" s="83"/>
      <c r="G81" s="83"/>
      <c r="H81" s="83"/>
      <c r="I81" s="83"/>
      <c r="J81" s="83"/>
      <c r="K81" s="83"/>
      <c r="L81" s="84"/>
      <c r="M81" s="84"/>
      <c r="N81" s="84"/>
      <c r="O81" s="84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</row>
    <row r="82" spans="1:42" ht="30" customHeight="1" x14ac:dyDescent="0.25">
      <c r="A82" s="60"/>
      <c r="B82" s="51"/>
      <c r="C82" s="51"/>
      <c r="D82" s="51"/>
      <c r="E82" s="83"/>
      <c r="F82" s="83"/>
      <c r="G82" s="83"/>
      <c r="H82" s="83"/>
      <c r="I82" s="83"/>
      <c r="J82" s="83"/>
      <c r="K82" s="83"/>
      <c r="L82" s="84"/>
      <c r="M82" s="84"/>
      <c r="N82" s="84"/>
      <c r="O82" s="84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</row>
    <row r="83" spans="1:42" ht="30" customHeight="1" x14ac:dyDescent="0.25">
      <c r="A83" s="60"/>
      <c r="B83" s="51"/>
      <c r="C83" s="51"/>
      <c r="D83" s="51"/>
      <c r="E83" s="83"/>
      <c r="F83" s="83"/>
      <c r="G83" s="83"/>
      <c r="H83" s="83"/>
      <c r="I83" s="83"/>
      <c r="J83" s="83"/>
      <c r="K83" s="83"/>
      <c r="L83" s="84"/>
      <c r="M83" s="84"/>
      <c r="N83" s="84"/>
      <c r="O83" s="84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</row>
    <row r="84" spans="1:42" ht="30" customHeight="1" x14ac:dyDescent="0.25">
      <c r="A84" s="60"/>
      <c r="B84" s="51"/>
      <c r="C84" s="51"/>
      <c r="D84" s="51"/>
      <c r="E84" s="83"/>
      <c r="F84" s="83"/>
      <c r="G84" s="83"/>
      <c r="H84" s="83"/>
      <c r="I84" s="83"/>
      <c r="J84" s="83"/>
      <c r="K84" s="83"/>
      <c r="L84" s="84"/>
      <c r="M84" s="84"/>
      <c r="N84" s="84"/>
      <c r="O84" s="84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</row>
    <row r="85" spans="1:42" ht="30" customHeight="1" x14ac:dyDescent="0.25">
      <c r="A85" s="60"/>
      <c r="B85" s="51"/>
      <c r="C85" s="51"/>
      <c r="D85" s="51"/>
      <c r="E85" s="83"/>
      <c r="F85" s="83"/>
      <c r="G85" s="83"/>
      <c r="H85" s="83"/>
      <c r="I85" s="83"/>
      <c r="J85" s="83"/>
      <c r="K85" s="83"/>
      <c r="L85" s="84"/>
      <c r="M85" s="84"/>
      <c r="N85" s="84"/>
      <c r="O85" s="84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</row>
    <row r="86" spans="1:42" ht="30" customHeight="1" x14ac:dyDescent="0.25">
      <c r="A86" s="60"/>
      <c r="B86" s="51"/>
      <c r="C86" s="51"/>
      <c r="D86" s="51"/>
      <c r="E86" s="83"/>
      <c r="F86" s="83"/>
      <c r="G86" s="83"/>
      <c r="H86" s="83"/>
      <c r="I86" s="83"/>
      <c r="J86" s="83"/>
      <c r="K86" s="83"/>
      <c r="L86" s="84"/>
      <c r="M86" s="84"/>
      <c r="N86" s="84"/>
      <c r="O86" s="84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</row>
    <row r="87" spans="1:42" ht="30" customHeight="1" x14ac:dyDescent="0.25">
      <c r="A87" s="60"/>
      <c r="B87" s="51"/>
      <c r="C87" s="51"/>
      <c r="D87" s="51"/>
      <c r="E87" s="83"/>
      <c r="F87" s="83"/>
      <c r="G87" s="83"/>
      <c r="H87" s="83"/>
      <c r="I87" s="83"/>
      <c r="J87" s="83"/>
      <c r="K87" s="83"/>
      <c r="L87" s="84"/>
      <c r="M87" s="84"/>
      <c r="N87" s="84"/>
      <c r="O87" s="84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</row>
    <row r="88" spans="1:42" x14ac:dyDescent="0.25">
      <c r="A88" s="60"/>
      <c r="B88" s="51"/>
      <c r="C88" s="51"/>
      <c r="D88" s="51"/>
      <c r="E88" s="83"/>
      <c r="F88" s="83"/>
      <c r="G88" s="83"/>
      <c r="H88" s="83"/>
      <c r="I88" s="83"/>
      <c r="J88" s="83"/>
      <c r="K88" s="83"/>
      <c r="L88" s="84"/>
      <c r="M88" s="84"/>
      <c r="N88" s="84"/>
      <c r="O88" s="84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</row>
  </sheetData>
  <conditionalFormatting sqref="F13">
    <cfRule type="colorScale" priority="21">
      <colorScale>
        <cfvo type="min"/>
        <cfvo type="max"/>
        <color theme="0"/>
        <color rgb="FF00C556"/>
      </colorScale>
    </cfRule>
  </conditionalFormatting>
  <conditionalFormatting sqref="F50:L50">
    <cfRule type="cellIs" dxfId="55" priority="54" operator="equal">
      <formula>0</formula>
    </cfRule>
  </conditionalFormatting>
  <conditionalFormatting sqref="F16:S16">
    <cfRule type="colorScale" priority="957">
      <colorScale>
        <cfvo type="min"/>
        <cfvo type="max"/>
        <color rgb="FFCEF6CE"/>
        <color rgb="FF59BF59"/>
      </colorScale>
    </cfRule>
  </conditionalFormatting>
  <conditionalFormatting sqref="F18:S18">
    <cfRule type="colorScale" priority="959">
      <colorScale>
        <cfvo type="min"/>
        <cfvo type="max"/>
        <color rgb="FFCEF6CE"/>
        <color rgb="FF59BF59"/>
      </colorScale>
    </cfRule>
  </conditionalFormatting>
  <conditionalFormatting sqref="F20:S20">
    <cfRule type="colorScale" priority="961">
      <colorScale>
        <cfvo type="min"/>
        <cfvo type="max"/>
        <color rgb="FFCEF6CE"/>
        <color rgb="FF59BF59"/>
      </colorScale>
    </cfRule>
  </conditionalFormatting>
  <conditionalFormatting sqref="F22:S22">
    <cfRule type="colorScale" priority="963">
      <colorScale>
        <cfvo type="min"/>
        <cfvo type="max"/>
        <color rgb="FFCEF6CE"/>
        <color rgb="FF59BF59"/>
      </colorScale>
    </cfRule>
  </conditionalFormatting>
  <conditionalFormatting sqref="F27:S27">
    <cfRule type="colorScale" priority="965">
      <colorScale>
        <cfvo type="min"/>
        <cfvo type="max"/>
        <color rgb="FFCEF6CE"/>
        <color rgb="FF59BF59"/>
      </colorScale>
    </cfRule>
  </conditionalFormatting>
  <conditionalFormatting sqref="F37:S37">
    <cfRule type="colorScale" priority="967">
      <colorScale>
        <cfvo type="min"/>
        <cfvo type="max"/>
        <color rgb="FFCEF6CE"/>
        <color rgb="FF59BF59"/>
      </colorScale>
    </cfRule>
  </conditionalFormatting>
  <conditionalFormatting sqref="F55:S55">
    <cfRule type="colorScale" priority="969">
      <colorScale>
        <cfvo type="min"/>
        <cfvo type="max"/>
        <color rgb="FFCEF6CE"/>
        <color rgb="FF59BF59"/>
      </colorScale>
    </cfRule>
  </conditionalFormatting>
  <conditionalFormatting sqref="F30:AE30">
    <cfRule type="colorScale" priority="971">
      <colorScale>
        <cfvo type="min"/>
        <cfvo type="max"/>
        <color rgb="FFCEF6CE"/>
        <color rgb="FF59BF59"/>
      </colorScale>
    </cfRule>
  </conditionalFormatting>
  <conditionalFormatting sqref="G13:AE13">
    <cfRule type="colorScale" priority="973">
      <colorScale>
        <cfvo type="min"/>
        <cfvo type="max"/>
        <color rgb="FFCEF6CE"/>
        <color rgb="FF59BF59"/>
      </colorScale>
    </cfRule>
  </conditionalFormatting>
  <conditionalFormatting sqref="M50:Q51 F51:Q54">
    <cfRule type="cellIs" dxfId="54" priority="218" operator="equal">
      <formula>0</formula>
    </cfRule>
  </conditionalFormatting>
  <conditionalFormatting sqref="T8:AE8 F10:AE10 F12:AE12 F28:J28 F41:S48 T41:AE54 R50:S54 T55:AF55">
    <cfRule type="cellIs" dxfId="53" priority="14" operator="equal">
      <formula>0</formula>
    </cfRule>
  </conditionalFormatting>
  <conditionalFormatting sqref="AF41:AF55">
    <cfRule type="cellIs" dxfId="52" priority="28" operator="equal">
      <formula>0</formula>
    </cfRule>
  </conditionalFormatting>
  <conditionalFormatting sqref="AH41">
    <cfRule type="cellIs" dxfId="51" priority="30" operator="equal">
      <formula>0</formula>
    </cfRule>
  </conditionalFormatting>
  <hyperlinks>
    <hyperlink ref="A9" location="WACC!A1" display="WACC" xr:uid="{C26E5F53-B6D4-440E-A7D0-A3AE82A41CEE}"/>
    <hyperlink ref="A8" location="Dashboard!A1" display="Dashboard" xr:uid="{E1AE4F89-44FD-42A2-89AD-B534A4D45EA8}"/>
    <hyperlink ref="A13" location="'Projeções - Receita'!A1" display="Projeções" xr:uid="{BB091B95-2CF1-42E3-B323-30A927640EBF}"/>
    <hyperlink ref="A10" location="'DRE + DCF'!A1" display="DRE + DCF" xr:uid="{E20301F2-5E6B-497D-A227-8186E3642BCF}"/>
    <hyperlink ref="A12" location="'Balanço Patrimonial'!A1" display="Balanço Patrimonial" xr:uid="{7CF24483-B6F2-4722-BA87-21E617E7FF5D}"/>
    <hyperlink ref="A15" location="'Capex + K. Giro'!A1" display="Capex + Capital de Giro" xr:uid="{5FB9C778-E0AB-448A-8946-9BC22BE24AB4}"/>
    <hyperlink ref="A14" location="Lojas!A1" display="Lojas" xr:uid="{C98F94EB-BFF4-4900-BFAB-63E0AA6ED904}"/>
    <hyperlink ref="A11" location="'DRE - Contas Abertas'!A1" display="Contas Abertas" xr:uid="{DAFE7042-CD6D-4F80-BB74-FDD7584AE3C1}"/>
    <hyperlink ref="A16" location="'Projeções Trimestrais'!A1" display="Projeções Trimestrais" xr:uid="{B9293724-58B8-4114-964E-E68A6B9D7363}"/>
    <hyperlink ref="A17" location="'Painel de Índices'!A1" display="Painel de Índices" xr:uid="{3F17C514-5EB9-4BCA-A646-D15617BDB9AA}"/>
  </hyperlinks>
  <pageMargins left="0.511811024" right="0.511811024" top="0.78740157499999996" bottom="0.78740157499999996" header="0.31496062000000002" footer="0.31496062000000002"/>
  <pageSetup paperSize="9" orientation="portrait" r:id="rId1"/>
  <ignoredErrors>
    <ignoredError sqref="U42:AE42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0ECB-9037-41D4-8F18-654B64318635}">
  <sheetPr codeName="Planilha1"/>
  <dimension ref="A1:BU168"/>
  <sheetViews>
    <sheetView showGridLines="0" topLeftCell="H33" zoomScale="70" zoomScaleNormal="70" workbookViewId="0">
      <selection activeCell="U45" sqref="U45"/>
    </sheetView>
  </sheetViews>
  <sheetFormatPr defaultColWidth="0" defaultRowHeight="10.5" customHeight="1" x14ac:dyDescent="0.25"/>
  <cols>
    <col min="1" max="1" width="39.140625" style="8" customWidth="1"/>
    <col min="2" max="4" width="9.140625" style="2" customWidth="1"/>
    <col min="5" max="5" width="73.42578125" style="2" customWidth="1"/>
    <col min="6" max="19" width="12.85546875" style="2" customWidth="1"/>
    <col min="20" max="40" width="9.140625" style="2" customWidth="1"/>
    <col min="41" max="41" width="9.140625" style="2" hidden="1" customWidth="1"/>
    <col min="42" max="45" width="0" style="2" hidden="1" customWidth="1"/>
    <col min="46" max="47" width="9.140625" style="2" hidden="1" customWidth="1"/>
    <col min="48" max="51" width="0" style="2" hidden="1" customWidth="1"/>
    <col min="52" max="53" width="9.140625" style="2" hidden="1" customWidth="1"/>
    <col min="54" max="57" width="0" style="2" hidden="1" customWidth="1"/>
    <col min="58" max="58" width="9.140625" style="2" hidden="1" customWidth="1"/>
    <col min="59" max="62" width="0" style="2" hidden="1" customWidth="1"/>
    <col min="63" max="64" width="9.140625" style="2" hidden="1" customWidth="1"/>
    <col min="65" max="68" width="0" style="2" hidden="1" customWidth="1"/>
    <col min="69" max="73" width="9.140625" style="2" hidden="1" customWidth="1"/>
    <col min="74" max="16384" width="0" style="2" hidden="1"/>
  </cols>
  <sheetData>
    <row r="1" spans="1:43" ht="15" customHeight="1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</row>
    <row r="2" spans="1:43" ht="15" customHeight="1" x14ac:dyDescent="0.25">
      <c r="B2" s="27"/>
      <c r="C2" s="27"/>
      <c r="D2" s="27"/>
      <c r="E2" s="27"/>
      <c r="F2" s="27"/>
      <c r="G2" s="27"/>
      <c r="H2" s="27"/>
      <c r="I2" s="27"/>
      <c r="J2" s="27"/>
      <c r="K2" s="28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3" ht="15" customHeight="1" x14ac:dyDescent="0.25">
      <c r="B3" s="27"/>
      <c r="C3" s="27"/>
      <c r="D3" s="27"/>
      <c r="E3" s="43" t="s">
        <v>386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</row>
    <row r="4" spans="1:43" ht="15" customHeight="1" x14ac:dyDescent="0.25">
      <c r="B4" s="27"/>
      <c r="C4" s="27"/>
      <c r="D4" s="27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</row>
    <row r="5" spans="1:43" ht="15" customHeight="1" x14ac:dyDescent="0.25">
      <c r="B5" s="27"/>
      <c r="C5" s="27"/>
      <c r="D5" s="27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</row>
    <row r="6" spans="1:43" ht="26.25" x14ac:dyDescent="0.25">
      <c r="B6" s="27"/>
      <c r="C6" s="27"/>
      <c r="D6" s="27"/>
      <c r="E6" s="27"/>
      <c r="F6" s="27"/>
      <c r="G6" s="205"/>
      <c r="H6" s="206"/>
      <c r="I6" s="205"/>
      <c r="J6" s="205"/>
      <c r="K6" s="205"/>
      <c r="L6" s="205"/>
      <c r="M6" s="205"/>
      <c r="N6" s="43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</row>
    <row r="7" spans="1:43" s="7" customFormat="1" ht="24.75" customHeight="1" x14ac:dyDescent="0.25">
      <c r="A7" s="24" t="s">
        <v>39</v>
      </c>
      <c r="B7" s="31"/>
      <c r="C7" s="31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3" ht="30" customHeight="1" x14ac:dyDescent="0.25">
      <c r="A8" s="25" t="s">
        <v>40</v>
      </c>
      <c r="B8" s="27"/>
      <c r="C8" s="31"/>
      <c r="D8" s="43"/>
      <c r="E8" s="302"/>
      <c r="F8" s="303">
        <v>2010</v>
      </c>
      <c r="G8" s="303">
        <v>2011</v>
      </c>
      <c r="H8" s="303">
        <v>2012</v>
      </c>
      <c r="I8" s="303">
        <v>2013</v>
      </c>
      <c r="J8" s="303">
        <v>2014</v>
      </c>
      <c r="K8" s="303">
        <v>2015</v>
      </c>
      <c r="L8" s="303">
        <v>2016</v>
      </c>
      <c r="M8" s="303">
        <v>2017</v>
      </c>
      <c r="N8" s="303">
        <v>2018</v>
      </c>
      <c r="O8" s="303">
        <v>2019</v>
      </c>
      <c r="P8" s="303">
        <v>2020</v>
      </c>
      <c r="Q8" s="303">
        <v>2021</v>
      </c>
      <c r="R8" s="303">
        <v>2022</v>
      </c>
      <c r="S8" s="213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</row>
    <row r="9" spans="1:43" ht="30" customHeight="1" x14ac:dyDescent="0.25">
      <c r="A9" s="25" t="s">
        <v>22</v>
      </c>
      <c r="B9" s="27"/>
      <c r="C9" s="31"/>
      <c r="D9" s="31"/>
      <c r="E9" s="207"/>
      <c r="F9" s="171">
        <v>2010</v>
      </c>
      <c r="G9" s="171">
        <v>2011</v>
      </c>
      <c r="H9" s="171">
        <v>2012</v>
      </c>
      <c r="I9" s="171">
        <v>2013</v>
      </c>
      <c r="J9" s="171">
        <v>2014</v>
      </c>
      <c r="K9" s="171">
        <v>2015</v>
      </c>
      <c r="L9" s="171">
        <v>2016</v>
      </c>
      <c r="M9" s="171">
        <v>2017</v>
      </c>
      <c r="N9" s="171">
        <v>2018</v>
      </c>
      <c r="O9" s="171">
        <v>2019</v>
      </c>
      <c r="P9" s="171">
        <v>2020</v>
      </c>
      <c r="Q9" s="171">
        <v>2021</v>
      </c>
      <c r="R9" s="171">
        <v>2022</v>
      </c>
      <c r="S9" s="208">
        <v>2023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</row>
    <row r="10" spans="1:43" ht="30" customHeight="1" x14ac:dyDescent="0.25">
      <c r="A10" s="25" t="s">
        <v>42</v>
      </c>
      <c r="B10" s="27"/>
      <c r="C10" s="31"/>
      <c r="D10" s="31"/>
      <c r="E10" s="207" t="s">
        <v>1007</v>
      </c>
      <c r="F10" s="209">
        <v>0</v>
      </c>
      <c r="G10" s="209">
        <v>0</v>
      </c>
      <c r="H10" s="209">
        <v>0</v>
      </c>
      <c r="I10" s="209">
        <v>0</v>
      </c>
      <c r="J10" s="209">
        <v>0</v>
      </c>
      <c r="K10" s="209">
        <v>-510711</v>
      </c>
      <c r="L10" s="209">
        <v>-601614</v>
      </c>
      <c r="M10" s="209">
        <v>-709036</v>
      </c>
      <c r="N10" s="209">
        <v>-799897</v>
      </c>
      <c r="O10" s="209">
        <v>-890301</v>
      </c>
      <c r="P10" s="209">
        <v>-823460</v>
      </c>
      <c r="Q10" s="209">
        <v>-1033509</v>
      </c>
      <c r="R10" s="209">
        <v>-1150107</v>
      </c>
      <c r="S10" s="210">
        <v>-1188666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</row>
    <row r="11" spans="1:43" ht="30" customHeight="1" x14ac:dyDescent="0.25">
      <c r="A11" s="438" t="s">
        <v>987</v>
      </c>
      <c r="B11" s="27"/>
      <c r="C11" s="31"/>
      <c r="D11" s="31"/>
      <c r="E11" s="207" t="s">
        <v>1008</v>
      </c>
      <c r="F11" s="209">
        <v>0</v>
      </c>
      <c r="G11" s="209">
        <v>0</v>
      </c>
      <c r="H11" s="209">
        <v>0</v>
      </c>
      <c r="I11" s="209">
        <v>0</v>
      </c>
      <c r="J11" s="209">
        <v>0</v>
      </c>
      <c r="K11" s="209">
        <v>-364342</v>
      </c>
      <c r="L11" s="209">
        <v>-414211</v>
      </c>
      <c r="M11" s="209">
        <v>-474310</v>
      </c>
      <c r="N11" s="209">
        <v>-566832</v>
      </c>
      <c r="O11" s="209">
        <v>-285515</v>
      </c>
      <c r="P11" s="209">
        <v>-291806</v>
      </c>
      <c r="Q11" s="209">
        <v>-377482</v>
      </c>
      <c r="R11" s="209">
        <v>-429934</v>
      </c>
      <c r="S11" s="210">
        <v>-431764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</row>
    <row r="12" spans="1:43" ht="30" customHeight="1" x14ac:dyDescent="0.25">
      <c r="A12" s="25" t="s">
        <v>43</v>
      </c>
      <c r="B12" s="27"/>
      <c r="C12" s="31"/>
      <c r="D12" s="31"/>
      <c r="E12" s="207" t="s">
        <v>1009</v>
      </c>
      <c r="F12" s="209">
        <v>0</v>
      </c>
      <c r="G12" s="209">
        <v>0</v>
      </c>
      <c r="H12" s="209">
        <v>0</v>
      </c>
      <c r="I12" s="209">
        <v>0</v>
      </c>
      <c r="J12" s="209">
        <v>0</v>
      </c>
      <c r="K12" s="209">
        <v>0</v>
      </c>
      <c r="L12" s="209">
        <v>0</v>
      </c>
      <c r="M12" s="209">
        <v>0</v>
      </c>
      <c r="N12" s="209">
        <v>0</v>
      </c>
      <c r="O12" s="209">
        <v>0</v>
      </c>
      <c r="P12" s="209">
        <v>128927</v>
      </c>
      <c r="Q12" s="209">
        <v>82425</v>
      </c>
      <c r="R12" s="209">
        <v>25307</v>
      </c>
      <c r="S12" s="210">
        <v>0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</row>
    <row r="13" spans="1:43" ht="30" customHeight="1" x14ac:dyDescent="0.25">
      <c r="A13" s="25" t="s">
        <v>385</v>
      </c>
      <c r="B13" s="27"/>
      <c r="C13" s="31"/>
      <c r="D13" s="31"/>
      <c r="E13" s="207" t="s">
        <v>988</v>
      </c>
      <c r="F13" s="209">
        <v>0</v>
      </c>
      <c r="G13" s="209">
        <v>0</v>
      </c>
      <c r="H13" s="209">
        <v>0</v>
      </c>
      <c r="I13" s="209">
        <v>0</v>
      </c>
      <c r="J13" s="209">
        <v>0</v>
      </c>
      <c r="K13" s="209">
        <v>-42724</v>
      </c>
      <c r="L13" s="209">
        <v>-48269</v>
      </c>
      <c r="M13" s="209">
        <v>-63780</v>
      </c>
      <c r="N13" s="209">
        <v>-81395</v>
      </c>
      <c r="O13" s="209">
        <v>-86603</v>
      </c>
      <c r="P13" s="209">
        <v>-156543</v>
      </c>
      <c r="Q13" s="209">
        <v>-94687</v>
      </c>
      <c r="R13" s="209">
        <v>-109656</v>
      </c>
      <c r="S13" s="210">
        <v>-106683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</row>
    <row r="14" spans="1:43" ht="30" customHeight="1" x14ac:dyDescent="0.25">
      <c r="A14" s="25" t="s">
        <v>73</v>
      </c>
      <c r="B14" s="27"/>
      <c r="C14" s="31"/>
      <c r="D14" s="31"/>
      <c r="E14" s="207" t="s">
        <v>989</v>
      </c>
      <c r="F14" s="209">
        <v>0</v>
      </c>
      <c r="G14" s="209">
        <v>0</v>
      </c>
      <c r="H14" s="209">
        <v>0</v>
      </c>
      <c r="I14" s="209">
        <v>0</v>
      </c>
      <c r="J14" s="209">
        <v>0</v>
      </c>
      <c r="K14" s="209">
        <v>0</v>
      </c>
      <c r="L14" s="209">
        <v>0</v>
      </c>
      <c r="M14" s="209">
        <v>0</v>
      </c>
      <c r="N14" s="209">
        <v>0</v>
      </c>
      <c r="O14" s="209">
        <v>0</v>
      </c>
      <c r="P14" s="209">
        <v>0</v>
      </c>
      <c r="Q14" s="209">
        <v>-145843</v>
      </c>
      <c r="R14" s="209">
        <v>-118344</v>
      </c>
      <c r="S14" s="210">
        <v>-102692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</row>
    <row r="15" spans="1:43" ht="30" customHeight="1" x14ac:dyDescent="0.25">
      <c r="A15" s="25" t="s">
        <v>382</v>
      </c>
      <c r="B15" s="27"/>
      <c r="C15" s="31"/>
      <c r="D15" s="31"/>
      <c r="E15" s="207" t="s">
        <v>1010</v>
      </c>
      <c r="F15" s="209">
        <v>0</v>
      </c>
      <c r="G15" s="209">
        <v>0</v>
      </c>
      <c r="H15" s="209">
        <v>0</v>
      </c>
      <c r="I15" s="209">
        <v>0</v>
      </c>
      <c r="J15" s="209">
        <v>0</v>
      </c>
      <c r="K15" s="209">
        <v>-183674</v>
      </c>
      <c r="L15" s="209">
        <v>-190925</v>
      </c>
      <c r="M15" s="209">
        <v>-200841</v>
      </c>
      <c r="N15" s="209">
        <v>-219214</v>
      </c>
      <c r="O15" s="209">
        <v>-240881</v>
      </c>
      <c r="P15" s="209">
        <v>-217213</v>
      </c>
      <c r="Q15" s="209">
        <v>-272779</v>
      </c>
      <c r="R15" s="209">
        <v>-291237</v>
      </c>
      <c r="S15" s="210">
        <v>-311215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</row>
    <row r="16" spans="1:43" ht="30" customHeight="1" x14ac:dyDescent="0.25">
      <c r="A16" s="25" t="s">
        <v>1307</v>
      </c>
      <c r="B16" s="27"/>
      <c r="C16" s="31"/>
      <c r="D16" s="31"/>
      <c r="E16" s="207" t="s">
        <v>1011</v>
      </c>
      <c r="F16" s="209">
        <v>0</v>
      </c>
      <c r="G16" s="209">
        <v>0</v>
      </c>
      <c r="H16" s="209">
        <v>0</v>
      </c>
      <c r="I16" s="209">
        <v>0</v>
      </c>
      <c r="J16" s="209">
        <v>0</v>
      </c>
      <c r="K16" s="209">
        <v>-172147</v>
      </c>
      <c r="L16" s="209">
        <v>-163535</v>
      </c>
      <c r="M16" s="209">
        <v>-171084</v>
      </c>
      <c r="N16" s="209">
        <v>-205841</v>
      </c>
      <c r="O16" s="209">
        <v>-241044</v>
      </c>
      <c r="P16" s="209">
        <v>-343884</v>
      </c>
      <c r="Q16" s="209">
        <v>-453531</v>
      </c>
      <c r="R16" s="209">
        <v>-464791</v>
      </c>
      <c r="S16" s="210">
        <v>-465017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</row>
    <row r="17" spans="1:40" ht="30" customHeight="1" x14ac:dyDescent="0.25">
      <c r="A17" s="25" t="s">
        <v>1086</v>
      </c>
      <c r="B17" s="27"/>
      <c r="C17" s="31"/>
      <c r="D17" s="31"/>
      <c r="E17" s="207" t="s">
        <v>1012</v>
      </c>
      <c r="F17" s="209">
        <v>0</v>
      </c>
      <c r="G17" s="209">
        <v>0</v>
      </c>
      <c r="H17" s="209">
        <v>0</v>
      </c>
      <c r="I17" s="209">
        <v>0</v>
      </c>
      <c r="J17" s="209">
        <v>0</v>
      </c>
      <c r="K17" s="209">
        <v>0</v>
      </c>
      <c r="L17" s="209">
        <v>0</v>
      </c>
      <c r="M17" s="209">
        <v>0</v>
      </c>
      <c r="N17" s="209">
        <v>-181220</v>
      </c>
      <c r="O17" s="209">
        <v>-257542</v>
      </c>
      <c r="P17" s="209">
        <v>-278040</v>
      </c>
      <c r="Q17" s="209">
        <v>-285568</v>
      </c>
      <c r="R17" s="209">
        <v>-311337</v>
      </c>
      <c r="S17" s="210">
        <v>-324766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</row>
    <row r="18" spans="1:40" ht="30" customHeight="1" x14ac:dyDescent="0.25">
      <c r="A18" s="25"/>
      <c r="B18" s="27"/>
      <c r="C18" s="31"/>
      <c r="D18" s="31"/>
      <c r="E18" s="207" t="s">
        <v>1013</v>
      </c>
      <c r="F18" s="209">
        <v>0</v>
      </c>
      <c r="G18" s="209">
        <v>0</v>
      </c>
      <c r="H18" s="209">
        <v>0</v>
      </c>
      <c r="I18" s="209">
        <v>0</v>
      </c>
      <c r="J18" s="209">
        <v>0</v>
      </c>
      <c r="K18" s="209">
        <v>0</v>
      </c>
      <c r="L18" s="209">
        <v>0</v>
      </c>
      <c r="M18" s="209">
        <v>0</v>
      </c>
      <c r="N18" s="209">
        <v>0</v>
      </c>
      <c r="O18" s="209">
        <v>-307151</v>
      </c>
      <c r="P18" s="209">
        <v>-304350</v>
      </c>
      <c r="Q18" s="209">
        <v>-374035</v>
      </c>
      <c r="R18" s="209">
        <v>-422640</v>
      </c>
      <c r="S18" s="210">
        <v>-388786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</row>
    <row r="19" spans="1:40" ht="30" customHeight="1" x14ac:dyDescent="0.25">
      <c r="B19" s="27"/>
      <c r="C19" s="31"/>
      <c r="D19" s="31"/>
      <c r="E19" s="207" t="s">
        <v>1026</v>
      </c>
      <c r="F19" s="209">
        <v>0</v>
      </c>
      <c r="G19" s="209">
        <v>0</v>
      </c>
      <c r="H19" s="209">
        <v>0</v>
      </c>
      <c r="I19" s="209">
        <v>0</v>
      </c>
      <c r="J19" s="209">
        <v>0</v>
      </c>
      <c r="K19" s="209">
        <v>0</v>
      </c>
      <c r="L19" s="209">
        <v>0</v>
      </c>
      <c r="M19" s="209">
        <v>0</v>
      </c>
      <c r="N19" s="209">
        <v>0</v>
      </c>
      <c r="O19" s="209">
        <v>0</v>
      </c>
      <c r="P19" s="209">
        <v>0</v>
      </c>
      <c r="Q19" s="209">
        <v>0</v>
      </c>
      <c r="R19" s="209">
        <v>0</v>
      </c>
      <c r="S19" s="210">
        <v>0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</row>
    <row r="20" spans="1:40" ht="30" customHeight="1" x14ac:dyDescent="0.25">
      <c r="A20" s="25"/>
      <c r="B20" s="27"/>
      <c r="C20" s="31"/>
      <c r="D20" s="31"/>
      <c r="E20" s="207" t="s">
        <v>1027</v>
      </c>
      <c r="F20" s="209">
        <v>0</v>
      </c>
      <c r="G20" s="209">
        <v>0</v>
      </c>
      <c r="H20" s="209">
        <v>0</v>
      </c>
      <c r="I20" s="209">
        <v>0</v>
      </c>
      <c r="J20" s="209">
        <v>0</v>
      </c>
      <c r="K20" s="209">
        <v>0</v>
      </c>
      <c r="L20" s="209">
        <v>0</v>
      </c>
      <c r="M20" s="209">
        <v>0</v>
      </c>
      <c r="N20" s="209">
        <v>0</v>
      </c>
      <c r="O20" s="209">
        <v>0</v>
      </c>
      <c r="P20" s="209">
        <v>0</v>
      </c>
      <c r="Q20" s="209">
        <v>0</v>
      </c>
      <c r="R20" s="209">
        <v>0</v>
      </c>
      <c r="S20" s="210">
        <v>0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</row>
    <row r="21" spans="1:40" ht="30" customHeight="1" x14ac:dyDescent="0.25">
      <c r="A21" s="25"/>
      <c r="B21" s="27"/>
      <c r="C21" s="31"/>
      <c r="D21" s="31"/>
      <c r="E21" s="207" t="s">
        <v>1014</v>
      </c>
      <c r="F21" s="209">
        <v>0</v>
      </c>
      <c r="G21" s="209">
        <v>0</v>
      </c>
      <c r="H21" s="209">
        <v>0</v>
      </c>
      <c r="I21" s="209">
        <v>0</v>
      </c>
      <c r="J21" s="209">
        <v>0</v>
      </c>
      <c r="K21" s="209">
        <v>-116130</v>
      </c>
      <c r="L21" s="209">
        <v>-128908</v>
      </c>
      <c r="M21" s="209">
        <v>-172971</v>
      </c>
      <c r="N21" s="209">
        <v>-202208</v>
      </c>
      <c r="O21" s="209">
        <v>-228046</v>
      </c>
      <c r="P21" s="209">
        <v>-181649</v>
      </c>
      <c r="Q21" s="209">
        <v>-249706</v>
      </c>
      <c r="R21" s="209">
        <v>-290673</v>
      </c>
      <c r="S21" s="210">
        <v>-338565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</row>
    <row r="22" spans="1:40" ht="30" customHeight="1" thickBot="1" x14ac:dyDescent="0.3">
      <c r="A22" s="25"/>
      <c r="B22" s="27"/>
      <c r="C22" s="31"/>
      <c r="D22" s="31"/>
      <c r="E22" s="211" t="s">
        <v>991</v>
      </c>
      <c r="F22" s="291">
        <v>-641702</v>
      </c>
      <c r="G22" s="291">
        <v>-775541</v>
      </c>
      <c r="H22" s="291">
        <v>-929554</v>
      </c>
      <c r="I22" s="291">
        <v>-1030055</v>
      </c>
      <c r="J22" s="291">
        <v>-1171753</v>
      </c>
      <c r="K22" s="291">
        <f t="shared" ref="K22:P22" si="0">K10+K11+K12+K13+K15+K16+K17+K18+K21+K14</f>
        <v>-1389728</v>
      </c>
      <c r="L22" s="291">
        <f t="shared" si="0"/>
        <v>-1547462</v>
      </c>
      <c r="M22" s="291">
        <f t="shared" si="0"/>
        <v>-1792022</v>
      </c>
      <c r="N22" s="291">
        <f t="shared" si="0"/>
        <v>-2256607</v>
      </c>
      <c r="O22" s="291">
        <f t="shared" si="0"/>
        <v>-2537083</v>
      </c>
      <c r="P22" s="291">
        <f t="shared" si="0"/>
        <v>-2468018</v>
      </c>
      <c r="Q22" s="291">
        <f>Q10+Q11+Q12+Q13+Q15+Q16+Q17+Q18+Q21+Q14</f>
        <v>-3204715</v>
      </c>
      <c r="R22" s="291">
        <f t="shared" ref="R22" si="1">R10+R11+R12+R13+R15+R16+R17+R18+R21+R14</f>
        <v>-3563412</v>
      </c>
      <c r="S22" s="291">
        <f t="shared" ref="S22" si="2">S10+S11+S12+S13+S15+S16+S17+S18+S21+S14</f>
        <v>-3658154</v>
      </c>
      <c r="T22" s="134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</row>
    <row r="23" spans="1:40" ht="30" customHeight="1" x14ac:dyDescent="0.25">
      <c r="A23" s="25"/>
      <c r="B23" s="27"/>
      <c r="C23" s="31"/>
      <c r="D23" s="31"/>
      <c r="E23" s="31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2"/>
      <c r="S23" s="212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</row>
    <row r="24" spans="1:40" ht="30" customHeight="1" x14ac:dyDescent="0.25">
      <c r="A24" s="25"/>
      <c r="B24" s="27"/>
      <c r="C24" s="31"/>
      <c r="D24" s="31"/>
      <c r="E24" s="31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</row>
    <row r="25" spans="1:40" ht="30" customHeight="1" x14ac:dyDescent="0.25">
      <c r="A25" s="25"/>
      <c r="B25" s="27"/>
      <c r="C25" s="31"/>
      <c r="D25" s="31"/>
      <c r="E25" s="45"/>
      <c r="S25" s="263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</row>
    <row r="26" spans="1:40" ht="30" customHeight="1" x14ac:dyDescent="0.25">
      <c r="A26" s="25"/>
      <c r="B26" s="27"/>
      <c r="C26" s="31"/>
      <c r="D26" s="31"/>
      <c r="E26" s="207"/>
      <c r="F26" s="171">
        <v>2010</v>
      </c>
      <c r="G26" s="171">
        <v>2011</v>
      </c>
      <c r="H26" s="171">
        <v>2012</v>
      </c>
      <c r="I26" s="171">
        <v>2013</v>
      </c>
      <c r="J26" s="171">
        <v>2014</v>
      </c>
      <c r="K26" s="171">
        <v>2015</v>
      </c>
      <c r="L26" s="171">
        <v>2016</v>
      </c>
      <c r="M26" s="171">
        <v>2017</v>
      </c>
      <c r="N26" s="171">
        <v>2018</v>
      </c>
      <c r="O26" s="171">
        <v>2019</v>
      </c>
      <c r="P26" s="171">
        <v>2020</v>
      </c>
      <c r="Q26" s="171">
        <v>2021</v>
      </c>
      <c r="R26" s="171">
        <v>2022</v>
      </c>
      <c r="S26" s="208">
        <v>2023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</row>
    <row r="27" spans="1:40" ht="30" customHeight="1" x14ac:dyDescent="0.25">
      <c r="A27" s="25"/>
      <c r="B27" s="27"/>
      <c r="C27" s="31"/>
      <c r="D27" s="31"/>
      <c r="E27" s="207" t="s">
        <v>1007</v>
      </c>
      <c r="F27" s="209">
        <v>0</v>
      </c>
      <c r="G27" s="209">
        <v>0</v>
      </c>
      <c r="H27" s="209">
        <v>0</v>
      </c>
      <c r="I27" s="209">
        <v>0</v>
      </c>
      <c r="J27" s="209">
        <v>0</v>
      </c>
      <c r="K27" s="209">
        <v>-195294</v>
      </c>
      <c r="L27" s="209">
        <v>-255768</v>
      </c>
      <c r="M27" s="209">
        <v>-295717</v>
      </c>
      <c r="N27" s="209">
        <v>-336607</v>
      </c>
      <c r="O27" s="209">
        <v>-393039</v>
      </c>
      <c r="P27" s="209">
        <v>-381063</v>
      </c>
      <c r="Q27" s="209">
        <v>-539198</v>
      </c>
      <c r="R27" s="209">
        <v>-744086</v>
      </c>
      <c r="S27" s="214">
        <v>-817842</v>
      </c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</row>
    <row r="28" spans="1:40" ht="30" customHeight="1" x14ac:dyDescent="0.25">
      <c r="A28" s="25"/>
      <c r="B28" s="27"/>
      <c r="C28" s="27"/>
      <c r="D28" s="31"/>
      <c r="E28" s="207" t="s">
        <v>1008</v>
      </c>
      <c r="F28" s="209">
        <v>0</v>
      </c>
      <c r="G28" s="209">
        <v>0</v>
      </c>
      <c r="H28" s="209">
        <v>0</v>
      </c>
      <c r="I28" s="209">
        <v>0</v>
      </c>
      <c r="J28" s="209">
        <v>0</v>
      </c>
      <c r="K28" s="209">
        <v>-30345</v>
      </c>
      <c r="L28" s="209">
        <v>-31326</v>
      </c>
      <c r="M28" s="209">
        <v>-33723</v>
      </c>
      <c r="N28" s="209">
        <v>-35189</v>
      </c>
      <c r="O28" s="209">
        <v>-5354</v>
      </c>
      <c r="P28" s="209">
        <v>-10019</v>
      </c>
      <c r="Q28" s="209">
        <v>-14372</v>
      </c>
      <c r="R28" s="209">
        <v>-6184</v>
      </c>
      <c r="S28" s="214">
        <v>-1273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</row>
    <row r="29" spans="1:40" ht="30" customHeight="1" x14ac:dyDescent="0.25">
      <c r="A29" s="25"/>
      <c r="B29" s="27"/>
      <c r="C29" s="27"/>
      <c r="D29" s="31"/>
      <c r="E29" s="207" t="s">
        <v>988</v>
      </c>
      <c r="F29" s="209">
        <v>0</v>
      </c>
      <c r="G29" s="209">
        <v>0</v>
      </c>
      <c r="H29" s="209">
        <v>0</v>
      </c>
      <c r="I29" s="209">
        <v>0</v>
      </c>
      <c r="J29" s="209">
        <v>0</v>
      </c>
      <c r="K29" s="209">
        <v>-163809</v>
      </c>
      <c r="L29" s="209">
        <v>-152118</v>
      </c>
      <c r="M29" s="209">
        <v>-185966</v>
      </c>
      <c r="N29" s="209">
        <v>-218001</v>
      </c>
      <c r="O29" s="209">
        <v>-241778</v>
      </c>
      <c r="P29" s="209">
        <v>-238805</v>
      </c>
      <c r="Q29" s="209">
        <v>-196673</v>
      </c>
      <c r="R29" s="209">
        <v>-211671</v>
      </c>
      <c r="S29" s="214">
        <v>-212607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</row>
    <row r="30" spans="1:40" ht="30" customHeight="1" x14ac:dyDescent="0.25">
      <c r="A30" s="25"/>
      <c r="B30" s="27"/>
      <c r="C30" s="27"/>
      <c r="D30" s="31"/>
      <c r="E30" s="207" t="s">
        <v>989</v>
      </c>
      <c r="F30" s="209">
        <v>0</v>
      </c>
      <c r="G30" s="209">
        <v>0</v>
      </c>
      <c r="H30" s="209">
        <v>0</v>
      </c>
      <c r="I30" s="209">
        <v>0</v>
      </c>
      <c r="J30" s="209">
        <v>0</v>
      </c>
      <c r="K30" s="209">
        <v>0</v>
      </c>
      <c r="L30" s="209">
        <v>0</v>
      </c>
      <c r="M30" s="209">
        <v>0</v>
      </c>
      <c r="N30" s="209">
        <v>0</v>
      </c>
      <c r="O30" s="209">
        <v>0</v>
      </c>
      <c r="P30" s="209">
        <v>0</v>
      </c>
      <c r="Q30" s="209">
        <v>-140680</v>
      </c>
      <c r="R30" s="209">
        <v>-150345</v>
      </c>
      <c r="S30" s="214">
        <v>-174975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</row>
    <row r="31" spans="1:40" ht="30" customHeight="1" x14ac:dyDescent="0.25">
      <c r="A31" s="25"/>
      <c r="B31" s="27"/>
      <c r="C31" s="27"/>
      <c r="D31" s="31"/>
      <c r="E31" s="207" t="s">
        <v>1010</v>
      </c>
      <c r="F31" s="209">
        <v>0</v>
      </c>
      <c r="G31" s="209">
        <v>0</v>
      </c>
      <c r="H31" s="209">
        <v>0</v>
      </c>
      <c r="I31" s="209">
        <v>0</v>
      </c>
      <c r="J31" s="209">
        <v>0</v>
      </c>
      <c r="K31" s="209">
        <v>-45336</v>
      </c>
      <c r="L31" s="209">
        <v>-46607</v>
      </c>
      <c r="M31" s="209">
        <v>-52187</v>
      </c>
      <c r="N31" s="209">
        <v>-54560</v>
      </c>
      <c r="O31" s="209">
        <v>-56709</v>
      </c>
      <c r="P31" s="209">
        <v>-52652</v>
      </c>
      <c r="Q31" s="209">
        <v>-69531</v>
      </c>
      <c r="R31" s="209">
        <v>-99667</v>
      </c>
      <c r="S31" s="214">
        <v>-111660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</row>
    <row r="32" spans="1:40" ht="30" customHeight="1" x14ac:dyDescent="0.25">
      <c r="A32" s="25"/>
      <c r="B32" s="27"/>
      <c r="C32" s="27"/>
      <c r="D32" s="31"/>
      <c r="E32" s="207" t="s">
        <v>1012</v>
      </c>
      <c r="F32" s="209">
        <v>0</v>
      </c>
      <c r="G32" s="209">
        <v>0</v>
      </c>
      <c r="H32" s="209">
        <v>0</v>
      </c>
      <c r="I32" s="209">
        <v>0</v>
      </c>
      <c r="J32" s="209">
        <v>0</v>
      </c>
      <c r="K32" s="209">
        <v>0</v>
      </c>
      <c r="L32" s="209">
        <v>0</v>
      </c>
      <c r="M32" s="209">
        <v>0</v>
      </c>
      <c r="N32" s="209">
        <v>-120423</v>
      </c>
      <c r="O32" s="209">
        <v>-90558</v>
      </c>
      <c r="P32" s="209">
        <v>-131873</v>
      </c>
      <c r="Q32" s="209">
        <v>-158038</v>
      </c>
      <c r="R32" s="209">
        <v>-169095</v>
      </c>
      <c r="S32" s="214">
        <v>-234408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</row>
    <row r="33" spans="1:40" ht="30" customHeight="1" x14ac:dyDescent="0.25">
      <c r="A33" s="25"/>
      <c r="B33" s="27"/>
      <c r="C33" s="27"/>
      <c r="D33" s="31"/>
      <c r="E33" s="207" t="s">
        <v>1013</v>
      </c>
      <c r="F33" s="209">
        <v>0</v>
      </c>
      <c r="G33" s="209">
        <v>0</v>
      </c>
      <c r="H33" s="209">
        <v>0</v>
      </c>
      <c r="I33" s="209">
        <v>0</v>
      </c>
      <c r="J33" s="209">
        <v>0</v>
      </c>
      <c r="K33" s="209">
        <v>0</v>
      </c>
      <c r="L33" s="209">
        <v>0</v>
      </c>
      <c r="M33" s="209">
        <v>0</v>
      </c>
      <c r="N33" s="209">
        <v>0</v>
      </c>
      <c r="O33" s="209">
        <v>-29026</v>
      </c>
      <c r="P33" s="209">
        <v>-30077</v>
      </c>
      <c r="Q33" s="209">
        <v>-38375</v>
      </c>
      <c r="R33" s="209">
        <v>-70867</v>
      </c>
      <c r="S33" s="214">
        <v>-75472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</row>
    <row r="34" spans="1:40" ht="30" customHeight="1" x14ac:dyDescent="0.25">
      <c r="A34" s="25"/>
      <c r="B34" s="27"/>
      <c r="C34" s="27"/>
      <c r="D34" s="31"/>
      <c r="E34" s="207" t="s">
        <v>1025</v>
      </c>
      <c r="F34" s="209">
        <v>0</v>
      </c>
      <c r="G34" s="209">
        <v>0</v>
      </c>
      <c r="H34" s="209">
        <v>0</v>
      </c>
      <c r="I34" s="209">
        <v>0</v>
      </c>
      <c r="J34" s="209">
        <v>0</v>
      </c>
      <c r="K34" s="209">
        <v>0</v>
      </c>
      <c r="L34" s="209">
        <v>0</v>
      </c>
      <c r="M34" s="209">
        <v>0</v>
      </c>
      <c r="N34" s="209">
        <v>0</v>
      </c>
      <c r="O34" s="209">
        <v>0</v>
      </c>
      <c r="P34" s="209">
        <v>0</v>
      </c>
      <c r="Q34" s="209">
        <v>35197</v>
      </c>
      <c r="R34" s="209">
        <v>598</v>
      </c>
      <c r="S34" s="214">
        <v>0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</row>
    <row r="35" spans="1:40" ht="30" customHeight="1" x14ac:dyDescent="0.25">
      <c r="A35" s="25"/>
      <c r="B35" s="27"/>
      <c r="C35" s="27"/>
      <c r="D35" s="31"/>
      <c r="E35" s="207" t="s">
        <v>1014</v>
      </c>
      <c r="F35" s="209">
        <v>0</v>
      </c>
      <c r="G35" s="209">
        <v>0</v>
      </c>
      <c r="H35" s="209">
        <v>0</v>
      </c>
      <c r="I35" s="209">
        <v>0</v>
      </c>
      <c r="J35" s="209">
        <v>0</v>
      </c>
      <c r="K35" s="209">
        <v>-34605</v>
      </c>
      <c r="L35" s="209">
        <v>-35330</v>
      </c>
      <c r="M35" s="209">
        <v>-43141</v>
      </c>
      <c r="N35" s="209">
        <v>-55214</v>
      </c>
      <c r="O35" s="209">
        <v>-64156</v>
      </c>
      <c r="P35" s="209">
        <v>-40744</v>
      </c>
      <c r="Q35" s="209">
        <v>-59403</v>
      </c>
      <c r="R35" s="209">
        <v>-84481</v>
      </c>
      <c r="S35" s="214">
        <v>-97939</v>
      </c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</row>
    <row r="36" spans="1:40" ht="30" customHeight="1" thickBot="1" x14ac:dyDescent="0.3">
      <c r="A36" s="25"/>
      <c r="B36" s="27"/>
      <c r="C36" s="27"/>
      <c r="D36" s="31"/>
      <c r="E36" s="211" t="s">
        <v>991</v>
      </c>
      <c r="F36" s="291">
        <v>-211764</v>
      </c>
      <c r="G36" s="291">
        <v>-250682</v>
      </c>
      <c r="H36" s="291">
        <v>-293931</v>
      </c>
      <c r="I36" s="291">
        <v>-330255</v>
      </c>
      <c r="J36" s="291">
        <v>-397998</v>
      </c>
      <c r="K36" s="291">
        <f t="shared" ref="K36:P36" si="3">K27+K28+K29+K31+K32+K33+K35+K30+K34</f>
        <v>-469389</v>
      </c>
      <c r="L36" s="291">
        <f t="shared" si="3"/>
        <v>-521149</v>
      </c>
      <c r="M36" s="291">
        <f t="shared" si="3"/>
        <v>-610734</v>
      </c>
      <c r="N36" s="291">
        <f t="shared" si="3"/>
        <v>-819994</v>
      </c>
      <c r="O36" s="291">
        <f t="shared" si="3"/>
        <v>-880620</v>
      </c>
      <c r="P36" s="291">
        <f t="shared" si="3"/>
        <v>-885233</v>
      </c>
      <c r="Q36" s="291">
        <f>Q27+Q28+Q29+Q31+Q32+Q33+Q35+Q30+Q34</f>
        <v>-1181073</v>
      </c>
      <c r="R36" s="291">
        <f t="shared" ref="R36" si="4">R27+R28+R29+R31+R32+R33+R35+R30+R34</f>
        <v>-1535798</v>
      </c>
      <c r="S36" s="414">
        <f t="shared" ref="S36" si="5">S27+S28+S29+S31+S32+S33+S35+S30+S34</f>
        <v>-1726176</v>
      </c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</row>
    <row r="37" spans="1:40" ht="30" customHeight="1" x14ac:dyDescent="0.25">
      <c r="A37" s="25"/>
      <c r="B37" s="27"/>
      <c r="C37" s="27"/>
      <c r="D37" s="31"/>
      <c r="E37" s="31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</row>
    <row r="38" spans="1:40" ht="30" customHeight="1" x14ac:dyDescent="0.25">
      <c r="A38" s="25"/>
      <c r="B38" s="27"/>
      <c r="C38" s="27"/>
      <c r="D38" s="31"/>
      <c r="E38" s="163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</row>
    <row r="39" spans="1:40" ht="30" customHeight="1" x14ac:dyDescent="0.25">
      <c r="A39" s="25"/>
      <c r="B39" s="27"/>
      <c r="C39" s="27"/>
      <c r="D39" s="31"/>
      <c r="E39" s="45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</row>
    <row r="40" spans="1:40" ht="30" customHeight="1" x14ac:dyDescent="0.25">
      <c r="A40" s="25"/>
      <c r="B40" s="27"/>
      <c r="C40" s="27"/>
      <c r="D40" s="31"/>
      <c r="E40" s="207"/>
      <c r="F40" s="171">
        <v>2010</v>
      </c>
      <c r="G40" s="171">
        <v>2011</v>
      </c>
      <c r="H40" s="171">
        <v>2012</v>
      </c>
      <c r="I40" s="171">
        <v>2013</v>
      </c>
      <c r="J40" s="171">
        <v>2014</v>
      </c>
      <c r="K40" s="171">
        <v>2015</v>
      </c>
      <c r="L40" s="171">
        <v>2016</v>
      </c>
      <c r="M40" s="171">
        <v>2017</v>
      </c>
      <c r="N40" s="171">
        <v>2018</v>
      </c>
      <c r="O40" s="171">
        <v>2019</v>
      </c>
      <c r="P40" s="171">
        <v>2020</v>
      </c>
      <c r="Q40" s="171">
        <v>2021</v>
      </c>
      <c r="R40" s="171">
        <v>2022</v>
      </c>
      <c r="S40" s="208">
        <v>2023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</row>
    <row r="41" spans="1:40" ht="30" customHeight="1" x14ac:dyDescent="0.25">
      <c r="A41" s="25"/>
      <c r="B41" s="27"/>
      <c r="C41" s="27"/>
      <c r="D41" s="31"/>
      <c r="E41" s="207" t="s">
        <v>1015</v>
      </c>
      <c r="F41" s="209">
        <v>0</v>
      </c>
      <c r="G41" s="209">
        <v>0</v>
      </c>
      <c r="H41" s="209">
        <v>0</v>
      </c>
      <c r="I41" s="209">
        <v>0</v>
      </c>
      <c r="J41" s="209">
        <v>0</v>
      </c>
      <c r="K41" s="209">
        <f>'DRE + DCF'!K23</f>
        <v>-281141</v>
      </c>
      <c r="L41" s="209">
        <f>'DRE + DCF'!L23</f>
        <v>-262203</v>
      </c>
      <c r="M41" s="209">
        <f>'DRE + DCF'!M23</f>
        <v>-255835</v>
      </c>
      <c r="N41" s="209">
        <f>'DRE + DCF'!N23</f>
        <v>-280673</v>
      </c>
      <c r="O41" s="209">
        <f>'DRE + DCF'!O23</f>
        <v>-381049</v>
      </c>
      <c r="P41" s="209">
        <f>'DRE + DCF'!P23</f>
        <v>-412636</v>
      </c>
      <c r="Q41" s="209">
        <f>'DRE + DCF'!Q23</f>
        <v>-339801</v>
      </c>
      <c r="R41" s="209">
        <f>'DRE + DCF'!R23</f>
        <v>-991742</v>
      </c>
      <c r="S41" s="209">
        <f>'DRE + DCF'!S23</f>
        <v>-1343277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</row>
    <row r="42" spans="1:40" ht="30" customHeight="1" x14ac:dyDescent="0.25">
      <c r="A42" s="25"/>
      <c r="B42" s="27"/>
      <c r="C42" s="27"/>
      <c r="D42" s="31"/>
      <c r="E42" s="207" t="s">
        <v>1016</v>
      </c>
      <c r="F42" s="209">
        <v>0</v>
      </c>
      <c r="G42" s="209">
        <v>0</v>
      </c>
      <c r="H42" s="209">
        <v>0</v>
      </c>
      <c r="I42" s="209">
        <v>0</v>
      </c>
      <c r="J42" s="209">
        <v>0</v>
      </c>
      <c r="K42" s="209">
        <v>-9971</v>
      </c>
      <c r="L42" s="209">
        <v>-9797</v>
      </c>
      <c r="M42" s="209">
        <v>-12215</v>
      </c>
      <c r="N42" s="209">
        <v>0</v>
      </c>
      <c r="O42" s="209">
        <v>0</v>
      </c>
      <c r="P42" s="209">
        <v>0</v>
      </c>
      <c r="Q42" s="209">
        <v>0</v>
      </c>
      <c r="R42" s="209">
        <v>0</v>
      </c>
      <c r="S42" s="210">
        <v>0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</row>
    <row r="43" spans="1:40" ht="30" customHeight="1" x14ac:dyDescent="0.25">
      <c r="A43" s="25"/>
      <c r="B43" s="27"/>
      <c r="C43" s="27"/>
      <c r="D43" s="31"/>
      <c r="E43" s="207" t="s">
        <v>1017</v>
      </c>
      <c r="F43" s="209">
        <v>0</v>
      </c>
      <c r="G43" s="209">
        <v>0</v>
      </c>
      <c r="H43" s="209">
        <v>0</v>
      </c>
      <c r="I43" s="209">
        <v>0</v>
      </c>
      <c r="J43" s="209">
        <v>0</v>
      </c>
      <c r="K43" s="209">
        <v>-39822</v>
      </c>
      <c r="L43" s="209">
        <v>-43077</v>
      </c>
      <c r="M43" s="209">
        <v>-49520</v>
      </c>
      <c r="N43" s="209">
        <v>0</v>
      </c>
      <c r="O43" s="209">
        <v>0</v>
      </c>
      <c r="P43" s="209">
        <v>0</v>
      </c>
      <c r="Q43" s="209">
        <v>0</v>
      </c>
      <c r="R43" s="209">
        <v>0</v>
      </c>
      <c r="S43" s="210">
        <v>0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</row>
    <row r="44" spans="1:40" ht="30" customHeight="1" x14ac:dyDescent="0.25">
      <c r="A44" s="25"/>
      <c r="B44" s="27"/>
      <c r="C44" s="27"/>
      <c r="D44" s="31"/>
      <c r="E44" s="207" t="s">
        <v>1018</v>
      </c>
      <c r="F44" s="209">
        <v>0</v>
      </c>
      <c r="G44" s="209">
        <v>0</v>
      </c>
      <c r="H44" s="209">
        <v>0</v>
      </c>
      <c r="I44" s="209">
        <v>0</v>
      </c>
      <c r="J44" s="209">
        <v>0</v>
      </c>
      <c r="K44" s="209">
        <v>-159640</v>
      </c>
      <c r="L44" s="209">
        <v>-177898</v>
      </c>
      <c r="M44" s="209">
        <v>-233865</v>
      </c>
      <c r="N44" s="209">
        <v>-283062</v>
      </c>
      <c r="O44" s="209">
        <v>-316084</v>
      </c>
      <c r="P44" s="209">
        <v>-357414</v>
      </c>
      <c r="Q44" s="209">
        <v>-404443</v>
      </c>
      <c r="R44" s="209">
        <v>-509795</v>
      </c>
      <c r="S44" s="210">
        <v>-585913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</row>
    <row r="45" spans="1:40" ht="30" customHeight="1" x14ac:dyDescent="0.25">
      <c r="A45" s="25"/>
      <c r="B45" s="27"/>
      <c r="C45" s="27"/>
      <c r="D45" s="31"/>
      <c r="E45" s="207" t="s">
        <v>990</v>
      </c>
      <c r="F45" s="209">
        <v>0</v>
      </c>
      <c r="G45" s="209">
        <v>0</v>
      </c>
      <c r="H45" s="209">
        <v>0</v>
      </c>
      <c r="I45" s="209">
        <v>0</v>
      </c>
      <c r="J45" s="209">
        <v>0</v>
      </c>
      <c r="K45" s="209">
        <v>-264780</v>
      </c>
      <c r="L45" s="209">
        <v>-311261</v>
      </c>
      <c r="M45" s="209">
        <v>-329051</v>
      </c>
      <c r="N45" s="209">
        <v>-12931</v>
      </c>
      <c r="O45" s="209">
        <v>-12830</v>
      </c>
      <c r="P45" s="209">
        <v>-14714</v>
      </c>
      <c r="Q45" s="209">
        <v>-20223</v>
      </c>
      <c r="R45" s="209">
        <v>-18962</v>
      </c>
      <c r="S45" s="210">
        <v>-26232</v>
      </c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</row>
    <row r="46" spans="1:40" ht="30" customHeight="1" x14ac:dyDescent="0.25">
      <c r="A46" s="25"/>
      <c r="B46" s="27"/>
      <c r="C46" s="27"/>
      <c r="D46" s="31"/>
      <c r="E46" s="207" t="s">
        <v>1013</v>
      </c>
      <c r="F46" s="209">
        <v>0</v>
      </c>
      <c r="G46" s="209">
        <v>0</v>
      </c>
      <c r="H46" s="209">
        <v>0</v>
      </c>
      <c r="I46" s="209">
        <v>0</v>
      </c>
      <c r="J46" s="209">
        <v>0</v>
      </c>
      <c r="K46" s="209">
        <v>0</v>
      </c>
      <c r="L46" s="209">
        <v>0</v>
      </c>
      <c r="M46" s="209">
        <v>0</v>
      </c>
      <c r="N46" s="209">
        <v>0</v>
      </c>
      <c r="O46" s="209">
        <v>-699</v>
      </c>
      <c r="P46" s="209">
        <v>-587</v>
      </c>
      <c r="Q46" s="209">
        <v>-777</v>
      </c>
      <c r="R46" s="209">
        <v>-949</v>
      </c>
      <c r="S46" s="210">
        <v>-578</v>
      </c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</row>
    <row r="47" spans="1:40" ht="30" customHeight="1" x14ac:dyDescent="0.25">
      <c r="A47" s="25"/>
      <c r="B47" s="27"/>
      <c r="C47" s="27"/>
      <c r="D47" s="31"/>
      <c r="E47" s="207" t="s">
        <v>1019</v>
      </c>
      <c r="F47" s="209">
        <v>0</v>
      </c>
      <c r="G47" s="209">
        <v>0</v>
      </c>
      <c r="H47" s="209">
        <v>0</v>
      </c>
      <c r="I47" s="209">
        <v>0</v>
      </c>
      <c r="J47" s="209">
        <v>0</v>
      </c>
      <c r="K47" s="209">
        <v>-12757</v>
      </c>
      <c r="L47" s="209">
        <v>-21380</v>
      </c>
      <c r="M47" s="209">
        <v>-21351</v>
      </c>
      <c r="N47" s="209">
        <v>-6130</v>
      </c>
      <c r="O47" s="209">
        <v>-23768</v>
      </c>
      <c r="P47" s="209">
        <v>-20533</v>
      </c>
      <c r="Q47" s="209">
        <v>-8994</v>
      </c>
      <c r="R47" s="209">
        <v>-37705</v>
      </c>
      <c r="S47" s="210">
        <v>-140842</v>
      </c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</row>
    <row r="48" spans="1:40" ht="30" customHeight="1" x14ac:dyDescent="0.25">
      <c r="A48" s="25"/>
      <c r="B48" s="27"/>
      <c r="C48" s="27"/>
      <c r="D48" s="31"/>
      <c r="E48" s="207" t="s">
        <v>1020</v>
      </c>
      <c r="F48" s="209">
        <v>0</v>
      </c>
      <c r="G48" s="209">
        <v>0</v>
      </c>
      <c r="H48" s="209">
        <v>0</v>
      </c>
      <c r="I48" s="209">
        <v>0</v>
      </c>
      <c r="J48" s="209">
        <v>0</v>
      </c>
      <c r="K48" s="209">
        <v>-26431</v>
      </c>
      <c r="L48" s="209">
        <v>-24044</v>
      </c>
      <c r="M48" s="209">
        <v>-27638</v>
      </c>
      <c r="N48" s="209">
        <v>-20498</v>
      </c>
      <c r="O48" s="209">
        <v>-21075</v>
      </c>
      <c r="P48" s="209">
        <v>-22832</v>
      </c>
      <c r="Q48" s="209">
        <v>-15351</v>
      </c>
      <c r="R48" s="209">
        <v>-21799</v>
      </c>
      <c r="S48" s="210">
        <v>-23458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</row>
    <row r="49" spans="1:40" ht="30" customHeight="1" x14ac:dyDescent="0.25">
      <c r="A49" s="25"/>
      <c r="B49" s="27"/>
      <c r="C49" s="27"/>
      <c r="D49" s="31"/>
      <c r="E49" s="207" t="s">
        <v>1021</v>
      </c>
      <c r="F49" s="209">
        <v>0</v>
      </c>
      <c r="G49" s="209">
        <v>0</v>
      </c>
      <c r="H49" s="209">
        <v>0</v>
      </c>
      <c r="I49" s="209">
        <v>0</v>
      </c>
      <c r="J49" s="209">
        <v>0</v>
      </c>
      <c r="K49" s="209">
        <v>-9944</v>
      </c>
      <c r="L49" s="209">
        <v>-6734</v>
      </c>
      <c r="M49" s="209">
        <v>-10551</v>
      </c>
      <c r="N49" s="209">
        <v>-8294</v>
      </c>
      <c r="O49" s="209">
        <v>-5855</v>
      </c>
      <c r="P49" s="209">
        <v>-1363</v>
      </c>
      <c r="Q49" s="209">
        <v>-6754</v>
      </c>
      <c r="R49" s="209">
        <v>-2282</v>
      </c>
      <c r="S49" s="210">
        <v>0</v>
      </c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</row>
    <row r="50" spans="1:40" ht="30" customHeight="1" x14ac:dyDescent="0.25">
      <c r="A50" s="25"/>
      <c r="B50" s="27"/>
      <c r="C50" s="27"/>
      <c r="D50" s="31"/>
      <c r="E50" s="207" t="s">
        <v>1022</v>
      </c>
      <c r="F50" s="209">
        <v>0</v>
      </c>
      <c r="G50" s="209">
        <v>0</v>
      </c>
      <c r="H50" s="209">
        <v>0</v>
      </c>
      <c r="I50" s="209">
        <v>0</v>
      </c>
      <c r="J50" s="209">
        <v>0</v>
      </c>
      <c r="K50" s="209">
        <v>-21445</v>
      </c>
      <c r="L50" s="209">
        <v>18233</v>
      </c>
      <c r="M50" s="209">
        <v>-5227</v>
      </c>
      <c r="N50" s="209">
        <v>-13787</v>
      </c>
      <c r="O50" s="209">
        <v>-25831</v>
      </c>
      <c r="P50" s="209">
        <v>-65995</v>
      </c>
      <c r="Q50" s="209">
        <v>-38070</v>
      </c>
      <c r="R50" s="209">
        <v>8609</v>
      </c>
      <c r="S50" s="210">
        <v>-20449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</row>
    <row r="51" spans="1:40" ht="30" customHeight="1" x14ac:dyDescent="0.25">
      <c r="A51" s="25"/>
      <c r="B51" s="27"/>
      <c r="C51" s="27"/>
      <c r="D51" s="31"/>
      <c r="E51" s="207" t="s">
        <v>1023</v>
      </c>
      <c r="F51" s="209">
        <v>0</v>
      </c>
      <c r="G51" s="209">
        <v>0</v>
      </c>
      <c r="H51" s="209">
        <v>0</v>
      </c>
      <c r="I51" s="209">
        <v>0</v>
      </c>
      <c r="J51" s="209">
        <v>0</v>
      </c>
      <c r="K51" s="209">
        <v>48741</v>
      </c>
      <c r="L51" s="209">
        <v>53222</v>
      </c>
      <c r="M51" s="209">
        <v>13501</v>
      </c>
      <c r="N51" s="209">
        <v>43609</v>
      </c>
      <c r="O51" s="209">
        <v>87384</v>
      </c>
      <c r="P51" s="209">
        <v>815120</v>
      </c>
      <c r="Q51" s="209">
        <v>79100</v>
      </c>
      <c r="R51" s="209">
        <v>110066</v>
      </c>
      <c r="S51" s="210">
        <v>219246</v>
      </c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</row>
    <row r="52" spans="1:40" ht="30" customHeight="1" x14ac:dyDescent="0.25">
      <c r="A52" s="25"/>
      <c r="B52" s="27"/>
      <c r="C52" s="27"/>
      <c r="D52" s="31"/>
      <c r="E52" s="207" t="s">
        <v>1024</v>
      </c>
      <c r="F52" s="209">
        <v>0</v>
      </c>
      <c r="G52" s="209">
        <v>0</v>
      </c>
      <c r="H52" s="209">
        <v>0</v>
      </c>
      <c r="I52" s="209">
        <v>0</v>
      </c>
      <c r="J52" s="209">
        <v>0</v>
      </c>
      <c r="K52" s="209">
        <v>-64286</v>
      </c>
      <c r="L52" s="209">
        <v>-47255</v>
      </c>
      <c r="M52" s="209">
        <v>-77646</v>
      </c>
      <c r="N52" s="209">
        <v>-59836</v>
      </c>
      <c r="O52" s="209">
        <v>-96752</v>
      </c>
      <c r="P52" s="209">
        <v>-22526</v>
      </c>
      <c r="Q52" s="209">
        <v>-217333</v>
      </c>
      <c r="R52" s="209">
        <v>-13644</v>
      </c>
      <c r="S52" s="210">
        <v>-25692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</row>
    <row r="53" spans="1:40" ht="30" customHeight="1" thickBot="1" x14ac:dyDescent="0.3">
      <c r="A53" s="25"/>
      <c r="B53" s="27"/>
      <c r="C53" s="27"/>
      <c r="D53" s="27"/>
      <c r="E53" s="211" t="s">
        <v>991</v>
      </c>
      <c r="F53" s="291">
        <f>-88172-95121-75787-420-7054-17385</f>
        <v>-283939</v>
      </c>
      <c r="G53" s="291">
        <f>-109427-114138-97637-18073-661-3622</f>
        <v>-343558</v>
      </c>
      <c r="H53" s="291">
        <f>-126080-319447</f>
        <v>-445527</v>
      </c>
      <c r="I53" s="291">
        <f>-142489-349507</f>
        <v>-491996</v>
      </c>
      <c r="J53" s="291">
        <f>-490644-188460</f>
        <v>-679104</v>
      </c>
      <c r="K53" s="291">
        <f t="shared" ref="K53:R53" si="6">K41+K42+K43+K44+K45+K46+K47+K48+K49+K50+K51+K52</f>
        <v>-841476</v>
      </c>
      <c r="L53" s="291">
        <f t="shared" si="6"/>
        <v>-832194</v>
      </c>
      <c r="M53" s="291">
        <f t="shared" si="6"/>
        <v>-1009398</v>
      </c>
      <c r="N53" s="291">
        <f t="shared" si="6"/>
        <v>-641602</v>
      </c>
      <c r="O53" s="291">
        <f t="shared" si="6"/>
        <v>-796559</v>
      </c>
      <c r="P53" s="291">
        <f t="shared" si="6"/>
        <v>-103480</v>
      </c>
      <c r="Q53" s="291">
        <f t="shared" si="6"/>
        <v>-972646</v>
      </c>
      <c r="R53" s="291">
        <f t="shared" si="6"/>
        <v>-1478203</v>
      </c>
      <c r="S53" s="414">
        <f t="shared" ref="S53" si="7">S41+S42+S43+S44+S45+S46+S47+S48+S49+S50+S51+S52</f>
        <v>-1947195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</row>
    <row r="54" spans="1:40" ht="30" customHeight="1" x14ac:dyDescent="0.25">
      <c r="A54" s="25"/>
      <c r="B54" s="27"/>
      <c r="C54" s="27"/>
      <c r="D54" s="27"/>
      <c r="E54" s="27"/>
      <c r="F54" s="215"/>
      <c r="G54" s="215"/>
      <c r="H54" s="215"/>
      <c r="I54" s="215"/>
      <c r="J54" s="215"/>
      <c r="K54" s="326"/>
      <c r="L54" s="326"/>
      <c r="M54" s="326"/>
      <c r="N54" s="326"/>
      <c r="O54" s="326"/>
      <c r="P54" s="326"/>
      <c r="Q54" s="326"/>
      <c r="R54" s="326"/>
      <c r="S54" s="326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</row>
    <row r="55" spans="1:40" ht="30" customHeight="1" x14ac:dyDescent="0.25">
      <c r="A55" s="25"/>
      <c r="B55" s="27"/>
      <c r="C55" s="27"/>
      <c r="D55" s="27"/>
      <c r="E55" s="31"/>
      <c r="F55" s="215"/>
      <c r="G55" s="215"/>
      <c r="H55" s="215"/>
      <c r="I55" s="215"/>
      <c r="J55" s="215"/>
      <c r="K55" s="325"/>
      <c r="L55" s="325"/>
      <c r="M55" s="325"/>
      <c r="N55" s="325"/>
      <c r="O55" s="325"/>
      <c r="P55" s="325"/>
      <c r="Q55" s="325"/>
      <c r="R55" s="325"/>
      <c r="S55" s="325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</row>
    <row r="56" spans="1:40" ht="30" customHeight="1" x14ac:dyDescent="0.25">
      <c r="A56" s="25"/>
      <c r="B56" s="27"/>
      <c r="C56" s="27"/>
      <c r="D56" s="27"/>
      <c r="E56" s="45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</row>
    <row r="57" spans="1:40" ht="30" customHeight="1" x14ac:dyDescent="0.25">
      <c r="A57" s="25"/>
      <c r="B57" s="27"/>
      <c r="C57" s="27"/>
      <c r="D57" s="27"/>
      <c r="E57" s="207"/>
      <c r="F57" s="171">
        <v>2010</v>
      </c>
      <c r="G57" s="171">
        <v>2011</v>
      </c>
      <c r="H57" s="171">
        <v>2012</v>
      </c>
      <c r="I57" s="171">
        <v>2013</v>
      </c>
      <c r="J57" s="171">
        <v>2014</v>
      </c>
      <c r="K57" s="171">
        <v>2015</v>
      </c>
      <c r="L57" s="171">
        <v>2016</v>
      </c>
      <c r="M57" s="171">
        <v>2017</v>
      </c>
      <c r="N57" s="171">
        <v>2018</v>
      </c>
      <c r="O57" s="171">
        <v>2019</v>
      </c>
      <c r="P57" s="171">
        <v>2020</v>
      </c>
      <c r="Q57" s="171">
        <v>2021</v>
      </c>
      <c r="R57" s="171">
        <v>2022</v>
      </c>
      <c r="S57" s="208">
        <v>2023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</row>
    <row r="58" spans="1:40" ht="30" customHeight="1" x14ac:dyDescent="0.25">
      <c r="A58" s="25"/>
      <c r="B58" s="27"/>
      <c r="C58" s="27"/>
      <c r="D58" s="27"/>
      <c r="E58" s="216" t="s">
        <v>10</v>
      </c>
      <c r="F58" s="217">
        <f>'DRE + DCF'!F15</f>
        <v>1541879</v>
      </c>
      <c r="G58" s="217">
        <f>'DRE + DCF'!G15</f>
        <v>1842414</v>
      </c>
      <c r="H58" s="217">
        <f>'DRE + DCF'!H15</f>
        <v>2228262</v>
      </c>
      <c r="I58" s="217">
        <f>'DRE + DCF'!I15</f>
        <v>2502744</v>
      </c>
      <c r="J58" s="217">
        <f>'DRE + DCF'!J15</f>
        <v>3050905</v>
      </c>
      <c r="K58" s="217">
        <f>'DRE + DCF'!K15</f>
        <v>3633846</v>
      </c>
      <c r="L58" s="217">
        <f>'DRE + DCF'!L15</f>
        <v>3876495</v>
      </c>
      <c r="M58" s="217">
        <f>'DRE + DCF'!M15</f>
        <v>4499392</v>
      </c>
      <c r="N58" s="217">
        <f>'DRE + DCF'!N15</f>
        <v>5142024</v>
      </c>
      <c r="O58" s="217">
        <f>'DRE + DCF'!O15</f>
        <v>5857916</v>
      </c>
      <c r="P58" s="217">
        <f>'DRE + DCF'!P15</f>
        <v>4313610</v>
      </c>
      <c r="Q58" s="217">
        <f>'DRE + DCF'!Q15</f>
        <v>6172378</v>
      </c>
      <c r="R58" s="217">
        <f>'DRE + DCF'!R15</f>
        <v>7984814</v>
      </c>
      <c r="S58" s="217" t="e">
        <f>'DRE + DCF'!#REF!</f>
        <v>#REF!</v>
      </c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</row>
    <row r="59" spans="1:40" ht="30" customHeight="1" x14ac:dyDescent="0.25">
      <c r="A59" s="25"/>
      <c r="B59" s="27"/>
      <c r="C59" s="27"/>
      <c r="D59" s="27"/>
      <c r="E59" s="207" t="s">
        <v>12</v>
      </c>
      <c r="F59" s="221">
        <f>F58+F53+F36+F22</f>
        <v>404474</v>
      </c>
      <c r="G59" s="221">
        <f t="shared" ref="G59:R59" si="8">G58+G53+G36+G22</f>
        <v>472633</v>
      </c>
      <c r="H59" s="221">
        <f t="shared" si="8"/>
        <v>559250</v>
      </c>
      <c r="I59" s="221">
        <f t="shared" si="8"/>
        <v>650438</v>
      </c>
      <c r="J59" s="221">
        <f t="shared" si="8"/>
        <v>802050</v>
      </c>
      <c r="K59" s="221">
        <f t="shared" si="8"/>
        <v>933253</v>
      </c>
      <c r="L59" s="221">
        <f t="shared" si="8"/>
        <v>975690</v>
      </c>
      <c r="M59" s="221">
        <f t="shared" si="8"/>
        <v>1087238</v>
      </c>
      <c r="N59" s="221">
        <f t="shared" si="8"/>
        <v>1423821</v>
      </c>
      <c r="O59" s="221">
        <f t="shared" si="8"/>
        <v>1643654</v>
      </c>
      <c r="P59" s="221">
        <f t="shared" si="8"/>
        <v>856879</v>
      </c>
      <c r="Q59" s="221">
        <f t="shared" si="8"/>
        <v>813944</v>
      </c>
      <c r="R59" s="221">
        <f t="shared" si="8"/>
        <v>1407401</v>
      </c>
      <c r="S59" s="420" t="e">
        <f t="shared" ref="S59" si="9">S58+S53+S36+S22</f>
        <v>#REF!</v>
      </c>
      <c r="T59" s="27"/>
      <c r="U59" s="215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</row>
    <row r="60" spans="1:40" ht="30" customHeight="1" x14ac:dyDescent="0.25">
      <c r="A60" s="25"/>
      <c r="B60" s="27"/>
      <c r="C60" s="27"/>
      <c r="D60" s="27"/>
      <c r="E60" s="216" t="s">
        <v>52</v>
      </c>
      <c r="F60" s="223">
        <f>F59/'DRE + DCF'!F$12</f>
        <v>0.14700992753344008</v>
      </c>
      <c r="G60" s="223">
        <f>G59/'DRE + DCF'!G$12</f>
        <v>0.14594001067764115</v>
      </c>
      <c r="H60" s="223">
        <f>H59/'DRE + DCF'!H$12</f>
        <v>0.1447893441256303</v>
      </c>
      <c r="I60" s="223">
        <f>I59/'DRE + DCF'!I$12</f>
        <v>0.14883047679716488</v>
      </c>
      <c r="J60" s="223">
        <f>J59/'DRE + DCF'!J$12</f>
        <v>0.15374308486779303</v>
      </c>
      <c r="K60" s="223">
        <f>K59/'DRE + DCF'!K$12</f>
        <v>0.15186703504101903</v>
      </c>
      <c r="L60" s="223">
        <f>L59/'DRE + DCF'!L$12</f>
        <v>0.15123276816927581</v>
      </c>
      <c r="M60" s="223">
        <f>M59/'DRE + DCF'!M$12</f>
        <v>0.14604963122816703</v>
      </c>
      <c r="N60" s="223">
        <f>N59/'DRE + DCF'!N$12</f>
        <v>0.16896861950828934</v>
      </c>
      <c r="O60" s="223">
        <f>O59/'DRE + DCF'!O$12</f>
        <v>0.17142043067081736</v>
      </c>
      <c r="P60" s="223">
        <f>P59/'DRE + DCF'!P$12</f>
        <v>0.11368694923034875</v>
      </c>
      <c r="Q60" s="223">
        <f>Q59/'DRE + DCF'!Q$12</f>
        <v>7.6993774615581656E-2</v>
      </c>
      <c r="R60" s="223">
        <f>R59/'DRE + DCF'!R$12</f>
        <v>0.10604976800405271</v>
      </c>
      <c r="S60" s="223" t="e">
        <f>S59/'DRE + DCF'!#REF!</f>
        <v>#REF!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</row>
    <row r="61" spans="1:40" ht="30" customHeight="1" x14ac:dyDescent="0.25">
      <c r="A61" s="25"/>
      <c r="B61" s="27"/>
      <c r="C61" s="27"/>
      <c r="D61" s="27"/>
      <c r="E61" s="207" t="s">
        <v>75</v>
      </c>
      <c r="F61" s="222">
        <f t="shared" ref="F61:J61" si="10">F51</f>
        <v>0</v>
      </c>
      <c r="G61" s="222">
        <f t="shared" si="10"/>
        <v>0</v>
      </c>
      <c r="H61" s="222">
        <f t="shared" si="10"/>
        <v>0</v>
      </c>
      <c r="I61" s="222">
        <f t="shared" si="10"/>
        <v>0</v>
      </c>
      <c r="J61" s="222">
        <f t="shared" si="10"/>
        <v>0</v>
      </c>
      <c r="K61" s="222">
        <v>0</v>
      </c>
      <c r="L61" s="222">
        <v>0</v>
      </c>
      <c r="M61" s="222">
        <v>0</v>
      </c>
      <c r="N61" s="222">
        <v>0</v>
      </c>
      <c r="O61" s="222">
        <v>0</v>
      </c>
      <c r="P61" s="222">
        <v>784619</v>
      </c>
      <c r="Q61" s="222">
        <v>0</v>
      </c>
      <c r="R61" s="222">
        <v>0</v>
      </c>
      <c r="S61" s="421">
        <v>0</v>
      </c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</row>
    <row r="62" spans="1:40" ht="30" customHeight="1" x14ac:dyDescent="0.25">
      <c r="A62" s="25"/>
      <c r="B62" s="27"/>
      <c r="C62" s="27"/>
      <c r="D62" s="27"/>
      <c r="E62" s="216" t="s">
        <v>992</v>
      </c>
      <c r="F62" s="224">
        <f t="shared" ref="F62:S62" si="11">F59-F61</f>
        <v>404474</v>
      </c>
      <c r="G62" s="224">
        <f t="shared" si="11"/>
        <v>472633</v>
      </c>
      <c r="H62" s="224">
        <f t="shared" si="11"/>
        <v>559250</v>
      </c>
      <c r="I62" s="224">
        <f t="shared" si="11"/>
        <v>650438</v>
      </c>
      <c r="J62" s="224">
        <f t="shared" si="11"/>
        <v>802050</v>
      </c>
      <c r="K62" s="224">
        <f t="shared" si="11"/>
        <v>933253</v>
      </c>
      <c r="L62" s="224">
        <f t="shared" si="11"/>
        <v>975690</v>
      </c>
      <c r="M62" s="224">
        <f t="shared" si="11"/>
        <v>1087238</v>
      </c>
      <c r="N62" s="224">
        <f t="shared" si="11"/>
        <v>1423821</v>
      </c>
      <c r="O62" s="224">
        <f t="shared" si="11"/>
        <v>1643654</v>
      </c>
      <c r="P62" s="224">
        <f t="shared" si="11"/>
        <v>72260</v>
      </c>
      <c r="Q62" s="224">
        <f t="shared" si="11"/>
        <v>813944</v>
      </c>
      <c r="R62" s="224">
        <f t="shared" si="11"/>
        <v>1407401</v>
      </c>
      <c r="S62" s="224" t="e">
        <f t="shared" si="11"/>
        <v>#REF!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</row>
    <row r="63" spans="1:40" ht="30" customHeight="1" thickBot="1" x14ac:dyDescent="0.3">
      <c r="A63" s="25"/>
      <c r="B63" s="27"/>
      <c r="C63" s="27"/>
      <c r="D63" s="27"/>
      <c r="E63" s="292" t="s">
        <v>993</v>
      </c>
      <c r="F63" s="225">
        <f>F62/'DRE + DCF'!F$12</f>
        <v>0.14700992753344008</v>
      </c>
      <c r="G63" s="225">
        <f>G62/'DRE + DCF'!G$12</f>
        <v>0.14594001067764115</v>
      </c>
      <c r="H63" s="225">
        <f>H62/'DRE + DCF'!H$12</f>
        <v>0.1447893441256303</v>
      </c>
      <c r="I63" s="225">
        <f>I62/'DRE + DCF'!I$12</f>
        <v>0.14883047679716488</v>
      </c>
      <c r="J63" s="225">
        <f>J62/'DRE + DCF'!J$12</f>
        <v>0.15374308486779303</v>
      </c>
      <c r="K63" s="225">
        <f>K62/'DRE + DCF'!K$12</f>
        <v>0.15186703504101903</v>
      </c>
      <c r="L63" s="225">
        <f>L62/'DRE + DCF'!L$12</f>
        <v>0.15123276816927581</v>
      </c>
      <c r="M63" s="225">
        <f>M62/'DRE + DCF'!M$12</f>
        <v>0.14604963122816703</v>
      </c>
      <c r="N63" s="225">
        <f>N62/'DRE + DCF'!N$12</f>
        <v>0.16896861950828934</v>
      </c>
      <c r="O63" s="225">
        <f>O62/'DRE + DCF'!O$12</f>
        <v>0.17142043067081736</v>
      </c>
      <c r="P63" s="225">
        <f>P62/'DRE + DCF'!P$12</f>
        <v>9.5871400178846738E-3</v>
      </c>
      <c r="Q63" s="225">
        <f>Q62/'DRE + DCF'!Q$12</f>
        <v>7.6993774615581656E-2</v>
      </c>
      <c r="R63" s="225">
        <f>R62/'DRE + DCF'!R$12</f>
        <v>0.10604976800405271</v>
      </c>
      <c r="S63" s="225" t="e">
        <f>S62/'DRE + DCF'!#REF!</f>
        <v>#REF!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</row>
    <row r="64" spans="1:40" ht="30" customHeight="1" x14ac:dyDescent="0.25">
      <c r="A64" s="25"/>
      <c r="B64" s="27"/>
      <c r="C64" s="27"/>
      <c r="D64" s="27"/>
      <c r="E64" s="226"/>
      <c r="F64" s="226"/>
      <c r="G64" s="226"/>
      <c r="H64" s="226"/>
      <c r="I64" s="226"/>
      <c r="J64" s="226"/>
      <c r="K64" s="226"/>
      <c r="L64" s="226"/>
      <c r="M64" s="226"/>
      <c r="N64" s="226"/>
      <c r="O64" s="226"/>
      <c r="P64" s="226"/>
      <c r="Q64" s="226"/>
      <c r="R64" s="226"/>
      <c r="S64" s="226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</row>
    <row r="65" spans="1:40" ht="30" customHeight="1" x14ac:dyDescent="0.25">
      <c r="A65" s="25"/>
      <c r="B65" s="27"/>
      <c r="C65" s="27"/>
      <c r="D65" s="27"/>
      <c r="E65" s="45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</row>
    <row r="66" spans="1:40" ht="30" customHeight="1" x14ac:dyDescent="0.25">
      <c r="A66" s="25"/>
      <c r="B66" s="27"/>
      <c r="C66" s="27"/>
      <c r="D66" s="27"/>
      <c r="E66" s="207"/>
      <c r="F66" s="171">
        <v>2010</v>
      </c>
      <c r="G66" s="171">
        <v>2011</v>
      </c>
      <c r="H66" s="171">
        <v>2012</v>
      </c>
      <c r="I66" s="171">
        <v>2013</v>
      </c>
      <c r="J66" s="171">
        <v>2014</v>
      </c>
      <c r="K66" s="171">
        <v>2015</v>
      </c>
      <c r="L66" s="171">
        <v>2016</v>
      </c>
      <c r="M66" s="171">
        <v>2017</v>
      </c>
      <c r="N66" s="171">
        <v>2018</v>
      </c>
      <c r="O66" s="171">
        <v>2019</v>
      </c>
      <c r="P66" s="171">
        <v>2020</v>
      </c>
      <c r="Q66" s="171">
        <v>2021</v>
      </c>
      <c r="R66" s="171">
        <v>2022</v>
      </c>
      <c r="S66" s="208">
        <v>2023</v>
      </c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</row>
    <row r="67" spans="1:40" ht="30" customHeight="1" x14ac:dyDescent="0.25">
      <c r="A67" s="25"/>
      <c r="B67" s="27"/>
      <c r="C67" s="27"/>
      <c r="D67" s="27"/>
      <c r="E67" s="207" t="s">
        <v>1028</v>
      </c>
      <c r="F67" s="209">
        <v>0</v>
      </c>
      <c r="G67" s="209">
        <v>0</v>
      </c>
      <c r="H67" s="209">
        <v>0</v>
      </c>
      <c r="I67" s="209">
        <v>0</v>
      </c>
      <c r="J67" s="209">
        <v>0</v>
      </c>
      <c r="K67" s="209">
        <v>55960</v>
      </c>
      <c r="L67" s="209">
        <v>67487</v>
      </c>
      <c r="M67" s="209">
        <v>53996</v>
      </c>
      <c r="N67" s="209">
        <v>31291</v>
      </c>
      <c r="O67" s="209">
        <v>31200</v>
      </c>
      <c r="P67" s="209">
        <v>35250</v>
      </c>
      <c r="Q67" s="209">
        <v>196041</v>
      </c>
      <c r="R67" s="209">
        <v>488912</v>
      </c>
      <c r="S67" s="210">
        <v>298056</v>
      </c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</row>
    <row r="68" spans="1:40" ht="30" customHeight="1" x14ac:dyDescent="0.25">
      <c r="A68" s="25"/>
      <c r="B68" s="27"/>
      <c r="C68" s="27"/>
      <c r="D68" s="27"/>
      <c r="E68" s="207" t="s">
        <v>1035</v>
      </c>
      <c r="F68" s="209">
        <v>0</v>
      </c>
      <c r="G68" s="209">
        <v>0</v>
      </c>
      <c r="H68" s="209">
        <v>0</v>
      </c>
      <c r="I68" s="209">
        <v>0</v>
      </c>
      <c r="J68" s="209">
        <v>0</v>
      </c>
      <c r="K68" s="209">
        <v>2256</v>
      </c>
      <c r="L68" s="209">
        <v>14408</v>
      </c>
      <c r="M68" s="209">
        <v>0</v>
      </c>
      <c r="N68" s="209">
        <v>0</v>
      </c>
      <c r="O68" s="209">
        <v>0</v>
      </c>
      <c r="P68" s="209">
        <v>0</v>
      </c>
      <c r="Q68" s="209">
        <v>0</v>
      </c>
      <c r="R68" s="209">
        <v>0</v>
      </c>
      <c r="S68" s="210">
        <v>0</v>
      </c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</row>
    <row r="69" spans="1:40" ht="30" customHeight="1" x14ac:dyDescent="0.25">
      <c r="A69" s="25"/>
      <c r="B69" s="27"/>
      <c r="C69" s="27"/>
      <c r="D69" s="27"/>
      <c r="E69" s="207" t="s">
        <v>1036</v>
      </c>
      <c r="F69" s="209">
        <v>0</v>
      </c>
      <c r="G69" s="209">
        <v>0</v>
      </c>
      <c r="H69" s="209">
        <v>0</v>
      </c>
      <c r="I69" s="209">
        <v>0</v>
      </c>
      <c r="J69" s="209">
        <v>0</v>
      </c>
      <c r="K69" s="209">
        <v>0</v>
      </c>
      <c r="L69" s="209">
        <v>660</v>
      </c>
      <c r="M69" s="209">
        <v>0</v>
      </c>
      <c r="N69" s="209">
        <v>0</v>
      </c>
      <c r="O69" s="209">
        <v>0</v>
      </c>
      <c r="P69" s="209">
        <v>0</v>
      </c>
      <c r="Q69" s="209">
        <v>0</v>
      </c>
      <c r="R69" s="209">
        <v>0</v>
      </c>
      <c r="S69" s="210">
        <v>0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</row>
    <row r="70" spans="1:40" ht="30" customHeight="1" x14ac:dyDescent="0.25">
      <c r="A70" s="25"/>
      <c r="B70" s="27"/>
      <c r="C70" s="27"/>
      <c r="D70" s="27"/>
      <c r="E70" s="207" t="s">
        <v>1029</v>
      </c>
      <c r="F70" s="209">
        <v>0</v>
      </c>
      <c r="G70" s="209">
        <v>0</v>
      </c>
      <c r="H70" s="209">
        <v>0</v>
      </c>
      <c r="I70" s="209">
        <v>0</v>
      </c>
      <c r="J70" s="209">
        <v>0</v>
      </c>
      <c r="K70" s="209">
        <v>31770</v>
      </c>
      <c r="L70" s="209">
        <v>1841</v>
      </c>
      <c r="M70" s="209">
        <v>3722</v>
      </c>
      <c r="N70" s="209">
        <v>7079</v>
      </c>
      <c r="O70" s="209">
        <v>34271</v>
      </c>
      <c r="P70" s="209">
        <v>44035</v>
      </c>
      <c r="Q70" s="209">
        <v>14767</v>
      </c>
      <c r="R70" s="209">
        <v>19027</v>
      </c>
      <c r="S70" s="210">
        <v>34936</v>
      </c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</row>
    <row r="71" spans="1:40" ht="30" customHeight="1" x14ac:dyDescent="0.25">
      <c r="A71" s="25"/>
      <c r="B71" s="27"/>
      <c r="C71" s="27"/>
      <c r="D71" s="27"/>
      <c r="E71" s="207" t="s">
        <v>1030</v>
      </c>
      <c r="F71" s="209">
        <v>0</v>
      </c>
      <c r="G71" s="209">
        <v>0</v>
      </c>
      <c r="H71" s="209">
        <v>0</v>
      </c>
      <c r="I71" s="209">
        <v>0</v>
      </c>
      <c r="J71" s="209">
        <v>0</v>
      </c>
      <c r="K71" s="209">
        <v>1092</v>
      </c>
      <c r="L71" s="209">
        <v>768</v>
      </c>
      <c r="M71" s="209">
        <v>270</v>
      </c>
      <c r="N71" s="209">
        <v>0</v>
      </c>
      <c r="O71" s="209">
        <v>6836</v>
      </c>
      <c r="P71" s="209">
        <v>70262</v>
      </c>
      <c r="Q71" s="209">
        <v>139456</v>
      </c>
      <c r="R71" s="209">
        <v>113159</v>
      </c>
      <c r="S71" s="210">
        <v>141757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</row>
    <row r="72" spans="1:40" ht="30" customHeight="1" x14ac:dyDescent="0.25">
      <c r="A72" s="25"/>
      <c r="B72" s="27"/>
      <c r="C72" s="27"/>
      <c r="D72" s="27"/>
      <c r="E72" s="207" t="s">
        <v>1031</v>
      </c>
      <c r="F72" s="209">
        <v>0</v>
      </c>
      <c r="G72" s="209">
        <v>0</v>
      </c>
      <c r="H72" s="209">
        <v>0</v>
      </c>
      <c r="I72" s="209">
        <v>0</v>
      </c>
      <c r="J72" s="209">
        <v>0</v>
      </c>
      <c r="K72" s="209">
        <v>0</v>
      </c>
      <c r="L72" s="209">
        <v>0</v>
      </c>
      <c r="M72" s="209">
        <v>0</v>
      </c>
      <c r="N72" s="209">
        <v>9824</v>
      </c>
      <c r="O72" s="209">
        <v>379</v>
      </c>
      <c r="P72" s="209">
        <v>560384</v>
      </c>
      <c r="Q72" s="209">
        <v>27049</v>
      </c>
      <c r="R72" s="209">
        <v>70219</v>
      </c>
      <c r="S72" s="210">
        <v>111763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</row>
    <row r="73" spans="1:40" ht="30" customHeight="1" x14ac:dyDescent="0.25">
      <c r="A73" s="25"/>
      <c r="B73" s="27"/>
      <c r="C73" s="27"/>
      <c r="D73" s="27"/>
      <c r="E73" s="207" t="s">
        <v>994</v>
      </c>
      <c r="F73" s="209">
        <v>0</v>
      </c>
      <c r="G73" s="209">
        <v>0</v>
      </c>
      <c r="H73" s="209">
        <v>0</v>
      </c>
      <c r="I73" s="209">
        <v>0</v>
      </c>
      <c r="J73" s="209">
        <v>0</v>
      </c>
      <c r="K73" s="209">
        <f>1912+863</f>
        <v>2775</v>
      </c>
      <c r="L73" s="209">
        <v>2308</v>
      </c>
      <c r="M73" s="209">
        <v>1070</v>
      </c>
      <c r="N73" s="209">
        <v>970</v>
      </c>
      <c r="O73" s="209">
        <v>1736</v>
      </c>
      <c r="P73" s="209">
        <v>2994</v>
      </c>
      <c r="Q73" s="209">
        <v>5991</v>
      </c>
      <c r="R73" s="209">
        <v>12622</v>
      </c>
      <c r="S73" s="210">
        <v>24103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</row>
    <row r="74" spans="1:40" ht="30" customHeight="1" thickBot="1" x14ac:dyDescent="0.3">
      <c r="A74" s="25"/>
      <c r="B74" s="27"/>
      <c r="C74" s="27"/>
      <c r="D74" s="27"/>
      <c r="E74" s="218" t="s">
        <v>991</v>
      </c>
      <c r="F74" s="293">
        <f>36643+2167</f>
        <v>38810</v>
      </c>
      <c r="G74" s="293">
        <v>50299</v>
      </c>
      <c r="H74" s="293">
        <v>33362</v>
      </c>
      <c r="I74" s="293">
        <v>52345</v>
      </c>
      <c r="J74" s="293">
        <v>93088</v>
      </c>
      <c r="K74" s="293">
        <f t="shared" ref="K74:P74" si="12">K67+K70+K71+K72+K73+K68+K69</f>
        <v>93853</v>
      </c>
      <c r="L74" s="293">
        <f t="shared" si="12"/>
        <v>87472</v>
      </c>
      <c r="M74" s="293">
        <f t="shared" si="12"/>
        <v>59058</v>
      </c>
      <c r="N74" s="293">
        <f t="shared" si="12"/>
        <v>49164</v>
      </c>
      <c r="O74" s="293">
        <f t="shared" si="12"/>
        <v>74422</v>
      </c>
      <c r="P74" s="293">
        <f t="shared" si="12"/>
        <v>712925</v>
      </c>
      <c r="Q74" s="293">
        <f>Q67+Q70+Q71+Q72+Q73+Q68+Q69</f>
        <v>383304</v>
      </c>
      <c r="R74" s="293">
        <f>R67+R70+R71+R72+R73+R68+R69</f>
        <v>703939</v>
      </c>
      <c r="S74" s="291">
        <f>S67+S70+S71+S72+S73+S68+S69</f>
        <v>610615</v>
      </c>
      <c r="T74" s="134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</row>
    <row r="75" spans="1:40" ht="30" customHeight="1" x14ac:dyDescent="0.25">
      <c r="A75" s="25"/>
      <c r="B75" s="27"/>
      <c r="C75" s="27"/>
      <c r="D75" s="27"/>
      <c r="E75" s="27"/>
      <c r="F75" s="215"/>
      <c r="G75" s="215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</row>
    <row r="76" spans="1:40" ht="30" customHeight="1" x14ac:dyDescent="0.25">
      <c r="A76" s="25"/>
      <c r="B76" s="27"/>
      <c r="C76" s="27"/>
      <c r="D76" s="27"/>
      <c r="E76" s="31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</row>
    <row r="77" spans="1:40" ht="30" customHeight="1" x14ac:dyDescent="0.25">
      <c r="A77" s="25"/>
      <c r="B77" s="27"/>
      <c r="C77" s="27"/>
      <c r="D77" s="27"/>
      <c r="E77" s="45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</row>
    <row r="78" spans="1:40" ht="30" customHeight="1" x14ac:dyDescent="0.25">
      <c r="A78" s="25"/>
      <c r="B78" s="27"/>
      <c r="C78" s="27"/>
      <c r="D78" s="27"/>
      <c r="E78" s="207"/>
      <c r="F78" s="171">
        <v>2010</v>
      </c>
      <c r="G78" s="171">
        <v>2011</v>
      </c>
      <c r="H78" s="171">
        <v>2012</v>
      </c>
      <c r="I78" s="171">
        <v>2013</v>
      </c>
      <c r="J78" s="171">
        <v>2014</v>
      </c>
      <c r="K78" s="171">
        <v>2015</v>
      </c>
      <c r="L78" s="171">
        <v>2016</v>
      </c>
      <c r="M78" s="171">
        <v>2017</v>
      </c>
      <c r="N78" s="171">
        <v>2018</v>
      </c>
      <c r="O78" s="171">
        <v>2019</v>
      </c>
      <c r="P78" s="171">
        <v>2020</v>
      </c>
      <c r="Q78" s="171">
        <v>2021</v>
      </c>
      <c r="R78" s="171">
        <v>2022</v>
      </c>
      <c r="S78" s="208">
        <v>2023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</row>
    <row r="79" spans="1:40" ht="30" customHeight="1" x14ac:dyDescent="0.25">
      <c r="A79" s="25"/>
      <c r="B79" s="27"/>
      <c r="C79" s="27"/>
      <c r="D79" s="27"/>
      <c r="E79" s="207" t="s">
        <v>1032</v>
      </c>
      <c r="F79" s="209">
        <v>0</v>
      </c>
      <c r="G79" s="209">
        <v>0</v>
      </c>
      <c r="H79" s="209">
        <v>0</v>
      </c>
      <c r="I79" s="209">
        <v>0</v>
      </c>
      <c r="J79" s="209">
        <v>0</v>
      </c>
      <c r="K79" s="209">
        <v>-149868</v>
      </c>
      <c r="L79" s="209">
        <v>-142713</v>
      </c>
      <c r="M79" s="209">
        <v>-112470</v>
      </c>
      <c r="N79" s="209">
        <v>-73506</v>
      </c>
      <c r="O79" s="209">
        <v>-67275</v>
      </c>
      <c r="P79" s="209">
        <v>-87534</v>
      </c>
      <c r="Q79" s="209">
        <v>-168600</v>
      </c>
      <c r="R79" s="209">
        <v>-316027</v>
      </c>
      <c r="S79" s="214">
        <v>-156838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</row>
    <row r="80" spans="1:40" ht="30" customHeight="1" x14ac:dyDescent="0.25">
      <c r="A80" s="25"/>
      <c r="B80" s="27"/>
      <c r="C80" s="27"/>
      <c r="D80" s="27"/>
      <c r="E80" s="207" t="s">
        <v>1033</v>
      </c>
      <c r="F80" s="209">
        <v>0</v>
      </c>
      <c r="G80" s="209">
        <v>0</v>
      </c>
      <c r="H80" s="209">
        <v>0</v>
      </c>
      <c r="I80" s="209">
        <v>0</v>
      </c>
      <c r="J80" s="209">
        <v>0</v>
      </c>
      <c r="K80" s="209">
        <v>-5792</v>
      </c>
      <c r="L80" s="209">
        <v>-8184</v>
      </c>
      <c r="M80" s="209">
        <v>-8233</v>
      </c>
      <c r="N80" s="209">
        <v>-8019</v>
      </c>
      <c r="O80" s="209">
        <v>-82204</v>
      </c>
      <c r="P80" s="209">
        <v>-135798</v>
      </c>
      <c r="Q80" s="209">
        <v>-201794</v>
      </c>
      <c r="R80" s="209">
        <v>-227105</v>
      </c>
      <c r="S80" s="214">
        <v>-239438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</row>
    <row r="81" spans="1:40" ht="30" customHeight="1" x14ac:dyDescent="0.25">
      <c r="A81" s="25"/>
      <c r="B81" s="27"/>
      <c r="C81" s="27"/>
      <c r="D81" s="27"/>
      <c r="E81" s="207" t="s">
        <v>1037</v>
      </c>
      <c r="F81" s="209">
        <v>0</v>
      </c>
      <c r="G81" s="209">
        <v>0</v>
      </c>
      <c r="H81" s="209">
        <v>0</v>
      </c>
      <c r="I81" s="209">
        <v>0</v>
      </c>
      <c r="J81" s="209">
        <v>0</v>
      </c>
      <c r="K81" s="209">
        <v>0</v>
      </c>
      <c r="L81" s="209">
        <v>-8510</v>
      </c>
      <c r="M81" s="209">
        <v>-3840</v>
      </c>
      <c r="N81" s="209">
        <v>0</v>
      </c>
      <c r="O81" s="209">
        <v>0</v>
      </c>
      <c r="P81" s="209">
        <v>0</v>
      </c>
      <c r="Q81" s="209">
        <v>0</v>
      </c>
      <c r="R81" s="209">
        <v>0</v>
      </c>
      <c r="S81" s="214">
        <v>0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</row>
    <row r="82" spans="1:40" ht="30" customHeight="1" x14ac:dyDescent="0.25">
      <c r="A82" s="25"/>
      <c r="B82" s="27"/>
      <c r="C82" s="27"/>
      <c r="D82" s="27"/>
      <c r="E82" s="207" t="s">
        <v>1038</v>
      </c>
      <c r="F82" s="209">
        <v>0</v>
      </c>
      <c r="G82" s="209">
        <v>0</v>
      </c>
      <c r="H82" s="209">
        <v>0</v>
      </c>
      <c r="I82" s="209">
        <v>0</v>
      </c>
      <c r="J82" s="209">
        <v>0</v>
      </c>
      <c r="K82" s="209">
        <v>-1420</v>
      </c>
      <c r="L82" s="209">
        <v>-13484</v>
      </c>
      <c r="M82" s="209">
        <v>0</v>
      </c>
      <c r="N82" s="209">
        <v>0</v>
      </c>
      <c r="O82" s="209">
        <v>0</v>
      </c>
      <c r="P82" s="209">
        <v>0</v>
      </c>
      <c r="Q82" s="209">
        <v>0</v>
      </c>
      <c r="R82" s="209">
        <v>0</v>
      </c>
      <c r="S82" s="214">
        <v>0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</row>
    <row r="83" spans="1:40" ht="30" customHeight="1" x14ac:dyDescent="0.25">
      <c r="A83" s="25"/>
      <c r="B83" s="27"/>
      <c r="C83" s="27"/>
      <c r="D83" s="27"/>
      <c r="E83" s="207" t="s">
        <v>996</v>
      </c>
      <c r="F83" s="209">
        <v>0</v>
      </c>
      <c r="G83" s="209">
        <v>0</v>
      </c>
      <c r="H83" s="209">
        <v>0</v>
      </c>
      <c r="I83" s="209">
        <v>0</v>
      </c>
      <c r="J83" s="209">
        <v>0</v>
      </c>
      <c r="K83" s="209">
        <v>-27930</v>
      </c>
      <c r="L83" s="209">
        <v>-1927</v>
      </c>
      <c r="M83" s="209">
        <v>-3407</v>
      </c>
      <c r="N83" s="209">
        <v>-3666</v>
      </c>
      <c r="O83" s="209">
        <v>-26132</v>
      </c>
      <c r="P83" s="209">
        <v>-81422</v>
      </c>
      <c r="Q83" s="209">
        <v>-53684</v>
      </c>
      <c r="R83" s="209">
        <v>-80592</v>
      </c>
      <c r="S83" s="214">
        <v>-119029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</row>
    <row r="84" spans="1:40" ht="30" customHeight="1" x14ac:dyDescent="0.25">
      <c r="A84" s="25"/>
      <c r="B84" s="27"/>
      <c r="C84" s="27"/>
      <c r="D84" s="27"/>
      <c r="E84" s="207" t="s">
        <v>995</v>
      </c>
      <c r="F84" s="209">
        <v>0</v>
      </c>
      <c r="G84" s="209">
        <v>0</v>
      </c>
      <c r="H84" s="209">
        <v>0</v>
      </c>
      <c r="I84" s="209">
        <v>0</v>
      </c>
      <c r="J84" s="209">
        <v>0</v>
      </c>
      <c r="K84" s="209">
        <v>-2550</v>
      </c>
      <c r="L84" s="209">
        <v>-3328</v>
      </c>
      <c r="M84" s="209">
        <v>-2264</v>
      </c>
      <c r="N84" s="209">
        <v>-7384</v>
      </c>
      <c r="O84" s="209">
        <v>-2287</v>
      </c>
      <c r="P84" s="209">
        <v>0</v>
      </c>
      <c r="Q84" s="209">
        <v>0</v>
      </c>
      <c r="R84" s="209">
        <v>0</v>
      </c>
      <c r="S84" s="214">
        <v>0</v>
      </c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</row>
    <row r="85" spans="1:40" ht="30" customHeight="1" x14ac:dyDescent="0.25">
      <c r="A85" s="25"/>
      <c r="B85" s="27"/>
      <c r="C85" s="27"/>
      <c r="D85" s="27"/>
      <c r="E85" s="207" t="s">
        <v>1034</v>
      </c>
      <c r="F85" s="209">
        <v>0</v>
      </c>
      <c r="G85" s="209">
        <v>0</v>
      </c>
      <c r="H85" s="209">
        <v>0</v>
      </c>
      <c r="I85" s="209">
        <v>0</v>
      </c>
      <c r="J85" s="209">
        <v>0</v>
      </c>
      <c r="K85" s="209">
        <v>0</v>
      </c>
      <c r="L85" s="209">
        <v>0</v>
      </c>
      <c r="M85" s="209">
        <v>0</v>
      </c>
      <c r="N85" s="209">
        <v>0</v>
      </c>
      <c r="O85" s="209">
        <v>-16725</v>
      </c>
      <c r="P85" s="209">
        <v>-48723</v>
      </c>
      <c r="Q85" s="209">
        <v>-105574</v>
      </c>
      <c r="R85" s="209">
        <v>-94020</v>
      </c>
      <c r="S85" s="214">
        <v>-116197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</row>
    <row r="86" spans="1:40" ht="30" customHeight="1" x14ac:dyDescent="0.25">
      <c r="A86" s="25"/>
      <c r="B86" s="27"/>
      <c r="C86" s="27"/>
      <c r="D86" s="27"/>
      <c r="E86" s="207" t="s">
        <v>997</v>
      </c>
      <c r="F86" s="209">
        <v>0</v>
      </c>
      <c r="G86" s="209">
        <v>0</v>
      </c>
      <c r="H86" s="209">
        <v>0</v>
      </c>
      <c r="I86" s="209">
        <v>0</v>
      </c>
      <c r="J86" s="209">
        <v>0</v>
      </c>
      <c r="K86" s="209">
        <f>-9980-899</f>
        <v>-10879</v>
      </c>
      <c r="L86" s="209">
        <v>-12636</v>
      </c>
      <c r="M86" s="209">
        <v>-11945</v>
      </c>
      <c r="N86" s="209">
        <v>-10217</v>
      </c>
      <c r="O86" s="209">
        <v>-11599</v>
      </c>
      <c r="P86" s="209">
        <v>-15566</v>
      </c>
      <c r="Q86" s="209">
        <v>-27743</v>
      </c>
      <c r="R86" s="209">
        <v>-9311</v>
      </c>
      <c r="S86" s="214">
        <v>-27523</v>
      </c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</row>
    <row r="87" spans="1:40" ht="30" customHeight="1" thickBot="1" x14ac:dyDescent="0.3">
      <c r="A87" s="25"/>
      <c r="B87" s="27"/>
      <c r="C87" s="27"/>
      <c r="D87" s="27"/>
      <c r="E87" s="218" t="s">
        <v>991</v>
      </c>
      <c r="F87" s="293">
        <f>-11513</f>
        <v>-11513</v>
      </c>
      <c r="G87" s="293">
        <v>-47539</v>
      </c>
      <c r="H87" s="293">
        <v>-83792</v>
      </c>
      <c r="I87" s="293">
        <v>-120069</v>
      </c>
      <c r="J87" s="293">
        <v>-186963</v>
      </c>
      <c r="K87" s="293">
        <f t="shared" ref="K87:P87" si="13">K79+K80+K83+K85+K86+K84+K81+K82</f>
        <v>-198439</v>
      </c>
      <c r="L87" s="293">
        <f t="shared" si="13"/>
        <v>-190782</v>
      </c>
      <c r="M87" s="293">
        <f t="shared" si="13"/>
        <v>-142159</v>
      </c>
      <c r="N87" s="293">
        <f t="shared" si="13"/>
        <v>-102792</v>
      </c>
      <c r="O87" s="293">
        <f t="shared" si="13"/>
        <v>-206222</v>
      </c>
      <c r="P87" s="293">
        <f t="shared" si="13"/>
        <v>-369043</v>
      </c>
      <c r="Q87" s="293">
        <f>Q79+Q80+Q83+Q85+Q86+Q84+Q81+Q82</f>
        <v>-557395</v>
      </c>
      <c r="R87" s="293">
        <f>R79+R80+R83+R85+R86+R84+R81+R82</f>
        <v>-727055</v>
      </c>
      <c r="S87" s="291">
        <f>S79+S80+S83+S85+S86+S84+S81+S82</f>
        <v>-659025</v>
      </c>
      <c r="T87" s="134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</row>
    <row r="88" spans="1:40" ht="30" customHeight="1" x14ac:dyDescent="0.25">
      <c r="A88" s="25"/>
      <c r="B88" s="27"/>
      <c r="C88" s="27"/>
      <c r="D88" s="27"/>
      <c r="E88" s="27"/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</row>
    <row r="89" spans="1:40" ht="30" customHeight="1" x14ac:dyDescent="0.25">
      <c r="A89" s="25"/>
      <c r="B89" s="27"/>
      <c r="C89" s="27"/>
      <c r="D89" s="27"/>
      <c r="E89" s="31"/>
      <c r="F89" s="215"/>
      <c r="G89" s="215"/>
      <c r="H89" s="215"/>
      <c r="I89" s="215"/>
      <c r="J89" s="215"/>
      <c r="K89" s="215"/>
      <c r="L89" s="215"/>
      <c r="M89" s="215"/>
      <c r="N89" s="215"/>
      <c r="O89" s="215"/>
      <c r="P89" s="215"/>
      <c r="Q89" s="215"/>
      <c r="R89" s="215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</row>
    <row r="90" spans="1:40" ht="30" customHeight="1" x14ac:dyDescent="0.25">
      <c r="A90" s="25"/>
      <c r="B90" s="27"/>
      <c r="C90" s="27"/>
      <c r="D90" s="27"/>
      <c r="E90" s="45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</row>
    <row r="91" spans="1:40" ht="30" customHeight="1" x14ac:dyDescent="0.25">
      <c r="A91" s="25"/>
      <c r="B91" s="27"/>
      <c r="C91" s="27"/>
      <c r="D91" s="27"/>
      <c r="E91" s="207"/>
      <c r="F91" s="171">
        <v>2010</v>
      </c>
      <c r="G91" s="171">
        <v>2011</v>
      </c>
      <c r="H91" s="171">
        <v>2012</v>
      </c>
      <c r="I91" s="171">
        <v>2013</v>
      </c>
      <c r="J91" s="171">
        <v>2014</v>
      </c>
      <c r="K91" s="171">
        <v>2015</v>
      </c>
      <c r="L91" s="171">
        <v>2016</v>
      </c>
      <c r="M91" s="171">
        <v>2017</v>
      </c>
      <c r="N91" s="171">
        <v>2018</v>
      </c>
      <c r="O91" s="171">
        <v>2019</v>
      </c>
      <c r="P91" s="171">
        <v>2020</v>
      </c>
      <c r="Q91" s="171">
        <v>2021</v>
      </c>
      <c r="R91" s="171">
        <v>2022</v>
      </c>
      <c r="S91" s="208">
        <v>2023</v>
      </c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</row>
    <row r="92" spans="1:40" ht="30" customHeight="1" x14ac:dyDescent="0.25">
      <c r="A92" s="25"/>
      <c r="B92" s="27"/>
      <c r="C92" s="27"/>
      <c r="D92" s="27"/>
      <c r="E92" s="216" t="s">
        <v>76</v>
      </c>
      <c r="F92" s="217">
        <f t="shared" ref="F92:S92" si="14">F62</f>
        <v>404474</v>
      </c>
      <c r="G92" s="217">
        <f t="shared" si="14"/>
        <v>472633</v>
      </c>
      <c r="H92" s="217">
        <f t="shared" si="14"/>
        <v>559250</v>
      </c>
      <c r="I92" s="217">
        <f t="shared" si="14"/>
        <v>650438</v>
      </c>
      <c r="J92" s="217">
        <f t="shared" si="14"/>
        <v>802050</v>
      </c>
      <c r="K92" s="217">
        <f t="shared" si="14"/>
        <v>933253</v>
      </c>
      <c r="L92" s="217">
        <f t="shared" si="14"/>
        <v>975690</v>
      </c>
      <c r="M92" s="217">
        <f t="shared" si="14"/>
        <v>1087238</v>
      </c>
      <c r="N92" s="217">
        <f t="shared" si="14"/>
        <v>1423821</v>
      </c>
      <c r="O92" s="217">
        <f t="shared" si="14"/>
        <v>1643654</v>
      </c>
      <c r="P92" s="217">
        <f t="shared" si="14"/>
        <v>72260</v>
      </c>
      <c r="Q92" s="217">
        <f t="shared" si="14"/>
        <v>813944</v>
      </c>
      <c r="R92" s="217">
        <f t="shared" si="14"/>
        <v>1407401</v>
      </c>
      <c r="S92" s="217" t="e">
        <f t="shared" si="14"/>
        <v>#REF!</v>
      </c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</row>
    <row r="93" spans="1:40" ht="30" customHeight="1" x14ac:dyDescent="0.25">
      <c r="A93" s="25"/>
      <c r="B93" s="27"/>
      <c r="C93" s="27"/>
      <c r="D93" s="27"/>
      <c r="E93" s="216" t="s">
        <v>998</v>
      </c>
      <c r="F93" s="217">
        <f t="shared" ref="F93:S93" si="15">F62+F74+F87</f>
        <v>431771</v>
      </c>
      <c r="G93" s="217">
        <f t="shared" si="15"/>
        <v>475393</v>
      </c>
      <c r="H93" s="217">
        <f t="shared" si="15"/>
        <v>508820</v>
      </c>
      <c r="I93" s="217">
        <f t="shared" si="15"/>
        <v>582714</v>
      </c>
      <c r="J93" s="217">
        <f t="shared" si="15"/>
        <v>708175</v>
      </c>
      <c r="K93" s="217">
        <f t="shared" si="15"/>
        <v>828667</v>
      </c>
      <c r="L93" s="217">
        <f t="shared" si="15"/>
        <v>872380</v>
      </c>
      <c r="M93" s="217">
        <f t="shared" si="15"/>
        <v>1004137</v>
      </c>
      <c r="N93" s="217">
        <f t="shared" si="15"/>
        <v>1370193</v>
      </c>
      <c r="O93" s="217">
        <f t="shared" si="15"/>
        <v>1511854</v>
      </c>
      <c r="P93" s="217">
        <f t="shared" si="15"/>
        <v>416142</v>
      </c>
      <c r="Q93" s="217">
        <f t="shared" si="15"/>
        <v>639853</v>
      </c>
      <c r="R93" s="217">
        <f t="shared" si="15"/>
        <v>1384285</v>
      </c>
      <c r="S93" s="217" t="e">
        <f t="shared" si="15"/>
        <v>#REF!</v>
      </c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</row>
    <row r="94" spans="1:40" ht="30" customHeight="1" x14ac:dyDescent="0.25">
      <c r="A94" s="25"/>
      <c r="B94" s="27"/>
      <c r="C94" s="27"/>
      <c r="D94" s="27"/>
      <c r="E94" s="159" t="s">
        <v>75</v>
      </c>
      <c r="F94" s="209">
        <f t="shared" ref="F94:P94" si="16">F72</f>
        <v>0</v>
      </c>
      <c r="G94" s="209">
        <f t="shared" si="16"/>
        <v>0</v>
      </c>
      <c r="H94" s="209">
        <f t="shared" si="16"/>
        <v>0</v>
      </c>
      <c r="I94" s="209">
        <f t="shared" si="16"/>
        <v>0</v>
      </c>
      <c r="J94" s="209">
        <f t="shared" si="16"/>
        <v>0</v>
      </c>
      <c r="K94" s="209">
        <f t="shared" si="16"/>
        <v>0</v>
      </c>
      <c r="L94" s="209">
        <f t="shared" si="16"/>
        <v>0</v>
      </c>
      <c r="M94" s="209">
        <f t="shared" si="16"/>
        <v>0</v>
      </c>
      <c r="N94" s="209">
        <f t="shared" si="16"/>
        <v>9824</v>
      </c>
      <c r="O94" s="209">
        <f t="shared" si="16"/>
        <v>379</v>
      </c>
      <c r="P94" s="209">
        <f t="shared" si="16"/>
        <v>560384</v>
      </c>
      <c r="Q94" s="209">
        <f>Q72</f>
        <v>27049</v>
      </c>
      <c r="R94" s="209">
        <f>R72</f>
        <v>70219</v>
      </c>
      <c r="S94" s="209">
        <f>22223+4139</f>
        <v>26362</v>
      </c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</row>
    <row r="95" spans="1:40" ht="30" customHeight="1" thickBot="1" x14ac:dyDescent="0.3">
      <c r="A95" s="25"/>
      <c r="B95" s="27"/>
      <c r="C95" s="27"/>
      <c r="D95" s="27"/>
      <c r="E95" s="218" t="s">
        <v>999</v>
      </c>
      <c r="F95" s="219">
        <f t="shared" ref="F95:S95" si="17">F93-F94</f>
        <v>431771</v>
      </c>
      <c r="G95" s="219">
        <f t="shared" si="17"/>
        <v>475393</v>
      </c>
      <c r="H95" s="219">
        <f t="shared" si="17"/>
        <v>508820</v>
      </c>
      <c r="I95" s="219">
        <f t="shared" si="17"/>
        <v>582714</v>
      </c>
      <c r="J95" s="219">
        <f t="shared" si="17"/>
        <v>708175</v>
      </c>
      <c r="K95" s="219">
        <f t="shared" si="17"/>
        <v>828667</v>
      </c>
      <c r="L95" s="219">
        <f t="shared" si="17"/>
        <v>872380</v>
      </c>
      <c r="M95" s="219">
        <f t="shared" si="17"/>
        <v>1004137</v>
      </c>
      <c r="N95" s="219">
        <f t="shared" si="17"/>
        <v>1360369</v>
      </c>
      <c r="O95" s="219">
        <f t="shared" si="17"/>
        <v>1511475</v>
      </c>
      <c r="P95" s="219">
        <f t="shared" si="17"/>
        <v>-144242</v>
      </c>
      <c r="Q95" s="219">
        <f t="shared" si="17"/>
        <v>612804</v>
      </c>
      <c r="R95" s="219">
        <f t="shared" si="17"/>
        <v>1314066</v>
      </c>
      <c r="S95" s="219" t="e">
        <f t="shared" si="17"/>
        <v>#REF!</v>
      </c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</row>
    <row r="96" spans="1:40" ht="30" customHeight="1" x14ac:dyDescent="0.25">
      <c r="A96" s="25"/>
      <c r="B96" s="27"/>
      <c r="C96" s="27"/>
      <c r="D96" s="27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</row>
    <row r="97" spans="1:40" ht="30" customHeight="1" x14ac:dyDescent="0.25">
      <c r="A97" s="25"/>
      <c r="B97" s="27"/>
      <c r="C97" s="27"/>
      <c r="D97" s="27"/>
      <c r="E97" s="45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</row>
    <row r="98" spans="1:40" ht="30" customHeight="1" x14ac:dyDescent="0.25">
      <c r="A98" s="25"/>
      <c r="B98" s="27"/>
      <c r="C98" s="27"/>
      <c r="D98" s="27"/>
      <c r="E98" s="294"/>
      <c r="F98" s="171">
        <v>2010</v>
      </c>
      <c r="G98" s="171">
        <v>2011</v>
      </c>
      <c r="H98" s="171">
        <v>2012</v>
      </c>
      <c r="I98" s="171">
        <v>2013</v>
      </c>
      <c r="J98" s="171">
        <v>2014</v>
      </c>
      <c r="K98" s="171">
        <v>2015</v>
      </c>
      <c r="L98" s="171">
        <v>2016</v>
      </c>
      <c r="M98" s="171">
        <v>2017</v>
      </c>
      <c r="N98" s="171">
        <v>2018</v>
      </c>
      <c r="O98" s="171">
        <v>2019</v>
      </c>
      <c r="P98" s="171">
        <v>2020</v>
      </c>
      <c r="Q98" s="171">
        <v>2021</v>
      </c>
      <c r="R98" s="171">
        <v>2022</v>
      </c>
      <c r="S98" s="208">
        <v>2023</v>
      </c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</row>
    <row r="99" spans="1:40" ht="30" customHeight="1" x14ac:dyDescent="0.25">
      <c r="A99" s="25"/>
      <c r="B99" s="27"/>
      <c r="C99" s="27"/>
      <c r="D99" s="27"/>
      <c r="E99" s="296" t="s">
        <v>1066</v>
      </c>
      <c r="F99" s="217">
        <f t="shared" ref="F99:R99" si="18">F95</f>
        <v>431771</v>
      </c>
      <c r="G99" s="217">
        <f t="shared" si="18"/>
        <v>475393</v>
      </c>
      <c r="H99" s="217">
        <f t="shared" si="18"/>
        <v>508820</v>
      </c>
      <c r="I99" s="217">
        <f t="shared" si="18"/>
        <v>582714</v>
      </c>
      <c r="J99" s="217">
        <f t="shared" si="18"/>
        <v>708175</v>
      </c>
      <c r="K99" s="217">
        <f t="shared" si="18"/>
        <v>828667</v>
      </c>
      <c r="L99" s="217">
        <f t="shared" si="18"/>
        <v>872380</v>
      </c>
      <c r="M99" s="217">
        <f t="shared" si="18"/>
        <v>1004137</v>
      </c>
      <c r="N99" s="217">
        <f t="shared" si="18"/>
        <v>1360369</v>
      </c>
      <c r="O99" s="217">
        <f t="shared" si="18"/>
        <v>1511475</v>
      </c>
      <c r="P99" s="217">
        <f t="shared" si="18"/>
        <v>-144242</v>
      </c>
      <c r="Q99" s="217">
        <f t="shared" si="18"/>
        <v>612804</v>
      </c>
      <c r="R99" s="217">
        <f t="shared" si="18"/>
        <v>1314066</v>
      </c>
      <c r="S99" s="418" t="e">
        <f t="shared" ref="S99" si="19">S95</f>
        <v>#REF!</v>
      </c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</row>
    <row r="100" spans="1:40" ht="30" customHeight="1" x14ac:dyDescent="0.25">
      <c r="A100" s="25"/>
      <c r="B100" s="27"/>
      <c r="C100" s="27"/>
      <c r="D100" s="27"/>
      <c r="E100" s="297" t="s">
        <v>1000</v>
      </c>
      <c r="F100" s="220">
        <v>0.34</v>
      </c>
      <c r="G100" s="220">
        <v>0.34</v>
      </c>
      <c r="H100" s="220">
        <v>0.34</v>
      </c>
      <c r="I100" s="220">
        <v>0.34</v>
      </c>
      <c r="J100" s="220">
        <v>0.34</v>
      </c>
      <c r="K100" s="220">
        <v>0.34</v>
      </c>
      <c r="L100" s="220">
        <v>0.34</v>
      </c>
      <c r="M100" s="220">
        <v>0.34</v>
      </c>
      <c r="N100" s="220">
        <v>0.34</v>
      </c>
      <c r="O100" s="220">
        <v>0.34</v>
      </c>
      <c r="P100" s="220">
        <v>0.34</v>
      </c>
      <c r="Q100" s="220">
        <v>0.34</v>
      </c>
      <c r="R100" s="220">
        <v>0.34</v>
      </c>
      <c r="S100" s="419">
        <v>0.34</v>
      </c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</row>
    <row r="101" spans="1:40" ht="30" customHeight="1" x14ac:dyDescent="0.25">
      <c r="A101" s="25"/>
      <c r="B101" s="27"/>
      <c r="C101" s="27"/>
      <c r="D101" s="27"/>
      <c r="E101" s="296" t="s">
        <v>1001</v>
      </c>
      <c r="F101" s="217">
        <f t="shared" ref="F101:R101" si="20">-F99*F100</f>
        <v>-146802.14000000001</v>
      </c>
      <c r="G101" s="217">
        <f t="shared" si="20"/>
        <v>-161633.62000000002</v>
      </c>
      <c r="H101" s="217">
        <f t="shared" si="20"/>
        <v>-172998.80000000002</v>
      </c>
      <c r="I101" s="217">
        <f t="shared" si="20"/>
        <v>-198122.76</v>
      </c>
      <c r="J101" s="217">
        <f t="shared" si="20"/>
        <v>-240779.50000000003</v>
      </c>
      <c r="K101" s="217">
        <f t="shared" si="20"/>
        <v>-281746.78000000003</v>
      </c>
      <c r="L101" s="217">
        <f t="shared" si="20"/>
        <v>-296609.2</v>
      </c>
      <c r="M101" s="217">
        <f t="shared" si="20"/>
        <v>-341406.58</v>
      </c>
      <c r="N101" s="217">
        <f t="shared" si="20"/>
        <v>-462525.46</v>
      </c>
      <c r="O101" s="217">
        <f t="shared" si="20"/>
        <v>-513901.50000000006</v>
      </c>
      <c r="P101" s="217">
        <f t="shared" si="20"/>
        <v>49042.280000000006</v>
      </c>
      <c r="Q101" s="217">
        <f t="shared" si="20"/>
        <v>-208353.36000000002</v>
      </c>
      <c r="R101" s="217">
        <f t="shared" si="20"/>
        <v>-446782.44000000006</v>
      </c>
      <c r="S101" s="418" t="e">
        <f t="shared" ref="S101" si="21">-S99*S100</f>
        <v>#REF!</v>
      </c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</row>
    <row r="102" spans="1:40" ht="30" customHeight="1" x14ac:dyDescent="0.25">
      <c r="A102" s="25"/>
      <c r="B102" s="27"/>
      <c r="C102" s="27"/>
      <c r="D102" s="27"/>
      <c r="E102" s="296" t="s">
        <v>1002</v>
      </c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10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</row>
    <row r="103" spans="1:40" ht="30" customHeight="1" x14ac:dyDescent="0.25">
      <c r="A103" s="25"/>
      <c r="B103" s="27"/>
      <c r="C103" s="27"/>
      <c r="D103" s="27"/>
      <c r="E103" s="298" t="s">
        <v>1039</v>
      </c>
      <c r="F103" s="209">
        <v>-5911</v>
      </c>
      <c r="G103" s="209">
        <v>-6145</v>
      </c>
      <c r="H103" s="209">
        <v>-5483</v>
      </c>
      <c r="I103" s="209">
        <v>-4467</v>
      </c>
      <c r="J103" s="209">
        <v>-8484</v>
      </c>
      <c r="K103" s="209">
        <v>-8987</v>
      </c>
      <c r="L103" s="209">
        <v>-8175</v>
      </c>
      <c r="M103" s="209">
        <v>-9397</v>
      </c>
      <c r="N103" s="209">
        <v>-6969</v>
      </c>
      <c r="O103" s="209">
        <v>-7166</v>
      </c>
      <c r="P103" s="209">
        <v>-7763</v>
      </c>
      <c r="Q103" s="209">
        <v>-5219</v>
      </c>
      <c r="R103" s="209">
        <v>-7412</v>
      </c>
      <c r="S103" s="210">
        <v>-7976</v>
      </c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</row>
    <row r="104" spans="1:40" ht="30" customHeight="1" x14ac:dyDescent="0.25">
      <c r="A104" s="25"/>
      <c r="B104" s="27"/>
      <c r="C104" s="27"/>
      <c r="D104" s="27"/>
      <c r="E104" s="298" t="s">
        <v>1055</v>
      </c>
      <c r="F104" s="209">
        <v>-2760</v>
      </c>
      <c r="G104" s="209">
        <v>-2775</v>
      </c>
      <c r="H104" s="209">
        <v>0</v>
      </c>
      <c r="I104" s="209">
        <v>0</v>
      </c>
      <c r="J104" s="209">
        <v>0</v>
      </c>
      <c r="K104" s="209">
        <v>0</v>
      </c>
      <c r="L104" s="209">
        <v>0</v>
      </c>
      <c r="M104" s="209">
        <v>0</v>
      </c>
      <c r="N104" s="209">
        <v>0</v>
      </c>
      <c r="O104" s="209">
        <v>0</v>
      </c>
      <c r="P104" s="209">
        <v>0</v>
      </c>
      <c r="Q104" s="209">
        <v>0</v>
      </c>
      <c r="R104" s="209">
        <v>0</v>
      </c>
      <c r="S104" s="210">
        <v>0</v>
      </c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</row>
    <row r="105" spans="1:40" ht="30" customHeight="1" x14ac:dyDescent="0.25">
      <c r="A105" s="25"/>
      <c r="B105" s="27"/>
      <c r="C105" s="27"/>
      <c r="D105" s="27"/>
      <c r="E105" s="298" t="s">
        <v>1040</v>
      </c>
      <c r="F105" s="209">
        <v>23878</v>
      </c>
      <c r="G105" s="209">
        <v>25992</v>
      </c>
      <c r="H105" s="209">
        <v>27676</v>
      </c>
      <c r="I105" s="209">
        <v>19685</v>
      </c>
      <c r="J105" s="209">
        <v>24501</v>
      </c>
      <c r="K105" s="209">
        <v>38407</v>
      </c>
      <c r="L105" s="209">
        <v>58941</v>
      </c>
      <c r="M105" s="209">
        <v>66956</v>
      </c>
      <c r="N105" s="209">
        <v>76729</v>
      </c>
      <c r="O105" s="209">
        <v>85665</v>
      </c>
      <c r="P105" s="209">
        <v>81878</v>
      </c>
      <c r="Q105" s="209">
        <v>131878</v>
      </c>
      <c r="R105" s="209">
        <v>220431</v>
      </c>
      <c r="S105" s="210">
        <v>231895</v>
      </c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</row>
    <row r="106" spans="1:40" ht="30" customHeight="1" x14ac:dyDescent="0.25">
      <c r="A106" s="25"/>
      <c r="B106" s="27"/>
      <c r="C106" s="27"/>
      <c r="D106" s="27"/>
      <c r="E106" s="298" t="s">
        <v>1041</v>
      </c>
      <c r="F106" s="209">
        <v>0</v>
      </c>
      <c r="G106" s="209">
        <v>0</v>
      </c>
      <c r="H106" s="209">
        <v>-1459</v>
      </c>
      <c r="I106" s="209">
        <v>-1400</v>
      </c>
      <c r="J106" s="209">
        <v>-2914</v>
      </c>
      <c r="K106" s="209">
        <v>-2486</v>
      </c>
      <c r="L106" s="209">
        <v>-1683</v>
      </c>
      <c r="M106" s="209">
        <v>-2638</v>
      </c>
      <c r="N106" s="209">
        <v>-2074</v>
      </c>
      <c r="O106" s="209">
        <v>-1464</v>
      </c>
      <c r="P106" s="209">
        <v>-341</v>
      </c>
      <c r="Q106" s="209">
        <v>-1688</v>
      </c>
      <c r="R106" s="209">
        <v>-990</v>
      </c>
      <c r="S106" s="210">
        <v>0</v>
      </c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</row>
    <row r="107" spans="1:40" ht="30" customHeight="1" x14ac:dyDescent="0.25">
      <c r="A107" s="25"/>
      <c r="B107" s="27"/>
      <c r="C107" s="27"/>
      <c r="D107" s="27"/>
      <c r="E107" s="298" t="s">
        <v>1042</v>
      </c>
      <c r="F107" s="209">
        <v>2377</v>
      </c>
      <c r="G107" s="209">
        <v>1514</v>
      </c>
      <c r="H107" s="209">
        <v>3000</v>
      </c>
      <c r="I107" s="209">
        <v>3054</v>
      </c>
      <c r="J107" s="209">
        <v>4264</v>
      </c>
      <c r="K107" s="209">
        <v>4479</v>
      </c>
      <c r="L107" s="209">
        <v>3848</v>
      </c>
      <c r="M107" s="209">
        <v>4034</v>
      </c>
      <c r="N107" s="209">
        <v>23458</v>
      </c>
      <c r="O107" s="209">
        <v>8584</v>
      </c>
      <c r="P107" s="209">
        <v>4468</v>
      </c>
      <c r="Q107" s="209">
        <v>2730</v>
      </c>
      <c r="R107" s="209">
        <v>4972</v>
      </c>
      <c r="S107" s="214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</row>
    <row r="108" spans="1:40" ht="30" customHeight="1" x14ac:dyDescent="0.25">
      <c r="A108" s="25"/>
      <c r="B108" s="27"/>
      <c r="C108" s="27"/>
      <c r="D108" s="27"/>
      <c r="E108" s="298" t="s">
        <v>1053</v>
      </c>
      <c r="F108" s="209">
        <v>0</v>
      </c>
      <c r="G108" s="209">
        <v>0</v>
      </c>
      <c r="H108" s="209">
        <v>0</v>
      </c>
      <c r="I108" s="209">
        <v>0</v>
      </c>
      <c r="J108" s="209">
        <v>2803</v>
      </c>
      <c r="K108" s="209">
        <v>0</v>
      </c>
      <c r="L108" s="209">
        <v>0</v>
      </c>
      <c r="M108" s="209">
        <v>0</v>
      </c>
      <c r="N108" s="209">
        <v>0</v>
      </c>
      <c r="O108" s="209">
        <v>0</v>
      </c>
      <c r="P108" s="209">
        <v>0</v>
      </c>
      <c r="Q108" s="209">
        <v>0</v>
      </c>
      <c r="R108" s="209">
        <v>0</v>
      </c>
      <c r="S108" s="214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</row>
    <row r="109" spans="1:40" ht="30" customHeight="1" x14ac:dyDescent="0.25">
      <c r="A109" s="25"/>
      <c r="B109" s="27"/>
      <c r="C109" s="27"/>
      <c r="D109" s="27"/>
      <c r="E109" s="298" t="s">
        <v>1054</v>
      </c>
      <c r="F109" s="209">
        <v>0</v>
      </c>
      <c r="G109" s="209">
        <v>0</v>
      </c>
      <c r="H109" s="209">
        <v>0</v>
      </c>
      <c r="I109" s="209">
        <v>0</v>
      </c>
      <c r="J109" s="209">
        <v>3286</v>
      </c>
      <c r="K109" s="209">
        <v>0</v>
      </c>
      <c r="L109" s="209">
        <v>0</v>
      </c>
      <c r="M109" s="209">
        <v>0</v>
      </c>
      <c r="N109" s="209">
        <v>0</v>
      </c>
      <c r="O109" s="209">
        <v>0</v>
      </c>
      <c r="P109" s="209">
        <v>0</v>
      </c>
      <c r="Q109" s="209">
        <v>0</v>
      </c>
      <c r="R109" s="209">
        <v>0</v>
      </c>
      <c r="S109" s="214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</row>
    <row r="110" spans="1:40" ht="30" customHeight="1" x14ac:dyDescent="0.25">
      <c r="A110" s="25"/>
      <c r="B110" s="27"/>
      <c r="C110" s="27"/>
      <c r="D110" s="27"/>
      <c r="E110" s="298" t="s">
        <v>1043</v>
      </c>
      <c r="F110" s="209">
        <v>0</v>
      </c>
      <c r="G110" s="209">
        <v>0</v>
      </c>
      <c r="H110" s="209">
        <v>0</v>
      </c>
      <c r="I110" s="209">
        <v>0</v>
      </c>
      <c r="J110" s="209">
        <v>0</v>
      </c>
      <c r="K110" s="209">
        <v>0</v>
      </c>
      <c r="L110" s="209">
        <v>0</v>
      </c>
      <c r="M110" s="209">
        <v>8784</v>
      </c>
      <c r="N110" s="209">
        <v>47810</v>
      </c>
      <c r="O110" s="209">
        <v>34504</v>
      </c>
      <c r="P110" s="209">
        <v>22977</v>
      </c>
      <c r="Q110" s="209">
        <v>95654</v>
      </c>
      <c r="R110" s="209">
        <v>123011</v>
      </c>
      <c r="S110" s="214">
        <v>141639</v>
      </c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</row>
    <row r="111" spans="1:40" ht="30" customHeight="1" x14ac:dyDescent="0.25">
      <c r="A111" s="25"/>
      <c r="B111" s="27"/>
      <c r="C111" s="27"/>
      <c r="D111" s="27"/>
      <c r="E111" s="298" t="s">
        <v>1050</v>
      </c>
      <c r="F111" s="209">
        <v>0</v>
      </c>
      <c r="G111" s="209">
        <v>0</v>
      </c>
      <c r="H111" s="209">
        <v>0</v>
      </c>
      <c r="I111" s="209">
        <v>0</v>
      </c>
      <c r="J111" s="209">
        <v>3286</v>
      </c>
      <c r="K111" s="209">
        <v>1904</v>
      </c>
      <c r="L111" s="209">
        <v>1794</v>
      </c>
      <c r="M111" s="209">
        <v>2181</v>
      </c>
      <c r="N111" s="209">
        <v>3156</v>
      </c>
      <c r="O111" s="209">
        <v>4380</v>
      </c>
      <c r="P111" s="209">
        <v>7623</v>
      </c>
      <c r="Q111" s="209">
        <v>11073</v>
      </c>
      <c r="R111" s="209">
        <v>33534</v>
      </c>
      <c r="S111" s="214">
        <v>56578</v>
      </c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</row>
    <row r="112" spans="1:40" ht="30" customHeight="1" x14ac:dyDescent="0.25">
      <c r="A112" s="25"/>
      <c r="B112" s="27"/>
      <c r="C112" s="27"/>
      <c r="D112" s="27"/>
      <c r="E112" s="299" t="s">
        <v>1044</v>
      </c>
      <c r="F112" s="209">
        <v>0</v>
      </c>
      <c r="G112" s="209">
        <v>0</v>
      </c>
      <c r="H112" s="209">
        <v>1267</v>
      </c>
      <c r="I112" s="209">
        <v>1527</v>
      </c>
      <c r="J112" s="209">
        <v>1568</v>
      </c>
      <c r="K112" s="209">
        <v>1503</v>
      </c>
      <c r="L112" s="209">
        <v>616</v>
      </c>
      <c r="M112" s="209">
        <v>-2154</v>
      </c>
      <c r="N112" s="209">
        <v>-26766</v>
      </c>
      <c r="O112" s="209">
        <v>-19410</v>
      </c>
      <c r="P112" s="209">
        <v>-3769</v>
      </c>
      <c r="Q112" s="209">
        <v>-19163</v>
      </c>
      <c r="R112" s="209">
        <v>3174</v>
      </c>
      <c r="S112" s="214">
        <v>6941</v>
      </c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</row>
    <row r="113" spans="1:41" ht="30" customHeight="1" x14ac:dyDescent="0.25">
      <c r="A113" s="25"/>
      <c r="B113" s="27"/>
      <c r="C113" s="27"/>
      <c r="D113" s="27"/>
      <c r="E113" s="299" t="s">
        <v>1051</v>
      </c>
      <c r="F113" s="209">
        <v>0</v>
      </c>
      <c r="G113" s="209">
        <v>0</v>
      </c>
      <c r="H113" s="209">
        <v>0</v>
      </c>
      <c r="I113" s="209">
        <v>0</v>
      </c>
      <c r="J113" s="209">
        <v>0</v>
      </c>
      <c r="K113" s="209">
        <v>0</v>
      </c>
      <c r="L113" s="209">
        <v>-951</v>
      </c>
      <c r="M113" s="209">
        <v>0</v>
      </c>
      <c r="N113" s="209">
        <v>0</v>
      </c>
      <c r="O113" s="209">
        <v>0</v>
      </c>
      <c r="P113" s="209">
        <v>0</v>
      </c>
      <c r="Q113" s="209">
        <v>0</v>
      </c>
      <c r="R113" s="209">
        <v>0</v>
      </c>
      <c r="S113" s="214">
        <v>0</v>
      </c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</row>
    <row r="114" spans="1:41" ht="30" customHeight="1" x14ac:dyDescent="0.25">
      <c r="A114" s="25"/>
      <c r="B114" s="27"/>
      <c r="C114" s="27"/>
      <c r="D114" s="27"/>
      <c r="E114" s="299" t="s">
        <v>1052</v>
      </c>
      <c r="F114" s="209">
        <v>0</v>
      </c>
      <c r="G114" s="209">
        <v>0</v>
      </c>
      <c r="H114" s="209">
        <v>0</v>
      </c>
      <c r="I114" s="209">
        <v>0</v>
      </c>
      <c r="J114" s="209">
        <v>0</v>
      </c>
      <c r="K114" s="209">
        <v>0</v>
      </c>
      <c r="L114" s="209">
        <v>-2340</v>
      </c>
      <c r="M114" s="209">
        <v>0</v>
      </c>
      <c r="N114" s="209">
        <v>0</v>
      </c>
      <c r="O114" s="209">
        <v>0</v>
      </c>
      <c r="P114" s="209">
        <v>0</v>
      </c>
      <c r="Q114" s="209">
        <v>0</v>
      </c>
      <c r="R114" s="209">
        <v>0</v>
      </c>
      <c r="S114" s="214">
        <v>0</v>
      </c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</row>
    <row r="115" spans="1:41" ht="30" customHeight="1" x14ac:dyDescent="0.25">
      <c r="A115" s="25"/>
      <c r="B115" s="27"/>
      <c r="C115" s="27"/>
      <c r="D115" s="27"/>
      <c r="E115" s="299" t="s">
        <v>1045</v>
      </c>
      <c r="F115" s="209">
        <v>0</v>
      </c>
      <c r="G115" s="209">
        <v>0</v>
      </c>
      <c r="H115" s="209">
        <v>0</v>
      </c>
      <c r="I115" s="209">
        <v>0</v>
      </c>
      <c r="J115" s="209">
        <v>0</v>
      </c>
      <c r="K115" s="209">
        <v>0</v>
      </c>
      <c r="L115" s="209">
        <v>0</v>
      </c>
      <c r="M115" s="209">
        <v>0</v>
      </c>
      <c r="N115" s="209">
        <v>0</v>
      </c>
      <c r="O115" s="209">
        <v>0</v>
      </c>
      <c r="P115" s="209">
        <v>12051</v>
      </c>
      <c r="Q115" s="209">
        <v>266</v>
      </c>
      <c r="R115" s="209">
        <v>3910</v>
      </c>
      <c r="S115" s="214">
        <v>0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</row>
    <row r="116" spans="1:41" s="8" customFormat="1" ht="30" customHeight="1" x14ac:dyDescent="0.25">
      <c r="A116" s="25"/>
      <c r="B116" s="27"/>
      <c r="C116" s="27"/>
      <c r="D116" s="27"/>
      <c r="E116" s="299" t="s">
        <v>1046</v>
      </c>
      <c r="F116" s="209">
        <v>0</v>
      </c>
      <c r="G116" s="209">
        <v>0</v>
      </c>
      <c r="H116" s="209">
        <v>0</v>
      </c>
      <c r="I116" s="209">
        <v>0</v>
      </c>
      <c r="J116" s="209">
        <v>0</v>
      </c>
      <c r="K116" s="209">
        <v>0</v>
      </c>
      <c r="L116" s="209">
        <v>0</v>
      </c>
      <c r="M116" s="209">
        <v>0</v>
      </c>
      <c r="N116" s="209">
        <v>0</v>
      </c>
      <c r="O116" s="209">
        <v>0</v>
      </c>
      <c r="P116" s="209">
        <v>0</v>
      </c>
      <c r="Q116" s="209">
        <v>-17301</v>
      </c>
      <c r="R116" s="209">
        <v>-16042</v>
      </c>
      <c r="S116" s="214">
        <v>-32663</v>
      </c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"/>
    </row>
    <row r="117" spans="1:41" s="8" customFormat="1" ht="30" customHeight="1" x14ac:dyDescent="0.25">
      <c r="A117" s="25"/>
      <c r="B117" s="27"/>
      <c r="C117" s="27"/>
      <c r="D117" s="27"/>
      <c r="E117" s="299" t="s">
        <v>1047</v>
      </c>
      <c r="F117" s="209">
        <v>0</v>
      </c>
      <c r="G117" s="209">
        <v>0</v>
      </c>
      <c r="H117" s="209">
        <v>0</v>
      </c>
      <c r="I117" s="209">
        <v>0</v>
      </c>
      <c r="J117" s="209">
        <v>0</v>
      </c>
      <c r="K117" s="209">
        <v>0</v>
      </c>
      <c r="L117" s="209">
        <v>0</v>
      </c>
      <c r="M117" s="209">
        <v>0</v>
      </c>
      <c r="N117" s="209">
        <v>0</v>
      </c>
      <c r="O117" s="209">
        <v>0</v>
      </c>
      <c r="P117" s="209">
        <v>-11691</v>
      </c>
      <c r="Q117" s="209">
        <v>-2919</v>
      </c>
      <c r="R117" s="209">
        <v>0</v>
      </c>
      <c r="S117" s="214">
        <v>39853</v>
      </c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"/>
    </row>
    <row r="118" spans="1:41" s="8" customFormat="1" ht="30" customHeight="1" x14ac:dyDescent="0.25">
      <c r="A118" s="25"/>
      <c r="B118" s="27"/>
      <c r="C118" s="27"/>
      <c r="D118" s="27"/>
      <c r="E118" s="299" t="s">
        <v>1048</v>
      </c>
      <c r="F118" s="209">
        <v>434</v>
      </c>
      <c r="G118" s="209">
        <v>1203</v>
      </c>
      <c r="H118" s="209">
        <v>-5469</v>
      </c>
      <c r="I118" s="209">
        <v>4366</v>
      </c>
      <c r="J118" s="209">
        <v>-732</v>
      </c>
      <c r="K118" s="209">
        <v>-2950</v>
      </c>
      <c r="L118" s="209">
        <v>-2813</v>
      </c>
      <c r="M118" s="209">
        <v>2105</v>
      </c>
      <c r="N118" s="209">
        <v>393</v>
      </c>
      <c r="O118" s="209">
        <v>-3920</v>
      </c>
      <c r="P118" s="209">
        <v>198280</v>
      </c>
      <c r="Q118" s="209">
        <v>15404</v>
      </c>
      <c r="R118" s="209">
        <v>14236</v>
      </c>
      <c r="S118" s="214">
        <v>-14920</v>
      </c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"/>
    </row>
    <row r="119" spans="1:41" s="8" customFormat="1" ht="30" customHeight="1" x14ac:dyDescent="0.25">
      <c r="A119" s="25"/>
      <c r="B119" s="27"/>
      <c r="C119" s="27"/>
      <c r="D119" s="27"/>
      <c r="E119" s="299" t="s">
        <v>1049</v>
      </c>
      <c r="F119" s="209">
        <v>24</v>
      </c>
      <c r="G119" s="209">
        <v>48</v>
      </c>
      <c r="H119" s="209">
        <v>48</v>
      </c>
      <c r="I119" s="209">
        <v>48</v>
      </c>
      <c r="J119" s="209">
        <v>48</v>
      </c>
      <c r="K119" s="209">
        <v>48</v>
      </c>
      <c r="L119" s="209">
        <v>50</v>
      </c>
      <c r="M119" s="209">
        <v>78</v>
      </c>
      <c r="N119" s="209">
        <v>72</v>
      </c>
      <c r="O119" s="209">
        <v>96</v>
      </c>
      <c r="P119" s="209">
        <v>54</v>
      </c>
      <c r="Q119" s="209">
        <v>94</v>
      </c>
      <c r="R119" s="209">
        <v>83</v>
      </c>
      <c r="S119" s="214">
        <v>72</v>
      </c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"/>
    </row>
    <row r="120" spans="1:41" s="8" customFormat="1" ht="30" customHeight="1" x14ac:dyDescent="0.25">
      <c r="A120" s="25"/>
      <c r="B120" s="27"/>
      <c r="C120" s="27"/>
      <c r="D120" s="27"/>
      <c r="E120" s="296" t="s">
        <v>1003</v>
      </c>
      <c r="F120" s="217">
        <f>F101+F103+F106+F107+F110+F112+F115+F118+F119+F102+F117+F116+F105+F111+F113+F114+F109+F108+F104</f>
        <v>-128760.14000000001</v>
      </c>
      <c r="G120" s="217">
        <f t="shared" ref="G120:Q120" si="22">G101+G103+G106+G107+G110+G112+G115+G118+G119+G102+G117+G116+G105+G111+G113+G114+G109+G108+G104</f>
        <v>-141796.62000000002</v>
      </c>
      <c r="H120" s="217">
        <f t="shared" si="22"/>
        <v>-153418.80000000002</v>
      </c>
      <c r="I120" s="217">
        <f t="shared" si="22"/>
        <v>-175309.76</v>
      </c>
      <c r="J120" s="217">
        <f t="shared" si="22"/>
        <v>-213153.50000000003</v>
      </c>
      <c r="K120" s="217">
        <f t="shared" si="22"/>
        <v>-249828.78000000003</v>
      </c>
      <c r="L120" s="217">
        <f t="shared" si="22"/>
        <v>-247322.2</v>
      </c>
      <c r="M120" s="217">
        <f t="shared" si="22"/>
        <v>-271457.58</v>
      </c>
      <c r="N120" s="217">
        <f t="shared" si="22"/>
        <v>-346716.46</v>
      </c>
      <c r="O120" s="217">
        <f t="shared" si="22"/>
        <v>-412632.50000000006</v>
      </c>
      <c r="P120" s="217">
        <f t="shared" si="22"/>
        <v>352809.28</v>
      </c>
      <c r="Q120" s="217">
        <f t="shared" si="22"/>
        <v>2455.6399999999849</v>
      </c>
      <c r="R120" s="217">
        <f>R101+R103+R106+R107+R110+R112+R115+R118+R119+R102+R117+R116+R105+R111+R113+R114+R109+R108+R104</f>
        <v>-67875.440000000061</v>
      </c>
      <c r="S120" s="415" t="e">
        <f>S101+S103+S106+S107+S110+S112+S115+S118+S119+S102+S117+S116+S105+S111+S113+S114+S109+S108+S104</f>
        <v>#REF!</v>
      </c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"/>
    </row>
    <row r="121" spans="1:41" s="8" customFormat="1" ht="30" customHeight="1" x14ac:dyDescent="0.25">
      <c r="A121" s="25"/>
      <c r="B121" s="27"/>
      <c r="C121" s="27"/>
      <c r="D121" s="27"/>
      <c r="E121" s="300" t="s">
        <v>1004</v>
      </c>
      <c r="F121" s="168">
        <f t="shared" ref="F121:R121" si="23">F120/F92</f>
        <v>-0.31833972022923601</v>
      </c>
      <c r="G121" s="168">
        <f t="shared" si="23"/>
        <v>-0.30001421822005664</v>
      </c>
      <c r="H121" s="168">
        <f t="shared" si="23"/>
        <v>-0.27432954850245866</v>
      </c>
      <c r="I121" s="168">
        <f t="shared" si="23"/>
        <v>-0.26952570421777328</v>
      </c>
      <c r="J121" s="168">
        <f t="shared" si="23"/>
        <v>-0.26576086278910294</v>
      </c>
      <c r="K121" s="168">
        <f t="shared" si="23"/>
        <v>-0.26769673389745335</v>
      </c>
      <c r="L121" s="168">
        <f t="shared" si="23"/>
        <v>-0.25348440590761412</v>
      </c>
      <c r="M121" s="168">
        <f t="shared" si="23"/>
        <v>-0.2496763174208407</v>
      </c>
      <c r="N121" s="168">
        <f t="shared" si="23"/>
        <v>-0.2435112700262182</v>
      </c>
      <c r="O121" s="168">
        <f t="shared" si="23"/>
        <v>-0.25104584054794993</v>
      </c>
      <c r="P121" s="168">
        <f t="shared" si="23"/>
        <v>4.8824976473844455</v>
      </c>
      <c r="Q121" s="168">
        <f t="shared" si="23"/>
        <v>3.0169643120411048E-3</v>
      </c>
      <c r="R121" s="168">
        <f t="shared" si="23"/>
        <v>-4.822750587785575E-2</v>
      </c>
      <c r="S121" s="416" t="e">
        <f t="shared" ref="S121" si="24">S120/S92</f>
        <v>#REF!</v>
      </c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"/>
    </row>
    <row r="122" spans="1:41" s="8" customFormat="1" ht="30" customHeight="1" x14ac:dyDescent="0.25">
      <c r="A122" s="25"/>
      <c r="B122" s="27"/>
      <c r="C122" s="27"/>
      <c r="D122" s="27"/>
      <c r="E122" s="296" t="s">
        <v>1005</v>
      </c>
      <c r="F122" s="217">
        <f>F101+F103+F105+F106+F107+F110+F111+F112+F116+F117+F118+F119</f>
        <v>-126000.14000000001</v>
      </c>
      <c r="G122" s="217">
        <f t="shared" ref="G122:R122" si="25">G101+G103+G105+G106+G107+G110+G111+G112+G116+G117+G118+G119</f>
        <v>-139021.62000000002</v>
      </c>
      <c r="H122" s="217">
        <f t="shared" si="25"/>
        <v>-153418.80000000002</v>
      </c>
      <c r="I122" s="217">
        <f t="shared" si="25"/>
        <v>-175309.76</v>
      </c>
      <c r="J122" s="217">
        <f t="shared" si="25"/>
        <v>-219242.50000000003</v>
      </c>
      <c r="K122" s="217">
        <f t="shared" si="25"/>
        <v>-249828.78000000003</v>
      </c>
      <c r="L122" s="217">
        <f t="shared" si="25"/>
        <v>-244031.2</v>
      </c>
      <c r="M122" s="217">
        <f t="shared" si="25"/>
        <v>-271457.58</v>
      </c>
      <c r="N122" s="217">
        <f t="shared" si="25"/>
        <v>-346716.46</v>
      </c>
      <c r="O122" s="217">
        <f t="shared" si="25"/>
        <v>-412632.50000000006</v>
      </c>
      <c r="P122" s="217">
        <f t="shared" si="25"/>
        <v>340758.28</v>
      </c>
      <c r="Q122" s="217">
        <f t="shared" si="25"/>
        <v>2189.6399999999849</v>
      </c>
      <c r="R122" s="217">
        <f t="shared" si="25"/>
        <v>-71785.440000000061</v>
      </c>
      <c r="S122" s="415" t="e">
        <f t="shared" ref="S122" si="26">S101+S103+S105+S106+S107+S110+S111+S112+S116+S117+S118+S119</f>
        <v>#REF!</v>
      </c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"/>
    </row>
    <row r="123" spans="1:41" s="8" customFormat="1" ht="30" customHeight="1" x14ac:dyDescent="0.25">
      <c r="A123" s="25"/>
      <c r="B123" s="27"/>
      <c r="C123" s="27"/>
      <c r="D123" s="27"/>
      <c r="E123" s="300" t="s">
        <v>1004</v>
      </c>
      <c r="F123" s="168">
        <f t="shared" ref="F123:R123" si="27">F122/F92</f>
        <v>-0.31151604305839192</v>
      </c>
      <c r="G123" s="168">
        <f t="shared" si="27"/>
        <v>-0.29414285502705062</v>
      </c>
      <c r="H123" s="168">
        <f t="shared" si="27"/>
        <v>-0.27432954850245866</v>
      </c>
      <c r="I123" s="168">
        <f t="shared" si="27"/>
        <v>-0.26952570421777328</v>
      </c>
      <c r="J123" s="168">
        <f t="shared" si="27"/>
        <v>-0.27335265881179482</v>
      </c>
      <c r="K123" s="168">
        <f t="shared" si="27"/>
        <v>-0.26769673389745335</v>
      </c>
      <c r="L123" s="168">
        <f t="shared" si="27"/>
        <v>-0.25011140833666434</v>
      </c>
      <c r="M123" s="168">
        <f t="shared" si="27"/>
        <v>-0.2496763174208407</v>
      </c>
      <c r="N123" s="168">
        <f t="shared" si="27"/>
        <v>-0.2435112700262182</v>
      </c>
      <c r="O123" s="168">
        <f t="shared" si="27"/>
        <v>-0.25104584054794993</v>
      </c>
      <c r="P123" s="168">
        <f t="shared" si="27"/>
        <v>4.7157248823692228</v>
      </c>
      <c r="Q123" s="168">
        <f t="shared" si="27"/>
        <v>2.6901605024424098E-3</v>
      </c>
      <c r="R123" s="168">
        <f t="shared" si="27"/>
        <v>-5.1005676420579536E-2</v>
      </c>
      <c r="S123" s="416" t="e">
        <f t="shared" ref="S123" si="28">S122/S92</f>
        <v>#REF!</v>
      </c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"/>
    </row>
    <row r="124" spans="1:41" s="8" customFormat="1" ht="30" customHeight="1" x14ac:dyDescent="0.25">
      <c r="A124" s="25"/>
      <c r="B124" s="27"/>
      <c r="C124" s="27"/>
      <c r="D124" s="27"/>
      <c r="E124" s="296" t="s">
        <v>1006</v>
      </c>
      <c r="F124" s="217">
        <f>F101+F103+F105+F106+F112+F116+F117+F118+F119</f>
        <v>-128377.14000000001</v>
      </c>
      <c r="G124" s="217">
        <f t="shared" ref="G124:R124" si="29">G101+G103+G105+G106+G112+G116+G117+G118+G119</f>
        <v>-140535.62000000002</v>
      </c>
      <c r="H124" s="217">
        <f t="shared" si="29"/>
        <v>-156418.80000000002</v>
      </c>
      <c r="I124" s="217">
        <f t="shared" si="29"/>
        <v>-178363.76</v>
      </c>
      <c r="J124" s="217">
        <f t="shared" si="29"/>
        <v>-226792.50000000003</v>
      </c>
      <c r="K124" s="217">
        <f t="shared" si="29"/>
        <v>-256211.78000000003</v>
      </c>
      <c r="L124" s="217">
        <f t="shared" si="29"/>
        <v>-249673.2</v>
      </c>
      <c r="M124" s="217">
        <f t="shared" si="29"/>
        <v>-286456.58</v>
      </c>
      <c r="N124" s="217">
        <f t="shared" si="29"/>
        <v>-421140.46</v>
      </c>
      <c r="O124" s="217">
        <f t="shared" si="29"/>
        <v>-460100.50000000006</v>
      </c>
      <c r="P124" s="217">
        <f t="shared" si="29"/>
        <v>305690.28000000003</v>
      </c>
      <c r="Q124" s="217">
        <f t="shared" si="29"/>
        <v>-107267.36000000002</v>
      </c>
      <c r="R124" s="217">
        <f t="shared" si="29"/>
        <v>-233302.44000000006</v>
      </c>
      <c r="S124" s="415" t="e">
        <f t="shared" ref="S124" si="30">S101+S103+S105+S106+S112+S116+S117+S118+S119</f>
        <v>#REF!</v>
      </c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"/>
    </row>
    <row r="125" spans="1:41" s="8" customFormat="1" ht="30" customHeight="1" thickBot="1" x14ac:dyDescent="0.3">
      <c r="A125" s="25"/>
      <c r="B125" s="27"/>
      <c r="C125" s="27"/>
      <c r="D125" s="27"/>
      <c r="E125" s="301" t="s">
        <v>1004</v>
      </c>
      <c r="F125" s="295">
        <f t="shared" ref="F125:R125" si="31">F124/F92</f>
        <v>-0.31739281140444137</v>
      </c>
      <c r="G125" s="295">
        <f t="shared" si="31"/>
        <v>-0.29734618615289249</v>
      </c>
      <c r="H125" s="295">
        <f t="shared" si="31"/>
        <v>-0.27969387572641935</v>
      </c>
      <c r="I125" s="295">
        <f t="shared" si="31"/>
        <v>-0.27422100184798553</v>
      </c>
      <c r="J125" s="295">
        <f t="shared" si="31"/>
        <v>-0.28276603703011038</v>
      </c>
      <c r="K125" s="295">
        <f t="shared" si="31"/>
        <v>-0.27453625115590308</v>
      </c>
      <c r="L125" s="295">
        <f t="shared" si="31"/>
        <v>-0.25589398271992131</v>
      </c>
      <c r="M125" s="295">
        <f t="shared" si="31"/>
        <v>-0.26347182493621452</v>
      </c>
      <c r="N125" s="295">
        <f t="shared" si="31"/>
        <v>-0.29578188550386603</v>
      </c>
      <c r="O125" s="295">
        <f t="shared" si="31"/>
        <v>-0.2799253979243807</v>
      </c>
      <c r="P125" s="295">
        <f t="shared" si="31"/>
        <v>4.2304218101300863</v>
      </c>
      <c r="Q125" s="295">
        <f t="shared" si="31"/>
        <v>-0.13178714997591973</v>
      </c>
      <c r="R125" s="295">
        <f t="shared" si="31"/>
        <v>-0.16576827783979126</v>
      </c>
      <c r="S125" s="417" t="e">
        <f t="shared" ref="S125" si="32">S124/S92</f>
        <v>#REF!</v>
      </c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"/>
    </row>
    <row r="126" spans="1:41" s="8" customFormat="1" ht="30" customHeight="1" x14ac:dyDescent="0.25">
      <c r="A126" s="25"/>
      <c r="B126" s="27"/>
      <c r="C126" s="27"/>
      <c r="D126" s="27"/>
      <c r="E126" s="27"/>
      <c r="F126" s="162"/>
      <c r="G126" s="162"/>
      <c r="H126" s="162"/>
      <c r="I126" s="162"/>
      <c r="J126" s="162"/>
      <c r="K126" s="162"/>
      <c r="L126" s="162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"/>
    </row>
    <row r="127" spans="1:41" s="8" customFormat="1" ht="30" customHeight="1" x14ac:dyDescent="0.25">
      <c r="A127" s="25"/>
      <c r="B127" s="27"/>
      <c r="C127" s="27"/>
      <c r="D127" s="27"/>
      <c r="E127" s="163"/>
      <c r="F127" s="162"/>
      <c r="G127" s="162"/>
      <c r="H127" s="162"/>
      <c r="I127" s="162"/>
      <c r="J127" s="162"/>
      <c r="K127" s="162"/>
      <c r="L127" s="162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"/>
    </row>
    <row r="128" spans="1:41" s="8" customFormat="1" ht="30" customHeight="1" x14ac:dyDescent="0.25">
      <c r="A128" s="25"/>
      <c r="B128" s="27"/>
      <c r="C128" s="27"/>
      <c r="D128" s="27"/>
      <c r="E128" s="163"/>
      <c r="F128" s="162"/>
      <c r="G128" s="162"/>
      <c r="H128" s="162"/>
      <c r="I128" s="162"/>
      <c r="J128" s="162"/>
      <c r="K128" s="162"/>
      <c r="L128" s="162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"/>
    </row>
    <row r="129" spans="1:41" s="8" customFormat="1" ht="30" customHeight="1" x14ac:dyDescent="0.25">
      <c r="A129" s="25"/>
      <c r="B129" s="27"/>
      <c r="C129" s="27"/>
      <c r="D129" s="27"/>
      <c r="E129" s="163"/>
      <c r="F129" s="162"/>
      <c r="G129" s="162"/>
      <c r="H129" s="162"/>
      <c r="I129" s="162"/>
      <c r="J129" s="162"/>
      <c r="K129" s="162"/>
      <c r="L129" s="162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"/>
    </row>
    <row r="130" spans="1:41" s="8" customFormat="1" ht="30" customHeight="1" x14ac:dyDescent="0.25">
      <c r="A130" s="25"/>
      <c r="B130" s="27"/>
      <c r="C130" s="27"/>
      <c r="D130" s="27"/>
      <c r="E130" s="163"/>
      <c r="F130" s="162"/>
      <c r="G130" s="162"/>
      <c r="H130" s="162"/>
      <c r="I130" s="162"/>
      <c r="J130" s="162"/>
      <c r="K130" s="162"/>
      <c r="L130" s="162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"/>
    </row>
    <row r="131" spans="1:41" s="8" customFormat="1" ht="30" customHeight="1" x14ac:dyDescent="0.25">
      <c r="A131" s="25"/>
      <c r="B131" s="27"/>
      <c r="C131" s="27"/>
      <c r="D131" s="27"/>
      <c r="E131" s="163"/>
      <c r="F131" s="162"/>
      <c r="G131" s="162"/>
      <c r="H131" s="162"/>
      <c r="I131" s="162"/>
      <c r="J131" s="162"/>
      <c r="K131" s="162"/>
      <c r="L131" s="162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"/>
    </row>
    <row r="132" spans="1:41" s="8" customFormat="1" ht="30" customHeight="1" x14ac:dyDescent="0.25">
      <c r="A132" s="25"/>
      <c r="B132" s="27"/>
      <c r="C132" s="27"/>
      <c r="D132" s="27"/>
      <c r="E132" s="163"/>
      <c r="F132" s="162"/>
      <c r="G132" s="162"/>
      <c r="H132" s="162"/>
      <c r="I132" s="162"/>
      <c r="J132" s="162"/>
      <c r="K132" s="162"/>
      <c r="L132" s="162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"/>
    </row>
    <row r="133" spans="1:41" s="8" customFormat="1" ht="30" customHeight="1" x14ac:dyDescent="0.25">
      <c r="A133" s="25"/>
      <c r="B133" s="27"/>
      <c r="C133" s="27"/>
      <c r="D133" s="27"/>
      <c r="E133" s="163"/>
      <c r="F133" s="162"/>
      <c r="G133" s="162"/>
      <c r="H133" s="162"/>
      <c r="I133" s="162"/>
      <c r="J133" s="162"/>
      <c r="K133" s="162"/>
      <c r="L133" s="162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"/>
    </row>
    <row r="134" spans="1:41" s="8" customFormat="1" ht="30" customHeight="1" x14ac:dyDescent="0.25">
      <c r="A134" s="25"/>
      <c r="B134" s="27"/>
      <c r="C134" s="27"/>
      <c r="D134" s="27"/>
      <c r="E134" s="163"/>
      <c r="F134" s="162"/>
      <c r="G134" s="162"/>
      <c r="H134" s="162"/>
      <c r="I134" s="162"/>
      <c r="J134" s="162"/>
      <c r="K134" s="162"/>
      <c r="L134" s="162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"/>
    </row>
    <row r="135" spans="1:41" s="8" customFormat="1" ht="30" customHeight="1" x14ac:dyDescent="0.25">
      <c r="A135" s="25"/>
      <c r="B135" s="27"/>
      <c r="C135" s="27"/>
      <c r="D135" s="27"/>
      <c r="E135" s="163"/>
      <c r="F135" s="162"/>
      <c r="G135" s="162"/>
      <c r="H135" s="162"/>
      <c r="I135" s="162"/>
      <c r="J135" s="162"/>
      <c r="K135" s="162"/>
      <c r="L135" s="162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"/>
    </row>
    <row r="136" spans="1:41" s="8" customFormat="1" ht="30" customHeight="1" x14ac:dyDescent="0.25">
      <c r="A136" s="25"/>
      <c r="B136" s="27"/>
      <c r="C136" s="27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"/>
    </row>
    <row r="137" spans="1:41" s="8" customFormat="1" ht="30" customHeight="1" x14ac:dyDescent="0.25">
      <c r="A137" s="25"/>
      <c r="B137" s="27"/>
      <c r="C137" s="27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"/>
    </row>
    <row r="138" spans="1:41" s="8" customFormat="1" ht="30" customHeight="1" x14ac:dyDescent="0.25">
      <c r="A138" s="25"/>
      <c r="B138" s="27"/>
      <c r="C138" s="27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"/>
    </row>
    <row r="139" spans="1:41" s="8" customFormat="1" ht="30" customHeight="1" x14ac:dyDescent="0.25">
      <c r="A139" s="25"/>
      <c r="B139" s="27"/>
      <c r="C139" s="27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"/>
    </row>
    <row r="140" spans="1:41" s="8" customFormat="1" ht="30" customHeight="1" x14ac:dyDescent="0.25">
      <c r="A140" s="25"/>
      <c r="B140" s="27"/>
      <c r="C140" s="27"/>
      <c r="D140" s="163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"/>
    </row>
    <row r="141" spans="1:41" s="8" customFormat="1" ht="30" customHeight="1" x14ac:dyDescent="0.25">
      <c r="A141" s="25"/>
      <c r="B141" s="27"/>
      <c r="C141" s="27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"/>
    </row>
    <row r="142" spans="1:41" s="8" customFormat="1" ht="30" customHeight="1" x14ac:dyDescent="0.25">
      <c r="A142" s="25"/>
      <c r="B142" s="27"/>
      <c r="C142" s="27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"/>
    </row>
    <row r="143" spans="1:41" s="8" customFormat="1" ht="30" customHeight="1" x14ac:dyDescent="0.25">
      <c r="A143" s="25"/>
      <c r="B143" s="27"/>
      <c r="C143" s="27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"/>
    </row>
    <row r="144" spans="1:41" s="8" customFormat="1" ht="30" customHeight="1" x14ac:dyDescent="0.25">
      <c r="A144" s="25"/>
      <c r="B144" s="27"/>
      <c r="C144" s="27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"/>
    </row>
    <row r="145" spans="1:41" s="8" customFormat="1" ht="30" customHeight="1" x14ac:dyDescent="0.25">
      <c r="A145" s="25"/>
      <c r="B145" s="27"/>
      <c r="C145" s="27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"/>
    </row>
    <row r="146" spans="1:41" s="8" customFormat="1" ht="30" customHeight="1" x14ac:dyDescent="0.25">
      <c r="A146" s="25"/>
      <c r="B146" s="27"/>
      <c r="C146" s="27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"/>
    </row>
    <row r="147" spans="1:41" s="8" customFormat="1" ht="30" customHeight="1" x14ac:dyDescent="0.25">
      <c r="A147" s="25"/>
      <c r="B147" s="27"/>
      <c r="C147" s="27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"/>
    </row>
    <row r="148" spans="1:41" s="8" customFormat="1" ht="30" customHeight="1" x14ac:dyDescent="0.25">
      <c r="A148" s="25"/>
      <c r="B148" s="27"/>
      <c r="C148" s="27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"/>
    </row>
    <row r="149" spans="1:41" s="8" customFormat="1" ht="30" customHeight="1" x14ac:dyDescent="0.25">
      <c r="A149" s="25"/>
      <c r="B149" s="27"/>
      <c r="C149" s="27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"/>
    </row>
    <row r="150" spans="1:41" s="8" customFormat="1" ht="30" customHeight="1" x14ac:dyDescent="0.25">
      <c r="A150" s="25"/>
      <c r="B150" s="27"/>
      <c r="C150" s="27"/>
      <c r="D150" s="163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"/>
    </row>
    <row r="151" spans="1:41" s="8" customFormat="1" ht="30" customHeight="1" x14ac:dyDescent="0.25">
      <c r="A151" s="25"/>
      <c r="B151" s="27"/>
      <c r="C151" s="27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"/>
    </row>
    <row r="152" spans="1:41" s="8" customFormat="1" ht="30" customHeight="1" x14ac:dyDescent="0.25">
      <c r="A152" s="25"/>
      <c r="B152" s="27"/>
      <c r="C152" s="27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"/>
    </row>
    <row r="153" spans="1:41" s="8" customFormat="1" ht="30" customHeight="1" x14ac:dyDescent="0.25">
      <c r="A153" s="25"/>
      <c r="B153" s="27"/>
      <c r="C153" s="27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"/>
    </row>
    <row r="154" spans="1:41" s="8" customFormat="1" ht="30" customHeight="1" x14ac:dyDescent="0.25">
      <c r="A154" s="25"/>
      <c r="B154" s="27"/>
      <c r="C154" s="27"/>
      <c r="D154" s="27"/>
      <c r="E154" s="163"/>
      <c r="F154" s="162"/>
      <c r="G154" s="162"/>
      <c r="H154" s="162"/>
      <c r="I154" s="162"/>
      <c r="J154" s="162"/>
      <c r="K154" s="162"/>
      <c r="L154" s="162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"/>
    </row>
    <row r="155" spans="1:41" s="8" customFormat="1" ht="30" customHeight="1" x14ac:dyDescent="0.25">
      <c r="A155" s="25"/>
      <c r="B155" s="27"/>
      <c r="C155" s="27"/>
      <c r="D155" s="27"/>
      <c r="E155" s="163"/>
      <c r="F155" s="162"/>
      <c r="G155" s="162"/>
      <c r="H155" s="162"/>
      <c r="I155" s="162"/>
      <c r="J155" s="162"/>
      <c r="K155" s="162"/>
      <c r="L155" s="162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"/>
    </row>
    <row r="156" spans="1:41" s="8" customFormat="1" ht="30" customHeight="1" x14ac:dyDescent="0.25">
      <c r="A156" s="25"/>
      <c r="B156" s="27"/>
      <c r="C156" s="27"/>
      <c r="D156" s="27"/>
      <c r="E156" s="163"/>
      <c r="F156" s="162"/>
      <c r="G156" s="162"/>
      <c r="H156" s="162"/>
      <c r="I156" s="162"/>
      <c r="J156" s="162"/>
      <c r="K156" s="162"/>
      <c r="L156" s="162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"/>
    </row>
    <row r="157" spans="1:41" s="8" customFormat="1" ht="30" customHeight="1" x14ac:dyDescent="0.25">
      <c r="A157" s="25"/>
      <c r="B157" s="27"/>
      <c r="C157" s="27"/>
      <c r="D157" s="27"/>
      <c r="E157" s="163"/>
      <c r="F157" s="162"/>
      <c r="G157" s="162"/>
      <c r="H157" s="162"/>
      <c r="I157" s="162"/>
      <c r="J157" s="162"/>
      <c r="K157" s="162"/>
      <c r="L157" s="162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"/>
    </row>
    <row r="158" spans="1:41" s="8" customFormat="1" ht="30" customHeight="1" x14ac:dyDescent="0.25">
      <c r="A158" s="25"/>
      <c r="B158" s="27"/>
      <c r="C158" s="27"/>
      <c r="D158" s="27"/>
      <c r="E158" s="163"/>
      <c r="F158" s="162"/>
      <c r="G158" s="162"/>
      <c r="H158" s="162"/>
      <c r="I158" s="162"/>
      <c r="J158" s="162"/>
      <c r="K158" s="162"/>
      <c r="L158" s="162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"/>
    </row>
    <row r="159" spans="1:41" s="8" customFormat="1" ht="30" customHeight="1" x14ac:dyDescent="0.25">
      <c r="A159" s="25"/>
      <c r="B159" s="27"/>
      <c r="C159" s="27"/>
      <c r="D159" s="27"/>
      <c r="E159" s="163"/>
      <c r="F159" s="162"/>
      <c r="G159" s="162"/>
      <c r="H159" s="162"/>
      <c r="I159" s="162"/>
      <c r="J159" s="162"/>
      <c r="K159" s="162"/>
      <c r="L159" s="162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"/>
    </row>
    <row r="160" spans="1:41" s="8" customFormat="1" ht="30" customHeight="1" x14ac:dyDescent="0.25">
      <c r="A160" s="25"/>
      <c r="B160" s="27"/>
      <c r="C160" s="27"/>
      <c r="D160" s="27"/>
      <c r="E160" s="163"/>
      <c r="F160" s="162"/>
      <c r="G160" s="162"/>
      <c r="H160" s="162"/>
      <c r="I160" s="162"/>
      <c r="J160" s="162"/>
      <c r="K160" s="162"/>
      <c r="L160" s="162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"/>
    </row>
    <row r="161" spans="1:41" s="8" customFormat="1" ht="30" customHeight="1" x14ac:dyDescent="0.25">
      <c r="A161" s="25"/>
      <c r="B161" s="27"/>
      <c r="C161" s="27"/>
      <c r="D161" s="27"/>
      <c r="E161" s="163"/>
      <c r="F161" s="162"/>
      <c r="G161" s="162"/>
      <c r="H161" s="162"/>
      <c r="I161" s="162"/>
      <c r="J161" s="162"/>
      <c r="K161" s="162"/>
      <c r="L161" s="162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"/>
    </row>
    <row r="162" spans="1:41" s="8" customFormat="1" ht="30" customHeight="1" x14ac:dyDescent="0.25">
      <c r="A162" s="25"/>
      <c r="B162" s="27"/>
      <c r="C162" s="27"/>
      <c r="D162" s="27"/>
      <c r="E162" s="163"/>
      <c r="F162" s="162"/>
      <c r="G162" s="162"/>
      <c r="H162" s="162"/>
      <c r="I162" s="162"/>
      <c r="J162" s="162"/>
      <c r="K162" s="162"/>
      <c r="L162" s="162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"/>
    </row>
    <row r="163" spans="1:41" s="8" customFormat="1" ht="30" customHeight="1" x14ac:dyDescent="0.25">
      <c r="A163" s="25"/>
      <c r="B163" s="27"/>
      <c r="C163" s="27"/>
      <c r="D163" s="27"/>
      <c r="E163" s="163"/>
      <c r="F163" s="162"/>
      <c r="G163" s="162"/>
      <c r="H163" s="162"/>
      <c r="I163" s="162"/>
      <c r="J163" s="162"/>
      <c r="K163" s="162"/>
      <c r="L163" s="162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"/>
    </row>
    <row r="164" spans="1:41" s="8" customFormat="1" ht="30" customHeight="1" x14ac:dyDescent="0.25">
      <c r="A164" s="25"/>
      <c r="B164" s="27"/>
      <c r="C164" s="27"/>
      <c r="D164" s="27"/>
      <c r="E164" s="162"/>
      <c r="F164" s="162"/>
      <c r="G164" s="162"/>
      <c r="H164" s="162"/>
      <c r="I164" s="162"/>
      <c r="J164" s="162"/>
      <c r="K164" s="162"/>
      <c r="L164" s="162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"/>
    </row>
    <row r="165" spans="1:41" s="8" customFormat="1" ht="30" customHeight="1" x14ac:dyDescent="0.25">
      <c r="A165" s="25"/>
      <c r="B165" s="27"/>
      <c r="C165" s="27"/>
      <c r="D165" s="27"/>
      <c r="E165" s="162"/>
      <c r="F165" s="162"/>
      <c r="G165" s="162"/>
      <c r="H165" s="162"/>
      <c r="I165" s="162"/>
      <c r="J165" s="162"/>
      <c r="K165" s="162"/>
      <c r="L165" s="162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"/>
    </row>
    <row r="166" spans="1:41" s="8" customFormat="1" ht="30" customHeight="1" x14ac:dyDescent="0.25">
      <c r="A166" s="25"/>
      <c r="B166" s="27"/>
      <c r="C166" s="27"/>
      <c r="D166" s="27"/>
      <c r="E166" s="162"/>
      <c r="F166" s="162"/>
      <c r="G166" s="162"/>
      <c r="H166" s="162"/>
      <c r="I166" s="162"/>
      <c r="J166" s="162"/>
      <c r="K166" s="162"/>
      <c r="L166" s="162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"/>
    </row>
    <row r="167" spans="1:41" s="8" customFormat="1" ht="10.5" customHeight="1" x14ac:dyDescent="0.25">
      <c r="A167" s="25"/>
      <c r="B167" s="27"/>
      <c r="C167" s="27"/>
      <c r="D167" s="27"/>
      <c r="E167" s="162"/>
      <c r="F167" s="162"/>
      <c r="G167" s="162"/>
      <c r="H167" s="162"/>
      <c r="I167" s="162"/>
      <c r="J167" s="162"/>
      <c r="K167" s="162"/>
      <c r="L167" s="162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"/>
    </row>
    <row r="168" spans="1:41" ht="10.5" customHeight="1" x14ac:dyDescent="0.25">
      <c r="E168" s="204"/>
      <c r="F168" s="204"/>
      <c r="G168" s="204"/>
      <c r="H168" s="204"/>
      <c r="I168" s="204"/>
      <c r="J168" s="204"/>
      <c r="K168" s="204"/>
      <c r="L168" s="204"/>
    </row>
  </sheetData>
  <conditionalFormatting sqref="F87:Q87 R87:R88">
    <cfRule type="cellIs" dxfId="50" priority="132" operator="equal">
      <formula>0</formula>
    </cfRule>
  </conditionalFormatting>
  <conditionalFormatting sqref="F74:R75">
    <cfRule type="cellIs" dxfId="49" priority="38" operator="equal">
      <formula>0</formula>
    </cfRule>
  </conditionalFormatting>
  <conditionalFormatting sqref="F79:R86">
    <cfRule type="cellIs" dxfId="48" priority="24" operator="equal">
      <formula>0</formula>
    </cfRule>
  </conditionalFormatting>
  <conditionalFormatting sqref="F10:S23 F27:S37 F41:S54 F58:S59 F61:S63 F75:N75 F88:S88 F92:S95 F103:S119 F121:S121 F123:S123 F125:S125">
    <cfRule type="cellIs" dxfId="47" priority="170" operator="equal">
      <formula>0</formula>
    </cfRule>
  </conditionalFormatting>
  <conditionalFormatting sqref="F60:S60">
    <cfRule type="colorScale" priority="935">
      <colorScale>
        <cfvo type="min"/>
        <cfvo type="max"/>
        <color rgb="FFCEF6CE"/>
        <color rgb="FF59BF59"/>
      </colorScale>
    </cfRule>
  </conditionalFormatting>
  <conditionalFormatting sqref="F63:S63">
    <cfRule type="colorScale" priority="939">
      <colorScale>
        <cfvo type="min"/>
        <cfvo type="max"/>
        <color rgb="FFCEF6CE"/>
        <color rgb="FF59BF59"/>
      </colorScale>
    </cfRule>
  </conditionalFormatting>
  <conditionalFormatting sqref="G67:O67 F67:F73 K68:O69 G68:J73">
    <cfRule type="cellIs" dxfId="46" priority="148" operator="equal">
      <formula>0</formula>
    </cfRule>
  </conditionalFormatting>
  <conditionalFormatting sqref="K41:Q41">
    <cfRule type="cellIs" dxfId="45" priority="56" operator="equal">
      <formula>0</formula>
    </cfRule>
  </conditionalFormatting>
  <conditionalFormatting sqref="K70:R73">
    <cfRule type="cellIs" dxfId="44" priority="71" operator="equal">
      <formula>0</formula>
    </cfRule>
  </conditionalFormatting>
  <conditionalFormatting sqref="P46:P47">
    <cfRule type="cellIs" dxfId="43" priority="55" operator="equal">
      <formula>0</formula>
    </cfRule>
  </conditionalFormatting>
  <conditionalFormatting sqref="P67:R69">
    <cfRule type="cellIs" dxfId="42" priority="118" operator="equal">
      <formula>0</formula>
    </cfRule>
  </conditionalFormatting>
  <conditionalFormatting sqref="S67:S75">
    <cfRule type="cellIs" dxfId="41" priority="5" operator="equal">
      <formula>0</formula>
    </cfRule>
  </conditionalFormatting>
  <conditionalFormatting sqref="S79:S88">
    <cfRule type="cellIs" dxfId="40" priority="4" operator="equal">
      <formula>0</formula>
    </cfRule>
  </conditionalFormatting>
  <hyperlinks>
    <hyperlink ref="A9" location="WACC!A1" display="WACC" xr:uid="{DD61C975-867E-4FA5-A1A6-D23FF470C509}"/>
    <hyperlink ref="A8" location="Dashboard!A1" display="Dashboard" xr:uid="{99D83084-2BD7-492B-8D1A-867C1ADEFB03}"/>
    <hyperlink ref="A13" location="'Projeções - Receita'!A1" display="Projeções" xr:uid="{08BBE858-23C2-460E-8D1D-723BE837EC5B}"/>
    <hyperlink ref="A10" location="'DRE + DCF'!A1" display="DRE + DCF" xr:uid="{F92F2097-A2DE-425E-B7BA-272DD6EAA2BB}"/>
    <hyperlink ref="A12" location="'Balanço Patrimonial'!A1" display="Balanço Patrimonial" xr:uid="{C0CB88C7-874B-4749-A0BE-C4D97BB96129}"/>
    <hyperlink ref="A15" location="'Capex + K. Giro'!A1" display="Capex + Capital de Giro" xr:uid="{870AE0B6-A1C8-4E67-9F22-A346463CD5AB}"/>
    <hyperlink ref="A14" location="Lojas!A1" display="Lojas" xr:uid="{92CF5A6F-D1A4-4B1B-9665-21583B252F29}"/>
    <hyperlink ref="A11" location="'DRE - Contas Abertas'!A1" display="Contas Abertas" xr:uid="{5324B20A-4509-4ED5-BD83-75E400CD0BCD}"/>
    <hyperlink ref="A16" location="'Projeções Trimestrais'!A1" display="Projeções Trimestrais" xr:uid="{ED8C1944-F940-4702-B058-063117A172CF}"/>
    <hyperlink ref="A17" location="'Painel de Índices'!A1" display="Painel de Índices" xr:uid="{E744D644-B720-4219-8722-69A2D7863C02}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C444-E7F7-488F-A684-C4C8177918DE}">
  <sheetPr codeName="Planilha18"/>
  <dimension ref="A1:BI106"/>
  <sheetViews>
    <sheetView showGridLines="0" topLeftCell="D1" zoomScale="85" zoomScaleNormal="85" workbookViewId="0">
      <selection activeCell="U8" sqref="U8:U13"/>
    </sheetView>
  </sheetViews>
  <sheetFormatPr defaultColWidth="0" defaultRowHeight="15" zeroHeight="1" x14ac:dyDescent="0.25"/>
  <cols>
    <col min="1" max="1" width="31.85546875" style="50" bestFit="1" customWidth="1"/>
    <col min="2" max="4" width="9.140625" style="53" customWidth="1"/>
    <col min="5" max="5" width="55" style="53" bestFit="1" customWidth="1"/>
    <col min="6" max="6" width="9.7109375" style="53" customWidth="1"/>
    <col min="7" max="7" width="10" style="53" customWidth="1"/>
    <col min="8" max="8" width="10.42578125" style="53" customWidth="1"/>
    <col min="9" max="10" width="10" style="53" customWidth="1"/>
    <col min="11" max="11" width="10.42578125" style="53" customWidth="1"/>
    <col min="12" max="12" width="10.28515625" style="53" customWidth="1"/>
    <col min="13" max="14" width="10.42578125" style="53" customWidth="1"/>
    <col min="15" max="16" width="10.28515625" style="53" customWidth="1"/>
    <col min="17" max="18" width="10.28515625" style="53" bestFit="1" customWidth="1"/>
    <col min="19" max="19" width="10.7109375" style="53" bestFit="1" customWidth="1"/>
    <col min="20" max="27" width="9.140625" style="53" customWidth="1"/>
    <col min="28" max="61" width="9.140625" style="53" hidden="1" customWidth="1"/>
    <col min="62" max="16384" width="0" style="53" hidden="1"/>
  </cols>
  <sheetData>
    <row r="1" spans="1:27" ht="15" customHeight="1" x14ac:dyDescent="0.25"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M1" s="52"/>
      <c r="N1" s="52"/>
      <c r="O1" s="52"/>
      <c r="P1" s="52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spans="1:27" ht="15" customHeight="1" x14ac:dyDescent="0.25">
      <c r="B2" s="51"/>
      <c r="C2" s="51"/>
      <c r="D2" s="51"/>
      <c r="E2" s="51"/>
      <c r="F2" s="51"/>
      <c r="G2" s="51"/>
      <c r="H2" s="51"/>
      <c r="I2" s="51"/>
      <c r="J2" s="51"/>
      <c r="K2" s="51"/>
      <c r="L2" s="52"/>
      <c r="M2" s="52"/>
      <c r="N2" s="52"/>
      <c r="O2" s="52"/>
      <c r="P2" s="52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5" customHeight="1" x14ac:dyDescent="0.25">
      <c r="B3" s="51"/>
      <c r="C3" s="51"/>
      <c r="D3" s="51"/>
      <c r="E3" s="51"/>
      <c r="F3" s="51"/>
      <c r="G3" s="51"/>
      <c r="H3" s="51"/>
      <c r="I3" s="51"/>
      <c r="J3" s="51"/>
      <c r="K3" s="51"/>
      <c r="L3" s="52"/>
      <c r="M3" s="52"/>
      <c r="N3" s="52"/>
      <c r="O3" s="52"/>
      <c r="P3" s="52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27" ht="26.25" x14ac:dyDescent="0.25">
      <c r="B4" s="51"/>
      <c r="C4" s="51"/>
      <c r="D4" s="51"/>
      <c r="E4" s="52" t="s">
        <v>386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1"/>
      <c r="U4" s="51"/>
      <c r="V4" s="51"/>
      <c r="W4" s="51"/>
      <c r="X4" s="51"/>
      <c r="Y4" s="51"/>
      <c r="Z4" s="51"/>
      <c r="AA4" s="51"/>
    </row>
    <row r="5" spans="1:27" ht="15" customHeight="1" x14ac:dyDescent="0.25">
      <c r="B5" s="51"/>
      <c r="C5" s="51"/>
      <c r="D5" s="51"/>
      <c r="E5" s="51"/>
      <c r="F5" s="51"/>
      <c r="G5" s="54"/>
      <c r="H5" s="54"/>
      <c r="I5" s="54"/>
      <c r="J5" s="54"/>
      <c r="K5" s="54"/>
      <c r="L5" s="54"/>
      <c r="M5" s="54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</row>
    <row r="6" spans="1:27" ht="15" customHeight="1" x14ac:dyDescent="0.25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</row>
    <row r="7" spans="1:27" s="57" customFormat="1" ht="24.75" customHeight="1" x14ac:dyDescent="0.25">
      <c r="A7" s="55" t="s">
        <v>39</v>
      </c>
      <c r="B7" s="56"/>
      <c r="C7" s="56"/>
      <c r="D7" s="56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 spans="1:27" ht="30" customHeight="1" x14ac:dyDescent="0.25">
      <c r="A8" s="25" t="s">
        <v>40</v>
      </c>
      <c r="B8" s="51"/>
      <c r="C8" s="51"/>
      <c r="D8" s="56"/>
      <c r="E8" s="352"/>
      <c r="F8" s="59"/>
      <c r="G8" s="59"/>
      <c r="H8" s="59"/>
      <c r="I8" s="59"/>
      <c r="J8" s="59"/>
      <c r="K8" s="59"/>
      <c r="O8" s="312"/>
      <c r="P8" s="312"/>
      <c r="Q8" s="312"/>
      <c r="R8" s="312"/>
      <c r="S8" s="312"/>
      <c r="T8" s="51"/>
      <c r="U8" s="51"/>
      <c r="V8" s="51"/>
      <c r="W8" s="51"/>
      <c r="X8" s="51"/>
      <c r="Y8" s="51"/>
      <c r="Z8" s="51"/>
      <c r="AA8" s="51"/>
    </row>
    <row r="9" spans="1:27" ht="30" customHeight="1" x14ac:dyDescent="0.25">
      <c r="A9" s="25" t="s">
        <v>22</v>
      </c>
      <c r="B9" s="51"/>
      <c r="C9" s="51"/>
      <c r="D9" s="51"/>
      <c r="E9" s="61"/>
      <c r="F9" s="62">
        <v>2010</v>
      </c>
      <c r="G9" s="62">
        <v>2011</v>
      </c>
      <c r="H9" s="62">
        <v>2012</v>
      </c>
      <c r="I9" s="62">
        <v>2013</v>
      </c>
      <c r="J9" s="62">
        <v>2014</v>
      </c>
      <c r="K9" s="62">
        <v>2015</v>
      </c>
      <c r="L9" s="62">
        <v>2016</v>
      </c>
      <c r="M9" s="62">
        <v>2017</v>
      </c>
      <c r="N9" s="62">
        <v>2018</v>
      </c>
      <c r="O9" s="62">
        <v>2019</v>
      </c>
      <c r="P9" s="62">
        <v>2020</v>
      </c>
      <c r="Q9" s="62">
        <v>2021</v>
      </c>
      <c r="R9" s="62">
        <v>2022</v>
      </c>
      <c r="S9" s="172">
        <v>2023</v>
      </c>
      <c r="T9" s="51"/>
      <c r="U9" s="51"/>
      <c r="V9" s="51"/>
      <c r="W9" s="51"/>
      <c r="X9" s="51"/>
      <c r="Y9" s="51"/>
      <c r="Z9" s="51"/>
      <c r="AA9" s="51"/>
    </row>
    <row r="10" spans="1:27" ht="30" customHeight="1" x14ac:dyDescent="0.25">
      <c r="A10" s="25" t="s">
        <v>42</v>
      </c>
      <c r="B10" s="51"/>
      <c r="C10" s="51"/>
      <c r="D10" s="51"/>
      <c r="E10" s="353" t="s">
        <v>37</v>
      </c>
      <c r="F10" s="330">
        <f>F16+F17+F18+F20+F23-F41-F44-F47-F67-F61-F62-F63-F64</f>
        <v>648914.44999999995</v>
      </c>
      <c r="G10" s="330">
        <f t="shared" ref="G10:R10" si="0">G16+G17+G18+G20+G23-G41-G44-G47-G67-G61-G62-G63-G64</f>
        <v>713782.57499999995</v>
      </c>
      <c r="H10" s="330">
        <f t="shared" si="0"/>
        <v>903588.7</v>
      </c>
      <c r="I10" s="330">
        <f t="shared" si="0"/>
        <v>1142252.2000000002</v>
      </c>
      <c r="J10" s="330">
        <f t="shared" si="0"/>
        <v>1359272.5</v>
      </c>
      <c r="K10" s="330">
        <f t="shared" si="0"/>
        <v>1577660.9500000002</v>
      </c>
      <c r="L10" s="330">
        <f t="shared" si="0"/>
        <v>1501803.4500000002</v>
      </c>
      <c r="M10" s="330">
        <f t="shared" si="0"/>
        <v>1559918.625</v>
      </c>
      <c r="N10" s="330">
        <f t="shared" si="0"/>
        <v>1896491.5250000004</v>
      </c>
      <c r="O10" s="330">
        <f t="shared" si="0"/>
        <v>2086630.9249999998</v>
      </c>
      <c r="P10" s="330">
        <f t="shared" si="0"/>
        <v>2008305.5</v>
      </c>
      <c r="Q10" s="330">
        <f t="shared" si="0"/>
        <v>2597234.9000000004</v>
      </c>
      <c r="R10" s="330">
        <f t="shared" si="0"/>
        <v>3462266.4250000007</v>
      </c>
      <c r="S10" s="330">
        <f t="shared" ref="S10" si="1">S16+S17+S18+S20+S23-S41-S44-S47-S67-S61-S62-S63-S64</f>
        <v>3529070.2249999996</v>
      </c>
      <c r="T10" s="51"/>
      <c r="U10" s="51"/>
      <c r="V10" s="51"/>
      <c r="W10" s="51"/>
      <c r="X10" s="51"/>
      <c r="Y10" s="51"/>
      <c r="Z10" s="51"/>
      <c r="AA10" s="51"/>
    </row>
    <row r="11" spans="1:27" ht="30" customHeight="1" x14ac:dyDescent="0.25">
      <c r="A11" s="25" t="s">
        <v>987</v>
      </c>
      <c r="B11" s="51"/>
      <c r="C11" s="51"/>
      <c r="D11" s="51"/>
      <c r="E11" s="63" t="s">
        <v>0</v>
      </c>
      <c r="F11" s="64">
        <f t="shared" ref="F11:K11" si="2">F12+F24</f>
        <v>2486270</v>
      </c>
      <c r="G11" s="64">
        <f t="shared" si="2"/>
        <v>2983504</v>
      </c>
      <c r="H11" s="64">
        <f t="shared" si="2"/>
        <v>3770028</v>
      </c>
      <c r="I11" s="64">
        <f t="shared" si="2"/>
        <v>4515524</v>
      </c>
      <c r="J11" s="64">
        <f t="shared" si="2"/>
        <v>5318884</v>
      </c>
      <c r="K11" s="64">
        <f t="shared" si="2"/>
        <v>5863719</v>
      </c>
      <c r="L11" s="64">
        <f t="shared" ref="L11:R11" si="3">L12+L24</f>
        <v>6475212</v>
      </c>
      <c r="M11" s="64">
        <f t="shared" si="3"/>
        <v>7547658</v>
      </c>
      <c r="N11" s="64">
        <f t="shared" si="3"/>
        <v>8821048</v>
      </c>
      <c r="O11" s="64">
        <f t="shared" si="3"/>
        <v>11552902</v>
      </c>
      <c r="P11" s="64">
        <f t="shared" si="3"/>
        <v>14642583</v>
      </c>
      <c r="Q11" s="64">
        <f t="shared" si="3"/>
        <v>21411985</v>
      </c>
      <c r="R11" s="64">
        <f t="shared" si="3"/>
        <v>21148892</v>
      </c>
      <c r="S11" s="64">
        <f t="shared" ref="S11" si="4">S12+S24</f>
        <v>20490638</v>
      </c>
      <c r="T11" s="51"/>
      <c r="U11" s="71"/>
      <c r="V11" s="51"/>
      <c r="W11" s="51"/>
      <c r="X11" s="51"/>
      <c r="Y11" s="51"/>
      <c r="Z11" s="51"/>
      <c r="AA11" s="51"/>
    </row>
    <row r="12" spans="1:27" ht="30" customHeight="1" x14ac:dyDescent="0.25">
      <c r="A12" s="438" t="s">
        <v>43</v>
      </c>
      <c r="B12" s="51"/>
      <c r="C12" s="51"/>
      <c r="D12" s="51"/>
      <c r="E12" s="354" t="s">
        <v>4</v>
      </c>
      <c r="F12" s="355">
        <f>F13+F14+F17+F18+F19+F20+F23</f>
        <v>1903176</v>
      </c>
      <c r="G12" s="355">
        <f>G13+G14+G17+G18+G19+G20+G23</f>
        <v>2035555</v>
      </c>
      <c r="H12" s="355">
        <f>H13+H14+H17+H18+H19+H20+H23</f>
        <v>2496890</v>
      </c>
      <c r="I12" s="355">
        <f t="shared" ref="I12:P12" si="5">I13+I14+I17+I18+I19+I20+I23</f>
        <v>3001262</v>
      </c>
      <c r="J12" s="355">
        <f t="shared" si="5"/>
        <v>3496489</v>
      </c>
      <c r="K12" s="355">
        <f t="shared" si="5"/>
        <v>3721211</v>
      </c>
      <c r="L12" s="355">
        <f t="shared" si="5"/>
        <v>4085477</v>
      </c>
      <c r="M12" s="355">
        <f t="shared" si="5"/>
        <v>4907941</v>
      </c>
      <c r="N12" s="355">
        <f t="shared" si="5"/>
        <v>5930335</v>
      </c>
      <c r="O12" s="355">
        <f t="shared" si="5"/>
        <v>6656209</v>
      </c>
      <c r="P12" s="355">
        <f t="shared" si="5"/>
        <v>8896766</v>
      </c>
      <c r="Q12" s="355">
        <f>Q13+Q14+Q17+Q18+Q19+Q20+Q23</f>
        <v>13984780</v>
      </c>
      <c r="R12" s="355">
        <f>R13+R14+R17+R18+R19+R20+R23</f>
        <v>13053770</v>
      </c>
      <c r="S12" s="355">
        <f>S13+S14+S17+S18+S19+S20+S23</f>
        <v>12191644</v>
      </c>
      <c r="T12" s="51"/>
      <c r="U12" s="51"/>
      <c r="V12" s="51"/>
      <c r="W12" s="51"/>
      <c r="X12" s="51"/>
      <c r="Y12" s="51"/>
      <c r="Z12" s="51"/>
      <c r="AA12" s="51"/>
    </row>
    <row r="13" spans="1:27" ht="30" customHeight="1" x14ac:dyDescent="0.25">
      <c r="A13" s="25" t="s">
        <v>385</v>
      </c>
      <c r="B13" s="51"/>
      <c r="C13" s="51"/>
      <c r="D13" s="51"/>
      <c r="E13" s="196" t="s">
        <v>387</v>
      </c>
      <c r="F13" s="193">
        <v>683661</v>
      </c>
      <c r="G13" s="193">
        <v>578264</v>
      </c>
      <c r="H13" s="193">
        <v>683270</v>
      </c>
      <c r="I13" s="193">
        <v>801592</v>
      </c>
      <c r="J13" s="193">
        <v>834340</v>
      </c>
      <c r="K13" s="193">
        <v>737527</v>
      </c>
      <c r="L13" s="193">
        <v>894881</v>
      </c>
      <c r="M13" s="193">
        <v>1059873</v>
      </c>
      <c r="N13" s="193">
        <v>944671</v>
      </c>
      <c r="O13" s="193">
        <v>980954</v>
      </c>
      <c r="P13" s="193">
        <v>2066781</v>
      </c>
      <c r="Q13" s="193">
        <v>5489417</v>
      </c>
      <c r="R13" s="193">
        <v>2848351</v>
      </c>
      <c r="S13" s="194">
        <v>2532187</v>
      </c>
      <c r="T13" s="51"/>
      <c r="U13" s="51"/>
      <c r="V13" s="51"/>
      <c r="W13" s="51"/>
      <c r="X13" s="51"/>
      <c r="Y13" s="51"/>
      <c r="Z13" s="51"/>
      <c r="AA13" s="51"/>
    </row>
    <row r="14" spans="1:27" ht="30" customHeight="1" x14ac:dyDescent="0.25">
      <c r="A14" s="25" t="s">
        <v>73</v>
      </c>
      <c r="B14" s="51"/>
      <c r="C14" s="51"/>
      <c r="D14" s="51"/>
      <c r="E14" s="196" t="s">
        <v>388</v>
      </c>
      <c r="F14" s="193">
        <v>0</v>
      </c>
      <c r="G14" s="193">
        <v>0</v>
      </c>
      <c r="H14" s="193">
        <v>0</v>
      </c>
      <c r="I14" s="193">
        <v>0</v>
      </c>
      <c r="J14" s="193">
        <v>0</v>
      </c>
      <c r="K14" s="193">
        <v>0</v>
      </c>
      <c r="L14" s="193">
        <v>0</v>
      </c>
      <c r="M14" s="193">
        <v>82360</v>
      </c>
      <c r="N14" s="193">
        <v>439693</v>
      </c>
      <c r="O14" s="193">
        <v>391348</v>
      </c>
      <c r="P14" s="193">
        <v>605572</v>
      </c>
      <c r="Q14" s="193">
        <v>458085</v>
      </c>
      <c r="R14" s="193">
        <v>655131</v>
      </c>
      <c r="S14" s="194">
        <v>571655</v>
      </c>
      <c r="T14" s="51"/>
      <c r="U14" s="51"/>
      <c r="V14" s="51"/>
      <c r="W14" s="51"/>
      <c r="X14" s="51"/>
      <c r="Y14" s="51"/>
      <c r="Z14" s="51"/>
      <c r="AA14" s="51"/>
    </row>
    <row r="15" spans="1:27" ht="30" customHeight="1" x14ac:dyDescent="0.25">
      <c r="A15" s="25" t="s">
        <v>382</v>
      </c>
      <c r="B15" s="51"/>
      <c r="C15" s="51"/>
      <c r="D15" s="51"/>
      <c r="E15" s="356" t="s">
        <v>78</v>
      </c>
      <c r="F15" s="195">
        <f>(F13+F14)-F16</f>
        <v>614877.55000000005</v>
      </c>
      <c r="G15" s="195">
        <f t="shared" ref="G15:P15" si="6">(G13+G14)-G16</f>
        <v>497300.42499999999</v>
      </c>
      <c r="H15" s="195">
        <f t="shared" si="6"/>
        <v>586707.30000000005</v>
      </c>
      <c r="I15" s="195">
        <f t="shared" si="6"/>
        <v>692333.8</v>
      </c>
      <c r="J15" s="195">
        <f t="shared" si="6"/>
        <v>703919.5</v>
      </c>
      <c r="K15" s="195">
        <f t="shared" si="6"/>
        <v>583897.05000000005</v>
      </c>
      <c r="L15" s="195">
        <f t="shared" si="6"/>
        <v>733591.55</v>
      </c>
      <c r="M15" s="195">
        <f t="shared" si="6"/>
        <v>956125.375</v>
      </c>
      <c r="N15" s="195">
        <f t="shared" si="6"/>
        <v>1173700.4750000001</v>
      </c>
      <c r="O15" s="195">
        <f t="shared" si="6"/>
        <v>1132591.075</v>
      </c>
      <c r="P15" s="195">
        <f t="shared" si="6"/>
        <v>2483923.5</v>
      </c>
      <c r="Q15" s="195">
        <f>(Q13+Q14)-Q16</f>
        <v>5683213.0999999996</v>
      </c>
      <c r="R15" s="195">
        <f>(R13+R14)-R16</f>
        <v>3171703.5750000002</v>
      </c>
      <c r="S15" s="195">
        <f>(S13+S14)-S16</f>
        <v>2762645.7749999999</v>
      </c>
      <c r="T15" s="51"/>
      <c r="U15" s="51"/>
      <c r="V15" s="51"/>
      <c r="W15" s="51"/>
      <c r="X15" s="51"/>
      <c r="Y15" s="51"/>
      <c r="Z15" s="51"/>
      <c r="AA15" s="51"/>
    </row>
    <row r="16" spans="1:27" ht="30" customHeight="1" x14ac:dyDescent="0.25">
      <c r="A16" s="25" t="s">
        <v>1307</v>
      </c>
      <c r="B16" s="51"/>
      <c r="C16" s="51"/>
      <c r="D16" s="51"/>
      <c r="E16" s="356" t="s">
        <v>30</v>
      </c>
      <c r="F16" s="195">
        <f>0.025*'DRE + DCF'!F12</f>
        <v>68783.45</v>
      </c>
      <c r="G16" s="195">
        <f>0.025*'DRE + DCF'!G12</f>
        <v>80963.575000000012</v>
      </c>
      <c r="H16" s="195">
        <f>0.025*'DRE + DCF'!H12</f>
        <v>96562.700000000012</v>
      </c>
      <c r="I16" s="195">
        <f>0.025*'DRE + DCF'!I12</f>
        <v>109258.20000000001</v>
      </c>
      <c r="J16" s="195">
        <f>0.025*'DRE + DCF'!J12</f>
        <v>130420.5</v>
      </c>
      <c r="K16" s="195">
        <f>0.025*'DRE + DCF'!K12</f>
        <v>153629.95000000001</v>
      </c>
      <c r="L16" s="195">
        <f>0.025*'DRE + DCF'!L12</f>
        <v>161289.45000000001</v>
      </c>
      <c r="M16" s="195">
        <f>0.025*'DRE + DCF'!M12</f>
        <v>186107.625</v>
      </c>
      <c r="N16" s="195">
        <f>0.025*'DRE + DCF'!N12</f>
        <v>210663.52500000002</v>
      </c>
      <c r="O16" s="195">
        <f>0.025*'DRE + DCF'!O12</f>
        <v>239710.92500000002</v>
      </c>
      <c r="P16" s="195">
        <f>0.025*'DRE + DCF'!P12</f>
        <v>188429.5</v>
      </c>
      <c r="Q16" s="195">
        <f>0.025*'DRE + DCF'!Q12</f>
        <v>264288.90000000002</v>
      </c>
      <c r="R16" s="195">
        <f>0.025*'DRE + DCF'!R12</f>
        <v>331778.42500000005</v>
      </c>
      <c r="S16" s="195">
        <f>0.025*'DRE + DCF'!S12</f>
        <v>341196.22500000003</v>
      </c>
      <c r="T16" s="51"/>
      <c r="U16" s="51"/>
      <c r="V16" s="51"/>
      <c r="W16" s="51"/>
      <c r="X16" s="51"/>
      <c r="Y16" s="51"/>
      <c r="Z16" s="51"/>
      <c r="AA16" s="51"/>
    </row>
    <row r="17" spans="1:27" ht="30" customHeight="1" x14ac:dyDescent="0.25">
      <c r="A17" s="25" t="s">
        <v>1086</v>
      </c>
      <c r="B17" s="51"/>
      <c r="C17" s="51"/>
      <c r="D17" s="51"/>
      <c r="E17" s="196" t="s">
        <v>383</v>
      </c>
      <c r="F17" s="193">
        <v>893748</v>
      </c>
      <c r="G17" s="193">
        <v>1006315</v>
      </c>
      <c r="H17" s="193">
        <v>1279698</v>
      </c>
      <c r="I17" s="193">
        <f>1621130-I20</f>
        <v>1572443</v>
      </c>
      <c r="J17" s="193">
        <f>1978325-J20</f>
        <v>1908518</v>
      </c>
      <c r="K17" s="193">
        <f>2268184-K20</f>
        <v>2119836</v>
      </c>
      <c r="L17" s="193">
        <v>2209271</v>
      </c>
      <c r="M17" s="193">
        <v>2644258</v>
      </c>
      <c r="N17" s="193">
        <v>3162670</v>
      </c>
      <c r="O17" s="193">
        <v>3825961</v>
      </c>
      <c r="P17" s="193">
        <v>3811668</v>
      </c>
      <c r="Q17" s="193">
        <v>5412881</v>
      </c>
      <c r="R17" s="193">
        <v>6524832</v>
      </c>
      <c r="S17" s="194">
        <v>6639188</v>
      </c>
      <c r="T17" s="51"/>
      <c r="U17" s="51"/>
      <c r="V17" s="51"/>
      <c r="W17" s="51"/>
      <c r="X17" s="51"/>
      <c r="Y17" s="51"/>
      <c r="Z17" s="51"/>
      <c r="AA17" s="51"/>
    </row>
    <row r="18" spans="1:27" ht="30" customHeight="1" x14ac:dyDescent="0.25">
      <c r="A18" s="25"/>
      <c r="B18" s="51"/>
      <c r="C18" s="51"/>
      <c r="D18" s="56"/>
      <c r="E18" s="196" t="s">
        <v>389</v>
      </c>
      <c r="F18" s="193">
        <v>275300</v>
      </c>
      <c r="G18" s="193">
        <v>393152</v>
      </c>
      <c r="H18" s="193">
        <v>454011</v>
      </c>
      <c r="I18" s="193">
        <v>506990</v>
      </c>
      <c r="J18" s="193">
        <v>612300</v>
      </c>
      <c r="K18" s="193">
        <v>622534</v>
      </c>
      <c r="L18" s="193">
        <v>782266</v>
      </c>
      <c r="M18" s="193">
        <v>923176</v>
      </c>
      <c r="N18" s="193">
        <v>1110305</v>
      </c>
      <c r="O18" s="193">
        <v>1124506</v>
      </c>
      <c r="P18" s="193">
        <v>1381662</v>
      </c>
      <c r="Q18" s="193">
        <v>1609560</v>
      </c>
      <c r="R18" s="193">
        <v>1836947</v>
      </c>
      <c r="S18" s="194">
        <v>1774209</v>
      </c>
      <c r="T18" s="51"/>
      <c r="U18" s="51"/>
      <c r="V18" s="51"/>
      <c r="W18" s="51"/>
      <c r="X18" s="51"/>
      <c r="Y18" s="51"/>
      <c r="Z18" s="51"/>
      <c r="AA18" s="51"/>
    </row>
    <row r="19" spans="1:27" ht="30" customHeight="1" x14ac:dyDescent="0.25">
      <c r="A19" s="8"/>
      <c r="B19" s="51"/>
      <c r="C19" s="51"/>
      <c r="D19" s="51"/>
      <c r="E19" s="196" t="s">
        <v>390</v>
      </c>
      <c r="F19" s="193">
        <v>18610</v>
      </c>
      <c r="G19" s="193">
        <v>30445</v>
      </c>
      <c r="H19" s="193">
        <v>47598</v>
      </c>
      <c r="I19" s="193">
        <v>68374</v>
      </c>
      <c r="J19" s="193">
        <v>68127</v>
      </c>
      <c r="K19" s="193">
        <v>87630</v>
      </c>
      <c r="L19" s="193">
        <v>135841</v>
      </c>
      <c r="M19" s="193">
        <v>140273</v>
      </c>
      <c r="N19" s="193">
        <v>208840</v>
      </c>
      <c r="O19" s="193">
        <v>258396</v>
      </c>
      <c r="P19" s="193">
        <v>961997</v>
      </c>
      <c r="Q19" s="193">
        <v>849389</v>
      </c>
      <c r="R19" s="193">
        <v>1003849</v>
      </c>
      <c r="S19" s="194">
        <v>546172</v>
      </c>
      <c r="T19" s="51"/>
      <c r="U19" s="51"/>
      <c r="V19" s="51"/>
      <c r="W19" s="51"/>
      <c r="X19" s="51"/>
      <c r="Y19" s="51"/>
      <c r="Z19" s="51"/>
      <c r="AA19" s="51"/>
    </row>
    <row r="20" spans="1:27" ht="30" customHeight="1" x14ac:dyDescent="0.25">
      <c r="A20" s="60"/>
      <c r="B20" s="51"/>
      <c r="C20" s="51"/>
      <c r="D20" s="51"/>
      <c r="E20" s="196" t="s">
        <v>391</v>
      </c>
      <c r="F20" s="193">
        <v>30905</v>
      </c>
      <c r="G20" s="193">
        <v>25732</v>
      </c>
      <c r="H20" s="193">
        <v>30457</v>
      </c>
      <c r="I20" s="193">
        <v>48687</v>
      </c>
      <c r="J20" s="193">
        <v>69807</v>
      </c>
      <c r="K20" s="193">
        <v>148348</v>
      </c>
      <c r="L20" s="193">
        <v>63218</v>
      </c>
      <c r="M20" s="193">
        <v>58001</v>
      </c>
      <c r="N20" s="193">
        <v>64156</v>
      </c>
      <c r="O20" s="193">
        <v>75044</v>
      </c>
      <c r="P20" s="193">
        <v>69086</v>
      </c>
      <c r="Q20" s="193">
        <v>165448</v>
      </c>
      <c r="R20" s="193">
        <f>R21+R22</f>
        <v>184660</v>
      </c>
      <c r="S20" s="193">
        <f>S21+S22</f>
        <v>128233</v>
      </c>
      <c r="T20" s="51"/>
      <c r="U20" s="51"/>
      <c r="V20" s="51"/>
      <c r="W20" s="51"/>
      <c r="X20" s="51"/>
      <c r="Y20" s="51"/>
      <c r="Z20" s="51"/>
      <c r="AA20" s="51"/>
    </row>
    <row r="21" spans="1:27" ht="30" customHeight="1" x14ac:dyDescent="0.25">
      <c r="A21" s="60"/>
      <c r="B21" s="51"/>
      <c r="C21" s="51"/>
      <c r="D21" s="51"/>
      <c r="E21" s="197" t="s">
        <v>392</v>
      </c>
      <c r="F21" s="193">
        <v>0</v>
      </c>
      <c r="G21" s="193">
        <v>0</v>
      </c>
      <c r="H21" s="193">
        <v>0</v>
      </c>
      <c r="I21" s="193">
        <v>8918</v>
      </c>
      <c r="J21" s="193">
        <v>30470</v>
      </c>
      <c r="K21" s="193">
        <v>99469</v>
      </c>
      <c r="L21" s="193">
        <v>366</v>
      </c>
      <c r="M21" s="193">
        <v>6917</v>
      </c>
      <c r="N21" s="193">
        <v>10860</v>
      </c>
      <c r="O21" s="193">
        <v>4382</v>
      </c>
      <c r="P21" s="193">
        <v>5435</v>
      </c>
      <c r="Q21" s="193">
        <v>24364</v>
      </c>
      <c r="R21" s="193">
        <v>8204</v>
      </c>
      <c r="S21" s="194">
        <v>222</v>
      </c>
      <c r="T21" s="51"/>
      <c r="U21" s="51"/>
      <c r="V21" s="51"/>
      <c r="W21" s="51"/>
      <c r="X21" s="51"/>
      <c r="Y21" s="51"/>
      <c r="Z21" s="51"/>
      <c r="AA21" s="51"/>
    </row>
    <row r="22" spans="1:27" ht="30" customHeight="1" x14ac:dyDescent="0.25">
      <c r="A22" s="60"/>
      <c r="B22" s="51"/>
      <c r="C22" s="51"/>
      <c r="D22" s="51"/>
      <c r="E22" s="197" t="s">
        <v>393</v>
      </c>
      <c r="F22" s="193">
        <v>0</v>
      </c>
      <c r="G22" s="193">
        <v>0</v>
      </c>
      <c r="H22" s="193">
        <v>0</v>
      </c>
      <c r="I22" s="193">
        <v>39769</v>
      </c>
      <c r="J22" s="193">
        <v>39337</v>
      </c>
      <c r="K22" s="193">
        <v>48879</v>
      </c>
      <c r="L22" s="193">
        <v>62852</v>
      </c>
      <c r="M22" s="193">
        <v>51084</v>
      </c>
      <c r="N22" s="193">
        <v>53296</v>
      </c>
      <c r="O22" s="193">
        <v>70662</v>
      </c>
      <c r="P22" s="193">
        <v>63651</v>
      </c>
      <c r="Q22" s="193">
        <v>141084</v>
      </c>
      <c r="R22" s="193">
        <v>176456</v>
      </c>
      <c r="S22" s="194">
        <v>128011</v>
      </c>
      <c r="T22" s="51"/>
      <c r="U22" s="51"/>
      <c r="V22" s="51"/>
      <c r="W22" s="51"/>
      <c r="X22" s="51"/>
      <c r="Y22" s="51"/>
      <c r="Z22" s="51"/>
      <c r="AA22" s="51"/>
    </row>
    <row r="23" spans="1:27" ht="30" customHeight="1" x14ac:dyDescent="0.25">
      <c r="A23" s="60"/>
      <c r="B23" s="51"/>
      <c r="C23" s="51"/>
      <c r="D23" s="51"/>
      <c r="E23" s="196" t="s">
        <v>394</v>
      </c>
      <c r="F23" s="193">
        <v>952</v>
      </c>
      <c r="G23" s="193">
        <v>1647</v>
      </c>
      <c r="H23" s="193">
        <v>1856</v>
      </c>
      <c r="I23" s="193">
        <v>3176</v>
      </c>
      <c r="J23" s="193">
        <v>3397</v>
      </c>
      <c r="K23" s="193">
        <v>5336</v>
      </c>
      <c r="L23" s="193">
        <v>0</v>
      </c>
      <c r="M23" s="193">
        <v>0</v>
      </c>
      <c r="N23" s="193">
        <v>0</v>
      </c>
      <c r="O23" s="193">
        <v>0</v>
      </c>
      <c r="P23" s="193">
        <v>0</v>
      </c>
      <c r="Q23" s="193">
        <v>0</v>
      </c>
      <c r="R23" s="193">
        <v>0</v>
      </c>
      <c r="S23" s="194">
        <v>0</v>
      </c>
      <c r="T23" s="51"/>
      <c r="U23" s="51"/>
      <c r="V23" s="51"/>
      <c r="W23" s="51"/>
      <c r="X23" s="51"/>
      <c r="Y23" s="51"/>
      <c r="Z23" s="51"/>
      <c r="AA23" s="51"/>
    </row>
    <row r="24" spans="1:27" ht="30" customHeight="1" x14ac:dyDescent="0.25">
      <c r="A24" s="60"/>
      <c r="B24" s="51"/>
      <c r="C24" s="51"/>
      <c r="D24" s="51"/>
      <c r="E24" s="354" t="s">
        <v>5</v>
      </c>
      <c r="F24" s="355">
        <f>F25+F32+F36+F31</f>
        <v>583094</v>
      </c>
      <c r="G24" s="355">
        <f>G25+G32+G36+G31</f>
        <v>947949</v>
      </c>
      <c r="H24" s="355">
        <f>H25+H32+H36+H31</f>
        <v>1273138</v>
      </c>
      <c r="I24" s="355">
        <f t="shared" ref="I24:P24" si="7">I25+I32+I36+I31</f>
        <v>1514262</v>
      </c>
      <c r="J24" s="355">
        <f t="shared" si="7"/>
        <v>1822395</v>
      </c>
      <c r="K24" s="355">
        <f t="shared" si="7"/>
        <v>2142508</v>
      </c>
      <c r="L24" s="355">
        <f t="shared" si="7"/>
        <v>2389735</v>
      </c>
      <c r="M24" s="355">
        <f t="shared" si="7"/>
        <v>2639717</v>
      </c>
      <c r="N24" s="355">
        <f t="shared" si="7"/>
        <v>2890713</v>
      </c>
      <c r="O24" s="355">
        <f t="shared" si="7"/>
        <v>4896693</v>
      </c>
      <c r="P24" s="355">
        <f t="shared" si="7"/>
        <v>5745817</v>
      </c>
      <c r="Q24" s="355">
        <f>Q25+Q32+Q36+Q31</f>
        <v>7427205</v>
      </c>
      <c r="R24" s="355">
        <f>R25+R32+R36+R31</f>
        <v>8095122</v>
      </c>
      <c r="S24" s="355">
        <f>S25+S32+S36+S31</f>
        <v>8298994</v>
      </c>
      <c r="T24" s="444"/>
      <c r="U24" s="51"/>
      <c r="V24" s="51"/>
      <c r="W24" s="51"/>
      <c r="X24" s="51"/>
      <c r="Y24" s="51"/>
      <c r="Z24" s="51"/>
      <c r="AA24" s="51"/>
    </row>
    <row r="25" spans="1:27" ht="30" customHeight="1" x14ac:dyDescent="0.25">
      <c r="A25" s="60"/>
      <c r="B25" s="51"/>
      <c r="C25" s="51"/>
      <c r="D25" s="51"/>
      <c r="E25" s="196" t="s">
        <v>395</v>
      </c>
      <c r="F25" s="193">
        <v>103451</v>
      </c>
      <c r="G25" s="193">
        <v>103877</v>
      </c>
      <c r="H25" s="193">
        <v>131036</v>
      </c>
      <c r="I25" s="193">
        <v>128648</v>
      </c>
      <c r="J25" s="193">
        <v>150183</v>
      </c>
      <c r="K25" s="193">
        <v>176446</v>
      </c>
      <c r="L25" s="193">
        <v>244376</v>
      </c>
      <c r="M25" s="193">
        <v>299809</v>
      </c>
      <c r="N25" s="193">
        <v>261188</v>
      </c>
      <c r="O25" s="193">
        <v>304058</v>
      </c>
      <c r="P25" s="193">
        <v>950883</v>
      </c>
      <c r="Q25" s="193">
        <v>1134518</v>
      </c>
      <c r="R25" s="193">
        <f>R27+R26+R28</f>
        <v>1015666</v>
      </c>
      <c r="S25" s="194">
        <v>1284444</v>
      </c>
      <c r="T25" s="444"/>
      <c r="U25" s="51"/>
      <c r="V25" s="51"/>
      <c r="W25" s="51"/>
      <c r="X25" s="51"/>
      <c r="Y25" s="51"/>
      <c r="Z25" s="51"/>
      <c r="AA25" s="51"/>
    </row>
    <row r="26" spans="1:27" ht="30" customHeight="1" x14ac:dyDescent="0.25">
      <c r="A26" s="60"/>
      <c r="B26" s="51"/>
      <c r="C26" s="51"/>
      <c r="D26" s="51"/>
      <c r="E26" s="197" t="s">
        <v>383</v>
      </c>
      <c r="F26" s="193">
        <v>5872</v>
      </c>
      <c r="G26" s="193">
        <v>4564</v>
      </c>
      <c r="H26" s="193">
        <v>2042</v>
      </c>
      <c r="I26" s="193">
        <v>5249</v>
      </c>
      <c r="J26" s="193">
        <v>7696</v>
      </c>
      <c r="K26" s="193">
        <v>8614</v>
      </c>
      <c r="L26" s="193">
        <v>0</v>
      </c>
      <c r="M26" s="193">
        <v>0</v>
      </c>
      <c r="N26" s="193">
        <v>0</v>
      </c>
      <c r="O26" s="193">
        <v>0</v>
      </c>
      <c r="P26" s="193">
        <v>0</v>
      </c>
      <c r="Q26" s="193">
        <v>0</v>
      </c>
      <c r="R26" s="193">
        <v>0</v>
      </c>
      <c r="S26" s="194">
        <v>0</v>
      </c>
      <c r="T26" s="51"/>
      <c r="U26" s="51"/>
      <c r="V26" s="51"/>
      <c r="W26" s="51"/>
      <c r="X26" s="51"/>
      <c r="Y26" s="51"/>
      <c r="Z26" s="51"/>
      <c r="AA26" s="51"/>
    </row>
    <row r="27" spans="1:27" ht="30" customHeight="1" x14ac:dyDescent="0.25">
      <c r="A27" s="60"/>
      <c r="B27" s="51"/>
      <c r="C27" s="51"/>
      <c r="D27" s="51"/>
      <c r="E27" s="197" t="s">
        <v>396</v>
      </c>
      <c r="F27" s="193">
        <v>75457</v>
      </c>
      <c r="G27" s="193">
        <v>75847</v>
      </c>
      <c r="H27" s="193">
        <v>93517</v>
      </c>
      <c r="I27" s="193">
        <v>84925</v>
      </c>
      <c r="J27" s="193">
        <v>95670</v>
      </c>
      <c r="K27" s="193">
        <v>97899</v>
      </c>
      <c r="L27" s="193">
        <v>156616</v>
      </c>
      <c r="M27" s="193">
        <v>199211</v>
      </c>
      <c r="N27" s="193">
        <v>153458</v>
      </c>
      <c r="O27" s="193">
        <v>214505</v>
      </c>
      <c r="P27" s="193">
        <v>276925</v>
      </c>
      <c r="Q27" s="193">
        <v>457537</v>
      </c>
      <c r="R27" s="193">
        <v>555595</v>
      </c>
      <c r="S27" s="194">
        <v>799610</v>
      </c>
      <c r="T27" s="51"/>
      <c r="U27" s="51"/>
      <c r="V27" s="51"/>
      <c r="W27" s="51"/>
      <c r="X27" s="51"/>
      <c r="Y27" s="51"/>
      <c r="Z27" s="51"/>
      <c r="AA27" s="51"/>
    </row>
    <row r="28" spans="1:27" ht="30" customHeight="1" x14ac:dyDescent="0.25">
      <c r="A28" s="60"/>
      <c r="B28" s="51"/>
      <c r="C28" s="51"/>
      <c r="D28" s="51"/>
      <c r="E28" s="197" t="s">
        <v>397</v>
      </c>
      <c r="F28" s="193">
        <v>22122</v>
      </c>
      <c r="G28" s="193">
        <v>23466</v>
      </c>
      <c r="H28" s="193">
        <v>35477</v>
      </c>
      <c r="I28" s="193">
        <v>38474</v>
      </c>
      <c r="J28" s="193">
        <v>46817</v>
      </c>
      <c r="K28" s="193">
        <v>69933</v>
      </c>
      <c r="L28" s="193">
        <v>87760</v>
      </c>
      <c r="M28" s="193">
        <v>100598</v>
      </c>
      <c r="N28" s="193">
        <v>107730</v>
      </c>
      <c r="O28" s="193">
        <v>89553</v>
      </c>
      <c r="P28" s="193">
        <v>673958</v>
      </c>
      <c r="Q28" s="193">
        <v>676981</v>
      </c>
      <c r="R28" s="193">
        <f>R29+R30</f>
        <v>460071</v>
      </c>
      <c r="S28" s="194">
        <v>484834</v>
      </c>
      <c r="T28" s="51"/>
      <c r="U28" s="51"/>
      <c r="V28" s="51"/>
      <c r="W28" s="51"/>
      <c r="X28" s="51"/>
      <c r="Y28" s="51"/>
      <c r="Z28" s="51"/>
      <c r="AA28" s="51"/>
    </row>
    <row r="29" spans="1:27" ht="30" customHeight="1" x14ac:dyDescent="0.25">
      <c r="A29" s="60"/>
      <c r="B29" s="51"/>
      <c r="C29" s="51"/>
      <c r="D29" s="51"/>
      <c r="E29" s="198" t="s">
        <v>398</v>
      </c>
      <c r="F29" s="193">
        <v>12607</v>
      </c>
      <c r="G29" s="193">
        <v>17277</v>
      </c>
      <c r="H29" s="193">
        <v>28456</v>
      </c>
      <c r="I29" s="193">
        <v>31581</v>
      </c>
      <c r="J29" s="193">
        <v>39984</v>
      </c>
      <c r="K29" s="193">
        <v>59108</v>
      </c>
      <c r="L29" s="193">
        <v>66624</v>
      </c>
      <c r="M29" s="193">
        <v>80331</v>
      </c>
      <c r="N29" s="193">
        <v>78327</v>
      </c>
      <c r="O29" s="193">
        <v>73345</v>
      </c>
      <c r="P29" s="193">
        <v>661111</v>
      </c>
      <c r="Q29" s="193">
        <v>551243</v>
      </c>
      <c r="R29" s="193">
        <v>234726</v>
      </c>
      <c r="S29" s="194">
        <v>377111</v>
      </c>
      <c r="T29" s="51"/>
      <c r="U29" s="51"/>
      <c r="V29" s="51"/>
      <c r="W29" s="51"/>
      <c r="X29" s="51"/>
      <c r="Y29" s="51"/>
      <c r="Z29" s="51"/>
      <c r="AA29" s="51"/>
    </row>
    <row r="30" spans="1:27" ht="30" customHeight="1" x14ac:dyDescent="0.25">
      <c r="A30" s="60"/>
      <c r="B30" s="51"/>
      <c r="C30" s="51"/>
      <c r="D30" s="51"/>
      <c r="E30" s="198" t="s">
        <v>393</v>
      </c>
      <c r="F30" s="193">
        <v>9515</v>
      </c>
      <c r="G30" s="193">
        <v>6189</v>
      </c>
      <c r="H30" s="193">
        <v>7021</v>
      </c>
      <c r="I30" s="193">
        <v>6893</v>
      </c>
      <c r="J30" s="193">
        <v>6833</v>
      </c>
      <c r="K30" s="193">
        <v>10825</v>
      </c>
      <c r="L30" s="193">
        <v>21136</v>
      </c>
      <c r="M30" s="193">
        <v>20267</v>
      </c>
      <c r="N30" s="193">
        <v>29403</v>
      </c>
      <c r="O30" s="193">
        <v>16208</v>
      </c>
      <c r="P30" s="193">
        <v>12847</v>
      </c>
      <c r="Q30" s="193">
        <v>125738</v>
      </c>
      <c r="R30" s="193">
        <v>225345</v>
      </c>
      <c r="S30" s="194">
        <v>107723</v>
      </c>
      <c r="T30" s="51"/>
      <c r="U30" s="51"/>
      <c r="V30" s="51"/>
      <c r="W30" s="51"/>
      <c r="X30" s="51"/>
      <c r="Y30" s="51"/>
      <c r="Z30" s="51"/>
      <c r="AA30" s="51"/>
    </row>
    <row r="31" spans="1:27" ht="30" customHeight="1" x14ac:dyDescent="0.25">
      <c r="A31" s="60"/>
      <c r="B31" s="51"/>
      <c r="C31" s="51"/>
      <c r="D31" s="51"/>
      <c r="E31" s="196" t="s">
        <v>79</v>
      </c>
      <c r="F31" s="193">
        <v>63</v>
      </c>
      <c r="G31" s="193">
        <v>63</v>
      </c>
      <c r="H31" s="193">
        <v>63</v>
      </c>
      <c r="I31" s="193">
        <v>63</v>
      </c>
      <c r="J31" s="193">
        <v>63</v>
      </c>
      <c r="K31" s="193">
        <v>63</v>
      </c>
      <c r="L31" s="193">
        <v>46</v>
      </c>
      <c r="M31" s="193">
        <v>46</v>
      </c>
      <c r="N31" s="193">
        <v>0</v>
      </c>
      <c r="O31" s="193">
        <v>0</v>
      </c>
      <c r="P31" s="193">
        <v>0</v>
      </c>
      <c r="Q31" s="193">
        <v>0</v>
      </c>
      <c r="R31" s="193">
        <v>0</v>
      </c>
      <c r="S31" s="194">
        <v>25996</v>
      </c>
      <c r="T31" s="51"/>
      <c r="U31" s="51"/>
      <c r="V31" s="51"/>
      <c r="W31" s="51"/>
      <c r="X31" s="51"/>
      <c r="Y31" s="51"/>
      <c r="Z31" s="51"/>
      <c r="AA31" s="51"/>
    </row>
    <row r="32" spans="1:27" ht="30" customHeight="1" x14ac:dyDescent="0.25">
      <c r="A32" s="60"/>
      <c r="B32" s="51"/>
      <c r="C32" s="51"/>
      <c r="D32" s="51"/>
      <c r="E32" s="196" t="s">
        <v>6</v>
      </c>
      <c r="F32" s="193">
        <v>412603</v>
      </c>
      <c r="G32" s="193">
        <v>599481</v>
      </c>
      <c r="H32" s="193">
        <v>846204</v>
      </c>
      <c r="I32" s="193">
        <v>1063348</v>
      </c>
      <c r="J32" s="193">
        <v>1304065</v>
      </c>
      <c r="K32" s="193">
        <v>1545704</v>
      </c>
      <c r="L32" s="193">
        <v>1645069</v>
      </c>
      <c r="M32" s="193">
        <v>1813627</v>
      </c>
      <c r="N32" s="193">
        <v>1994449</v>
      </c>
      <c r="O32" s="193">
        <v>3808400</v>
      </c>
      <c r="P32" s="193">
        <v>3854298</v>
      </c>
      <c r="Q32" s="193">
        <v>5085047</v>
      </c>
      <c r="R32" s="193">
        <f>R33+R34+R35</f>
        <v>5440289</v>
      </c>
      <c r="S32" s="193">
        <f>S33+S34+S35</f>
        <v>5286353</v>
      </c>
      <c r="T32" s="51"/>
      <c r="U32" s="51"/>
      <c r="V32" s="51"/>
      <c r="W32" s="51"/>
      <c r="X32" s="51"/>
      <c r="Y32" s="51"/>
      <c r="Z32" s="51"/>
      <c r="AA32" s="51"/>
    </row>
    <row r="33" spans="1:27" ht="30" customHeight="1" x14ac:dyDescent="0.25">
      <c r="A33" s="60"/>
      <c r="B33" s="51"/>
      <c r="C33" s="51"/>
      <c r="D33" s="51"/>
      <c r="E33" s="197" t="s">
        <v>399</v>
      </c>
      <c r="F33" s="193">
        <v>396546</v>
      </c>
      <c r="G33" s="193">
        <v>566447</v>
      </c>
      <c r="H33" s="193">
        <v>790084</v>
      </c>
      <c r="I33" s="193">
        <v>957447</v>
      </c>
      <c r="J33" s="193">
        <v>1124371</v>
      </c>
      <c r="K33" s="193">
        <v>1312231</v>
      </c>
      <c r="L33" s="193">
        <v>1540885</v>
      </c>
      <c r="M33" s="193">
        <v>1672346</v>
      </c>
      <c r="N33" s="193">
        <v>1867065</v>
      </c>
      <c r="O33" s="193">
        <v>1974380</v>
      </c>
      <c r="P33" s="193">
        <v>1856380</v>
      </c>
      <c r="Q33" s="193">
        <v>1870912</v>
      </c>
      <c r="R33" s="193">
        <v>1933262</v>
      </c>
      <c r="S33" s="194">
        <v>2803156</v>
      </c>
      <c r="T33" s="51"/>
      <c r="U33" s="51"/>
      <c r="V33" s="51"/>
      <c r="W33" s="51"/>
      <c r="X33" s="51"/>
      <c r="Y33" s="51"/>
      <c r="Z33" s="51"/>
      <c r="AA33" s="51"/>
    </row>
    <row r="34" spans="1:27" ht="30" customHeight="1" x14ac:dyDescent="0.25">
      <c r="A34" s="60"/>
      <c r="B34" s="51"/>
      <c r="C34" s="51"/>
      <c r="D34" s="51"/>
      <c r="E34" s="197" t="s">
        <v>400</v>
      </c>
      <c r="F34" s="193">
        <v>0</v>
      </c>
      <c r="G34" s="193">
        <v>16653</v>
      </c>
      <c r="H34" s="193">
        <v>30741</v>
      </c>
      <c r="I34" s="193">
        <v>30121</v>
      </c>
      <c r="J34" s="193">
        <v>29501</v>
      </c>
      <c r="K34" s="193">
        <v>28881</v>
      </c>
      <c r="L34" s="193">
        <v>28261</v>
      </c>
      <c r="M34" s="193">
        <v>27641</v>
      </c>
      <c r="N34" s="193">
        <v>27021</v>
      </c>
      <c r="O34" s="193">
        <v>1634690</v>
      </c>
      <c r="P34" s="193">
        <v>1700038</v>
      </c>
      <c r="Q34" s="193">
        <v>2434188</v>
      </c>
      <c r="R34" s="193">
        <v>2609505</v>
      </c>
      <c r="S34" s="194">
        <v>2396687</v>
      </c>
      <c r="T34" s="51"/>
      <c r="U34" s="51"/>
      <c r="V34" s="51"/>
      <c r="W34" s="51"/>
      <c r="X34" s="51"/>
      <c r="Y34" s="51"/>
      <c r="Z34" s="51"/>
      <c r="AA34" s="51"/>
    </row>
    <row r="35" spans="1:27" ht="30" customHeight="1" x14ac:dyDescent="0.25">
      <c r="A35" s="60"/>
      <c r="B35" s="51"/>
      <c r="C35" s="51"/>
      <c r="D35" s="51"/>
      <c r="E35" s="197" t="s">
        <v>401</v>
      </c>
      <c r="F35" s="193">
        <v>16057</v>
      </c>
      <c r="G35" s="193">
        <v>16381</v>
      </c>
      <c r="H35" s="193">
        <v>25379</v>
      </c>
      <c r="I35" s="193">
        <v>75780</v>
      </c>
      <c r="J35" s="193">
        <v>150193</v>
      </c>
      <c r="K35" s="193">
        <v>204592</v>
      </c>
      <c r="L35" s="193">
        <v>75923</v>
      </c>
      <c r="M35" s="193">
        <v>113640</v>
      </c>
      <c r="N35" s="193">
        <v>100363</v>
      </c>
      <c r="O35" s="193">
        <v>199330</v>
      </c>
      <c r="P35" s="193">
        <v>297880</v>
      </c>
      <c r="Q35" s="193">
        <v>779947</v>
      </c>
      <c r="R35" s="193">
        <v>897522</v>
      </c>
      <c r="S35" s="194">
        <v>86510</v>
      </c>
      <c r="T35" s="51"/>
      <c r="U35" s="51"/>
      <c r="V35" s="51"/>
      <c r="W35" s="51"/>
      <c r="X35" s="51"/>
      <c r="Y35" s="51"/>
      <c r="Z35" s="51"/>
      <c r="AA35" s="51"/>
    </row>
    <row r="36" spans="1:27" ht="30" customHeight="1" x14ac:dyDescent="0.25">
      <c r="A36" s="60"/>
      <c r="B36" s="51"/>
      <c r="C36" s="51"/>
      <c r="D36" s="51"/>
      <c r="E36" s="196" t="s">
        <v>402</v>
      </c>
      <c r="F36" s="193">
        <v>66977</v>
      </c>
      <c r="G36" s="193">
        <v>244528</v>
      </c>
      <c r="H36" s="193">
        <v>295835</v>
      </c>
      <c r="I36" s="193">
        <v>322203</v>
      </c>
      <c r="J36" s="193">
        <v>368084</v>
      </c>
      <c r="K36" s="193">
        <v>420295</v>
      </c>
      <c r="L36" s="193">
        <v>500244</v>
      </c>
      <c r="M36" s="193">
        <v>526235</v>
      </c>
      <c r="N36" s="193">
        <v>635076</v>
      </c>
      <c r="O36" s="193">
        <v>784235</v>
      </c>
      <c r="P36" s="193">
        <v>940636</v>
      </c>
      <c r="Q36" s="193">
        <v>1207640</v>
      </c>
      <c r="R36" s="193">
        <v>1639167</v>
      </c>
      <c r="S36" s="194">
        <v>1702201</v>
      </c>
      <c r="T36" s="51"/>
      <c r="U36" s="51"/>
      <c r="V36" s="51"/>
      <c r="W36" s="51"/>
      <c r="X36" s="51"/>
      <c r="Y36" s="51"/>
      <c r="Z36" s="51"/>
      <c r="AA36" s="51"/>
    </row>
    <row r="37" spans="1:27" ht="30" customHeight="1" x14ac:dyDescent="0.25">
      <c r="A37" s="60"/>
      <c r="B37" s="51"/>
      <c r="C37" s="51"/>
      <c r="D37" s="51"/>
      <c r="E37" s="197" t="s">
        <v>403</v>
      </c>
      <c r="F37" s="193">
        <v>66977</v>
      </c>
      <c r="G37" s="193">
        <v>127850</v>
      </c>
      <c r="H37" s="193">
        <v>179157</v>
      </c>
      <c r="I37" s="193">
        <v>205524</v>
      </c>
      <c r="J37" s="193">
        <v>251405</v>
      </c>
      <c r="K37" s="193">
        <v>303616</v>
      </c>
      <c r="L37" s="193">
        <v>383565</v>
      </c>
      <c r="M37" s="193">
        <v>409556</v>
      </c>
      <c r="N37" s="193">
        <v>518397</v>
      </c>
      <c r="O37" s="193">
        <v>667556</v>
      </c>
      <c r="P37" s="193">
        <v>823957</v>
      </c>
      <c r="Q37" s="193">
        <v>983678</v>
      </c>
      <c r="R37" s="193">
        <v>0</v>
      </c>
      <c r="S37" s="194">
        <v>0</v>
      </c>
      <c r="T37" s="51"/>
      <c r="U37" s="51"/>
      <c r="V37" s="51"/>
      <c r="W37" s="51"/>
      <c r="X37" s="51"/>
      <c r="Y37" s="51"/>
      <c r="Z37" s="51"/>
      <c r="AA37" s="51"/>
    </row>
    <row r="38" spans="1:27" ht="30" customHeight="1" x14ac:dyDescent="0.25">
      <c r="A38" s="60"/>
      <c r="B38" s="51"/>
      <c r="C38" s="51"/>
      <c r="D38" s="51"/>
      <c r="E38" s="197" t="s">
        <v>404</v>
      </c>
      <c r="F38" s="193">
        <v>0</v>
      </c>
      <c r="G38" s="193">
        <v>116678</v>
      </c>
      <c r="H38" s="193">
        <v>116678</v>
      </c>
      <c r="I38" s="193">
        <v>116679</v>
      </c>
      <c r="J38" s="193">
        <v>116679</v>
      </c>
      <c r="K38" s="193">
        <v>116679</v>
      </c>
      <c r="L38" s="193">
        <v>116679</v>
      </c>
      <c r="M38" s="193">
        <v>116679</v>
      </c>
      <c r="N38" s="193">
        <v>116679</v>
      </c>
      <c r="O38" s="193">
        <v>116679</v>
      </c>
      <c r="P38" s="193">
        <v>116679</v>
      </c>
      <c r="Q38" s="193">
        <v>223962</v>
      </c>
      <c r="R38" s="193">
        <v>0</v>
      </c>
      <c r="S38" s="194">
        <v>0</v>
      </c>
      <c r="T38" s="51"/>
      <c r="U38" s="51"/>
      <c r="V38" s="51"/>
      <c r="W38" s="51"/>
      <c r="X38" s="51"/>
      <c r="Y38" s="51"/>
      <c r="Z38" s="51"/>
      <c r="AA38" s="51"/>
    </row>
    <row r="39" spans="1:27" ht="30" customHeight="1" x14ac:dyDescent="0.25">
      <c r="A39" s="60"/>
      <c r="B39" s="51"/>
      <c r="C39" s="51"/>
      <c r="D39" s="51"/>
      <c r="E39" s="199" t="s">
        <v>1</v>
      </c>
      <c r="F39" s="200">
        <f t="shared" ref="F39:P39" si="8">F40+F70</f>
        <v>1434707</v>
      </c>
      <c r="G39" s="200">
        <f t="shared" si="8"/>
        <v>1828506</v>
      </c>
      <c r="H39" s="200">
        <f t="shared" si="8"/>
        <v>2464345</v>
      </c>
      <c r="I39" s="200">
        <f t="shared" si="8"/>
        <v>3022271</v>
      </c>
      <c r="J39" s="200">
        <f t="shared" si="8"/>
        <v>3463616</v>
      </c>
      <c r="K39" s="200">
        <f t="shared" si="8"/>
        <v>3552823</v>
      </c>
      <c r="L39" s="200">
        <f t="shared" si="8"/>
        <v>3838416</v>
      </c>
      <c r="M39" s="200">
        <f t="shared" si="8"/>
        <v>4324212</v>
      </c>
      <c r="N39" s="200">
        <f t="shared" si="8"/>
        <v>4866536</v>
      </c>
      <c r="O39" s="200">
        <f t="shared" si="8"/>
        <v>6861883</v>
      </c>
      <c r="P39" s="200">
        <f t="shared" si="8"/>
        <v>9141267</v>
      </c>
      <c r="Q39" s="200">
        <f>Q40+Q70</f>
        <v>11605364</v>
      </c>
      <c r="R39" s="200">
        <f>R40+R70</f>
        <v>11061377</v>
      </c>
      <c r="S39" s="200">
        <f>S40+S70</f>
        <v>10443417</v>
      </c>
      <c r="T39" s="51"/>
      <c r="U39" s="51"/>
      <c r="V39" s="51"/>
      <c r="W39" s="51"/>
      <c r="X39" s="51"/>
      <c r="Y39" s="51"/>
      <c r="Z39" s="51"/>
      <c r="AA39" s="51"/>
    </row>
    <row r="40" spans="1:27" ht="30" customHeight="1" x14ac:dyDescent="0.25">
      <c r="A40" s="60"/>
      <c r="B40" s="51"/>
      <c r="C40" s="51"/>
      <c r="D40" s="51"/>
      <c r="E40" s="354" t="s">
        <v>7</v>
      </c>
      <c r="F40" s="355">
        <f t="shared" ref="F40:S40" si="9">F41+F44+F47+F53+F58+F67+F5</f>
        <v>977575</v>
      </c>
      <c r="G40" s="355">
        <f t="shared" si="9"/>
        <v>1060427</v>
      </c>
      <c r="H40" s="355">
        <f t="shared" si="9"/>
        <v>1725212</v>
      </c>
      <c r="I40" s="355">
        <f t="shared" si="9"/>
        <v>1932589</v>
      </c>
      <c r="J40" s="355">
        <f t="shared" si="9"/>
        <v>2034706</v>
      </c>
      <c r="K40" s="355">
        <f t="shared" si="9"/>
        <v>2319127</v>
      </c>
      <c r="L40" s="355">
        <f t="shared" si="9"/>
        <v>2917751</v>
      </c>
      <c r="M40" s="355">
        <f t="shared" si="9"/>
        <v>2941712</v>
      </c>
      <c r="N40" s="355">
        <f t="shared" si="9"/>
        <v>4324355</v>
      </c>
      <c r="O40" s="355">
        <f t="shared" si="9"/>
        <v>4765317</v>
      </c>
      <c r="P40" s="355">
        <f t="shared" si="9"/>
        <v>5633411</v>
      </c>
      <c r="Q40" s="355">
        <f t="shared" si="9"/>
        <v>7954100</v>
      </c>
      <c r="R40" s="355">
        <f t="shared" si="9"/>
        <v>7005579</v>
      </c>
      <c r="S40" s="355">
        <f t="shared" si="9"/>
        <v>7492553</v>
      </c>
      <c r="T40" s="51"/>
      <c r="U40" s="51"/>
      <c r="V40" s="51"/>
      <c r="W40" s="51"/>
      <c r="X40" s="51"/>
      <c r="Y40" s="51"/>
      <c r="Z40" s="51"/>
      <c r="AA40" s="51"/>
    </row>
    <row r="41" spans="1:27" ht="30" customHeight="1" x14ac:dyDescent="0.25">
      <c r="A41" s="60"/>
      <c r="B41" s="51"/>
      <c r="C41" s="51"/>
      <c r="D41" s="51"/>
      <c r="E41" s="196" t="s">
        <v>405</v>
      </c>
      <c r="F41" s="193">
        <v>72108</v>
      </c>
      <c r="G41" s="193">
        <v>67001</v>
      </c>
      <c r="H41" s="193">
        <v>103317</v>
      </c>
      <c r="I41" s="193">
        <v>101944</v>
      </c>
      <c r="J41" s="193">
        <v>142014</v>
      </c>
      <c r="K41" s="193">
        <v>174704</v>
      </c>
      <c r="L41" s="193">
        <v>179470</v>
      </c>
      <c r="M41" s="193">
        <v>233338</v>
      </c>
      <c r="N41" s="193">
        <v>246009</v>
      </c>
      <c r="O41" s="193">
        <v>306882</v>
      </c>
      <c r="P41" s="193">
        <v>226816</v>
      </c>
      <c r="Q41" s="193">
        <v>460373</v>
      </c>
      <c r="R41" s="193">
        <v>305062</v>
      </c>
      <c r="S41" s="194">
        <v>323126</v>
      </c>
      <c r="T41" s="51"/>
      <c r="U41" s="51"/>
      <c r="V41" s="51"/>
      <c r="W41" s="51"/>
      <c r="X41" s="51"/>
      <c r="Y41" s="51"/>
      <c r="Z41" s="51"/>
      <c r="AA41" s="51"/>
    </row>
    <row r="42" spans="1:27" ht="30" customHeight="1" x14ac:dyDescent="0.25">
      <c r="A42" s="60"/>
      <c r="B42" s="51"/>
      <c r="C42" s="51"/>
      <c r="D42" s="51"/>
      <c r="E42" s="197" t="s">
        <v>406</v>
      </c>
      <c r="F42" s="193">
        <v>15753</v>
      </c>
      <c r="G42" s="193">
        <v>20235</v>
      </c>
      <c r="H42" s="193">
        <v>24059</v>
      </c>
      <c r="I42" s="193">
        <v>14802</v>
      </c>
      <c r="J42" s="193">
        <v>17353</v>
      </c>
      <c r="K42" s="193">
        <v>35846</v>
      </c>
      <c r="L42" s="193">
        <v>43402</v>
      </c>
      <c r="M42" s="193">
        <v>54863</v>
      </c>
      <c r="N42" s="193">
        <v>70766</v>
      </c>
      <c r="O42" s="193">
        <v>81263</v>
      </c>
      <c r="P42" s="193">
        <v>74445</v>
      </c>
      <c r="Q42" s="193">
        <v>75814</v>
      </c>
      <c r="R42" s="193">
        <v>96784</v>
      </c>
      <c r="S42" s="194">
        <v>103178</v>
      </c>
      <c r="T42" s="51"/>
      <c r="U42" s="51"/>
      <c r="V42" s="51"/>
      <c r="W42" s="51"/>
      <c r="X42" s="51"/>
      <c r="Y42" s="51"/>
      <c r="Z42" s="51"/>
      <c r="AA42" s="51"/>
    </row>
    <row r="43" spans="1:27" ht="30" customHeight="1" x14ac:dyDescent="0.25">
      <c r="A43" s="60"/>
      <c r="B43" s="51"/>
      <c r="C43" s="51"/>
      <c r="D43" s="51"/>
      <c r="E43" s="197" t="s">
        <v>407</v>
      </c>
      <c r="F43" s="193">
        <v>56355</v>
      </c>
      <c r="G43" s="193">
        <v>46766</v>
      </c>
      <c r="H43" s="193">
        <v>79258</v>
      </c>
      <c r="I43" s="193">
        <v>87142</v>
      </c>
      <c r="J43" s="193">
        <v>124661</v>
      </c>
      <c r="K43" s="193">
        <v>138858</v>
      </c>
      <c r="L43" s="193">
        <v>136068</v>
      </c>
      <c r="M43" s="193">
        <v>178475</v>
      </c>
      <c r="N43" s="193">
        <v>175243</v>
      </c>
      <c r="O43" s="193">
        <v>225619</v>
      </c>
      <c r="P43" s="193">
        <v>152371</v>
      </c>
      <c r="Q43" s="193">
        <v>384559</v>
      </c>
      <c r="R43" s="193">
        <v>208278</v>
      </c>
      <c r="S43" s="194">
        <v>219948</v>
      </c>
      <c r="T43" s="51"/>
      <c r="U43" s="51"/>
      <c r="V43" s="51"/>
      <c r="W43" s="51"/>
      <c r="X43" s="51"/>
      <c r="Y43" s="51"/>
      <c r="Z43" s="51"/>
      <c r="AA43" s="51"/>
    </row>
    <row r="44" spans="1:27" ht="30" customHeight="1" x14ac:dyDescent="0.25">
      <c r="A44" s="60"/>
      <c r="B44" s="51"/>
      <c r="C44" s="51"/>
      <c r="D44" s="51"/>
      <c r="E44" s="196" t="s">
        <v>408</v>
      </c>
      <c r="F44" s="193">
        <v>318285</v>
      </c>
      <c r="G44" s="193">
        <v>418926</v>
      </c>
      <c r="H44" s="193">
        <v>456484</v>
      </c>
      <c r="I44" s="193">
        <v>471384</v>
      </c>
      <c r="J44" s="193">
        <v>561480</v>
      </c>
      <c r="K44" s="193">
        <v>553453</v>
      </c>
      <c r="L44" s="193">
        <v>679721</v>
      </c>
      <c r="M44" s="193">
        <v>842254</v>
      </c>
      <c r="N44" s="193">
        <v>955834</v>
      </c>
      <c r="O44" s="193">
        <v>1081785</v>
      </c>
      <c r="P44" s="193">
        <v>1404852</v>
      </c>
      <c r="Q44" s="193">
        <v>1762233</v>
      </c>
      <c r="R44" s="193">
        <v>1702930</v>
      </c>
      <c r="S44" s="194">
        <v>1790290</v>
      </c>
      <c r="T44" s="51"/>
      <c r="U44" s="51"/>
      <c r="V44" s="51"/>
      <c r="W44" s="51"/>
      <c r="X44" s="51"/>
      <c r="Y44" s="51"/>
      <c r="Z44" s="51"/>
      <c r="AA44" s="51"/>
    </row>
    <row r="45" spans="1:27" ht="30" customHeight="1" x14ac:dyDescent="0.25">
      <c r="A45" s="60"/>
      <c r="B45" s="51"/>
      <c r="C45" s="51"/>
      <c r="D45" s="51"/>
      <c r="E45" s="197" t="s">
        <v>409</v>
      </c>
      <c r="F45" s="193">
        <v>318285</v>
      </c>
      <c r="G45" s="193">
        <v>418926</v>
      </c>
      <c r="H45" s="193">
        <v>456484</v>
      </c>
      <c r="I45" s="193">
        <v>471384</v>
      </c>
      <c r="J45" s="193">
        <v>561480</v>
      </c>
      <c r="K45" s="193">
        <v>553453</v>
      </c>
      <c r="L45" s="193">
        <v>679721</v>
      </c>
      <c r="M45" s="193">
        <v>842254</v>
      </c>
      <c r="N45" s="193">
        <v>955834</v>
      </c>
      <c r="O45" s="193">
        <v>954455</v>
      </c>
      <c r="P45" s="193">
        <v>1221535</v>
      </c>
      <c r="Q45" s="193">
        <v>1454892</v>
      </c>
      <c r="R45" s="193">
        <v>1460733</v>
      </c>
      <c r="S45" s="194">
        <v>1539898</v>
      </c>
      <c r="T45" s="51"/>
      <c r="U45" s="51"/>
      <c r="V45" s="51"/>
      <c r="W45" s="51"/>
      <c r="X45" s="51"/>
      <c r="Y45" s="51"/>
      <c r="Z45" s="51"/>
      <c r="AA45" s="51"/>
    </row>
    <row r="46" spans="1:27" ht="30" customHeight="1" x14ac:dyDescent="0.25">
      <c r="A46" s="60"/>
      <c r="B46" s="51"/>
      <c r="C46" s="51"/>
      <c r="D46" s="51"/>
      <c r="E46" s="197" t="s">
        <v>410</v>
      </c>
      <c r="F46" s="193">
        <v>0</v>
      </c>
      <c r="G46" s="193">
        <v>0</v>
      </c>
      <c r="H46" s="193">
        <v>0</v>
      </c>
      <c r="I46" s="193">
        <v>0</v>
      </c>
      <c r="J46" s="193">
        <v>0</v>
      </c>
      <c r="K46" s="193">
        <v>0</v>
      </c>
      <c r="L46" s="193">
        <v>0</v>
      </c>
      <c r="M46" s="193">
        <v>0</v>
      </c>
      <c r="N46" s="193">
        <v>0</v>
      </c>
      <c r="O46" s="193">
        <v>127330</v>
      </c>
      <c r="P46" s="193">
        <v>183317</v>
      </c>
      <c r="Q46" s="193">
        <v>307341</v>
      </c>
      <c r="R46" s="193">
        <v>242197</v>
      </c>
      <c r="S46" s="194">
        <v>250392</v>
      </c>
      <c r="T46" s="51"/>
      <c r="U46" s="51"/>
      <c r="V46" s="51"/>
      <c r="W46" s="51"/>
      <c r="X46" s="51"/>
      <c r="Y46" s="51"/>
      <c r="Z46" s="51"/>
      <c r="AA46" s="51"/>
    </row>
    <row r="47" spans="1:27" ht="30" customHeight="1" x14ac:dyDescent="0.25">
      <c r="A47" s="60"/>
      <c r="B47" s="51"/>
      <c r="C47" s="51"/>
      <c r="D47" s="51"/>
      <c r="E47" s="196" t="s">
        <v>411</v>
      </c>
      <c r="F47" s="193">
        <v>146674</v>
      </c>
      <c r="G47" s="193">
        <v>211273</v>
      </c>
      <c r="H47" s="193">
        <v>244089</v>
      </c>
      <c r="I47" s="193">
        <v>254898</v>
      </c>
      <c r="J47" s="193">
        <v>320583</v>
      </c>
      <c r="K47" s="193">
        <v>342976</v>
      </c>
      <c r="L47" s="193">
        <v>404760</v>
      </c>
      <c r="M47" s="193">
        <v>470989</v>
      </c>
      <c r="N47" s="193">
        <v>550016</v>
      </c>
      <c r="O47" s="193">
        <v>636723</v>
      </c>
      <c r="P47" s="193">
        <v>402930</v>
      </c>
      <c r="Q47" s="193">
        <v>516678</v>
      </c>
      <c r="R47" s="193">
        <v>566891</v>
      </c>
      <c r="S47" s="194">
        <v>411088</v>
      </c>
      <c r="T47" s="51"/>
      <c r="U47" s="51"/>
      <c r="V47" s="51"/>
      <c r="W47" s="51"/>
      <c r="X47" s="51"/>
      <c r="Y47" s="51"/>
      <c r="Z47" s="51"/>
      <c r="AA47" s="51"/>
    </row>
    <row r="48" spans="1:27" ht="30" customHeight="1" x14ac:dyDescent="0.25">
      <c r="A48" s="60"/>
      <c r="B48" s="51"/>
      <c r="C48" s="51"/>
      <c r="D48" s="51"/>
      <c r="E48" s="197" t="s">
        <v>412</v>
      </c>
      <c r="F48" s="193">
        <v>68940</v>
      </c>
      <c r="G48" s="193">
        <v>97400</v>
      </c>
      <c r="H48" s="193">
        <v>121841</v>
      </c>
      <c r="I48" s="193">
        <v>144785</v>
      </c>
      <c r="J48" s="193">
        <v>178476</v>
      </c>
      <c r="K48" s="193">
        <v>178697</v>
      </c>
      <c r="L48" s="193">
        <v>245274</v>
      </c>
      <c r="M48" s="193">
        <v>279550</v>
      </c>
      <c r="N48" s="193">
        <v>329640</v>
      </c>
      <c r="O48" s="193">
        <v>412679</v>
      </c>
      <c r="P48" s="193">
        <v>183309</v>
      </c>
      <c r="Q48" s="193">
        <v>224180</v>
      </c>
      <c r="R48" s="193">
        <v>299113</v>
      </c>
      <c r="S48" s="194">
        <v>151428</v>
      </c>
      <c r="T48" s="51"/>
      <c r="U48" s="51"/>
      <c r="V48" s="51"/>
      <c r="W48" s="51"/>
      <c r="X48" s="51"/>
      <c r="Y48" s="51"/>
      <c r="Z48" s="51"/>
      <c r="AA48" s="51"/>
    </row>
    <row r="49" spans="1:27" ht="30" customHeight="1" x14ac:dyDescent="0.25">
      <c r="A49" s="60"/>
      <c r="B49" s="51"/>
      <c r="C49" s="51"/>
      <c r="D49" s="51"/>
      <c r="E49" s="198" t="s">
        <v>413</v>
      </c>
      <c r="F49" s="193">
        <v>23001</v>
      </c>
      <c r="G49" s="193">
        <v>46073</v>
      </c>
      <c r="H49" s="193">
        <v>56624</v>
      </c>
      <c r="I49" s="193">
        <v>68793</v>
      </c>
      <c r="J49" s="193">
        <v>79735</v>
      </c>
      <c r="K49" s="193">
        <v>83629</v>
      </c>
      <c r="L49" s="193">
        <v>145623</v>
      </c>
      <c r="M49" s="193">
        <v>177577</v>
      </c>
      <c r="N49" s="193">
        <v>222638</v>
      </c>
      <c r="O49" s="193">
        <v>299927</v>
      </c>
      <c r="P49" s="193">
        <v>93983</v>
      </c>
      <c r="Q49" s="193">
        <v>86912</v>
      </c>
      <c r="R49" s="193">
        <v>147617</v>
      </c>
      <c r="S49" s="194">
        <v>94163</v>
      </c>
      <c r="T49" s="51"/>
      <c r="U49" s="51"/>
      <c r="V49" s="51"/>
      <c r="W49" s="51"/>
      <c r="X49" s="51"/>
      <c r="Y49" s="51"/>
      <c r="Z49" s="51"/>
      <c r="AA49" s="51"/>
    </row>
    <row r="50" spans="1:27" ht="30" customHeight="1" x14ac:dyDescent="0.25">
      <c r="A50" s="60"/>
      <c r="B50" s="51"/>
      <c r="C50" s="51"/>
      <c r="D50" s="51"/>
      <c r="E50" s="198" t="s">
        <v>414</v>
      </c>
      <c r="F50" s="193">
        <v>45939</v>
      </c>
      <c r="G50" s="193">
        <v>51327</v>
      </c>
      <c r="H50" s="193">
        <v>65217</v>
      </c>
      <c r="I50" s="193">
        <v>75992</v>
      </c>
      <c r="J50" s="193">
        <v>98741</v>
      </c>
      <c r="K50" s="193">
        <v>95068</v>
      </c>
      <c r="L50" s="193">
        <v>99651</v>
      </c>
      <c r="M50" s="193">
        <v>101973</v>
      </c>
      <c r="N50" s="193">
        <v>107002</v>
      </c>
      <c r="O50" s="193">
        <v>112752</v>
      </c>
      <c r="P50" s="193">
        <v>89326</v>
      </c>
      <c r="Q50" s="193">
        <v>137268</v>
      </c>
      <c r="R50" s="193">
        <v>151496</v>
      </c>
      <c r="S50" s="194">
        <v>57265</v>
      </c>
      <c r="T50" s="51"/>
      <c r="U50" s="51"/>
      <c r="V50" s="51"/>
      <c r="W50" s="51"/>
      <c r="X50" s="51"/>
      <c r="Y50" s="51"/>
      <c r="Z50" s="51"/>
      <c r="AA50" s="51"/>
    </row>
    <row r="51" spans="1:27" ht="30" customHeight="1" x14ac:dyDescent="0.25">
      <c r="A51" s="60"/>
      <c r="B51" s="51"/>
      <c r="C51" s="51"/>
      <c r="D51" s="51"/>
      <c r="E51" s="197" t="s">
        <v>415</v>
      </c>
      <c r="F51" s="193">
        <v>77104</v>
      </c>
      <c r="G51" s="193">
        <v>113031</v>
      </c>
      <c r="H51" s="193">
        <v>121013</v>
      </c>
      <c r="I51" s="193">
        <v>108717</v>
      </c>
      <c r="J51" s="193">
        <v>139846</v>
      </c>
      <c r="K51" s="193">
        <v>160080</v>
      </c>
      <c r="L51" s="193">
        <v>157228</v>
      </c>
      <c r="M51" s="193">
        <v>188642</v>
      </c>
      <c r="N51" s="193">
        <v>215899</v>
      </c>
      <c r="O51" s="193">
        <v>219155</v>
      </c>
      <c r="P51" s="193">
        <v>214857</v>
      </c>
      <c r="Q51" s="193">
        <v>287146</v>
      </c>
      <c r="R51" s="193">
        <v>261747</v>
      </c>
      <c r="S51" s="194">
        <v>250129</v>
      </c>
      <c r="T51" s="51"/>
      <c r="U51" s="51"/>
      <c r="V51" s="51"/>
      <c r="W51" s="51"/>
      <c r="X51" s="51"/>
      <c r="Y51" s="51"/>
      <c r="Z51" s="51"/>
      <c r="AA51" s="51"/>
    </row>
    <row r="52" spans="1:27" ht="30" customHeight="1" x14ac:dyDescent="0.25">
      <c r="A52" s="60"/>
      <c r="B52" s="51"/>
      <c r="C52" s="51"/>
      <c r="D52" s="51"/>
      <c r="E52" s="197" t="s">
        <v>416</v>
      </c>
      <c r="F52" s="193">
        <v>630</v>
      </c>
      <c r="G52" s="193">
        <v>842</v>
      </c>
      <c r="H52" s="193">
        <v>1235</v>
      </c>
      <c r="I52" s="193">
        <v>1396</v>
      </c>
      <c r="J52" s="193">
        <v>2261</v>
      </c>
      <c r="K52" s="193">
        <v>4199</v>
      </c>
      <c r="L52" s="193">
        <v>2258</v>
      </c>
      <c r="M52" s="193">
        <v>2797</v>
      </c>
      <c r="N52" s="193">
        <v>4477</v>
      </c>
      <c r="O52" s="193">
        <v>4889</v>
      </c>
      <c r="P52" s="193">
        <v>4764</v>
      </c>
      <c r="Q52" s="193">
        <v>5352</v>
      </c>
      <c r="R52" s="193">
        <v>6031</v>
      </c>
      <c r="S52" s="194">
        <v>9531</v>
      </c>
      <c r="T52" s="51"/>
      <c r="U52" s="51"/>
      <c r="V52" s="51"/>
      <c r="W52" s="51"/>
      <c r="X52" s="51"/>
      <c r="Y52" s="51"/>
      <c r="Z52" s="51"/>
      <c r="AA52" s="51"/>
    </row>
    <row r="53" spans="1:27" ht="30" customHeight="1" x14ac:dyDescent="0.25">
      <c r="A53" s="60"/>
      <c r="B53" s="51"/>
      <c r="C53" s="51"/>
      <c r="D53" s="51"/>
      <c r="E53" s="196" t="s">
        <v>417</v>
      </c>
      <c r="F53" s="193">
        <v>279426</v>
      </c>
      <c r="G53" s="193">
        <v>177972</v>
      </c>
      <c r="H53" s="193">
        <v>670248</v>
      </c>
      <c r="I53" s="193">
        <f>735599-I66</f>
        <v>728406</v>
      </c>
      <c r="J53" s="193">
        <f>556059-J66</f>
        <v>551929</v>
      </c>
      <c r="K53" s="193">
        <f>706589-K66</f>
        <v>698260</v>
      </c>
      <c r="L53" s="193">
        <f>996171-L66</f>
        <v>993650</v>
      </c>
      <c r="M53" s="193">
        <f>516839-M66</f>
        <v>506949</v>
      </c>
      <c r="N53" s="193">
        <f>1423835-N66</f>
        <v>1423362</v>
      </c>
      <c r="O53" s="193">
        <v>894018</v>
      </c>
      <c r="P53" s="193">
        <v>1418471</v>
      </c>
      <c r="Q53" s="193">
        <v>2085974</v>
      </c>
      <c r="R53" s="193">
        <v>704175</v>
      </c>
      <c r="S53" s="194">
        <v>1090731</v>
      </c>
      <c r="T53" s="51"/>
      <c r="U53" s="51"/>
      <c r="V53" s="51"/>
      <c r="W53" s="51"/>
      <c r="X53" s="51"/>
      <c r="Y53" s="51"/>
      <c r="Z53" s="51"/>
      <c r="AA53" s="51"/>
    </row>
    <row r="54" spans="1:27" ht="30" customHeight="1" x14ac:dyDescent="0.25">
      <c r="A54" s="60"/>
      <c r="B54" s="51"/>
      <c r="C54" s="51"/>
      <c r="D54" s="51"/>
      <c r="E54" s="197" t="s">
        <v>417</v>
      </c>
      <c r="F54" s="193">
        <v>279426</v>
      </c>
      <c r="G54" s="193">
        <v>154657</v>
      </c>
      <c r="H54" s="193">
        <v>639665</v>
      </c>
      <c r="I54" s="193">
        <v>695966</v>
      </c>
      <c r="J54" s="193">
        <v>371392</v>
      </c>
      <c r="K54" s="193">
        <v>441564</v>
      </c>
      <c r="L54" s="193">
        <v>610730</v>
      </c>
      <c r="M54" s="193">
        <v>170480</v>
      </c>
      <c r="N54" s="193">
        <v>1170537</v>
      </c>
      <c r="O54" s="193">
        <v>583059</v>
      </c>
      <c r="P54" s="193">
        <v>895307</v>
      </c>
      <c r="Q54" s="193">
        <v>1142191</v>
      </c>
      <c r="R54" s="193">
        <v>650603</v>
      </c>
      <c r="S54" s="194">
        <v>541830</v>
      </c>
      <c r="T54" s="51"/>
      <c r="U54" s="51"/>
      <c r="V54" s="51"/>
      <c r="W54" s="51"/>
      <c r="X54" s="51"/>
      <c r="Y54" s="51"/>
      <c r="Z54" s="51"/>
      <c r="AA54" s="51"/>
    </row>
    <row r="55" spans="1:27" ht="30" customHeight="1" x14ac:dyDescent="0.25">
      <c r="A55" s="60"/>
      <c r="B55" s="51"/>
      <c r="C55" s="51"/>
      <c r="D55" s="51"/>
      <c r="E55" s="198" t="s">
        <v>418</v>
      </c>
      <c r="F55" s="193">
        <v>279426</v>
      </c>
      <c r="G55" s="193">
        <v>143433</v>
      </c>
      <c r="H55" s="193">
        <v>559951</v>
      </c>
      <c r="I55" s="193">
        <v>619234</v>
      </c>
      <c r="J55" s="193">
        <v>339654</v>
      </c>
      <c r="K55" s="193">
        <v>421371</v>
      </c>
      <c r="L55" s="193">
        <v>421060</v>
      </c>
      <c r="M55" s="193">
        <v>161419</v>
      </c>
      <c r="N55" s="193">
        <v>745309</v>
      </c>
      <c r="O55" s="193">
        <v>98625</v>
      </c>
      <c r="P55" s="193">
        <v>655937</v>
      </c>
      <c r="Q55" s="193">
        <v>1135543</v>
      </c>
      <c r="R55" s="193">
        <v>581371</v>
      </c>
      <c r="S55" s="194">
        <v>488777</v>
      </c>
      <c r="T55" s="51"/>
      <c r="U55" s="51"/>
      <c r="V55" s="51"/>
      <c r="W55" s="51"/>
      <c r="X55" s="51"/>
      <c r="Y55" s="51"/>
      <c r="Z55" s="51"/>
      <c r="AA55" s="51"/>
    </row>
    <row r="56" spans="1:27" ht="30" customHeight="1" x14ac:dyDescent="0.25">
      <c r="A56" s="60"/>
      <c r="B56" s="51"/>
      <c r="C56" s="51"/>
      <c r="D56" s="51"/>
      <c r="E56" s="198" t="s">
        <v>419</v>
      </c>
      <c r="F56" s="193">
        <v>0</v>
      </c>
      <c r="G56" s="193">
        <v>11224</v>
      </c>
      <c r="H56" s="193">
        <v>79714</v>
      </c>
      <c r="I56" s="193">
        <v>76732</v>
      </c>
      <c r="J56" s="193">
        <v>31738</v>
      </c>
      <c r="K56" s="193">
        <v>20193</v>
      </c>
      <c r="L56" s="193">
        <v>189670</v>
      </c>
      <c r="M56" s="193">
        <v>9061</v>
      </c>
      <c r="N56" s="193">
        <v>425228</v>
      </c>
      <c r="O56" s="193">
        <v>484434</v>
      </c>
      <c r="P56" s="193">
        <v>239370</v>
      </c>
      <c r="Q56" s="193">
        <v>6648</v>
      </c>
      <c r="R56" s="193">
        <v>69232</v>
      </c>
      <c r="S56" s="194">
        <v>53053</v>
      </c>
      <c r="T56" s="51"/>
      <c r="U56" s="51"/>
      <c r="V56" s="51"/>
      <c r="W56" s="51"/>
      <c r="X56" s="51"/>
      <c r="Y56" s="51"/>
      <c r="Z56" s="51"/>
      <c r="AA56" s="51"/>
    </row>
    <row r="57" spans="1:27" ht="30" customHeight="1" x14ac:dyDescent="0.25">
      <c r="A57" s="60"/>
      <c r="B57" s="51"/>
      <c r="C57" s="51"/>
      <c r="D57" s="51"/>
      <c r="E57" s="197" t="s">
        <v>420</v>
      </c>
      <c r="F57" s="193">
        <v>0</v>
      </c>
      <c r="G57" s="193">
        <v>17502</v>
      </c>
      <c r="H57" s="193">
        <v>23652</v>
      </c>
      <c r="I57" s="193">
        <v>32440</v>
      </c>
      <c r="J57" s="193">
        <v>180537</v>
      </c>
      <c r="K57" s="193">
        <v>256696</v>
      </c>
      <c r="L57" s="193">
        <v>382920</v>
      </c>
      <c r="M57" s="193">
        <v>336469</v>
      </c>
      <c r="N57" s="193">
        <v>252825</v>
      </c>
      <c r="O57" s="193">
        <v>310959</v>
      </c>
      <c r="P57" s="193">
        <v>523164</v>
      </c>
      <c r="Q57" s="193">
        <v>943783</v>
      </c>
      <c r="R57" s="193">
        <v>53572</v>
      </c>
      <c r="S57" s="194">
        <v>548901</v>
      </c>
      <c r="T57" s="51"/>
      <c r="U57" s="51"/>
      <c r="V57" s="51"/>
      <c r="W57" s="51"/>
      <c r="X57" s="51"/>
      <c r="Y57" s="51"/>
      <c r="Z57" s="51"/>
      <c r="AA57" s="51"/>
    </row>
    <row r="58" spans="1:27" ht="30" customHeight="1" x14ac:dyDescent="0.25">
      <c r="A58" s="60"/>
      <c r="B58" s="51"/>
      <c r="C58" s="51"/>
      <c r="D58" s="51"/>
      <c r="E58" s="196" t="s">
        <v>421</v>
      </c>
      <c r="F58" s="193">
        <v>143501</v>
      </c>
      <c r="G58" s="193">
        <v>166131</v>
      </c>
      <c r="H58" s="193">
        <v>232315</v>
      </c>
      <c r="I58" s="193">
        <f>351271+I66</f>
        <v>358464</v>
      </c>
      <c r="J58" s="193">
        <f>430572+J66</f>
        <v>434702</v>
      </c>
      <c r="K58" s="193">
        <f>511539+K66</f>
        <v>519868</v>
      </c>
      <c r="L58" s="193">
        <f>623973+L66</f>
        <v>626494</v>
      </c>
      <c r="M58" s="193">
        <f>842296+M66</f>
        <v>852186</v>
      </c>
      <c r="N58" s="193">
        <f>1100878+N66</f>
        <v>1101351</v>
      </c>
      <c r="O58" s="193">
        <v>1778274</v>
      </c>
      <c r="P58" s="193">
        <v>2113283</v>
      </c>
      <c r="Q58" s="193">
        <v>3062229</v>
      </c>
      <c r="R58" s="193">
        <v>3641442</v>
      </c>
      <c r="S58" s="194">
        <v>3780492</v>
      </c>
      <c r="T58" s="51"/>
      <c r="U58" s="51"/>
      <c r="V58" s="51"/>
      <c r="W58" s="51"/>
      <c r="X58" s="51"/>
      <c r="Y58" s="51"/>
      <c r="Z58" s="51"/>
      <c r="AA58" s="51"/>
    </row>
    <row r="59" spans="1:27" ht="30" customHeight="1" x14ac:dyDescent="0.25">
      <c r="A59" s="60"/>
      <c r="B59" s="51"/>
      <c r="C59" s="51"/>
      <c r="D59" s="51"/>
      <c r="E59" s="197" t="s">
        <v>422</v>
      </c>
      <c r="F59" s="193">
        <v>61167</v>
      </c>
      <c r="G59" s="193">
        <v>66847</v>
      </c>
      <c r="H59" s="193">
        <v>71402</v>
      </c>
      <c r="I59" s="193">
        <v>50700</v>
      </c>
      <c r="J59" s="193">
        <v>63113</v>
      </c>
      <c r="K59" s="193">
        <v>98107</v>
      </c>
      <c r="L59" s="193">
        <v>149809</v>
      </c>
      <c r="M59" s="193">
        <v>170112</v>
      </c>
      <c r="N59" s="193">
        <v>234701</v>
      </c>
      <c r="O59" s="193">
        <v>237259</v>
      </c>
      <c r="P59" s="193">
        <v>244389</v>
      </c>
      <c r="Q59" s="193">
        <v>346768</v>
      </c>
      <c r="R59" s="193">
        <v>158684</v>
      </c>
      <c r="S59" s="194">
        <v>297861</v>
      </c>
      <c r="T59" s="51"/>
      <c r="U59" s="51"/>
      <c r="V59" s="51"/>
      <c r="W59" s="51"/>
      <c r="X59" s="51"/>
      <c r="Y59" s="51"/>
      <c r="Z59" s="51"/>
      <c r="AA59" s="51"/>
    </row>
    <row r="60" spans="1:27" ht="30" customHeight="1" x14ac:dyDescent="0.25">
      <c r="A60" s="60"/>
      <c r="B60" s="51"/>
      <c r="C60" s="51"/>
      <c r="D60" s="51"/>
      <c r="E60" s="197" t="s">
        <v>423</v>
      </c>
      <c r="F60" s="193">
        <v>16208</v>
      </c>
      <c r="G60" s="193">
        <v>17959</v>
      </c>
      <c r="H60" s="193">
        <v>18197</v>
      </c>
      <c r="I60" s="193">
        <v>46778</v>
      </c>
      <c r="J60" s="193">
        <v>49542</v>
      </c>
      <c r="K60" s="193">
        <v>39807</v>
      </c>
      <c r="L60" s="193">
        <v>0</v>
      </c>
      <c r="M60" s="193">
        <v>0</v>
      </c>
      <c r="N60" s="193">
        <v>0</v>
      </c>
      <c r="O60" s="193">
        <v>0</v>
      </c>
      <c r="P60" s="193">
        <v>0</v>
      </c>
      <c r="Q60" s="193">
        <v>0</v>
      </c>
      <c r="R60" s="193">
        <v>0</v>
      </c>
      <c r="S60" s="194">
        <v>0</v>
      </c>
      <c r="T60" s="51"/>
      <c r="U60" s="51"/>
      <c r="V60" s="51"/>
      <c r="W60" s="51"/>
      <c r="X60" s="51"/>
      <c r="Y60" s="51"/>
      <c r="Z60" s="51"/>
      <c r="AA60" s="51"/>
    </row>
    <row r="61" spans="1:27" ht="30" customHeight="1" x14ac:dyDescent="0.25">
      <c r="A61" s="60"/>
      <c r="B61" s="51"/>
      <c r="C61" s="51"/>
      <c r="D61" s="51"/>
      <c r="E61" s="197" t="s">
        <v>424</v>
      </c>
      <c r="F61" s="193">
        <v>20809</v>
      </c>
      <c r="G61" s="193">
        <v>24961</v>
      </c>
      <c r="H61" s="193">
        <v>31671</v>
      </c>
      <c r="I61" s="193">
        <v>34672</v>
      </c>
      <c r="J61" s="193">
        <v>41266</v>
      </c>
      <c r="K61" s="193">
        <v>51152</v>
      </c>
      <c r="L61" s="193">
        <v>55608</v>
      </c>
      <c r="M61" s="193">
        <v>59393</v>
      </c>
      <c r="N61" s="193">
        <v>69990</v>
      </c>
      <c r="O61" s="193">
        <v>0</v>
      </c>
      <c r="P61" s="193">
        <v>0</v>
      </c>
      <c r="Q61" s="193">
        <v>0</v>
      </c>
      <c r="R61" s="193">
        <v>0</v>
      </c>
      <c r="S61" s="194">
        <v>0</v>
      </c>
      <c r="T61" s="51"/>
      <c r="U61" s="51"/>
      <c r="V61" s="51"/>
      <c r="W61" s="51"/>
      <c r="X61" s="51"/>
      <c r="Y61" s="51"/>
      <c r="Z61" s="51"/>
      <c r="AA61" s="51"/>
    </row>
    <row r="62" spans="1:27" ht="30" customHeight="1" x14ac:dyDescent="0.25">
      <c r="A62" s="60"/>
      <c r="B62" s="51"/>
      <c r="C62" s="51"/>
      <c r="D62" s="51"/>
      <c r="E62" s="197" t="s">
        <v>425</v>
      </c>
      <c r="F62" s="193">
        <v>38263</v>
      </c>
      <c r="G62" s="193">
        <v>52742</v>
      </c>
      <c r="H62" s="193">
        <v>104676</v>
      </c>
      <c r="I62" s="193">
        <v>98045</v>
      </c>
      <c r="J62" s="193">
        <v>67184</v>
      </c>
      <c r="K62" s="193">
        <v>68842</v>
      </c>
      <c r="L62" s="193">
        <v>62265</v>
      </c>
      <c r="M62" s="193">
        <v>74252</v>
      </c>
      <c r="N62" s="193">
        <v>79383</v>
      </c>
      <c r="O62" s="193">
        <v>94413</v>
      </c>
      <c r="P62" s="193">
        <v>145835</v>
      </c>
      <c r="Q62" s="193">
        <v>207149</v>
      </c>
      <c r="R62" s="193">
        <v>288739</v>
      </c>
      <c r="S62" s="194">
        <v>205887</v>
      </c>
      <c r="T62" s="51"/>
      <c r="U62" s="51"/>
      <c r="V62" s="51"/>
      <c r="W62" s="51"/>
      <c r="X62" s="51"/>
      <c r="Y62" s="51"/>
      <c r="Z62" s="51"/>
      <c r="AA62" s="51"/>
    </row>
    <row r="63" spans="1:27" ht="30" customHeight="1" x14ac:dyDescent="0.25">
      <c r="A63" s="60"/>
      <c r="B63" s="51"/>
      <c r="C63" s="51"/>
      <c r="D63" s="51"/>
      <c r="E63" s="197" t="s">
        <v>426</v>
      </c>
      <c r="F63" s="193">
        <v>7054</v>
      </c>
      <c r="G63" s="193">
        <v>0</v>
      </c>
      <c r="H63" s="193">
        <v>0</v>
      </c>
      <c r="I63" s="193">
        <v>5615</v>
      </c>
      <c r="J63" s="193">
        <v>11657</v>
      </c>
      <c r="K63" s="193">
        <v>9944</v>
      </c>
      <c r="L63" s="193">
        <v>6870</v>
      </c>
      <c r="M63" s="193">
        <v>10821</v>
      </c>
      <c r="N63" s="193">
        <v>8294</v>
      </c>
      <c r="O63" s="193">
        <v>5855</v>
      </c>
      <c r="P63" s="193">
        <v>1880</v>
      </c>
      <c r="Q63" s="193">
        <v>6754</v>
      </c>
      <c r="R63" s="193">
        <v>2282</v>
      </c>
      <c r="S63" s="194">
        <v>41</v>
      </c>
      <c r="T63" s="51"/>
      <c r="U63" s="51"/>
      <c r="V63" s="51"/>
      <c r="W63" s="51"/>
      <c r="X63" s="51"/>
      <c r="Y63" s="51"/>
      <c r="Z63" s="51"/>
      <c r="AA63" s="51"/>
    </row>
    <row r="64" spans="1:27" ht="30" customHeight="1" x14ac:dyDescent="0.25">
      <c r="A64" s="60"/>
      <c r="B64" s="51"/>
      <c r="C64" s="51"/>
      <c r="D64" s="51"/>
      <c r="E64" s="197" t="s">
        <v>427</v>
      </c>
      <c r="F64" s="193">
        <v>0</v>
      </c>
      <c r="G64" s="193">
        <v>0</v>
      </c>
      <c r="H64" s="193">
        <v>0</v>
      </c>
      <c r="I64" s="193">
        <v>114251</v>
      </c>
      <c r="J64" s="193">
        <v>196988</v>
      </c>
      <c r="K64" s="193">
        <v>241086</v>
      </c>
      <c r="L64" s="193">
        <v>291891</v>
      </c>
      <c r="M64" s="193">
        <v>524581</v>
      </c>
      <c r="N64" s="193">
        <v>693994</v>
      </c>
      <c r="O64" s="193">
        <v>985298</v>
      </c>
      <c r="P64" s="193">
        <v>1193168</v>
      </c>
      <c r="Q64" s="193">
        <v>1835143</v>
      </c>
      <c r="R64" s="193">
        <v>2464968</v>
      </c>
      <c r="S64" s="194">
        <v>2526498</v>
      </c>
      <c r="T64" s="51"/>
      <c r="U64" s="51"/>
      <c r="V64" s="51"/>
      <c r="W64" s="51"/>
      <c r="X64" s="51"/>
      <c r="Y64" s="51"/>
      <c r="Z64" s="51"/>
      <c r="AA64" s="51"/>
    </row>
    <row r="65" spans="1:27" ht="30" customHeight="1" x14ac:dyDescent="0.25">
      <c r="A65" s="60"/>
      <c r="B65" s="51"/>
      <c r="C65" s="51"/>
      <c r="D65" s="51"/>
      <c r="E65" s="197" t="s">
        <v>392</v>
      </c>
      <c r="F65" s="193">
        <v>0</v>
      </c>
      <c r="G65" s="193">
        <v>5813</v>
      </c>
      <c r="H65" s="193">
        <v>6931</v>
      </c>
      <c r="I65" s="193">
        <v>1210</v>
      </c>
      <c r="J65" s="193">
        <v>822</v>
      </c>
      <c r="K65" s="193">
        <v>2601</v>
      </c>
      <c r="L65" s="193">
        <v>57530</v>
      </c>
      <c r="M65" s="193">
        <v>3137</v>
      </c>
      <c r="N65" s="193">
        <v>14516</v>
      </c>
      <c r="O65" s="193">
        <v>7764</v>
      </c>
      <c r="P65" s="193">
        <v>31428</v>
      </c>
      <c r="Q65" s="193">
        <v>315</v>
      </c>
      <c r="R65" s="193">
        <v>6940</v>
      </c>
      <c r="S65" s="194">
        <v>16883</v>
      </c>
      <c r="T65" s="51"/>
      <c r="U65" s="51"/>
      <c r="V65" s="51"/>
      <c r="W65" s="51"/>
      <c r="X65" s="51"/>
      <c r="Y65" s="51"/>
      <c r="Z65" s="51"/>
      <c r="AA65" s="51"/>
    </row>
    <row r="66" spans="1:27" ht="30" customHeight="1" x14ac:dyDescent="0.25">
      <c r="A66" s="60"/>
      <c r="B66" s="51"/>
      <c r="C66" s="51"/>
      <c r="D66" s="51"/>
      <c r="E66" s="197" t="s">
        <v>428</v>
      </c>
      <c r="F66" s="193">
        <v>0</v>
      </c>
      <c r="G66" s="193">
        <v>3622</v>
      </c>
      <c r="H66" s="193">
        <v>6369</v>
      </c>
      <c r="I66" s="193">
        <v>7193</v>
      </c>
      <c r="J66" s="193">
        <v>4130</v>
      </c>
      <c r="K66" s="193">
        <v>8329</v>
      </c>
      <c r="L66" s="193">
        <v>2521</v>
      </c>
      <c r="M66" s="193">
        <v>9890</v>
      </c>
      <c r="N66" s="193">
        <v>473</v>
      </c>
      <c r="O66" s="193">
        <v>447685</v>
      </c>
      <c r="P66" s="193">
        <v>496583</v>
      </c>
      <c r="Q66" s="193">
        <v>666100</v>
      </c>
      <c r="R66" s="193">
        <v>719829</v>
      </c>
      <c r="S66" s="194">
        <v>733322</v>
      </c>
      <c r="T66" s="51"/>
      <c r="U66" s="51"/>
      <c r="V66" s="51"/>
      <c r="W66" s="51"/>
      <c r="X66" s="51"/>
      <c r="Y66" s="51"/>
      <c r="Z66" s="51"/>
      <c r="AA66" s="51"/>
    </row>
    <row r="67" spans="1:27" ht="30" customHeight="1" x14ac:dyDescent="0.25">
      <c r="A67" s="60"/>
      <c r="B67" s="51"/>
      <c r="C67" s="51"/>
      <c r="D67" s="51"/>
      <c r="E67" s="196" t="s">
        <v>429</v>
      </c>
      <c r="F67" s="193">
        <v>17581</v>
      </c>
      <c r="G67" s="193">
        <v>19124</v>
      </c>
      <c r="H67" s="193">
        <v>18759</v>
      </c>
      <c r="I67" s="193">
        <v>17493</v>
      </c>
      <c r="J67" s="193">
        <v>23998</v>
      </c>
      <c r="K67" s="193">
        <v>29866</v>
      </c>
      <c r="L67" s="193">
        <v>33656</v>
      </c>
      <c r="M67" s="193">
        <v>35996</v>
      </c>
      <c r="N67" s="193">
        <v>47783</v>
      </c>
      <c r="O67" s="193">
        <v>67635</v>
      </c>
      <c r="P67" s="193">
        <v>67059</v>
      </c>
      <c r="Q67" s="193">
        <v>66613</v>
      </c>
      <c r="R67" s="193">
        <v>85079</v>
      </c>
      <c r="S67" s="194">
        <v>96826</v>
      </c>
      <c r="T67" s="51"/>
      <c r="U67" s="51"/>
      <c r="V67" s="51"/>
      <c r="W67" s="51"/>
      <c r="X67" s="51"/>
      <c r="Y67" s="51"/>
      <c r="Z67" s="51"/>
      <c r="AA67" s="51"/>
    </row>
    <row r="68" spans="1:27" ht="30" customHeight="1" x14ac:dyDescent="0.25">
      <c r="A68" s="60"/>
      <c r="B68" s="51"/>
      <c r="C68" s="51"/>
      <c r="D68" s="51"/>
      <c r="E68" s="197" t="s">
        <v>430</v>
      </c>
      <c r="F68" s="193">
        <v>11943</v>
      </c>
      <c r="G68" s="193">
        <v>12567</v>
      </c>
      <c r="H68" s="193">
        <v>12436</v>
      </c>
      <c r="I68" s="193">
        <v>13175</v>
      </c>
      <c r="J68" s="193">
        <v>14974</v>
      </c>
      <c r="K68" s="193">
        <v>15201</v>
      </c>
      <c r="L68" s="193">
        <v>20188</v>
      </c>
      <c r="M68" s="193">
        <v>20654</v>
      </c>
      <c r="N68" s="193">
        <v>26165</v>
      </c>
      <c r="O68" s="193">
        <v>30868</v>
      </c>
      <c r="P68" s="193">
        <v>36647</v>
      </c>
      <c r="Q68" s="193">
        <v>34987</v>
      </c>
      <c r="R68" s="193">
        <v>32376</v>
      </c>
      <c r="S68" s="194">
        <v>29654</v>
      </c>
      <c r="T68" s="51"/>
      <c r="U68" s="51"/>
      <c r="V68" s="51"/>
      <c r="W68" s="51"/>
      <c r="X68" s="51"/>
      <c r="Y68" s="51"/>
      <c r="Z68" s="51"/>
      <c r="AA68" s="51"/>
    </row>
    <row r="69" spans="1:27" ht="30" customHeight="1" x14ac:dyDescent="0.25">
      <c r="A69" s="60"/>
      <c r="B69" s="51"/>
      <c r="C69" s="51"/>
      <c r="D69" s="51"/>
      <c r="E69" s="197" t="s">
        <v>431</v>
      </c>
      <c r="F69" s="193">
        <v>5638</v>
      </c>
      <c r="G69" s="193">
        <v>6557</v>
      </c>
      <c r="H69" s="193">
        <v>6323</v>
      </c>
      <c r="I69" s="193">
        <v>4318</v>
      </c>
      <c r="J69" s="193">
        <v>9024</v>
      </c>
      <c r="K69" s="193">
        <v>14665</v>
      </c>
      <c r="L69" s="193">
        <v>13468</v>
      </c>
      <c r="M69" s="193">
        <v>15342</v>
      </c>
      <c r="N69" s="193">
        <v>21618</v>
      </c>
      <c r="O69" s="193">
        <v>36767</v>
      </c>
      <c r="P69" s="193">
        <v>30412</v>
      </c>
      <c r="Q69" s="193">
        <v>31626</v>
      </c>
      <c r="R69" s="193">
        <v>52703</v>
      </c>
      <c r="S69" s="194">
        <v>67172</v>
      </c>
      <c r="T69" s="51"/>
      <c r="U69" s="51"/>
      <c r="V69" s="51"/>
      <c r="W69" s="51"/>
      <c r="X69" s="51"/>
      <c r="Y69" s="51"/>
      <c r="Z69" s="51"/>
      <c r="AA69" s="51"/>
    </row>
    <row r="70" spans="1:27" ht="30" customHeight="1" x14ac:dyDescent="0.25">
      <c r="A70" s="60"/>
      <c r="B70" s="51"/>
      <c r="C70" s="51"/>
      <c r="D70" s="51"/>
      <c r="E70" s="354" t="s">
        <v>2</v>
      </c>
      <c r="F70" s="355">
        <f t="shared" ref="F70:P70" si="10">F71+F74+F79+F80</f>
        <v>457132</v>
      </c>
      <c r="G70" s="355">
        <f t="shared" si="10"/>
        <v>768079</v>
      </c>
      <c r="H70" s="355">
        <f t="shared" si="10"/>
        <v>739133</v>
      </c>
      <c r="I70" s="355">
        <f t="shared" si="10"/>
        <v>1089682</v>
      </c>
      <c r="J70" s="355">
        <f t="shared" si="10"/>
        <v>1428910</v>
      </c>
      <c r="K70" s="355">
        <f t="shared" si="10"/>
        <v>1233696</v>
      </c>
      <c r="L70" s="355">
        <f t="shared" si="10"/>
        <v>920665</v>
      </c>
      <c r="M70" s="355">
        <f t="shared" si="10"/>
        <v>1382500</v>
      </c>
      <c r="N70" s="355">
        <f t="shared" si="10"/>
        <v>542181</v>
      </c>
      <c r="O70" s="355">
        <f t="shared" si="10"/>
        <v>2096566</v>
      </c>
      <c r="P70" s="355">
        <f t="shared" si="10"/>
        <v>3507856</v>
      </c>
      <c r="Q70" s="355">
        <f>Q71+Q74+Q79+Q80</f>
        <v>3651264</v>
      </c>
      <c r="R70" s="355">
        <f>R71+R74+R79+R80</f>
        <v>4055798</v>
      </c>
      <c r="S70" s="355">
        <f>S71+S74+S79+S80</f>
        <v>2950864</v>
      </c>
      <c r="T70" s="75"/>
      <c r="U70" s="51"/>
      <c r="V70" s="51"/>
      <c r="W70" s="51"/>
      <c r="X70" s="51"/>
      <c r="Y70" s="51"/>
      <c r="Z70" s="51"/>
      <c r="AA70" s="51"/>
    </row>
    <row r="71" spans="1:27" ht="30" customHeight="1" x14ac:dyDescent="0.25">
      <c r="A71" s="60"/>
      <c r="B71" s="51"/>
      <c r="C71" s="51"/>
      <c r="D71" s="51"/>
      <c r="E71" s="196" t="s">
        <v>417</v>
      </c>
      <c r="F71" s="193">
        <v>377076</v>
      </c>
      <c r="G71" s="193">
        <v>671151</v>
      </c>
      <c r="H71" s="193">
        <v>645159</v>
      </c>
      <c r="I71" s="193">
        <f>1046846-I77</f>
        <v>1015689</v>
      </c>
      <c r="J71" s="193">
        <f>1395469-J77</f>
        <v>1345609</v>
      </c>
      <c r="K71" s="193">
        <f>1196423-K77</f>
        <v>1155320</v>
      </c>
      <c r="L71" s="193">
        <v>879749</v>
      </c>
      <c r="M71" s="193">
        <v>1353977</v>
      </c>
      <c r="N71" s="193">
        <v>499753</v>
      </c>
      <c r="O71" s="193">
        <v>751011</v>
      </c>
      <c r="P71" s="193">
        <v>1966508</v>
      </c>
      <c r="Q71" s="193">
        <v>1381128</v>
      </c>
      <c r="R71" s="193">
        <v>1701200</v>
      </c>
      <c r="S71" s="194">
        <v>836169</v>
      </c>
      <c r="T71" s="51"/>
      <c r="U71" s="51"/>
      <c r="V71" s="51"/>
      <c r="W71" s="51"/>
      <c r="X71" s="51"/>
      <c r="Y71" s="51"/>
      <c r="Z71" s="51"/>
      <c r="AA71" s="51"/>
    </row>
    <row r="72" spans="1:27" ht="30" customHeight="1" x14ac:dyDescent="0.25">
      <c r="A72" s="60"/>
      <c r="B72" s="51"/>
      <c r="C72" s="51"/>
      <c r="D72" s="51"/>
      <c r="E72" s="197" t="s">
        <v>417</v>
      </c>
      <c r="F72" s="193">
        <v>377076</v>
      </c>
      <c r="G72" s="193">
        <v>367946</v>
      </c>
      <c r="H72" s="193">
        <v>12138</v>
      </c>
      <c r="I72" s="193">
        <v>0</v>
      </c>
      <c r="J72" s="193">
        <v>457770</v>
      </c>
      <c r="K72" s="193">
        <v>468221</v>
      </c>
      <c r="L72" s="193">
        <v>464040</v>
      </c>
      <c r="M72" s="193">
        <v>759369</v>
      </c>
      <c r="N72" s="193">
        <v>166331</v>
      </c>
      <c r="O72" s="193">
        <v>351011</v>
      </c>
      <c r="P72" s="193">
        <v>1070575</v>
      </c>
      <c r="Q72" s="193">
        <v>382698</v>
      </c>
      <c r="R72" s="193">
        <v>701828</v>
      </c>
      <c r="S72" s="194">
        <v>336248</v>
      </c>
      <c r="T72" s="51"/>
      <c r="U72" s="51"/>
      <c r="V72" s="51"/>
      <c r="W72" s="51"/>
      <c r="X72" s="51"/>
      <c r="Y72" s="51"/>
      <c r="Z72" s="51"/>
      <c r="AA72" s="51"/>
    </row>
    <row r="73" spans="1:27" ht="30" customHeight="1" x14ac:dyDescent="0.25">
      <c r="A73" s="60"/>
      <c r="B73" s="51"/>
      <c r="C73" s="51"/>
      <c r="D73" s="51"/>
      <c r="E73" s="197" t="s">
        <v>420</v>
      </c>
      <c r="F73" s="193">
        <v>0</v>
      </c>
      <c r="G73" s="193">
        <v>298057</v>
      </c>
      <c r="H73" s="193">
        <v>596622</v>
      </c>
      <c r="I73" s="193">
        <v>1015689</v>
      </c>
      <c r="J73" s="193">
        <v>887839</v>
      </c>
      <c r="K73" s="193">
        <v>687099</v>
      </c>
      <c r="L73" s="193">
        <v>346212</v>
      </c>
      <c r="M73" s="193">
        <v>535712</v>
      </c>
      <c r="N73" s="193">
        <v>299955</v>
      </c>
      <c r="O73" s="193">
        <v>400000</v>
      </c>
      <c r="P73" s="193">
        <v>895933</v>
      </c>
      <c r="Q73" s="193">
        <v>998430</v>
      </c>
      <c r="R73" s="193">
        <v>999372</v>
      </c>
      <c r="S73" s="194">
        <v>499921</v>
      </c>
      <c r="T73" s="51"/>
      <c r="U73" s="51"/>
      <c r="V73" s="51"/>
      <c r="W73" s="51"/>
      <c r="X73" s="51"/>
      <c r="Y73" s="51"/>
      <c r="Z73" s="51"/>
      <c r="AA73" s="51"/>
    </row>
    <row r="74" spans="1:27" ht="30" customHeight="1" x14ac:dyDescent="0.25">
      <c r="A74" s="60"/>
      <c r="B74" s="51"/>
      <c r="C74" s="51"/>
      <c r="D74" s="51"/>
      <c r="E74" s="196" t="s">
        <v>421</v>
      </c>
      <c r="F74" s="193">
        <v>36642</v>
      </c>
      <c r="G74" s="193">
        <v>49642</v>
      </c>
      <c r="H74" s="193">
        <v>18080</v>
      </c>
      <c r="I74" s="193">
        <f>10564+I77</f>
        <v>41721</v>
      </c>
      <c r="J74" s="193">
        <f>7182+J77</f>
        <v>57042</v>
      </c>
      <c r="K74" s="193">
        <f>2425+K77</f>
        <v>43528</v>
      </c>
      <c r="L74" s="193">
        <v>3560</v>
      </c>
      <c r="M74" s="193">
        <v>2440</v>
      </c>
      <c r="N74" s="193">
        <v>1762</v>
      </c>
      <c r="O74" s="193">
        <v>1315787</v>
      </c>
      <c r="P74" s="193">
        <v>1486111</v>
      </c>
      <c r="Q74" s="193">
        <v>2180622</v>
      </c>
      <c r="R74" s="193">
        <v>2301735</v>
      </c>
      <c r="S74" s="194">
        <v>2065263</v>
      </c>
      <c r="T74" s="51"/>
      <c r="U74" s="51"/>
      <c r="V74" s="51"/>
      <c r="W74" s="51"/>
      <c r="X74" s="51"/>
      <c r="Y74" s="51"/>
      <c r="Z74" s="51"/>
      <c r="AA74" s="51"/>
    </row>
    <row r="75" spans="1:27" ht="30" customHeight="1" x14ac:dyDescent="0.25">
      <c r="A75" s="60"/>
      <c r="B75" s="51"/>
      <c r="C75" s="51"/>
      <c r="D75" s="51"/>
      <c r="E75" s="197" t="s">
        <v>432</v>
      </c>
      <c r="F75" s="193">
        <v>28964</v>
      </c>
      <c r="G75" s="193">
        <v>23383</v>
      </c>
      <c r="H75" s="193">
        <v>541</v>
      </c>
      <c r="I75" s="193">
        <v>432</v>
      </c>
      <c r="J75" s="193">
        <v>300</v>
      </c>
      <c r="K75" s="193">
        <v>169</v>
      </c>
      <c r="L75" s="193">
        <v>52</v>
      </c>
      <c r="M75" s="193">
        <v>0</v>
      </c>
      <c r="N75" s="193">
        <v>0</v>
      </c>
      <c r="O75" s="193">
        <v>0</v>
      </c>
      <c r="P75" s="193">
        <v>0</v>
      </c>
      <c r="Q75" s="193">
        <v>0</v>
      </c>
      <c r="R75" s="193">
        <v>0</v>
      </c>
      <c r="S75" s="194">
        <v>0</v>
      </c>
      <c r="T75" s="51"/>
      <c r="U75" s="51"/>
      <c r="V75" s="51"/>
      <c r="W75" s="51"/>
      <c r="X75" s="51"/>
      <c r="Y75" s="51"/>
      <c r="Z75" s="51"/>
      <c r="AA75" s="51"/>
    </row>
    <row r="76" spans="1:27" ht="30" customHeight="1" x14ac:dyDescent="0.25">
      <c r="A76" s="60"/>
      <c r="B76" s="51"/>
      <c r="C76" s="51"/>
      <c r="D76" s="51"/>
      <c r="E76" s="197" t="s">
        <v>425</v>
      </c>
      <c r="F76" s="193">
        <v>7678</v>
      </c>
      <c r="G76" s="193">
        <v>26259</v>
      </c>
      <c r="H76" s="193">
        <v>17539</v>
      </c>
      <c r="I76" s="193">
        <v>10132</v>
      </c>
      <c r="J76" s="193">
        <v>6882</v>
      </c>
      <c r="K76" s="193">
        <v>2256</v>
      </c>
      <c r="L76" s="193">
        <v>3508</v>
      </c>
      <c r="M76" s="193">
        <v>2440</v>
      </c>
      <c r="N76" s="193">
        <v>1762</v>
      </c>
      <c r="O76" s="193">
        <v>24111</v>
      </c>
      <c r="P76" s="193">
        <v>24804</v>
      </c>
      <c r="Q76" s="193">
        <v>126694</v>
      </c>
      <c r="R76" s="193">
        <v>94350</v>
      </c>
      <c r="S76" s="194">
        <v>37964</v>
      </c>
      <c r="T76" s="51"/>
      <c r="U76" s="51"/>
      <c r="V76" s="51"/>
      <c r="W76" s="51"/>
      <c r="X76" s="51"/>
      <c r="Y76" s="51"/>
      <c r="Z76" s="51"/>
      <c r="AA76" s="51"/>
    </row>
    <row r="77" spans="1:27" ht="30" customHeight="1" x14ac:dyDescent="0.25">
      <c r="A77" s="60"/>
      <c r="B77" s="51"/>
      <c r="C77" s="51"/>
      <c r="D77" s="51"/>
      <c r="E77" s="197" t="s">
        <v>428</v>
      </c>
      <c r="F77" s="193">
        <v>0</v>
      </c>
      <c r="G77" s="193">
        <v>5148</v>
      </c>
      <c r="H77" s="193">
        <v>36399</v>
      </c>
      <c r="I77" s="193">
        <v>31157</v>
      </c>
      <c r="J77" s="193">
        <v>49860</v>
      </c>
      <c r="K77" s="193">
        <v>41103</v>
      </c>
      <c r="L77" s="193">
        <v>69497</v>
      </c>
      <c r="M77" s="193">
        <v>58896</v>
      </c>
      <c r="N77" s="193">
        <v>33467</v>
      </c>
      <c r="O77" s="193">
        <v>1291676</v>
      </c>
      <c r="P77" s="193">
        <v>1365804</v>
      </c>
      <c r="Q77" s="193">
        <v>1994936</v>
      </c>
      <c r="R77" s="193">
        <v>2190081</v>
      </c>
      <c r="S77" s="194">
        <v>2008945</v>
      </c>
      <c r="T77" s="51"/>
      <c r="U77" s="51"/>
      <c r="V77" s="51"/>
      <c r="W77" s="51"/>
      <c r="X77" s="51"/>
      <c r="Y77" s="51"/>
      <c r="Z77" s="51"/>
      <c r="AA77" s="51"/>
    </row>
    <row r="78" spans="1:27" ht="30" customHeight="1" x14ac:dyDescent="0.25">
      <c r="A78" s="60"/>
      <c r="B78" s="51"/>
      <c r="C78" s="51"/>
      <c r="D78" s="51"/>
      <c r="E78" s="197" t="s">
        <v>408</v>
      </c>
      <c r="F78" s="193">
        <v>0</v>
      </c>
      <c r="G78" s="193">
        <v>0</v>
      </c>
      <c r="H78" s="193">
        <v>0</v>
      </c>
      <c r="I78" s="193">
        <v>0</v>
      </c>
      <c r="J78" s="193">
        <v>0</v>
      </c>
      <c r="K78" s="193">
        <v>0</v>
      </c>
      <c r="L78" s="193">
        <v>0</v>
      </c>
      <c r="M78" s="193">
        <v>0</v>
      </c>
      <c r="N78" s="193">
        <v>0</v>
      </c>
      <c r="O78" s="193">
        <v>0</v>
      </c>
      <c r="P78" s="193">
        <v>95503</v>
      </c>
      <c r="Q78" s="193">
        <v>58992</v>
      </c>
      <c r="R78" s="193">
        <v>17304</v>
      </c>
      <c r="S78" s="194">
        <v>18354</v>
      </c>
      <c r="T78" s="51"/>
      <c r="U78" s="51"/>
      <c r="V78" s="51"/>
      <c r="W78" s="51"/>
      <c r="X78" s="51"/>
      <c r="Y78" s="51"/>
      <c r="Z78" s="51"/>
      <c r="AA78" s="51"/>
    </row>
    <row r="79" spans="1:27" ht="30" customHeight="1" x14ac:dyDescent="0.25">
      <c r="A79" s="60"/>
      <c r="B79" s="51"/>
      <c r="C79" s="51"/>
      <c r="D79" s="51"/>
      <c r="E79" s="196" t="s">
        <v>396</v>
      </c>
      <c r="F79" s="193">
        <v>0</v>
      </c>
      <c r="G79" s="193">
        <v>0</v>
      </c>
      <c r="H79" s="193">
        <v>0</v>
      </c>
      <c r="I79" s="193">
        <v>0</v>
      </c>
      <c r="J79" s="193">
        <v>0</v>
      </c>
      <c r="K79" s="193">
        <v>0</v>
      </c>
      <c r="L79" s="193">
        <v>0</v>
      </c>
      <c r="M79" s="193">
        <v>0</v>
      </c>
      <c r="N79" s="193">
        <v>11214</v>
      </c>
      <c r="O79" s="193">
        <v>5287</v>
      </c>
      <c r="P79" s="193">
        <v>0</v>
      </c>
      <c r="Q79" s="193">
        <v>3392</v>
      </c>
      <c r="R79" s="193">
        <v>3618</v>
      </c>
      <c r="S79" s="194">
        <v>0</v>
      </c>
      <c r="T79" s="51"/>
      <c r="U79" s="51"/>
      <c r="V79" s="51"/>
      <c r="W79" s="51"/>
      <c r="X79" s="51"/>
      <c r="Y79" s="51"/>
      <c r="Z79" s="51"/>
      <c r="AA79" s="51"/>
    </row>
    <row r="80" spans="1:27" ht="30" customHeight="1" x14ac:dyDescent="0.25">
      <c r="A80" s="60"/>
      <c r="B80" s="51"/>
      <c r="C80" s="51"/>
      <c r="D80" s="51"/>
      <c r="E80" s="196" t="s">
        <v>429</v>
      </c>
      <c r="F80" s="193">
        <v>43414</v>
      </c>
      <c r="G80" s="193">
        <v>47286</v>
      </c>
      <c r="H80" s="193">
        <v>75894</v>
      </c>
      <c r="I80" s="193">
        <v>32272</v>
      </c>
      <c r="J80" s="193">
        <v>26259</v>
      </c>
      <c r="K80" s="193">
        <v>34848</v>
      </c>
      <c r="L80" s="193">
        <v>37356</v>
      </c>
      <c r="M80" s="193">
        <v>26083</v>
      </c>
      <c r="N80" s="193">
        <v>29452</v>
      </c>
      <c r="O80" s="193">
        <v>24481</v>
      </c>
      <c r="P80" s="193">
        <v>55237</v>
      </c>
      <c r="Q80" s="193">
        <v>86122</v>
      </c>
      <c r="R80" s="193">
        <v>49245</v>
      </c>
      <c r="S80" s="194">
        <v>49432</v>
      </c>
      <c r="T80" s="51"/>
      <c r="U80" s="51"/>
      <c r="V80" s="51"/>
      <c r="W80" s="51"/>
      <c r="X80" s="51"/>
      <c r="Y80" s="51"/>
      <c r="Z80" s="51"/>
      <c r="AA80" s="51"/>
    </row>
    <row r="81" spans="1:27" ht="30" customHeight="1" x14ac:dyDescent="0.25">
      <c r="A81" s="60"/>
      <c r="B81" s="51"/>
      <c r="C81" s="51"/>
      <c r="D81" s="51"/>
      <c r="E81" s="197" t="s">
        <v>433</v>
      </c>
      <c r="F81" s="193">
        <v>29241</v>
      </c>
      <c r="G81" s="193">
        <v>47286</v>
      </c>
      <c r="H81" s="193">
        <v>75894</v>
      </c>
      <c r="I81" s="193">
        <v>32272</v>
      </c>
      <c r="J81" s="193">
        <v>26259</v>
      </c>
      <c r="K81" s="193">
        <v>34848</v>
      </c>
      <c r="L81" s="193">
        <v>37356</v>
      </c>
      <c r="M81" s="193">
        <v>26083</v>
      </c>
      <c r="N81" s="193">
        <v>29452</v>
      </c>
      <c r="O81" s="193">
        <v>24481</v>
      </c>
      <c r="P81" s="193">
        <v>22387</v>
      </c>
      <c r="Q81" s="193">
        <v>31514</v>
      </c>
      <c r="R81" s="193">
        <v>34322</v>
      </c>
      <c r="S81" s="194">
        <v>33865</v>
      </c>
      <c r="T81" s="51"/>
      <c r="U81" s="51"/>
      <c r="V81" s="51"/>
      <c r="W81" s="51"/>
      <c r="X81" s="51"/>
      <c r="Y81" s="51"/>
      <c r="Z81" s="51"/>
      <c r="AA81" s="51"/>
    </row>
    <row r="82" spans="1:27" ht="30" customHeight="1" x14ac:dyDescent="0.25">
      <c r="A82" s="60"/>
      <c r="B82" s="51"/>
      <c r="C82" s="51"/>
      <c r="D82" s="51"/>
      <c r="E82" s="197" t="s">
        <v>430</v>
      </c>
      <c r="F82" s="193">
        <v>14173</v>
      </c>
      <c r="G82" s="193">
        <v>0</v>
      </c>
      <c r="H82" s="193">
        <v>0</v>
      </c>
      <c r="I82" s="193">
        <v>0</v>
      </c>
      <c r="J82" s="193">
        <v>0</v>
      </c>
      <c r="K82" s="193">
        <v>0</v>
      </c>
      <c r="L82" s="193">
        <v>0</v>
      </c>
      <c r="M82" s="193">
        <v>0</v>
      </c>
      <c r="N82" s="193">
        <v>0</v>
      </c>
      <c r="O82" s="193">
        <v>0</v>
      </c>
      <c r="P82" s="193">
        <v>4258</v>
      </c>
      <c r="Q82" s="193">
        <v>3420</v>
      </c>
      <c r="R82" s="193">
        <v>1273</v>
      </c>
      <c r="S82" s="194">
        <v>1573</v>
      </c>
      <c r="T82" s="51"/>
      <c r="U82" s="51"/>
      <c r="V82" s="51"/>
      <c r="W82" s="51"/>
      <c r="X82" s="51"/>
      <c r="Y82" s="51"/>
      <c r="Z82" s="51"/>
      <c r="AA82" s="51"/>
    </row>
    <row r="83" spans="1:27" ht="30" customHeight="1" x14ac:dyDescent="0.25">
      <c r="A83" s="60"/>
      <c r="B83" s="51"/>
      <c r="C83" s="51"/>
      <c r="D83" s="51"/>
      <c r="E83" s="197" t="s">
        <v>431</v>
      </c>
      <c r="F83" s="193">
        <v>0</v>
      </c>
      <c r="G83" s="193">
        <v>0</v>
      </c>
      <c r="H83" s="193">
        <v>0</v>
      </c>
      <c r="I83" s="193">
        <v>0</v>
      </c>
      <c r="J83" s="193">
        <v>0</v>
      </c>
      <c r="K83" s="193">
        <v>0</v>
      </c>
      <c r="L83" s="193">
        <v>0</v>
      </c>
      <c r="M83" s="193">
        <v>0</v>
      </c>
      <c r="N83" s="193">
        <v>0</v>
      </c>
      <c r="O83" s="193">
        <v>0</v>
      </c>
      <c r="P83" s="193">
        <v>28592</v>
      </c>
      <c r="Q83" s="193">
        <v>51188</v>
      </c>
      <c r="R83" s="193">
        <v>13650</v>
      </c>
      <c r="S83" s="194">
        <v>13994</v>
      </c>
      <c r="T83" s="51"/>
      <c r="U83" s="51"/>
      <c r="V83" s="51"/>
      <c r="W83" s="51"/>
      <c r="X83" s="51"/>
      <c r="Y83" s="51"/>
      <c r="Z83" s="51"/>
      <c r="AA83" s="51"/>
    </row>
    <row r="84" spans="1:27" ht="30" customHeight="1" x14ac:dyDescent="0.25">
      <c r="A84" s="60"/>
      <c r="B84" s="51"/>
      <c r="C84" s="51"/>
      <c r="D84" s="51"/>
      <c r="E84" s="199" t="s">
        <v>3</v>
      </c>
      <c r="F84" s="200">
        <f t="shared" ref="F84:P84" si="11">F85+F88+F89+F90+F98+F87+F95+F96</f>
        <v>1021308</v>
      </c>
      <c r="G84" s="200">
        <f t="shared" si="11"/>
        <v>1154998</v>
      </c>
      <c r="H84" s="200">
        <f t="shared" si="11"/>
        <v>1305683</v>
      </c>
      <c r="I84" s="200">
        <f t="shared" si="11"/>
        <v>1493253</v>
      </c>
      <c r="J84" s="200">
        <f t="shared" si="11"/>
        <v>1855268</v>
      </c>
      <c r="K84" s="200">
        <f t="shared" si="11"/>
        <v>2310896</v>
      </c>
      <c r="L84" s="200">
        <f t="shared" si="11"/>
        <v>2636796</v>
      </c>
      <c r="M84" s="200">
        <f t="shared" si="11"/>
        <v>3223446</v>
      </c>
      <c r="N84" s="200">
        <f t="shared" si="11"/>
        <v>3954512</v>
      </c>
      <c r="O84" s="200">
        <f t="shared" si="11"/>
        <v>4691019</v>
      </c>
      <c r="P84" s="200">
        <f t="shared" si="11"/>
        <v>5501316</v>
      </c>
      <c r="Q84" s="200">
        <f>Q85+Q88+Q89+Q90+Q98+Q87+Q95+Q96</f>
        <v>9806621</v>
      </c>
      <c r="R84" s="200">
        <f>R85+R88+R89+R90+R98+R87+R95+R96</f>
        <v>10087515</v>
      </c>
      <c r="S84" s="200">
        <f>S85+S88+S89+S90+S98+S87+S95+S96</f>
        <v>10047221</v>
      </c>
      <c r="T84" s="51"/>
      <c r="U84" s="51"/>
      <c r="V84" s="51"/>
      <c r="W84" s="51"/>
      <c r="X84" s="51"/>
      <c r="Y84" s="51"/>
      <c r="Z84" s="51"/>
      <c r="AA84" s="51"/>
    </row>
    <row r="85" spans="1:27" ht="30" customHeight="1" x14ac:dyDescent="0.25">
      <c r="A85" s="60"/>
      <c r="B85" s="51"/>
      <c r="C85" s="51"/>
      <c r="D85" s="51"/>
      <c r="E85" s="196" t="s">
        <v>434</v>
      </c>
      <c r="F85" s="193">
        <v>408734</v>
      </c>
      <c r="G85" s="193">
        <v>421683</v>
      </c>
      <c r="H85" s="193">
        <v>461595</v>
      </c>
      <c r="I85" s="193">
        <v>719735</v>
      </c>
      <c r="J85" s="193">
        <v>750853</v>
      </c>
      <c r="K85" s="193">
        <v>1136124</v>
      </c>
      <c r="L85" s="193">
        <v>1178368</v>
      </c>
      <c r="M85" s="193">
        <v>2556896</v>
      </c>
      <c r="N85" s="193">
        <v>2637473</v>
      </c>
      <c r="O85" s="193">
        <v>3795634</v>
      </c>
      <c r="P85" s="193">
        <v>3805326</v>
      </c>
      <c r="Q85" s="193">
        <v>8978349</v>
      </c>
      <c r="R85" s="193">
        <v>9022277</v>
      </c>
      <c r="S85" s="194">
        <v>9022277</v>
      </c>
      <c r="T85" s="51"/>
      <c r="U85" s="51"/>
      <c r="V85" s="51"/>
      <c r="W85" s="51"/>
      <c r="X85" s="51"/>
      <c r="Y85" s="51"/>
      <c r="Z85" s="51"/>
      <c r="AA85" s="51"/>
    </row>
    <row r="86" spans="1:27" ht="30" customHeight="1" x14ac:dyDescent="0.25">
      <c r="A86" s="60"/>
      <c r="B86" s="51"/>
      <c r="C86" s="51"/>
      <c r="D86" s="51"/>
      <c r="E86" s="196" t="s">
        <v>435</v>
      </c>
      <c r="F86" s="193">
        <v>173569</v>
      </c>
      <c r="G86" s="193">
        <v>191642</v>
      </c>
      <c r="H86" s="193">
        <v>207768</v>
      </c>
      <c r="I86" s="193">
        <v>220907</v>
      </c>
      <c r="J86" s="193">
        <v>245860</v>
      </c>
      <c r="K86" s="193">
        <v>266275</v>
      </c>
      <c r="L86" s="193">
        <v>279268</v>
      </c>
      <c r="M86" s="193">
        <v>66428</v>
      </c>
      <c r="N86" s="193">
        <v>79557</v>
      </c>
      <c r="O86" s="193">
        <v>38678</v>
      </c>
      <c r="P86" s="193">
        <v>-25430</v>
      </c>
      <c r="Q86" s="193">
        <v>-22654</v>
      </c>
      <c r="R86" s="193">
        <v>-433437</v>
      </c>
      <c r="S86" s="194">
        <v>-37107</v>
      </c>
      <c r="T86" s="51"/>
      <c r="U86" s="51"/>
      <c r="V86" s="51"/>
      <c r="W86" s="51"/>
      <c r="X86" s="51"/>
      <c r="Y86" s="51"/>
      <c r="Z86" s="51"/>
      <c r="AA86" s="51"/>
    </row>
    <row r="87" spans="1:27" ht="30" customHeight="1" x14ac:dyDescent="0.25">
      <c r="A87" s="60"/>
      <c r="B87" s="51"/>
      <c r="C87" s="51"/>
      <c r="D87" s="51"/>
      <c r="E87" s="197" t="s">
        <v>436</v>
      </c>
      <c r="F87" s="193">
        <v>118165</v>
      </c>
      <c r="G87" s="193">
        <v>118165</v>
      </c>
      <c r="H87" s="193">
        <v>118165</v>
      </c>
      <c r="I87" s="193">
        <v>118165</v>
      </c>
      <c r="J87" s="193">
        <v>118165</v>
      </c>
      <c r="K87" s="193">
        <v>118165</v>
      </c>
      <c r="L87" s="193">
        <v>118165</v>
      </c>
      <c r="M87" s="193">
        <v>0</v>
      </c>
      <c r="N87" s="193">
        <v>0</v>
      </c>
      <c r="O87" s="193">
        <v>0</v>
      </c>
      <c r="P87" s="193">
        <v>0</v>
      </c>
      <c r="Q87" s="193">
        <v>0</v>
      </c>
      <c r="R87" s="193">
        <v>0</v>
      </c>
      <c r="S87" s="194">
        <v>0</v>
      </c>
      <c r="T87" s="51"/>
      <c r="U87" s="51"/>
      <c r="V87" s="51"/>
      <c r="W87" s="51"/>
      <c r="X87" s="51"/>
      <c r="Y87" s="51"/>
      <c r="Z87" s="51"/>
      <c r="AA87" s="51"/>
    </row>
    <row r="88" spans="1:27" ht="30" customHeight="1" x14ac:dyDescent="0.25">
      <c r="A88" s="60"/>
      <c r="B88" s="51"/>
      <c r="C88" s="51"/>
      <c r="D88" s="51"/>
      <c r="E88" s="197" t="s">
        <v>437</v>
      </c>
      <c r="F88" s="193">
        <v>55404</v>
      </c>
      <c r="G88" s="193">
        <v>73477</v>
      </c>
      <c r="H88" s="193">
        <v>89603</v>
      </c>
      <c r="I88" s="193">
        <v>102742</v>
      </c>
      <c r="J88" s="193">
        <v>127695</v>
      </c>
      <c r="K88" s="193">
        <v>154126</v>
      </c>
      <c r="L88" s="193">
        <v>180124</v>
      </c>
      <c r="M88" s="193">
        <v>94285</v>
      </c>
      <c r="N88" s="193">
        <v>124093</v>
      </c>
      <c r="O88" s="193">
        <v>74227</v>
      </c>
      <c r="P88" s="193">
        <v>94031</v>
      </c>
      <c r="Q88" s="193">
        <v>85966</v>
      </c>
      <c r="R88" s="193">
        <v>119375</v>
      </c>
      <c r="S88" s="194">
        <v>128545</v>
      </c>
      <c r="T88" s="51"/>
      <c r="U88" s="51"/>
      <c r="V88" s="51"/>
      <c r="W88" s="51"/>
      <c r="X88" s="51"/>
      <c r="Y88" s="51"/>
      <c r="Z88" s="51"/>
      <c r="AA88" s="51"/>
    </row>
    <row r="89" spans="1:27" ht="30" customHeight="1" x14ac:dyDescent="0.25">
      <c r="A89" s="60"/>
      <c r="B89" s="51"/>
      <c r="C89" s="51"/>
      <c r="D89" s="51"/>
      <c r="E89" s="197" t="s">
        <v>438</v>
      </c>
      <c r="F89" s="193">
        <v>0</v>
      </c>
      <c r="G89" s="193">
        <v>0</v>
      </c>
      <c r="H89" s="193">
        <v>0</v>
      </c>
      <c r="I89" s="193">
        <v>0</v>
      </c>
      <c r="J89" s="193">
        <v>0</v>
      </c>
      <c r="K89" s="193">
        <v>-6016</v>
      </c>
      <c r="L89" s="193">
        <v>-19021</v>
      </c>
      <c r="M89" s="193">
        <v>-27857</v>
      </c>
      <c r="N89" s="193">
        <v>-44536</v>
      </c>
      <c r="O89" s="193">
        <v>-35549</v>
      </c>
      <c r="P89" s="193">
        <v>-119461</v>
      </c>
      <c r="Q89" s="193">
        <v>-108620</v>
      </c>
      <c r="R89" s="193">
        <v>-552812</v>
      </c>
      <c r="S89" s="194">
        <v>-165652</v>
      </c>
      <c r="T89" s="51"/>
      <c r="U89" s="51"/>
      <c r="V89" s="51"/>
      <c r="W89" s="51"/>
      <c r="X89" s="51"/>
      <c r="Y89" s="51"/>
      <c r="Z89" s="51"/>
      <c r="AA89" s="51"/>
    </row>
    <row r="90" spans="1:27" ht="30" customHeight="1" x14ac:dyDescent="0.25">
      <c r="A90" s="60"/>
      <c r="B90" s="51"/>
      <c r="C90" s="51"/>
      <c r="D90" s="51"/>
      <c r="E90" s="196" t="s">
        <v>439</v>
      </c>
      <c r="F90" s="193">
        <v>441615</v>
      </c>
      <c r="G90" s="193">
        <v>539533</v>
      </c>
      <c r="H90" s="193">
        <v>637061</v>
      </c>
      <c r="I90" s="193">
        <v>547794</v>
      </c>
      <c r="J90" s="193">
        <v>839257</v>
      </c>
      <c r="K90" s="193">
        <v>844271</v>
      </c>
      <c r="L90" s="193">
        <v>1216985</v>
      </c>
      <c r="M90" s="193">
        <v>596022</v>
      </c>
      <c r="N90" s="193">
        <v>1235334</v>
      </c>
      <c r="O90" s="193">
        <v>869896</v>
      </c>
      <c r="P90" s="193">
        <v>1694515</v>
      </c>
      <c r="Q90" s="193">
        <v>739901</v>
      </c>
      <c r="R90" s="193">
        <v>1382939</v>
      </c>
      <c r="S90" s="194">
        <v>1034514</v>
      </c>
      <c r="T90" s="51"/>
      <c r="U90" s="51"/>
      <c r="V90" s="51"/>
      <c r="W90" s="51"/>
      <c r="X90" s="51"/>
      <c r="Y90" s="51"/>
      <c r="Z90" s="51"/>
      <c r="AA90" s="51"/>
    </row>
    <row r="91" spans="1:27" ht="30" customHeight="1" x14ac:dyDescent="0.25">
      <c r="A91" s="60"/>
      <c r="B91" s="51"/>
      <c r="C91" s="51"/>
      <c r="D91" s="51"/>
      <c r="E91" s="197" t="s">
        <v>440</v>
      </c>
      <c r="F91" s="193">
        <v>1812</v>
      </c>
      <c r="G91" s="193">
        <v>1812</v>
      </c>
      <c r="H91" s="193">
        <v>19582</v>
      </c>
      <c r="I91" s="193">
        <v>39952</v>
      </c>
      <c r="J91" s="193">
        <v>63523</v>
      </c>
      <c r="K91" s="193">
        <v>92465</v>
      </c>
      <c r="L91" s="193">
        <v>123718</v>
      </c>
      <c r="M91" s="193">
        <v>36634</v>
      </c>
      <c r="N91" s="193">
        <v>87641</v>
      </c>
      <c r="O91" s="193">
        <v>54955</v>
      </c>
      <c r="P91" s="193">
        <v>109768</v>
      </c>
      <c r="Q91" s="193">
        <v>17757</v>
      </c>
      <c r="R91" s="193">
        <v>68871</v>
      </c>
      <c r="S91" s="194">
        <v>103547</v>
      </c>
      <c r="T91" s="51"/>
      <c r="U91" s="51"/>
      <c r="V91" s="51"/>
      <c r="W91" s="51"/>
      <c r="X91" s="51"/>
      <c r="Y91" s="51"/>
      <c r="Z91" s="51"/>
      <c r="AA91" s="51"/>
    </row>
    <row r="92" spans="1:27" ht="30" customHeight="1" x14ac:dyDescent="0.25">
      <c r="A92" s="60"/>
      <c r="B92" s="51"/>
      <c r="C92" s="51"/>
      <c r="D92" s="51"/>
      <c r="E92" s="197" t="s">
        <v>441</v>
      </c>
      <c r="F92" s="193">
        <v>0</v>
      </c>
      <c r="G92" s="193">
        <v>0</v>
      </c>
      <c r="H92" s="193">
        <v>0</v>
      </c>
      <c r="I92" s="193">
        <v>0</v>
      </c>
      <c r="J92" s="193">
        <v>0</v>
      </c>
      <c r="K92" s="193">
        <v>0</v>
      </c>
      <c r="L92" s="193">
        <v>0</v>
      </c>
      <c r="M92" s="193">
        <v>23669</v>
      </c>
      <c r="N92" s="193">
        <v>56540</v>
      </c>
      <c r="O92" s="193">
        <v>97539</v>
      </c>
      <c r="P92" s="193">
        <v>162812</v>
      </c>
      <c r="Q92" s="193">
        <v>277971</v>
      </c>
      <c r="R92" s="193">
        <v>547388</v>
      </c>
      <c r="S92" s="194">
        <v>830134</v>
      </c>
      <c r="T92" s="51"/>
      <c r="U92" s="51"/>
      <c r="V92" s="51"/>
      <c r="W92" s="51"/>
      <c r="X92" s="51"/>
      <c r="Y92" s="51"/>
      <c r="Z92" s="51"/>
      <c r="AA92" s="51"/>
    </row>
    <row r="93" spans="1:27" ht="30" customHeight="1" x14ac:dyDescent="0.25">
      <c r="A93" s="60"/>
      <c r="B93" s="51"/>
      <c r="C93" s="51"/>
      <c r="D93" s="51"/>
      <c r="E93" s="197" t="s">
        <v>442</v>
      </c>
      <c r="F93" s="193">
        <v>144585</v>
      </c>
      <c r="G93" s="193">
        <v>158276</v>
      </c>
      <c r="H93" s="193">
        <v>166954</v>
      </c>
      <c r="I93" s="193">
        <v>58507</v>
      </c>
      <c r="J93" s="193">
        <v>67118</v>
      </c>
      <c r="K93" s="193">
        <v>79137</v>
      </c>
      <c r="L93" s="193">
        <v>76816</v>
      </c>
      <c r="M93" s="193">
        <v>96247</v>
      </c>
      <c r="N93" s="193">
        <v>144639</v>
      </c>
      <c r="O93" s="193">
        <v>282546</v>
      </c>
      <c r="P93" s="193">
        <v>191</v>
      </c>
      <c r="Q93" s="193">
        <v>341</v>
      </c>
      <c r="R93" s="193">
        <v>0</v>
      </c>
      <c r="S93" s="194">
        <v>0</v>
      </c>
      <c r="T93" s="51"/>
      <c r="U93" s="51"/>
      <c r="V93" s="51"/>
      <c r="W93" s="51"/>
      <c r="X93" s="51"/>
      <c r="Y93" s="51"/>
      <c r="Z93" s="51"/>
      <c r="AA93" s="51"/>
    </row>
    <row r="94" spans="1:27" ht="30" customHeight="1" x14ac:dyDescent="0.25">
      <c r="A94" s="60"/>
      <c r="B94" s="51"/>
      <c r="C94" s="51"/>
      <c r="D94" s="51"/>
      <c r="E94" s="197" t="s">
        <v>443</v>
      </c>
      <c r="F94" s="193">
        <v>295218</v>
      </c>
      <c r="G94" s="193">
        <v>379445</v>
      </c>
      <c r="H94" s="193">
        <v>450525</v>
      </c>
      <c r="I94" s="193">
        <v>449335</v>
      </c>
      <c r="J94" s="193">
        <v>708616</v>
      </c>
      <c r="K94" s="193">
        <v>672669</v>
      </c>
      <c r="L94" s="193">
        <v>1016451</v>
      </c>
      <c r="M94" s="193">
        <v>439472</v>
      </c>
      <c r="N94" s="193">
        <v>946514</v>
      </c>
      <c r="O94" s="193">
        <v>434856</v>
      </c>
      <c r="P94" s="193">
        <v>1421744</v>
      </c>
      <c r="Q94" s="193">
        <v>443832</v>
      </c>
      <c r="R94" s="193">
        <v>766680</v>
      </c>
      <c r="S94" s="194">
        <v>100833</v>
      </c>
      <c r="T94" s="51"/>
      <c r="U94" s="51"/>
      <c r="V94" s="51"/>
      <c r="W94" s="51"/>
      <c r="X94" s="51"/>
      <c r="Y94" s="51"/>
      <c r="Z94" s="51"/>
      <c r="AA94" s="51"/>
    </row>
    <row r="95" spans="1:27" ht="30" customHeight="1" x14ac:dyDescent="0.25">
      <c r="A95" s="60"/>
      <c r="B95" s="51"/>
      <c r="C95" s="51"/>
      <c r="D95" s="51"/>
      <c r="E95" s="196" t="s">
        <v>444</v>
      </c>
      <c r="F95" s="193">
        <v>-2610</v>
      </c>
      <c r="G95" s="193">
        <v>2140</v>
      </c>
      <c r="H95" s="193">
        <v>-741</v>
      </c>
      <c r="I95" s="193">
        <v>4817</v>
      </c>
      <c r="J95" s="193">
        <v>19298</v>
      </c>
      <c r="K95" s="193">
        <v>64226</v>
      </c>
      <c r="L95" s="193">
        <v>-37728</v>
      </c>
      <c r="M95" s="193">
        <v>2496</v>
      </c>
      <c r="N95" s="193">
        <v>-2412</v>
      </c>
      <c r="O95" s="193">
        <v>0</v>
      </c>
      <c r="P95" s="193">
        <v>0</v>
      </c>
      <c r="Q95" s="193">
        <v>0</v>
      </c>
      <c r="R95" s="193">
        <v>0</v>
      </c>
      <c r="S95" s="194">
        <v>0</v>
      </c>
      <c r="T95" s="51"/>
      <c r="U95" s="51"/>
      <c r="V95" s="51"/>
      <c r="W95" s="51"/>
      <c r="X95" s="51"/>
      <c r="Y95" s="51"/>
      <c r="Z95" s="51"/>
      <c r="AA95" s="51"/>
    </row>
    <row r="96" spans="1:27" ht="30" customHeight="1" x14ac:dyDescent="0.25">
      <c r="A96" s="60"/>
      <c r="B96" s="51"/>
      <c r="C96" s="51"/>
      <c r="D96" s="51"/>
      <c r="E96" s="196" t="s">
        <v>445</v>
      </c>
      <c r="F96" s="193">
        <v>0</v>
      </c>
      <c r="G96" s="193">
        <v>0</v>
      </c>
      <c r="H96" s="193">
        <v>0</v>
      </c>
      <c r="I96" s="193">
        <v>0</v>
      </c>
      <c r="J96" s="193">
        <v>0</v>
      </c>
      <c r="K96" s="193">
        <v>0</v>
      </c>
      <c r="L96" s="193">
        <v>-97</v>
      </c>
      <c r="M96" s="193">
        <v>1604</v>
      </c>
      <c r="N96" s="193">
        <v>4560</v>
      </c>
      <c r="O96" s="193">
        <v>0</v>
      </c>
      <c r="P96" s="193">
        <v>0</v>
      </c>
      <c r="Q96" s="193">
        <v>0</v>
      </c>
      <c r="R96" s="193">
        <v>0</v>
      </c>
      <c r="S96" s="194">
        <v>0</v>
      </c>
      <c r="T96" s="51"/>
      <c r="U96" s="51"/>
      <c r="V96" s="51"/>
      <c r="W96" s="51"/>
      <c r="X96" s="51"/>
      <c r="Y96" s="51"/>
      <c r="Z96" s="51"/>
      <c r="AA96" s="51"/>
    </row>
    <row r="97" spans="1:27" ht="30" customHeight="1" x14ac:dyDescent="0.25">
      <c r="A97" s="60"/>
      <c r="B97" s="51"/>
      <c r="C97" s="51"/>
      <c r="D97" s="51"/>
      <c r="E97" s="196" t="s">
        <v>1057</v>
      </c>
      <c r="F97" s="193">
        <v>0</v>
      </c>
      <c r="G97" s="193">
        <v>0</v>
      </c>
      <c r="H97" s="193">
        <v>0</v>
      </c>
      <c r="I97" s="193">
        <v>0</v>
      </c>
      <c r="J97" s="193">
        <v>0</v>
      </c>
      <c r="K97" s="193">
        <v>0</v>
      </c>
      <c r="L97" s="193">
        <v>0</v>
      </c>
      <c r="M97" s="193">
        <v>0</v>
      </c>
      <c r="N97" s="193">
        <v>0</v>
      </c>
      <c r="O97" s="193">
        <v>0</v>
      </c>
      <c r="P97" s="193">
        <v>0</v>
      </c>
      <c r="Q97" s="193">
        <v>0</v>
      </c>
      <c r="R97" s="193">
        <v>0</v>
      </c>
      <c r="S97" s="194">
        <v>0</v>
      </c>
      <c r="T97" s="51"/>
      <c r="U97" s="51"/>
      <c r="V97" s="51"/>
      <c r="W97" s="51"/>
      <c r="X97" s="51"/>
      <c r="Y97" s="51"/>
      <c r="Z97" s="51"/>
      <c r="AA97" s="51"/>
    </row>
    <row r="98" spans="1:27" ht="30" customHeight="1" thickBot="1" x14ac:dyDescent="0.3">
      <c r="A98" s="60"/>
      <c r="B98" s="51"/>
      <c r="C98" s="51"/>
      <c r="D98" s="51"/>
      <c r="E98" s="201" t="s">
        <v>446</v>
      </c>
      <c r="F98" s="202">
        <v>0</v>
      </c>
      <c r="G98" s="202">
        <v>0</v>
      </c>
      <c r="H98" s="202">
        <v>0</v>
      </c>
      <c r="I98" s="202">
        <v>0</v>
      </c>
      <c r="J98" s="202">
        <v>0</v>
      </c>
      <c r="K98" s="202">
        <v>0</v>
      </c>
      <c r="L98" s="202">
        <v>0</v>
      </c>
      <c r="M98" s="202">
        <v>0</v>
      </c>
      <c r="N98" s="202">
        <v>0</v>
      </c>
      <c r="O98" s="202">
        <v>-13189</v>
      </c>
      <c r="P98" s="202">
        <v>26905</v>
      </c>
      <c r="Q98" s="202">
        <v>111025</v>
      </c>
      <c r="R98" s="202">
        <v>115736</v>
      </c>
      <c r="S98" s="203">
        <v>27537</v>
      </c>
      <c r="T98" s="51"/>
      <c r="U98" s="51"/>
      <c r="V98" s="51"/>
      <c r="W98" s="51"/>
      <c r="X98" s="51"/>
      <c r="Y98" s="51"/>
      <c r="Z98" s="51"/>
      <c r="AA98" s="51"/>
    </row>
    <row r="99" spans="1:27" ht="30" customHeight="1" x14ac:dyDescent="0.25">
      <c r="A99" s="60"/>
      <c r="B99" s="51"/>
      <c r="C99" s="51"/>
      <c r="D99" s="51"/>
      <c r="E99" s="5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51"/>
      <c r="U99" s="51"/>
      <c r="V99" s="51"/>
      <c r="W99" s="51"/>
      <c r="X99" s="51"/>
      <c r="Y99" s="51"/>
      <c r="Z99" s="51"/>
      <c r="AA99" s="51"/>
    </row>
    <row r="100" spans="1:27" ht="30" customHeight="1" x14ac:dyDescent="0.25">
      <c r="A100" s="60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</row>
    <row r="101" spans="1:27" ht="30" customHeight="1" x14ac:dyDescent="0.25">
      <c r="A101" s="60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</row>
    <row r="102" spans="1:27" ht="30" customHeight="1" x14ac:dyDescent="0.25">
      <c r="A102" s="60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</row>
    <row r="103" spans="1:27" ht="30" customHeight="1" x14ac:dyDescent="0.25">
      <c r="A103" s="60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</row>
    <row r="104" spans="1:27" ht="30" customHeight="1" x14ac:dyDescent="0.25">
      <c r="A104" s="60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</row>
    <row r="105" spans="1:27" ht="30" customHeight="1" x14ac:dyDescent="0.25">
      <c r="A105" s="60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</row>
    <row r="106" spans="1:27" ht="30" customHeight="1" x14ac:dyDescent="0.25">
      <c r="A106" s="60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</row>
  </sheetData>
  <conditionalFormatting sqref="F10:S98">
    <cfRule type="cellIs" dxfId="39" priority="1" operator="equal">
      <formula>0</formula>
    </cfRule>
  </conditionalFormatting>
  <hyperlinks>
    <hyperlink ref="A9" location="WACC!A1" display="WACC" xr:uid="{0524786D-7EC4-43E4-9700-2E69009B2236}"/>
    <hyperlink ref="A8" location="Dashboard!A1" display="Dashboard" xr:uid="{0F62EBE5-6172-4EF1-A228-F1515C458204}"/>
    <hyperlink ref="A13" location="'Projeções - Receita'!A1" display="Projeções" xr:uid="{CA237220-7393-42B8-966D-FCDE4F667FE0}"/>
    <hyperlink ref="A10" location="'DRE + DCF'!A1" display="DRE + DCF" xr:uid="{7910AFBC-E251-4C79-BFB3-A1E06EE89FAC}"/>
    <hyperlink ref="A12" location="'Balanço Patrimonial'!A1" display="Balanço Patrimonial" xr:uid="{67D6C383-261F-474B-BA28-BF2D9A45390F}"/>
    <hyperlink ref="A15" location="'Capex + K. Giro'!A1" display="Capex + Capital de Giro" xr:uid="{B61E70DC-3653-45BD-B69E-A93C36A2938E}"/>
    <hyperlink ref="A14" location="Lojas!A1" display="Lojas" xr:uid="{A85AF6BF-DE48-4A34-89D9-C385FB502857}"/>
    <hyperlink ref="A11" location="'DRE - Contas Abertas'!A1" display="Contas Abertas" xr:uid="{D39BE6DC-16D2-4A29-BA32-7271255EE4DC}"/>
    <hyperlink ref="A16" location="'Projeções Trimestrais'!A1" display="Projeções Trimestrais" xr:uid="{11341789-7592-4798-A7E5-C1794F2D991E}"/>
    <hyperlink ref="A17" location="'Painel de Índices'!A1" display="Painel de Índices" xr:uid="{DC4AECD1-ADF4-49DB-9287-F65F14512F75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9A49-F47E-40F2-8275-6152573C7754}">
  <sheetPr codeName="Planilha19"/>
  <dimension ref="A1:CY144"/>
  <sheetViews>
    <sheetView showGridLines="0" topLeftCell="I5" zoomScale="55" zoomScaleNormal="55" workbookViewId="0">
      <selection activeCell="S13" sqref="S13"/>
    </sheetView>
  </sheetViews>
  <sheetFormatPr defaultColWidth="0" defaultRowHeight="0" customHeight="1" zeroHeight="1" x14ac:dyDescent="0.25"/>
  <cols>
    <col min="1" max="1" width="39.140625" style="50" customWidth="1"/>
    <col min="2" max="4" width="9.140625" style="53" customWidth="1"/>
    <col min="5" max="5" width="52.85546875" style="53" bestFit="1" customWidth="1"/>
    <col min="6" max="6" width="12.42578125" style="53" bestFit="1" customWidth="1"/>
    <col min="7" max="9" width="12.85546875" style="53" bestFit="1" customWidth="1"/>
    <col min="10" max="11" width="12.28515625" style="53" bestFit="1" customWidth="1"/>
    <col min="12" max="12" width="12.42578125" style="53" bestFit="1" customWidth="1"/>
    <col min="13" max="16" width="12.85546875" style="53" bestFit="1" customWidth="1"/>
    <col min="17" max="24" width="13.85546875" style="53" bestFit="1" customWidth="1"/>
    <col min="25" max="27" width="14.140625" style="53" bestFit="1" customWidth="1"/>
    <col min="28" max="28" width="13.85546875" style="53" bestFit="1" customWidth="1"/>
    <col min="29" max="31" width="14.140625" style="53" bestFit="1" customWidth="1"/>
    <col min="32" max="32" width="15.140625" style="53" bestFit="1" customWidth="1"/>
    <col min="33" max="33" width="89" style="57" bestFit="1" customWidth="1"/>
    <col min="34" max="34" width="28.7109375" style="53" bestFit="1" customWidth="1"/>
    <col min="35" max="49" width="9.140625" style="53" customWidth="1"/>
    <col min="50" max="50" width="9.140625" style="53" hidden="1" customWidth="1"/>
    <col min="51" max="54" width="0" style="53" hidden="1" customWidth="1"/>
    <col min="55" max="56" width="9.140625" style="53" hidden="1" customWidth="1"/>
    <col min="57" max="60" width="0" style="53" hidden="1" customWidth="1"/>
    <col min="61" max="103" width="9.140625" style="53" hidden="1" customWidth="1"/>
    <col min="104" max="16384" width="0" style="53" hidden="1"/>
  </cols>
  <sheetData>
    <row r="1" spans="1:49" ht="15" customHeight="1" x14ac:dyDescent="0.25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6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</row>
    <row r="2" spans="1:49" ht="15" customHeight="1" x14ac:dyDescent="0.25"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6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</row>
    <row r="3" spans="1:49" ht="15" customHeight="1" x14ac:dyDescent="0.25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71"/>
      <c r="Q3" s="51"/>
      <c r="R3" s="51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6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</row>
    <row r="4" spans="1:49" ht="26.25" x14ac:dyDescent="0.25">
      <c r="B4" s="51"/>
      <c r="C4" s="51"/>
      <c r="D4" s="51"/>
      <c r="E4" s="52" t="s">
        <v>386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</row>
    <row r="5" spans="1:49" ht="15" customHeight="1" x14ac:dyDescent="0.25"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104"/>
      <c r="U5" s="104"/>
      <c r="V5" s="104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</row>
    <row r="6" spans="1:49" ht="15" x14ac:dyDescent="0.25">
      <c r="B6" s="51"/>
      <c r="C6" s="51"/>
      <c r="D6" s="51"/>
      <c r="E6" s="5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51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</row>
    <row r="7" spans="1:49" ht="30" customHeight="1" x14ac:dyDescent="0.25">
      <c r="A7" s="55" t="s">
        <v>39</v>
      </c>
      <c r="B7" s="51"/>
      <c r="C7" s="51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101"/>
      <c r="R7" s="101"/>
      <c r="S7" s="101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</row>
    <row r="8" spans="1:49" ht="30" customHeight="1" x14ac:dyDescent="0.25">
      <c r="A8" s="25" t="s">
        <v>40</v>
      </c>
      <c r="B8" s="51"/>
      <c r="C8" s="51"/>
      <c r="D8" s="51"/>
      <c r="E8" s="58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57"/>
      <c r="AH8" s="105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</row>
    <row r="9" spans="1:49" ht="30" customHeight="1" x14ac:dyDescent="0.25">
      <c r="A9" s="25" t="s">
        <v>22</v>
      </c>
      <c r="B9" s="51"/>
      <c r="C9" s="51"/>
      <c r="D9" s="51"/>
      <c r="E9" s="61"/>
      <c r="F9" s="62">
        <v>2010</v>
      </c>
      <c r="G9" s="62">
        <v>2011</v>
      </c>
      <c r="H9" s="62">
        <v>2012</v>
      </c>
      <c r="I9" s="62">
        <v>2013</v>
      </c>
      <c r="J9" s="62">
        <v>2014</v>
      </c>
      <c r="K9" s="62">
        <v>2015</v>
      </c>
      <c r="L9" s="62">
        <v>2016</v>
      </c>
      <c r="M9" s="62">
        <v>2017</v>
      </c>
      <c r="N9" s="62">
        <v>2018</v>
      </c>
      <c r="O9" s="62">
        <v>2019</v>
      </c>
      <c r="P9" s="62">
        <v>2020</v>
      </c>
      <c r="Q9" s="62">
        <v>2021</v>
      </c>
      <c r="R9" s="62">
        <v>2022</v>
      </c>
      <c r="S9" s="62">
        <v>2023</v>
      </c>
      <c r="T9" s="140">
        <v>2024</v>
      </c>
      <c r="U9" s="140">
        <v>2025</v>
      </c>
      <c r="V9" s="140">
        <v>2026</v>
      </c>
      <c r="W9" s="140">
        <v>2027</v>
      </c>
      <c r="X9" s="140">
        <v>2028</v>
      </c>
      <c r="Y9" s="140">
        <v>2029</v>
      </c>
      <c r="Z9" s="140">
        <v>2030</v>
      </c>
      <c r="AA9" s="140">
        <v>2031</v>
      </c>
      <c r="AB9" s="140">
        <v>2032</v>
      </c>
      <c r="AC9" s="140">
        <v>2033</v>
      </c>
      <c r="AD9" s="140">
        <v>2034</v>
      </c>
      <c r="AE9" s="140">
        <v>2035</v>
      </c>
      <c r="AF9" s="175" t="s">
        <v>1153</v>
      </c>
      <c r="AG9" s="106" t="s">
        <v>38</v>
      </c>
      <c r="AH9" s="107" t="s">
        <v>72</v>
      </c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</row>
    <row r="10" spans="1:49" ht="30" customHeight="1" x14ac:dyDescent="0.25">
      <c r="A10" s="25" t="s">
        <v>42</v>
      </c>
      <c r="B10" s="51"/>
      <c r="C10" s="51"/>
      <c r="D10" s="51"/>
      <c r="E10" s="70" t="s">
        <v>972</v>
      </c>
      <c r="F10" s="64">
        <f>F11+F12+F13+F14</f>
        <v>2751338</v>
      </c>
      <c r="G10" s="64">
        <f t="shared" ref="G10:AB10" si="0">G11+G12+G13+G14</f>
        <v>3238543</v>
      </c>
      <c r="H10" s="64">
        <f t="shared" si="0"/>
        <v>3862508</v>
      </c>
      <c r="I10" s="64">
        <f t="shared" si="0"/>
        <v>4370325.7044200003</v>
      </c>
      <c r="J10" s="64">
        <f t="shared" si="0"/>
        <v>5216818.404120015</v>
      </c>
      <c r="K10" s="64">
        <f t="shared" si="0"/>
        <v>6145197.8778500073</v>
      </c>
      <c r="L10" s="64">
        <f t="shared" si="0"/>
        <v>6451578.3386899978</v>
      </c>
      <c r="M10" s="64">
        <f t="shared" si="0"/>
        <v>7444304.3731599972</v>
      </c>
      <c r="N10" s="64">
        <f t="shared" si="0"/>
        <v>8426540.5046199989</v>
      </c>
      <c r="O10" s="64">
        <f t="shared" si="0"/>
        <v>9588437.1054599993</v>
      </c>
      <c r="P10" s="64">
        <f t="shared" si="0"/>
        <v>7537179.85831</v>
      </c>
      <c r="Q10" s="64">
        <f t="shared" si="0"/>
        <v>10579642.778460002</v>
      </c>
      <c r="R10" s="64">
        <f t="shared" si="0"/>
        <v>13271136.999999998</v>
      </c>
      <c r="S10" s="64">
        <f>S11+S12+S13+S14</f>
        <v>13647849.42949</v>
      </c>
      <c r="T10" s="142">
        <f t="shared" si="0"/>
        <v>14600541.847960988</v>
      </c>
      <c r="U10" s="142">
        <f t="shared" si="0"/>
        <v>15658982.439319737</v>
      </c>
      <c r="V10" s="142">
        <f t="shared" si="0"/>
        <v>16778375.178209808</v>
      </c>
      <c r="W10" s="142">
        <f t="shared" si="0"/>
        <v>17956931.438169353</v>
      </c>
      <c r="X10" s="142">
        <f t="shared" si="0"/>
        <v>19219477.028580904</v>
      </c>
      <c r="Y10" s="142">
        <f t="shared" si="0"/>
        <v>20559832.16476294</v>
      </c>
      <c r="Z10" s="142">
        <f t="shared" si="0"/>
        <v>21854969.2289607</v>
      </c>
      <c r="AA10" s="142">
        <f t="shared" si="0"/>
        <v>23194854.286702234</v>
      </c>
      <c r="AB10" s="142">
        <f t="shared" si="0"/>
        <v>24580295.809051227</v>
      </c>
      <c r="AC10" s="142">
        <f t="shared" ref="AC10:AE10" si="1">AC11+AC12+AC13+AC14</f>
        <v>26013327.531065028</v>
      </c>
      <c r="AD10" s="142">
        <f t="shared" si="1"/>
        <v>27495013.560619287</v>
      </c>
      <c r="AE10" s="142">
        <f t="shared" si="1"/>
        <v>29065486.548539326</v>
      </c>
      <c r="AF10" s="268">
        <f>(AE10/S10)^(1/(COUNT(S9:AE9)-1))-1</f>
        <v>6.5024130761703436E-2</v>
      </c>
      <c r="AG10" s="108"/>
      <c r="AH10" s="320">
        <v>3</v>
      </c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</row>
    <row r="11" spans="1:49" ht="30" customHeight="1" x14ac:dyDescent="0.25">
      <c r="A11" s="25" t="s">
        <v>987</v>
      </c>
      <c r="B11" s="51"/>
      <c r="C11" s="51"/>
      <c r="D11" s="51"/>
      <c r="E11" s="269" t="s">
        <v>450</v>
      </c>
      <c r="F11" s="67">
        <v>2462683</v>
      </c>
      <c r="G11" s="67">
        <v>2896617</v>
      </c>
      <c r="H11" s="67">
        <v>3461960</v>
      </c>
      <c r="I11" s="67">
        <v>3710920.8957099998</v>
      </c>
      <c r="J11" s="67">
        <v>4390070.0297000147</v>
      </c>
      <c r="K11" s="67">
        <v>5114378.7636100072</v>
      </c>
      <c r="L11" s="67">
        <v>5291350.7787799975</v>
      </c>
      <c r="M11" s="67">
        <v>6031665.7701399978</v>
      </c>
      <c r="N11" s="67">
        <v>6800863.7379599987</v>
      </c>
      <c r="O11" s="67">
        <v>7728358.81482</v>
      </c>
      <c r="P11" s="67">
        <v>5981045.9944099998</v>
      </c>
      <c r="Q11" s="67">
        <v>8613866.2386500016</v>
      </c>
      <c r="R11" s="67">
        <v>10602877.952429997</v>
      </c>
      <c r="S11" s="67">
        <v>10757770.159899998</v>
      </c>
      <c r="T11" s="143">
        <f t="shared" ref="T11:AB11" si="2">T35*T36</f>
        <v>11494151.81040363</v>
      </c>
      <c r="U11" s="143">
        <f t="shared" si="2"/>
        <v>12295906.823164461</v>
      </c>
      <c r="V11" s="143">
        <f t="shared" si="2"/>
        <v>13135765.016562298</v>
      </c>
      <c r="W11" s="143">
        <f t="shared" si="2"/>
        <v>14013865.902987804</v>
      </c>
      <c r="X11" s="143">
        <f t="shared" si="2"/>
        <v>14951092.63045696</v>
      </c>
      <c r="Y11" s="143">
        <f t="shared" si="2"/>
        <v>15940688.943667784</v>
      </c>
      <c r="Z11" s="143">
        <f t="shared" si="2"/>
        <v>16875116.715110414</v>
      </c>
      <c r="AA11" s="143">
        <f t="shared" si="2"/>
        <v>17829995.852068946</v>
      </c>
      <c r="AB11" s="143">
        <f t="shared" si="2"/>
        <v>18804336.690007389</v>
      </c>
      <c r="AC11" s="143">
        <f t="shared" ref="AC11:AE11" si="3">AC35*AC36</f>
        <v>19796993.279858157</v>
      </c>
      <c r="AD11" s="143">
        <f t="shared" si="3"/>
        <v>20806650.726277631</v>
      </c>
      <c r="AE11" s="143">
        <f t="shared" si="3"/>
        <v>21865297.119524669</v>
      </c>
      <c r="AF11" s="268">
        <f>(AE11/S11)^(1/(COUNT(S10:AE10)-1))-1</f>
        <v>6.0887730828464326E-2</v>
      </c>
      <c r="AG11" s="108"/>
      <c r="AH11" s="321">
        <v>2</v>
      </c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</row>
    <row r="12" spans="1:49" ht="30" customHeight="1" x14ac:dyDescent="0.25">
      <c r="A12" s="25" t="s">
        <v>43</v>
      </c>
      <c r="B12" s="51"/>
      <c r="C12" s="51"/>
      <c r="D12" s="51"/>
      <c r="E12" s="269" t="s">
        <v>451</v>
      </c>
      <c r="F12" s="110">
        <v>0</v>
      </c>
      <c r="G12" s="67">
        <v>0</v>
      </c>
      <c r="H12" s="67">
        <v>0</v>
      </c>
      <c r="I12" s="67">
        <v>192782.78259999998</v>
      </c>
      <c r="J12" s="67">
        <v>233410.55443000005</v>
      </c>
      <c r="K12" s="67">
        <v>294750.67061000038</v>
      </c>
      <c r="L12" s="67">
        <v>348417.67638000002</v>
      </c>
      <c r="M12" s="67">
        <v>444004.12063000008</v>
      </c>
      <c r="N12" s="67">
        <v>505009.66851999989</v>
      </c>
      <c r="O12" s="67">
        <v>525022.77791000006</v>
      </c>
      <c r="P12" s="67">
        <v>506862.46546999994</v>
      </c>
      <c r="Q12" s="67">
        <v>650615.23566000001</v>
      </c>
      <c r="R12" s="67">
        <v>567102.41616999998</v>
      </c>
      <c r="S12" s="67">
        <v>520507.29608000006</v>
      </c>
      <c r="T12" s="143">
        <f t="shared" ref="T12:AB12" si="4">T52*T53</f>
        <v>534317.63303599961</v>
      </c>
      <c r="U12" s="143">
        <f t="shared" si="4"/>
        <v>546559.91599564138</v>
      </c>
      <c r="V12" s="143">
        <f t="shared" si="4"/>
        <v>556791.58674303954</v>
      </c>
      <c r="W12" s="143">
        <f t="shared" si="4"/>
        <v>565629.78308041219</v>
      </c>
      <c r="X12" s="143">
        <f t="shared" si="4"/>
        <v>575646.40559610119</v>
      </c>
      <c r="Y12" s="143">
        <f t="shared" si="4"/>
        <v>585073.8150226319</v>
      </c>
      <c r="Z12" s="143">
        <f t="shared" si="4"/>
        <v>594501.2244491626</v>
      </c>
      <c r="AA12" s="143">
        <f t="shared" si="4"/>
        <v>603928.63387569331</v>
      </c>
      <c r="AB12" s="143">
        <f t="shared" si="4"/>
        <v>613356.04330222402</v>
      </c>
      <c r="AC12" s="143">
        <f t="shared" ref="AC12:AE12" si="5">AC52*AC53</f>
        <v>622783.45272875472</v>
      </c>
      <c r="AD12" s="143">
        <f t="shared" si="5"/>
        <v>632210.86215528543</v>
      </c>
      <c r="AE12" s="143">
        <f t="shared" si="5"/>
        <v>641638.27158181614</v>
      </c>
      <c r="AF12" s="268">
        <f>(AE12/S12)^(1/(COUNT(S11:AE11)-1))-1</f>
        <v>1.7587944593732807E-2</v>
      </c>
      <c r="AG12" s="108"/>
      <c r="AH12" s="321">
        <v>3</v>
      </c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</row>
    <row r="13" spans="1:49" ht="30" customHeight="1" x14ac:dyDescent="0.25">
      <c r="A13" s="438" t="s">
        <v>385</v>
      </c>
      <c r="B13" s="51"/>
      <c r="C13" s="51"/>
      <c r="D13" s="51"/>
      <c r="E13" s="269" t="s">
        <v>452</v>
      </c>
      <c r="F13" s="67">
        <v>0</v>
      </c>
      <c r="G13" s="67">
        <v>0</v>
      </c>
      <c r="H13" s="67">
        <v>0</v>
      </c>
      <c r="I13" s="67">
        <v>10103.026109999999</v>
      </c>
      <c r="J13" s="67">
        <v>19130.81999</v>
      </c>
      <c r="K13" s="67">
        <v>41722.443630000053</v>
      </c>
      <c r="L13" s="67">
        <v>81988.883529999992</v>
      </c>
      <c r="M13" s="67">
        <v>124402.48239000002</v>
      </c>
      <c r="N13" s="67">
        <v>179559.09814000002</v>
      </c>
      <c r="O13" s="67">
        <v>221311.51273000007</v>
      </c>
      <c r="P13" s="67">
        <v>172662.39843</v>
      </c>
      <c r="Q13" s="67">
        <v>291045.30414999992</v>
      </c>
      <c r="R13" s="67">
        <v>405864.90861000004</v>
      </c>
      <c r="S13" s="67">
        <v>428062.97350999998</v>
      </c>
      <c r="T13" s="143">
        <f t="shared" ref="T13:AB13" si="6">T69*T70</f>
        <v>495035.75862745947</v>
      </c>
      <c r="U13" s="143">
        <f t="shared" si="6"/>
        <v>588907.93720402627</v>
      </c>
      <c r="V13" s="143">
        <f t="shared" si="6"/>
        <v>698968.79449271096</v>
      </c>
      <c r="W13" s="143">
        <f t="shared" si="6"/>
        <v>822927.49937552353</v>
      </c>
      <c r="X13" s="143">
        <f t="shared" si="6"/>
        <v>958623.154943684</v>
      </c>
      <c r="Y13" s="143">
        <f t="shared" si="6"/>
        <v>1109278.991831532</v>
      </c>
      <c r="Z13" s="143">
        <f t="shared" si="6"/>
        <v>1276317.9085766815</v>
      </c>
      <c r="AA13" s="143">
        <f t="shared" si="6"/>
        <v>1461287.7154621247</v>
      </c>
      <c r="AB13" s="143">
        <f t="shared" si="6"/>
        <v>1665871.5370116655</v>
      </c>
      <c r="AC13" s="143">
        <f t="shared" ref="AC13:AE13" si="7">AC69*AC70</f>
        <v>1892959.7432763998</v>
      </c>
      <c r="AD13" s="143">
        <f t="shared" si="7"/>
        <v>2144779.9601448253</v>
      </c>
      <c r="AE13" s="143">
        <f t="shared" si="7"/>
        <v>2423767.577432808</v>
      </c>
      <c r="AF13" s="268">
        <f>(AE13/S13)^(1/(COUNT(S12:AE12)-1))-1</f>
        <v>0.15544322116300413</v>
      </c>
      <c r="AG13" s="111"/>
      <c r="AH13" s="321">
        <v>5</v>
      </c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</row>
    <row r="14" spans="1:49" ht="30" customHeight="1" x14ac:dyDescent="0.25">
      <c r="A14" s="25" t="s">
        <v>73</v>
      </c>
      <c r="B14" s="51"/>
      <c r="C14" s="51"/>
      <c r="D14" s="51"/>
      <c r="E14" s="269" t="s">
        <v>453</v>
      </c>
      <c r="F14" s="67">
        <v>288655</v>
      </c>
      <c r="G14" s="67">
        <v>341926</v>
      </c>
      <c r="H14" s="67">
        <v>400548</v>
      </c>
      <c r="I14" s="67">
        <v>456519</v>
      </c>
      <c r="J14" s="67">
        <v>574207</v>
      </c>
      <c r="K14" s="67">
        <v>694346</v>
      </c>
      <c r="L14" s="67">
        <v>729821</v>
      </c>
      <c r="M14" s="67">
        <v>844232</v>
      </c>
      <c r="N14" s="67">
        <v>941108</v>
      </c>
      <c r="O14" s="67">
        <v>1113744</v>
      </c>
      <c r="P14" s="67">
        <v>876609</v>
      </c>
      <c r="Q14" s="67">
        <v>1024116</v>
      </c>
      <c r="R14" s="67">
        <v>1695291.7227900031</v>
      </c>
      <c r="S14" s="67">
        <v>1941509</v>
      </c>
      <c r="T14" s="143">
        <f t="shared" ref="T14:AB14" si="8">T15*(T11+T12+T13)</f>
        <v>2077036.6458939002</v>
      </c>
      <c r="U14" s="143">
        <f t="shared" si="8"/>
        <v>2227607.7629556106</v>
      </c>
      <c r="V14" s="143">
        <f t="shared" si="8"/>
        <v>2386849.780411758</v>
      </c>
      <c r="W14" s="143">
        <f t="shared" si="8"/>
        <v>2554508.2527256119</v>
      </c>
      <c r="X14" s="143">
        <f t="shared" si="8"/>
        <v>2734114.8375841565</v>
      </c>
      <c r="Y14" s="143">
        <f t="shared" si="8"/>
        <v>2924790.4142409912</v>
      </c>
      <c r="Z14" s="143">
        <f t="shared" si="8"/>
        <v>3109033.3808244443</v>
      </c>
      <c r="AA14" s="143">
        <f t="shared" si="8"/>
        <v>3299642.0852954695</v>
      </c>
      <c r="AB14" s="143">
        <f t="shared" si="8"/>
        <v>3496731.5387299499</v>
      </c>
      <c r="AC14" s="143">
        <f t="shared" ref="AC14:AE14" si="9">AC15*(AC11+AC12+AC13)</f>
        <v>3700591.0552017153</v>
      </c>
      <c r="AD14" s="143">
        <f t="shared" si="9"/>
        <v>3911372.0120415478</v>
      </c>
      <c r="AE14" s="143">
        <f t="shared" si="9"/>
        <v>4134783.5800000303</v>
      </c>
      <c r="AF14" s="268">
        <f>(AE14/S14)^(1/(COUNT(S13:AE13)-1))-1</f>
        <v>6.5024130761703436E-2</v>
      </c>
      <c r="AG14" s="111"/>
      <c r="AH14" s="322">
        <v>3</v>
      </c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</row>
    <row r="15" spans="1:49" ht="30" customHeight="1" thickBot="1" x14ac:dyDescent="0.3">
      <c r="A15" s="25" t="s">
        <v>382</v>
      </c>
      <c r="B15" s="51"/>
      <c r="C15" s="51"/>
      <c r="D15" s="51"/>
      <c r="E15" s="270" t="s">
        <v>973</v>
      </c>
      <c r="F15" s="271">
        <f>F14/(F11+F12+F13)</f>
        <v>0.11721159402164225</v>
      </c>
      <c r="G15" s="271">
        <f>G14/(G11+G12+G13)</f>
        <v>0.11804322076408445</v>
      </c>
      <c r="H15" s="271">
        <f t="shared" ref="H15:S15" si="10">H14/(H11+H12+H13)</f>
        <v>0.11569977700493363</v>
      </c>
      <c r="I15" s="271">
        <f t="shared" si="10"/>
        <v>0.11664321579408533</v>
      </c>
      <c r="J15" s="271">
        <f t="shared" si="10"/>
        <v>0.12368190012423369</v>
      </c>
      <c r="K15" s="271">
        <f t="shared" si="10"/>
        <v>0.12738302481150388</v>
      </c>
      <c r="L15" s="271">
        <f t="shared" si="10"/>
        <v>0.12755189652399576</v>
      </c>
      <c r="M15" s="271">
        <f t="shared" si="10"/>
        <v>0.12791253675235029</v>
      </c>
      <c r="N15" s="271">
        <f t="shared" si="10"/>
        <v>0.1257252669660904</v>
      </c>
      <c r="O15" s="271">
        <f t="shared" si="10"/>
        <v>0.13141998018576589</v>
      </c>
      <c r="P15" s="271">
        <f t="shared" si="10"/>
        <v>0.1316116919477415</v>
      </c>
      <c r="Q15" s="271">
        <f t="shared" si="10"/>
        <v>0.10717525299688917</v>
      </c>
      <c r="R15" s="271">
        <f t="shared" si="10"/>
        <v>0.14645079319845586</v>
      </c>
      <c r="S15" s="271">
        <f t="shared" si="10"/>
        <v>0.16585106265225741</v>
      </c>
      <c r="T15" s="272">
        <f>S15</f>
        <v>0.16585106265225741</v>
      </c>
      <c r="U15" s="272">
        <f t="shared" ref="U15:AE15" si="11">T15</f>
        <v>0.16585106265225741</v>
      </c>
      <c r="V15" s="272">
        <f t="shared" si="11"/>
        <v>0.16585106265225741</v>
      </c>
      <c r="W15" s="272">
        <f t="shared" si="11"/>
        <v>0.16585106265225741</v>
      </c>
      <c r="X15" s="272">
        <f t="shared" si="11"/>
        <v>0.16585106265225741</v>
      </c>
      <c r="Y15" s="272">
        <f t="shared" si="11"/>
        <v>0.16585106265225741</v>
      </c>
      <c r="Z15" s="272">
        <f t="shared" si="11"/>
        <v>0.16585106265225741</v>
      </c>
      <c r="AA15" s="272">
        <f t="shared" si="11"/>
        <v>0.16585106265225741</v>
      </c>
      <c r="AB15" s="272">
        <f t="shared" si="11"/>
        <v>0.16585106265225741</v>
      </c>
      <c r="AC15" s="272">
        <f t="shared" si="11"/>
        <v>0.16585106265225741</v>
      </c>
      <c r="AD15" s="272">
        <f t="shared" si="11"/>
        <v>0.16585106265225741</v>
      </c>
      <c r="AE15" s="272">
        <f t="shared" si="11"/>
        <v>0.16585106265225741</v>
      </c>
      <c r="AF15" s="184"/>
      <c r="AG15" s="185" t="s">
        <v>1154</v>
      </c>
      <c r="AH15" s="113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</row>
    <row r="16" spans="1:49" ht="30" customHeight="1" x14ac:dyDescent="0.25">
      <c r="A16" s="25" t="s">
        <v>1307</v>
      </c>
      <c r="B16" s="51"/>
      <c r="C16" s="51"/>
      <c r="D16" s="51"/>
      <c r="E16" s="56"/>
      <c r="F16" s="101"/>
      <c r="G16" s="56"/>
      <c r="H16" s="56"/>
      <c r="I16" s="56"/>
      <c r="J16" s="51"/>
      <c r="K16" s="51"/>
      <c r="L16" s="319"/>
      <c r="M16" s="319"/>
      <c r="N16" s="323"/>
      <c r="O16" s="319"/>
      <c r="P16" s="319"/>
      <c r="Q16" s="319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</row>
    <row r="17" spans="1:49" ht="30" customHeight="1" x14ac:dyDescent="0.25">
      <c r="A17" s="25" t="s">
        <v>1086</v>
      </c>
      <c r="B17" s="51"/>
      <c r="C17" s="51"/>
      <c r="D17" s="51"/>
      <c r="E17" s="125"/>
      <c r="F17" s="51"/>
      <c r="G17" s="51"/>
      <c r="H17" s="51"/>
      <c r="I17" s="51"/>
      <c r="J17" s="51"/>
      <c r="K17" s="51"/>
      <c r="L17" s="319"/>
      <c r="M17" s="319"/>
      <c r="N17" s="319"/>
      <c r="O17" s="319"/>
      <c r="P17" s="319"/>
      <c r="Q17" s="319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</row>
    <row r="18" spans="1:49" ht="30" customHeight="1" x14ac:dyDescent="0.25">
      <c r="A18" s="25"/>
      <c r="B18" s="51"/>
      <c r="C18" s="51"/>
      <c r="D18" s="51"/>
      <c r="E18" s="126" t="s">
        <v>63</v>
      </c>
      <c r="F18" s="127" t="s">
        <v>62</v>
      </c>
      <c r="G18" s="127" t="s">
        <v>61</v>
      </c>
      <c r="H18" s="128" t="s">
        <v>60</v>
      </c>
      <c r="I18" s="129" t="s">
        <v>80</v>
      </c>
      <c r="J18" s="51"/>
      <c r="K18" s="51"/>
      <c r="L18" s="319"/>
      <c r="M18" s="319"/>
      <c r="N18" s="319"/>
      <c r="O18" s="319"/>
      <c r="P18" s="319"/>
      <c r="Q18" s="319"/>
      <c r="R18" s="323"/>
      <c r="S18" s="323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</row>
    <row r="19" spans="1:49" ht="30" customHeight="1" thickBot="1" x14ac:dyDescent="0.3">
      <c r="A19" s="8"/>
      <c r="B19" s="51"/>
      <c r="C19" s="51"/>
      <c r="D19" s="51"/>
      <c r="E19" s="130">
        <v>0.5</v>
      </c>
      <c r="F19" s="131">
        <v>0.625</v>
      </c>
      <c r="G19" s="131">
        <v>0.75</v>
      </c>
      <c r="H19" s="132">
        <v>0.875</v>
      </c>
      <c r="I19" s="133">
        <v>1</v>
      </c>
      <c r="J19" s="51"/>
      <c r="K19" s="51"/>
      <c r="L19" s="319"/>
      <c r="M19" s="319"/>
      <c r="N19" s="319"/>
      <c r="O19" s="319"/>
      <c r="P19" s="319"/>
      <c r="Q19" s="319"/>
      <c r="R19" s="323"/>
      <c r="S19" s="323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</row>
    <row r="20" spans="1:49" ht="30" customHeight="1" x14ac:dyDescent="0.25">
      <c r="A20" s="25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</row>
    <row r="21" spans="1:49" ht="30" customHeight="1" x14ac:dyDescent="0.25">
      <c r="A21" s="25"/>
      <c r="B21" s="51"/>
      <c r="C21" s="51"/>
      <c r="D21" s="51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</row>
    <row r="22" spans="1:49" ht="30" customHeight="1" x14ac:dyDescent="0.25">
      <c r="A22" s="60"/>
      <c r="B22" s="51"/>
      <c r="C22" s="51"/>
      <c r="D22" s="51"/>
      <c r="E22" s="58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57"/>
      <c r="AG22" s="59"/>
      <c r="AH22" s="105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</row>
    <row r="23" spans="1:49" ht="30" customHeight="1" x14ac:dyDescent="0.25">
      <c r="A23" s="60"/>
      <c r="B23" s="51"/>
      <c r="C23" s="51"/>
      <c r="D23" s="51"/>
      <c r="E23" s="70" t="s">
        <v>450</v>
      </c>
      <c r="F23" s="116">
        <v>2010</v>
      </c>
      <c r="G23" s="117">
        <v>2011</v>
      </c>
      <c r="H23" s="117">
        <v>2012</v>
      </c>
      <c r="I23" s="116">
        <v>2013</v>
      </c>
      <c r="J23" s="117">
        <v>2014</v>
      </c>
      <c r="K23" s="117">
        <v>2015</v>
      </c>
      <c r="L23" s="116">
        <v>2016</v>
      </c>
      <c r="M23" s="117">
        <v>2017</v>
      </c>
      <c r="N23" s="117">
        <v>2018</v>
      </c>
      <c r="O23" s="117">
        <v>2019</v>
      </c>
      <c r="P23" s="117">
        <v>2020</v>
      </c>
      <c r="Q23" s="117">
        <v>2021</v>
      </c>
      <c r="R23" s="117">
        <v>2022</v>
      </c>
      <c r="S23" s="117">
        <v>2023</v>
      </c>
      <c r="T23" s="140">
        <v>2024</v>
      </c>
      <c r="U23" s="140">
        <v>2025</v>
      </c>
      <c r="V23" s="140">
        <v>2026</v>
      </c>
      <c r="W23" s="140">
        <v>2027</v>
      </c>
      <c r="X23" s="140">
        <v>2028</v>
      </c>
      <c r="Y23" s="140">
        <v>2029</v>
      </c>
      <c r="Z23" s="140">
        <v>2030</v>
      </c>
      <c r="AA23" s="140">
        <v>2031</v>
      </c>
      <c r="AB23" s="140">
        <v>2032</v>
      </c>
      <c r="AC23" s="140">
        <v>2033</v>
      </c>
      <c r="AD23" s="140">
        <v>2034</v>
      </c>
      <c r="AE23" s="140">
        <v>2035</v>
      </c>
      <c r="AF23" s="175" t="s">
        <v>1347</v>
      </c>
      <c r="AG23" s="116" t="s">
        <v>38</v>
      </c>
      <c r="AH23" s="107" t="s">
        <v>72</v>
      </c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</row>
    <row r="24" spans="1:49" ht="30" customHeight="1" x14ac:dyDescent="0.25">
      <c r="A24" s="60"/>
      <c r="B24" s="51"/>
      <c r="C24" s="51"/>
      <c r="D24" s="51"/>
      <c r="E24" s="70" t="s">
        <v>376</v>
      </c>
      <c r="F24" s="117">
        <v>134</v>
      </c>
      <c r="G24" s="117">
        <f t="shared" ref="G24:S24" si="12">F24+G25-G27</f>
        <v>164</v>
      </c>
      <c r="H24" s="117">
        <f t="shared" si="12"/>
        <v>188</v>
      </c>
      <c r="I24" s="117">
        <f t="shared" si="12"/>
        <v>217</v>
      </c>
      <c r="J24" s="117">
        <f t="shared" si="12"/>
        <v>248</v>
      </c>
      <c r="K24" s="117">
        <f t="shared" si="12"/>
        <v>275</v>
      </c>
      <c r="L24" s="117">
        <f t="shared" si="12"/>
        <v>300</v>
      </c>
      <c r="M24" s="117">
        <f t="shared" si="12"/>
        <v>328</v>
      </c>
      <c r="N24" s="117">
        <f t="shared" si="12"/>
        <v>351</v>
      </c>
      <c r="O24" s="117">
        <f t="shared" si="12"/>
        <v>380</v>
      </c>
      <c r="P24" s="117">
        <f t="shared" si="12"/>
        <v>385</v>
      </c>
      <c r="Q24" s="117">
        <f t="shared" si="12"/>
        <v>404</v>
      </c>
      <c r="R24" s="117">
        <f t="shared" si="12"/>
        <v>422</v>
      </c>
      <c r="S24" s="117">
        <f t="shared" si="12"/>
        <v>424</v>
      </c>
      <c r="T24" s="141">
        <f>S24+T25</f>
        <v>445.57142857142856</v>
      </c>
      <c r="U24" s="141">
        <f t="shared" ref="U24:X24" si="13">T24+U25</f>
        <v>467.14285714285711</v>
      </c>
      <c r="V24" s="141">
        <f t="shared" si="13"/>
        <v>488.71428571428567</v>
      </c>
      <c r="W24" s="141">
        <f t="shared" si="13"/>
        <v>510.28571428571422</v>
      </c>
      <c r="X24" s="141">
        <f t="shared" si="13"/>
        <v>531.85714285714278</v>
      </c>
      <c r="Y24" s="141">
        <v>573</v>
      </c>
      <c r="Z24" s="141">
        <f t="shared" ref="Z24:AA24" si="14">Y24+Z25</f>
        <v>583</v>
      </c>
      <c r="AA24" s="141">
        <f t="shared" si="14"/>
        <v>593</v>
      </c>
      <c r="AB24" s="141">
        <f t="shared" ref="AB24" si="15">AA24+AB25</f>
        <v>603</v>
      </c>
      <c r="AC24" s="141">
        <f t="shared" ref="AC24" si="16">AB24+AC25</f>
        <v>613</v>
      </c>
      <c r="AD24" s="141">
        <f t="shared" ref="AD24" si="17">AC24+AD25</f>
        <v>623</v>
      </c>
      <c r="AE24" s="141">
        <f t="shared" ref="AE24" si="18">AD24+AE25</f>
        <v>633</v>
      </c>
      <c r="AF24" s="176"/>
      <c r="AG24" s="111"/>
      <c r="AH24" s="109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</row>
    <row r="25" spans="1:49" ht="30" customHeight="1" x14ac:dyDescent="0.25">
      <c r="A25" s="60"/>
      <c r="B25" s="51"/>
      <c r="C25" s="51"/>
      <c r="D25" s="51"/>
      <c r="E25" s="66" t="s">
        <v>74</v>
      </c>
      <c r="F25" s="118">
        <f>COUNTIFS(Lojas!$E$10:$E$1000,"Renner",Lojas!$F$10:$F$1000,F23)</f>
        <v>14</v>
      </c>
      <c r="G25" s="118">
        <f>COUNTIFS(Lojas!$E$10:$E$1000,"Renner",Lojas!$F$10:$F$1000,G23)</f>
        <v>30</v>
      </c>
      <c r="H25" s="118">
        <f>COUNTIFS(Lojas!$E$10:$E$1000,"Renner",Lojas!$F$10:$F$1000,H23)</f>
        <v>24</v>
      </c>
      <c r="I25" s="118">
        <f>COUNTIFS(Lojas!$E$10:$E$1000,"Renner",Lojas!$F$10:$F$1000,I23)</f>
        <v>29</v>
      </c>
      <c r="J25" s="118">
        <f>COUNTIFS(Lojas!$E$10:$E$1000,"Renner",Lojas!$F$10:$F$1000,J23)</f>
        <v>31</v>
      </c>
      <c r="K25" s="118">
        <f>COUNTIFS(Lojas!$E$10:$E$1000,"Renner",Lojas!$F$10:$F$1000,K23)</f>
        <v>27</v>
      </c>
      <c r="L25" s="118">
        <f>COUNTIFS(Lojas!$E$10:$E$1000,"Renner",Lojas!$F$10:$F$1000,L23)</f>
        <v>25</v>
      </c>
      <c r="M25" s="118">
        <f>COUNTIFS(Lojas!$E$10:$E$1000,"Renner",Lojas!$F$10:$F$1000,M23)</f>
        <v>30</v>
      </c>
      <c r="N25" s="118">
        <f>COUNTIFS(Lojas!$E$10:$E$1000,"Renner",Lojas!$F$10:$F$1000,N23)</f>
        <v>26</v>
      </c>
      <c r="O25" s="118">
        <f>COUNTIFS(Lojas!$E$10:$E$1000,"Renner",Lojas!$F$10:$F$1000,O23)</f>
        <v>29</v>
      </c>
      <c r="P25" s="118">
        <f>COUNTIFS(Lojas!$E$10:$E$1000,"Renner",Lojas!$F$10:$F$1000,P23)</f>
        <v>7</v>
      </c>
      <c r="Q25" s="118">
        <f>COUNTIFS(Lojas!$E$10:$E$1000,"Renner",Lojas!$F$10:$F$1000,Q23)</f>
        <v>20</v>
      </c>
      <c r="R25" s="118">
        <f>COUNTIFS(Lojas!$E$10:$E$1000,"Renner",Lojas!$F$10:$F$1000,R23)</f>
        <v>21</v>
      </c>
      <c r="S25" s="118">
        <f>COUNTIFS(Lojas!$E$10:$E$1000,"Renner",Lojas!$F$10:$F$1000,S23)</f>
        <v>17</v>
      </c>
      <c r="T25" s="143">
        <f t="shared" ref="T25:Y25" si="19">($Y$24-$R$24)/7</f>
        <v>21.571428571428573</v>
      </c>
      <c r="U25" s="143">
        <f t="shared" si="19"/>
        <v>21.571428571428573</v>
      </c>
      <c r="V25" s="143">
        <f t="shared" si="19"/>
        <v>21.571428571428573</v>
      </c>
      <c r="W25" s="143">
        <f t="shared" si="19"/>
        <v>21.571428571428573</v>
      </c>
      <c r="X25" s="143">
        <f t="shared" si="19"/>
        <v>21.571428571428573</v>
      </c>
      <c r="Y25" s="143">
        <f t="shared" si="19"/>
        <v>21.571428571428573</v>
      </c>
      <c r="Z25" s="143">
        <v>10</v>
      </c>
      <c r="AA25" s="143">
        <v>10</v>
      </c>
      <c r="AB25" s="143">
        <v>10</v>
      </c>
      <c r="AC25" s="143">
        <v>10</v>
      </c>
      <c r="AD25" s="143">
        <v>10</v>
      </c>
      <c r="AE25" s="143">
        <v>10</v>
      </c>
      <c r="AF25" s="177"/>
      <c r="AG25" s="108" t="s">
        <v>1188</v>
      </c>
      <c r="AH25" s="109">
        <v>3</v>
      </c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</row>
    <row r="26" spans="1:49" ht="30" customHeight="1" x14ac:dyDescent="0.25">
      <c r="A26" s="60"/>
      <c r="B26" s="51"/>
      <c r="C26" s="51"/>
      <c r="D26" s="51"/>
      <c r="E26" s="69" t="s">
        <v>1069</v>
      </c>
      <c r="F26" s="227">
        <f>F34/F25</f>
        <v>2765.3650000000007</v>
      </c>
      <c r="G26" s="227">
        <f t="shared" ref="G26:S26" si="20">G34/G25</f>
        <v>2448.0650000000001</v>
      </c>
      <c r="H26" s="227">
        <f t="shared" si="20"/>
        <v>2885.2320833333342</v>
      </c>
      <c r="I26" s="227">
        <f t="shared" si="20"/>
        <v>2659.2165517241383</v>
      </c>
      <c r="J26" s="227">
        <f t="shared" si="20"/>
        <v>2301.8196774193543</v>
      </c>
      <c r="K26" s="227">
        <f t="shared" si="20"/>
        <v>2132.1848148148147</v>
      </c>
      <c r="L26" s="227">
        <f t="shared" si="20"/>
        <v>2139.2952</v>
      </c>
      <c r="M26" s="227">
        <f t="shared" si="20"/>
        <v>2329.9643333333329</v>
      </c>
      <c r="N26" s="227">
        <f t="shared" si="20"/>
        <v>2213.3161538461536</v>
      </c>
      <c r="O26" s="227">
        <f t="shared" si="20"/>
        <v>2225.4768965517242</v>
      </c>
      <c r="P26" s="227">
        <f t="shared" si="20"/>
        <v>2022.7700000000002</v>
      </c>
      <c r="Q26" s="227">
        <f t="shared" si="20"/>
        <v>1898.5740000000001</v>
      </c>
      <c r="R26" s="227">
        <f t="shared" si="20"/>
        <v>1852.9919047619048</v>
      </c>
      <c r="S26" s="227">
        <f t="shared" si="20"/>
        <v>1504.3352941176472</v>
      </c>
      <c r="T26" s="228">
        <f>S26</f>
        <v>1504.3352941176472</v>
      </c>
      <c r="U26" s="228">
        <f t="shared" ref="U26:AA26" si="21">T26</f>
        <v>1504.3352941176472</v>
      </c>
      <c r="V26" s="228">
        <f t="shared" si="21"/>
        <v>1504.3352941176472</v>
      </c>
      <c r="W26" s="228">
        <f t="shared" si="21"/>
        <v>1504.3352941176472</v>
      </c>
      <c r="X26" s="228">
        <f t="shared" si="21"/>
        <v>1504.3352941176472</v>
      </c>
      <c r="Y26" s="228">
        <f t="shared" si="21"/>
        <v>1504.3352941176472</v>
      </c>
      <c r="Z26" s="228">
        <f t="shared" si="21"/>
        <v>1504.3352941176472</v>
      </c>
      <c r="AA26" s="228">
        <f t="shared" si="21"/>
        <v>1504.3352941176472</v>
      </c>
      <c r="AB26" s="228">
        <f t="shared" ref="AB26" si="22">AA26</f>
        <v>1504.3352941176472</v>
      </c>
      <c r="AC26" s="228">
        <f t="shared" ref="AC26" si="23">AB26</f>
        <v>1504.3352941176472</v>
      </c>
      <c r="AD26" s="228">
        <f t="shared" ref="AD26" si="24">AC26</f>
        <v>1504.3352941176472</v>
      </c>
      <c r="AE26" s="228">
        <f t="shared" ref="AE26" si="25">AD26</f>
        <v>1504.3352941176472</v>
      </c>
      <c r="AF26" s="177"/>
      <c r="AG26" s="108" t="s">
        <v>1189</v>
      </c>
      <c r="AH26" s="109">
        <v>4</v>
      </c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</row>
    <row r="27" spans="1:49" ht="30" customHeight="1" x14ac:dyDescent="0.25">
      <c r="A27" s="60"/>
      <c r="B27" s="51"/>
      <c r="C27" s="51"/>
      <c r="D27" s="51"/>
      <c r="E27" s="66" t="s">
        <v>1067</v>
      </c>
      <c r="F27" s="118">
        <f>COUNTIFS(Lojas!$E$10:$E$1000,"Renner",Lojas!$H$10:$H$1000,F23)</f>
        <v>0</v>
      </c>
      <c r="G27" s="118">
        <f>COUNTIFS(Lojas!$E$10:$E$1000,"Renner",Lojas!$H$10:$H$1000,G23)</f>
        <v>0</v>
      </c>
      <c r="H27" s="118">
        <f>COUNTIFS(Lojas!$E$10:$E$1000,"Renner",Lojas!$H$10:$H$1000,H23)</f>
        <v>0</v>
      </c>
      <c r="I27" s="118">
        <f>COUNTIFS(Lojas!$E$10:$E$1000,"Renner",Lojas!$H$10:$H$1000,I23)</f>
        <v>0</v>
      </c>
      <c r="J27" s="118">
        <f>COUNTIFS(Lojas!$E$10:$E$1000,"Renner",Lojas!$H$10:$H$1000,J23)</f>
        <v>0</v>
      </c>
      <c r="K27" s="118">
        <f>COUNTIFS(Lojas!$E$10:$E$1000,"Renner",Lojas!$H$10:$H$1000,K23)</f>
        <v>0</v>
      </c>
      <c r="L27" s="118">
        <f>COUNTIFS(Lojas!$E$10:$E$1000,"Renner",Lojas!$H$10:$H$1000,L23)</f>
        <v>0</v>
      </c>
      <c r="M27" s="118">
        <f>COUNTIFS(Lojas!$E$10:$E$1000,"Renner",Lojas!$H$10:$H$1000,M23)</f>
        <v>2</v>
      </c>
      <c r="N27" s="118">
        <f>COUNTIFS(Lojas!$E$10:$E$1000,"Renner",Lojas!$H$10:$H$1000,N23)</f>
        <v>3</v>
      </c>
      <c r="O27" s="118">
        <f>COUNTIFS(Lojas!$E$10:$E$1000,"Renner",Lojas!$H$10:$H$1000,O23)</f>
        <v>0</v>
      </c>
      <c r="P27" s="118">
        <f>COUNTIFS(Lojas!$E$10:$E$1000,"Renner",Lojas!$H$10:$H$1000,P23)</f>
        <v>2</v>
      </c>
      <c r="Q27" s="118">
        <f>COUNTIFS(Lojas!$E$10:$E$1000,"Renner",Lojas!$H$10:$H$1000,Q23)</f>
        <v>1</v>
      </c>
      <c r="R27" s="118">
        <f>COUNTIFS(Lojas!$E$10:$E$1000,"Renner",Lojas!$H$10:$H$1000,R23)</f>
        <v>3</v>
      </c>
      <c r="S27" s="118">
        <f>COUNTIFS(Lojas!$E$10:$E$1000,"Renner",Lojas!$H$10:$H$1000,S23)</f>
        <v>15</v>
      </c>
      <c r="T27" s="229">
        <v>0</v>
      </c>
      <c r="U27" s="229">
        <v>0</v>
      </c>
      <c r="V27" s="229">
        <v>0</v>
      </c>
      <c r="W27" s="229">
        <v>0</v>
      </c>
      <c r="X27" s="229">
        <v>0</v>
      </c>
      <c r="Y27" s="229">
        <v>0</v>
      </c>
      <c r="Z27" s="229">
        <v>0</v>
      </c>
      <c r="AA27" s="229">
        <v>0</v>
      </c>
      <c r="AB27" s="229">
        <v>0</v>
      </c>
      <c r="AC27" s="229">
        <v>0</v>
      </c>
      <c r="AD27" s="229">
        <v>0</v>
      </c>
      <c r="AE27" s="229">
        <v>0</v>
      </c>
      <c r="AF27" s="177"/>
      <c r="AG27" s="119"/>
      <c r="AH27" s="109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</row>
    <row r="28" spans="1:49" ht="30" customHeight="1" x14ac:dyDescent="0.25">
      <c r="A28" s="60"/>
      <c r="B28" s="51"/>
      <c r="C28" s="51"/>
      <c r="D28" s="51"/>
      <c r="E28" s="69" t="s">
        <v>1068</v>
      </c>
      <c r="F28" s="227">
        <f>SUMIFS(Lojas!$Q$10:$Q$1000,Lojas!$E$10:$E$1000,"Renner",Lojas!$H$10:$H$1000,'Projeções - Receita'!F23)</f>
        <v>0</v>
      </c>
      <c r="G28" s="227">
        <f>SUMIFS(Lojas!$Q$10:$Q$1000,Lojas!$E$10:$E$1000,"Renner",Lojas!$H$10:$H$1000,'Projeções - Receita'!G23)</f>
        <v>0</v>
      </c>
      <c r="H28" s="227">
        <f>SUMIFS(Lojas!$Q$10:$Q$1000,Lojas!$E$10:$E$1000,"Renner",Lojas!$H$10:$H$1000,'Projeções - Receita'!H23)</f>
        <v>0</v>
      </c>
      <c r="I28" s="227">
        <f>SUMIFS(Lojas!$Q$10:$Q$1000,Lojas!$E$10:$E$1000,"Renner",Lojas!$H$10:$H$1000,'Projeções - Receita'!I23)</f>
        <v>0</v>
      </c>
      <c r="J28" s="227">
        <f>SUMIFS(Lojas!$Q$10:$Q$1000,Lojas!$E$10:$E$1000,"Renner",Lojas!$H$10:$H$1000,'Projeções - Receita'!J23)</f>
        <v>0</v>
      </c>
      <c r="K28" s="227">
        <f>SUMIFS(Lojas!$Q$10:$Q$1000,Lojas!$E$10:$E$1000,"Renner",Lojas!$H$10:$H$1000,'Projeções - Receita'!K23)</f>
        <v>0</v>
      </c>
      <c r="L28" s="227">
        <f>SUMIFS(Lojas!$Q$10:$Q$1000,Lojas!$E$10:$E$1000,"Renner",Lojas!$H$10:$H$1000,'Projeções - Receita'!L23)</f>
        <v>0</v>
      </c>
      <c r="M28" s="227">
        <f>SUMIFS(Lojas!$Q$10:$Q$1000,Lojas!$E$10:$E$1000,"Renner",Lojas!$H$10:$H$1000,'Projeções - Receita'!M23)</f>
        <v>7730.73</v>
      </c>
      <c r="N28" s="227">
        <f>SUMIFS(Lojas!$Q$10:$Q$1000,Lojas!$E$10:$E$1000,"Renner",Lojas!$H$10:$H$1000,'Projeções - Receita'!N23)</f>
        <v>6809.41</v>
      </c>
      <c r="O28" s="227">
        <f>SUMIFS(Lojas!$Q$10:$Q$1000,Lojas!$E$10:$E$1000,"Renner",Lojas!$H$10:$H$1000,'Projeções - Receita'!O23)</f>
        <v>0</v>
      </c>
      <c r="P28" s="227">
        <f>SUMIFS(Lojas!$Q$10:$Q$1000,Lojas!$E$10:$E$1000,"Renner",Lojas!$H$10:$H$1000,'Projeções - Receita'!P23)</f>
        <v>6006.76</v>
      </c>
      <c r="Q28" s="227">
        <f>SUMIFS(Lojas!$Q$10:$Q$1000,Lojas!$E$10:$E$1000,"Renner",Lojas!$H$10:$H$1000,'Projeções - Receita'!Q23)</f>
        <v>1709.6</v>
      </c>
      <c r="R28" s="227">
        <f>SUMIFS(Lojas!$Q$10:$Q$1000,Lojas!$E$10:$E$1000,"Renner",Lojas!$H$10:$H$1000,'Projeções - Receita'!R23)</f>
        <v>5467.28</v>
      </c>
      <c r="S28" s="227">
        <v>0</v>
      </c>
      <c r="T28" s="229">
        <v>0</v>
      </c>
      <c r="U28" s="229">
        <v>0</v>
      </c>
      <c r="V28" s="229">
        <v>0</v>
      </c>
      <c r="W28" s="229">
        <v>0</v>
      </c>
      <c r="X28" s="229">
        <v>0</v>
      </c>
      <c r="Y28" s="229">
        <v>0</v>
      </c>
      <c r="Z28" s="229">
        <v>0</v>
      </c>
      <c r="AA28" s="229">
        <v>0</v>
      </c>
      <c r="AB28" s="229">
        <v>0</v>
      </c>
      <c r="AC28" s="229">
        <v>0</v>
      </c>
      <c r="AD28" s="229">
        <v>0</v>
      </c>
      <c r="AE28" s="229">
        <v>0</v>
      </c>
      <c r="AF28" s="177"/>
      <c r="AG28" s="111"/>
      <c r="AH28" s="109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</row>
    <row r="29" spans="1:49" ht="30" customHeight="1" x14ac:dyDescent="0.25">
      <c r="A29" s="60"/>
      <c r="B29" s="51"/>
      <c r="C29" s="51"/>
      <c r="D29" s="51"/>
      <c r="E29" s="70" t="s">
        <v>1062</v>
      </c>
      <c r="F29" s="64">
        <f>SUM(F30:F34)</f>
        <v>471576.94</v>
      </c>
      <c r="G29" s="64">
        <f>SUM(G30:G34)</f>
        <v>545018.8899999999</v>
      </c>
      <c r="H29" s="64">
        <f t="shared" ref="H29:P29" si="26">SUM(H30:H34)</f>
        <v>614264.45999999985</v>
      </c>
      <c r="I29" s="64">
        <f t="shared" si="26"/>
        <v>691381.73999999987</v>
      </c>
      <c r="J29" s="64">
        <f t="shared" si="26"/>
        <v>762738.15</v>
      </c>
      <c r="K29" s="64">
        <f t="shared" si="26"/>
        <v>820307.14</v>
      </c>
      <c r="L29" s="64">
        <f t="shared" si="26"/>
        <v>873789.52000000048</v>
      </c>
      <c r="M29" s="64">
        <f t="shared" si="26"/>
        <v>943688.45000000065</v>
      </c>
      <c r="N29" s="64">
        <f t="shared" si="26"/>
        <v>1001234.6700000004</v>
      </c>
      <c r="O29" s="64">
        <f t="shared" si="26"/>
        <v>1065773.5</v>
      </c>
      <c r="P29" s="64">
        <f t="shared" si="26"/>
        <v>1079932.8899999999</v>
      </c>
      <c r="Q29" s="64">
        <f t="shared" ref="Q29:AA29" si="27">SUM(Q30:Q34)</f>
        <v>1117904.3699999999</v>
      </c>
      <c r="R29" s="64">
        <f t="shared" si="27"/>
        <v>1156817.2000000002</v>
      </c>
      <c r="S29" s="64">
        <f t="shared" si="27"/>
        <v>1182390.8999999999</v>
      </c>
      <c r="T29" s="142">
        <f t="shared" si="27"/>
        <v>1214841.5613445377</v>
      </c>
      <c r="U29" s="142">
        <f t="shared" si="27"/>
        <v>1247292.2226890754</v>
      </c>
      <c r="V29" s="142">
        <f t="shared" si="27"/>
        <v>1279742.8840336131</v>
      </c>
      <c r="W29" s="142">
        <f t="shared" si="27"/>
        <v>1312193.5453781509</v>
      </c>
      <c r="X29" s="142">
        <f t="shared" si="27"/>
        <v>1344644.2067226886</v>
      </c>
      <c r="Y29" s="142">
        <f t="shared" si="27"/>
        <v>1377094.8680672264</v>
      </c>
      <c r="Z29" s="142">
        <f t="shared" si="27"/>
        <v>1392138.2210084028</v>
      </c>
      <c r="AA29" s="142">
        <f t="shared" si="27"/>
        <v>1407181.5739495791</v>
      </c>
      <c r="AB29" s="142">
        <f t="shared" ref="AB29:AE29" si="28">SUM(AB30:AB34)</f>
        <v>1422224.9268907555</v>
      </c>
      <c r="AC29" s="142">
        <f t="shared" si="28"/>
        <v>1437268.2798319319</v>
      </c>
      <c r="AD29" s="142">
        <f t="shared" si="28"/>
        <v>1452311.6327731083</v>
      </c>
      <c r="AE29" s="142">
        <f t="shared" si="28"/>
        <v>1467354.9857142847</v>
      </c>
      <c r="AF29" s="174"/>
      <c r="AG29" s="111"/>
      <c r="AH29" s="109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</row>
    <row r="30" spans="1:49" ht="30" customHeight="1" x14ac:dyDescent="0.25">
      <c r="A30" s="60"/>
      <c r="B30" s="51"/>
      <c r="C30" s="51"/>
      <c r="D30" s="51"/>
      <c r="E30" s="66" t="s">
        <v>80</v>
      </c>
      <c r="F30" s="67">
        <f>SUMIFS(Lojas!$Q$10:$Q$1000,Lojas!$E$10:$E$1000,"Renner",Lojas!$F$10:$F$1000,"&lt;="&amp;F$23-4)</f>
        <v>313380.8</v>
      </c>
      <c r="G30" s="67">
        <f>SUMIFS(Lojas!$Q$10:$Q$1000,Lojas!$E$10:$E$1000,"Renner",Lojas!$F$10:$F$1000,"&lt;="&amp;G$23-4)</f>
        <v>357546.45999999996</v>
      </c>
      <c r="H30" s="67">
        <f>SUMIFS(Lojas!$Q$10:$Q$1000,Lojas!$E$10:$E$1000,"Renner",Lojas!$F$10:$F$1000,"&lt;="&amp;H$23-4)</f>
        <v>402612.22999999986</v>
      </c>
      <c r="I30" s="67">
        <f>SUMIFS(Lojas!$Q$10:$Q$1000,Lojas!$E$10:$E$1000,"Renner",Lojas!$F$10:$F$1000,"&lt;="&amp;I$23-4)</f>
        <v>432861.82999999978</v>
      </c>
      <c r="J30" s="67">
        <f>SUMIFS(Lojas!$Q$10:$Q$1000,Lojas!$E$10:$E$1000,"Renner",Lojas!$F$10:$F$1000,"&lt;="&amp;J$23-4)</f>
        <v>471576.93999999989</v>
      </c>
      <c r="K30" s="67">
        <f>SUMIFS(Lojas!$Q$10:$Q$1000,Lojas!$E$10:$E$1000,"Renner",Lojas!$F$10:$F$1000,"&lt;="&amp;K$23-4)</f>
        <v>545018.8899999999</v>
      </c>
      <c r="L30" s="67">
        <f>SUMIFS(Lojas!$Q$10:$Q$1000,Lojas!$E$10:$E$1000,"Renner",Lojas!$F$10:$F$1000,"&lt;="&amp;L$23-4)</f>
        <v>614264.46000000043</v>
      </c>
      <c r="M30" s="67">
        <f>SUMIFS(Lojas!$Q$10:$Q$1000,Lojas!$E$10:$E$1000,"Renner",Lojas!$F$10:$F$1000,"&lt;="&amp;M$23-4)</f>
        <v>691381.74000000069</v>
      </c>
      <c r="N30" s="67">
        <f>SUMIFS(Lojas!$Q$10:$Q$1000,Lojas!$E$10:$E$1000,"Renner",Lojas!$F$10:$F$1000,"&lt;="&amp;N$23-4)</f>
        <v>762738.15000000037</v>
      </c>
      <c r="O30" s="67">
        <f>SUMIFS(Lojas!$Q$10:$Q$1000,Lojas!$E$10:$E$1000,"Renner",Lojas!$F$10:$F$1000,"&lt;="&amp;O$23-4)</f>
        <v>820307.14</v>
      </c>
      <c r="P30" s="67">
        <f>SUMIFS(Lojas!$Q$10:$Q$1000,Lojas!$E$10:$E$1000,"Renner",Lojas!$F$10:$F$1000,"&lt;="&amp;P$23-4)</f>
        <v>873789.52</v>
      </c>
      <c r="Q30" s="67">
        <f>SUMIFS(Lojas!$Q$10:$Q$1000,Lojas!$E$10:$E$1000,"Renner",Lojas!$F$10:$F$1000,"&lt;="&amp;Q$23-4)</f>
        <v>943688.45000000007</v>
      </c>
      <c r="R30" s="67">
        <f>SUMIFS(Lojas!$Q$10:$Q$1000,Lojas!$E$10:$E$1000,"Renner",Lojas!$F$10:$F$1000,"&lt;="&amp;R$23-4)</f>
        <v>1001234.6700000002</v>
      </c>
      <c r="S30" s="67">
        <f>SUMIFS(Lojas!$Q$10:$Q$1000,Lojas!$E$10:$E$1000,"Renner",Lojas!$F$10:$F$1000,"&lt;="&amp;S$23-4)</f>
        <v>1065773.5</v>
      </c>
      <c r="T30" s="143">
        <f>S31+S30</f>
        <v>1079932.8899999999</v>
      </c>
      <c r="U30" s="143">
        <f t="shared" ref="U30:AA30" si="29">T31+T30</f>
        <v>1117904.3699999999</v>
      </c>
      <c r="V30" s="143">
        <f t="shared" si="29"/>
        <v>1156817.2</v>
      </c>
      <c r="W30" s="143">
        <f t="shared" si="29"/>
        <v>1182390.8999999999</v>
      </c>
      <c r="X30" s="143">
        <f t="shared" si="29"/>
        <v>1214841.5613445377</v>
      </c>
      <c r="Y30" s="143">
        <f t="shared" si="29"/>
        <v>1247292.2226890754</v>
      </c>
      <c r="Z30" s="143">
        <f t="shared" si="29"/>
        <v>1279742.8840336131</v>
      </c>
      <c r="AA30" s="143">
        <f t="shared" si="29"/>
        <v>1312193.5453781509</v>
      </c>
      <c r="AB30" s="143">
        <f t="shared" ref="AB30" si="30">AA31+AA30</f>
        <v>1344644.2067226886</v>
      </c>
      <c r="AC30" s="143">
        <f t="shared" ref="AC30" si="31">AB31+AB30</f>
        <v>1377094.8680672264</v>
      </c>
      <c r="AD30" s="143">
        <f t="shared" ref="AD30" si="32">AC31+AC30</f>
        <v>1392138.2210084028</v>
      </c>
      <c r="AE30" s="143">
        <f t="shared" ref="AE30" si="33">AD31+AD30</f>
        <v>1407181.5739495791</v>
      </c>
      <c r="AF30" s="110"/>
      <c r="AG30" s="111"/>
      <c r="AH30" s="109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</row>
    <row r="31" spans="1:49" ht="30" customHeight="1" x14ac:dyDescent="0.25">
      <c r="A31" s="60"/>
      <c r="B31" s="51"/>
      <c r="C31" s="51"/>
      <c r="D31" s="120"/>
      <c r="E31" s="66" t="s">
        <v>60</v>
      </c>
      <c r="F31" s="67">
        <f>SUMIFS(Lojas!$Q$10:$Q$1000,Lojas!$E$10:$E$1000,"Renner",Lojas!$F$10:$F$1000,F$23-3)</f>
        <v>44165.660000000011</v>
      </c>
      <c r="G31" s="67">
        <f>SUMIFS(Lojas!$Q$10:$Q$1000,Lojas!$E$10:$E$1000,"Renner",Lojas!$F$10:$F$1000,G$23-3)</f>
        <v>45065.770000000004</v>
      </c>
      <c r="H31" s="67">
        <f>SUMIFS(Lojas!$Q$10:$Q$1000,Lojas!$E$10:$E$1000,"Renner",Lojas!$F$10:$F$1000,H$23-3)</f>
        <v>30249.599999999999</v>
      </c>
      <c r="I31" s="67">
        <f>SUMIFS(Lojas!$Q$10:$Q$1000,Lojas!$E$10:$E$1000,"Renner",Lojas!$F$10:$F$1000,I$23-3)</f>
        <v>38715.110000000008</v>
      </c>
      <c r="J31" s="67">
        <f>SUMIFS(Lojas!$Q$10:$Q$1000,Lojas!$E$10:$E$1000,"Renner",Lojas!$F$10:$F$1000,J$23-3)</f>
        <v>73441.95</v>
      </c>
      <c r="K31" s="67">
        <f>SUMIFS(Lojas!$Q$10:$Q$1000,Lojas!$E$10:$E$1000,"Renner",Lojas!$F$10:$F$1000,K$23-3)</f>
        <v>69245.570000000022</v>
      </c>
      <c r="L31" s="67">
        <f>SUMIFS(Lojas!$Q$10:$Q$1000,Lojas!$E$10:$E$1000,"Renner",Lojas!$F$10:$F$1000,L$23-3)</f>
        <v>77117.280000000013</v>
      </c>
      <c r="M31" s="67">
        <f>SUMIFS(Lojas!$Q$10:$Q$1000,Lojas!$E$10:$E$1000,"Renner",Lojas!$F$10:$F$1000,M$23-3)</f>
        <v>71356.409999999989</v>
      </c>
      <c r="N31" s="67">
        <f>SUMIFS(Lojas!$Q$10:$Q$1000,Lojas!$E$10:$E$1000,"Renner",Lojas!$F$10:$F$1000,N$23-3)</f>
        <v>57568.99</v>
      </c>
      <c r="O31" s="67">
        <f>SUMIFS(Lojas!$Q$10:$Q$1000,Lojas!$E$10:$E$1000,"Renner",Lojas!$F$10:$F$1000,O$23-3)</f>
        <v>53482.38</v>
      </c>
      <c r="P31" s="67">
        <f>SUMIFS(Lojas!$Q$10:$Q$1000,Lojas!$E$10:$E$1000,"Renner",Lojas!$F$10:$F$1000,P$23-3)</f>
        <v>69898.929999999993</v>
      </c>
      <c r="Q31" s="67">
        <f>SUMIFS(Lojas!$Q$10:$Q$1000,Lojas!$E$10:$E$1000,"Renner",Lojas!$F$10:$F$1000,Q$23-3)</f>
        <v>57546.219999999994</v>
      </c>
      <c r="R31" s="67">
        <f>SUMIFS(Lojas!$Q$10:$Q$1000,Lojas!$E$10:$E$1000,"Renner",Lojas!$F$10:$F$1000,R$23-3)</f>
        <v>64538.83</v>
      </c>
      <c r="S31" s="67">
        <f>SUMIFS(Lojas!$Q$10:$Q$1000,Lojas!$E$10:$E$1000,"Renner",Lojas!$F$10:$F$1000,S$23-3)</f>
        <v>14159.390000000001</v>
      </c>
      <c r="T31" s="143">
        <f>S32</f>
        <v>37971.480000000003</v>
      </c>
      <c r="U31" s="143">
        <f t="shared" ref="U31:AA33" si="34">T32</f>
        <v>38912.83</v>
      </c>
      <c r="V31" s="143">
        <f t="shared" si="34"/>
        <v>25573.7</v>
      </c>
      <c r="W31" s="143">
        <f t="shared" si="34"/>
        <v>32450.661344537821</v>
      </c>
      <c r="X31" s="143">
        <f t="shared" si="34"/>
        <v>32450.661344537821</v>
      </c>
      <c r="Y31" s="143">
        <f t="shared" si="34"/>
        <v>32450.661344537821</v>
      </c>
      <c r="Z31" s="143">
        <f t="shared" si="34"/>
        <v>32450.661344537821</v>
      </c>
      <c r="AA31" s="143">
        <f t="shared" si="34"/>
        <v>32450.661344537821</v>
      </c>
      <c r="AB31" s="143">
        <f t="shared" ref="AB31:AB33" si="35">AA32</f>
        <v>32450.661344537821</v>
      </c>
      <c r="AC31" s="143">
        <f t="shared" ref="AC31:AC33" si="36">AB32</f>
        <v>15043.352941176472</v>
      </c>
      <c r="AD31" s="143">
        <f t="shared" ref="AD31:AD33" si="37">AC32</f>
        <v>15043.352941176472</v>
      </c>
      <c r="AE31" s="143">
        <f t="shared" ref="AE31:AE33" si="38">AD32</f>
        <v>15043.352941176472</v>
      </c>
      <c r="AF31" s="110"/>
      <c r="AG31" s="119"/>
      <c r="AH31" s="109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</row>
    <row r="32" spans="1:49" ht="30" customHeight="1" x14ac:dyDescent="0.25">
      <c r="A32" s="60"/>
      <c r="B32" s="51"/>
      <c r="C32" s="51"/>
      <c r="D32" s="51"/>
      <c r="E32" s="66" t="s">
        <v>61</v>
      </c>
      <c r="F32" s="67">
        <f>SUMIFS(Lojas!$Q$10:$Q$1000,Lojas!$E$10:$E$1000,"Renner",Lojas!$F$10:$F$1000,F$23-2)</f>
        <v>45065.770000000004</v>
      </c>
      <c r="G32" s="67">
        <f>SUMIFS(Lojas!$Q$10:$Q$1000,Lojas!$E$10:$E$1000,"Renner",Lojas!$F$10:$F$1000,G$23-2)</f>
        <v>30249.599999999999</v>
      </c>
      <c r="H32" s="67">
        <f>SUMIFS(Lojas!$Q$10:$Q$1000,Lojas!$E$10:$E$1000,"Renner",Lojas!$F$10:$F$1000,H$23-2)</f>
        <v>38715.110000000008</v>
      </c>
      <c r="I32" s="67">
        <f>SUMIFS(Lojas!$Q$10:$Q$1000,Lojas!$E$10:$E$1000,"Renner",Lojas!$F$10:$F$1000,I$23-2)</f>
        <v>73441.95</v>
      </c>
      <c r="J32" s="67">
        <f>SUMIFS(Lojas!$Q$10:$Q$1000,Lojas!$E$10:$E$1000,"Renner",Lojas!$F$10:$F$1000,J$23-2)</f>
        <v>69245.570000000022</v>
      </c>
      <c r="K32" s="67">
        <f>SUMIFS(Lojas!$Q$10:$Q$1000,Lojas!$E$10:$E$1000,"Renner",Lojas!$F$10:$F$1000,K$23-2)</f>
        <v>77117.280000000013</v>
      </c>
      <c r="L32" s="67">
        <f>SUMIFS(Lojas!$Q$10:$Q$1000,Lojas!$E$10:$E$1000,"Renner",Lojas!$F$10:$F$1000,L$23-2)</f>
        <v>71356.409999999989</v>
      </c>
      <c r="M32" s="67">
        <f>SUMIFS(Lojas!$Q$10:$Q$1000,Lojas!$E$10:$E$1000,"Renner",Lojas!$F$10:$F$1000,M$23-2)</f>
        <v>57568.99</v>
      </c>
      <c r="N32" s="67">
        <f>SUMIFS(Lojas!$Q$10:$Q$1000,Lojas!$E$10:$E$1000,"Renner",Lojas!$F$10:$F$1000,N$23-2)</f>
        <v>53482.38</v>
      </c>
      <c r="O32" s="67">
        <f>SUMIFS(Lojas!$Q$10:$Q$1000,Lojas!$E$10:$E$1000,"Renner",Lojas!$F$10:$F$1000,O$23-2)</f>
        <v>69898.929999999993</v>
      </c>
      <c r="P32" s="67">
        <f>SUMIFS(Lojas!$Q$10:$Q$1000,Lojas!$E$10:$E$1000,"Renner",Lojas!$F$10:$F$1000,P$23-2)</f>
        <v>57546.219999999994</v>
      </c>
      <c r="Q32" s="67">
        <f>SUMIFS(Lojas!$Q$10:$Q$1000,Lojas!$E$10:$E$1000,"Renner",Lojas!$F$10:$F$1000,Q$23-2)</f>
        <v>64538.83</v>
      </c>
      <c r="R32" s="67">
        <f>SUMIFS(Lojas!$Q$10:$Q$1000,Lojas!$E$10:$E$1000,"Renner",Lojas!$F$10:$F$1000,R$23-2)</f>
        <v>14159.390000000001</v>
      </c>
      <c r="S32" s="67">
        <f>SUMIFS(Lojas!$Q$10:$Q$1000,Lojas!$E$10:$E$1000,"Renner",Lojas!$F$10:$F$1000,S$23-2)</f>
        <v>37971.480000000003</v>
      </c>
      <c r="T32" s="143">
        <f>S33</f>
        <v>38912.83</v>
      </c>
      <c r="U32" s="143">
        <f t="shared" si="34"/>
        <v>25573.7</v>
      </c>
      <c r="V32" s="143">
        <f t="shared" si="34"/>
        <v>32450.661344537821</v>
      </c>
      <c r="W32" s="143">
        <f t="shared" si="34"/>
        <v>32450.661344537821</v>
      </c>
      <c r="X32" s="143">
        <f t="shared" si="34"/>
        <v>32450.661344537821</v>
      </c>
      <c r="Y32" s="143">
        <f t="shared" si="34"/>
        <v>32450.661344537821</v>
      </c>
      <c r="Z32" s="143">
        <f t="shared" si="34"/>
        <v>32450.661344537821</v>
      </c>
      <c r="AA32" s="143">
        <f t="shared" si="34"/>
        <v>32450.661344537821</v>
      </c>
      <c r="AB32" s="143">
        <f t="shared" si="35"/>
        <v>15043.352941176472</v>
      </c>
      <c r="AC32" s="143">
        <f t="shared" si="36"/>
        <v>15043.352941176472</v>
      </c>
      <c r="AD32" s="143">
        <f t="shared" si="37"/>
        <v>15043.352941176472</v>
      </c>
      <c r="AE32" s="143">
        <f t="shared" si="38"/>
        <v>15043.352941176472</v>
      </c>
      <c r="AF32" s="110"/>
      <c r="AG32" s="119"/>
      <c r="AH32" s="109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</row>
    <row r="33" spans="1:49" ht="30" customHeight="1" x14ac:dyDescent="0.25">
      <c r="A33" s="60"/>
      <c r="B33" s="51"/>
      <c r="C33" s="51"/>
      <c r="D33" s="51"/>
      <c r="E33" s="121" t="s">
        <v>62</v>
      </c>
      <c r="F33" s="67">
        <f>SUMIFS(Lojas!$Q$10:$Q$1000,Lojas!$E$10:$E$1000,"Renner",Lojas!$F$10:$F$1000,F$23-1)</f>
        <v>30249.599999999999</v>
      </c>
      <c r="G33" s="67">
        <f>SUMIFS(Lojas!$Q$10:$Q$1000,Lojas!$E$10:$E$1000,"Renner",Lojas!$F$10:$F$1000,G$23-1)</f>
        <v>38715.110000000008</v>
      </c>
      <c r="H33" s="67">
        <f>SUMIFS(Lojas!$Q$10:$Q$1000,Lojas!$E$10:$E$1000,"Renner",Lojas!$F$10:$F$1000,H$23-1)</f>
        <v>73441.95</v>
      </c>
      <c r="I33" s="67">
        <f>SUMIFS(Lojas!$Q$10:$Q$1000,Lojas!$E$10:$E$1000,"Renner",Lojas!$F$10:$F$1000,I$23-1)</f>
        <v>69245.570000000022</v>
      </c>
      <c r="J33" s="67">
        <f>SUMIFS(Lojas!$Q$10:$Q$1000,Lojas!$E$10:$E$1000,"Renner",Lojas!$F$10:$F$1000,J$23-1)</f>
        <v>77117.280000000013</v>
      </c>
      <c r="K33" s="67">
        <f>SUMIFS(Lojas!$Q$10:$Q$1000,Lojas!$E$10:$E$1000,"Renner",Lojas!$F$10:$F$1000,K$23-1)</f>
        <v>71356.409999999989</v>
      </c>
      <c r="L33" s="67">
        <f>SUMIFS(Lojas!$Q$10:$Q$1000,Lojas!$E$10:$E$1000,"Renner",Lojas!$F$10:$F$1000,L$23-1)</f>
        <v>57568.99</v>
      </c>
      <c r="M33" s="67">
        <f>SUMIFS(Lojas!$Q$10:$Q$1000,Lojas!$E$10:$E$1000,"Renner",Lojas!$F$10:$F$1000,M$23-1)</f>
        <v>53482.38</v>
      </c>
      <c r="N33" s="67">
        <f>SUMIFS(Lojas!$Q$10:$Q$1000,Lojas!$E$10:$E$1000,"Renner",Lojas!$F$10:$F$1000,N$23-1)</f>
        <v>69898.929999999993</v>
      </c>
      <c r="O33" s="67">
        <f>SUMIFS(Lojas!$Q$10:$Q$1000,Lojas!$E$10:$E$1000,"Renner",Lojas!$F$10:$F$1000,O$23-1)</f>
        <v>57546.219999999994</v>
      </c>
      <c r="P33" s="67">
        <f>SUMIFS(Lojas!$Q$10:$Q$1000,Lojas!$E$10:$E$1000,"Renner",Lojas!$F$10:$F$1000,P$23-1)</f>
        <v>64538.83</v>
      </c>
      <c r="Q33" s="67">
        <f>SUMIFS(Lojas!$Q$10:$Q$1000,Lojas!$E$10:$E$1000,"Renner",Lojas!$F$10:$F$1000,Q$23-1)</f>
        <v>14159.390000000001</v>
      </c>
      <c r="R33" s="67">
        <f>SUMIFS(Lojas!$Q$10:$Q$1000,Lojas!$E$10:$E$1000,"Renner",Lojas!$F$10:$F$1000,R$23-1)</f>
        <v>37971.480000000003</v>
      </c>
      <c r="S33" s="67">
        <f>SUMIFS(Lojas!$Q$10:$Q$1000,Lojas!$E$10:$E$1000,"Renner",Lojas!$F$10:$F$1000,S$23-1)</f>
        <v>38912.83</v>
      </c>
      <c r="T33" s="143">
        <f>S34</f>
        <v>25573.7</v>
      </c>
      <c r="U33" s="143">
        <f t="shared" si="34"/>
        <v>32450.661344537821</v>
      </c>
      <c r="V33" s="143">
        <f t="shared" si="34"/>
        <v>32450.661344537821</v>
      </c>
      <c r="W33" s="143">
        <f t="shared" si="34"/>
        <v>32450.661344537821</v>
      </c>
      <c r="X33" s="143">
        <f t="shared" si="34"/>
        <v>32450.661344537821</v>
      </c>
      <c r="Y33" s="143">
        <f t="shared" si="34"/>
        <v>32450.661344537821</v>
      </c>
      <c r="Z33" s="143">
        <f t="shared" si="34"/>
        <v>32450.661344537821</v>
      </c>
      <c r="AA33" s="143">
        <f t="shared" si="34"/>
        <v>15043.352941176472</v>
      </c>
      <c r="AB33" s="143">
        <f t="shared" si="35"/>
        <v>15043.352941176472</v>
      </c>
      <c r="AC33" s="143">
        <f t="shared" si="36"/>
        <v>15043.352941176472</v>
      </c>
      <c r="AD33" s="143">
        <f t="shared" si="37"/>
        <v>15043.352941176472</v>
      </c>
      <c r="AE33" s="143">
        <f t="shared" si="38"/>
        <v>15043.352941176472</v>
      </c>
      <c r="AF33" s="110"/>
      <c r="AG33" s="122"/>
      <c r="AH33" s="109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</row>
    <row r="34" spans="1:49" ht="30" customHeight="1" x14ac:dyDescent="0.25">
      <c r="A34" s="60"/>
      <c r="B34" s="51"/>
      <c r="C34" s="51"/>
      <c r="D34" s="51"/>
      <c r="E34" s="66" t="s">
        <v>63</v>
      </c>
      <c r="F34" s="67">
        <f>SUMIFS(Lojas!$Q$10:$Q$1000,Lojas!$E$10:$E$1000,"Renner",Lojas!$F$10:$F$1000,F$23)</f>
        <v>38715.110000000008</v>
      </c>
      <c r="G34" s="67">
        <f>SUMIFS(Lojas!$Q$10:$Q$1000,Lojas!$E$10:$E$1000,"Renner",Lojas!$F$10:$F$1000,G$23)</f>
        <v>73441.95</v>
      </c>
      <c r="H34" s="67">
        <f>SUMIFS(Lojas!$Q$10:$Q$1000,Lojas!$E$10:$E$1000,"Renner",Lojas!$F$10:$F$1000,H$23)</f>
        <v>69245.570000000022</v>
      </c>
      <c r="I34" s="67">
        <f>SUMIFS(Lojas!$Q$10:$Q$1000,Lojas!$E$10:$E$1000,"Renner",Lojas!$F$10:$F$1000,I$23)</f>
        <v>77117.280000000013</v>
      </c>
      <c r="J34" s="67">
        <f>SUMIFS(Lojas!$Q$10:$Q$1000,Lojas!$E$10:$E$1000,"Renner",Lojas!$F$10:$F$1000,J$23)</f>
        <v>71356.409999999989</v>
      </c>
      <c r="K34" s="67">
        <f>SUMIFS(Lojas!$Q$10:$Q$1000,Lojas!$E$10:$E$1000,"Renner",Lojas!$F$10:$F$1000,K$23)</f>
        <v>57568.99</v>
      </c>
      <c r="L34" s="67">
        <f>SUMIFS(Lojas!$Q$10:$Q$1000,Lojas!$E$10:$E$1000,"Renner",Lojas!$F$10:$F$1000,L$23)</f>
        <v>53482.38</v>
      </c>
      <c r="M34" s="67">
        <f>SUMIFS(Lojas!$Q$10:$Q$1000,Lojas!$E$10:$E$1000,"Renner",Lojas!$F$10:$F$1000,M$23)</f>
        <v>69898.929999999993</v>
      </c>
      <c r="N34" s="67">
        <f>SUMIFS(Lojas!$Q$10:$Q$1000,Lojas!$E$10:$E$1000,"Renner",Lojas!$F$10:$F$1000,N$23)</f>
        <v>57546.219999999994</v>
      </c>
      <c r="O34" s="67">
        <f>SUMIFS(Lojas!$Q$10:$Q$1000,Lojas!$E$10:$E$1000,"Renner",Lojas!$F$10:$F$1000,O$23)</f>
        <v>64538.83</v>
      </c>
      <c r="P34" s="67">
        <f>SUMIFS(Lojas!$Q$10:$Q$1000,Lojas!$E$10:$E$1000,"Renner",Lojas!$F$10:$F$1000,P$23)</f>
        <v>14159.390000000001</v>
      </c>
      <c r="Q34" s="67">
        <f>SUMIFS(Lojas!$Q$10:$Q$1000,Lojas!$E$10:$E$1000,"Renner",Lojas!$F$10:$F$1000,Q$23)</f>
        <v>37971.480000000003</v>
      </c>
      <c r="R34" s="67">
        <f>SUMIFS(Lojas!$Q$10:$Q$1000,Lojas!$E$10:$E$1000,"Renner",Lojas!$F$10:$F$1000,R$23)</f>
        <v>38912.83</v>
      </c>
      <c r="S34" s="67">
        <f>SUMIFS(Lojas!$Q$10:$Q$1000,Lojas!$E$10:$E$1000,"Renner",Lojas!$F$10:$F$1000,S$23)</f>
        <v>25573.7</v>
      </c>
      <c r="T34" s="143">
        <f t="shared" ref="T34:AE34" si="39">T25*T26</f>
        <v>32450.661344537821</v>
      </c>
      <c r="U34" s="143">
        <f t="shared" si="39"/>
        <v>32450.661344537821</v>
      </c>
      <c r="V34" s="143">
        <f t="shared" si="39"/>
        <v>32450.661344537821</v>
      </c>
      <c r="W34" s="143">
        <f t="shared" si="39"/>
        <v>32450.661344537821</v>
      </c>
      <c r="X34" s="143">
        <f t="shared" si="39"/>
        <v>32450.661344537821</v>
      </c>
      <c r="Y34" s="143">
        <f t="shared" si="39"/>
        <v>32450.661344537821</v>
      </c>
      <c r="Z34" s="143">
        <f t="shared" si="39"/>
        <v>15043.352941176472</v>
      </c>
      <c r="AA34" s="143">
        <f t="shared" si="39"/>
        <v>15043.352941176472</v>
      </c>
      <c r="AB34" s="143">
        <f t="shared" si="39"/>
        <v>15043.352941176472</v>
      </c>
      <c r="AC34" s="143">
        <f t="shared" si="39"/>
        <v>15043.352941176472</v>
      </c>
      <c r="AD34" s="143">
        <f t="shared" si="39"/>
        <v>15043.352941176472</v>
      </c>
      <c r="AE34" s="143">
        <f t="shared" si="39"/>
        <v>15043.352941176472</v>
      </c>
      <c r="AF34" s="110"/>
      <c r="AG34" s="122"/>
      <c r="AH34" s="109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</row>
    <row r="35" spans="1:49" ht="30" customHeight="1" x14ac:dyDescent="0.25">
      <c r="A35" s="60"/>
      <c r="B35" s="51"/>
      <c r="C35" s="51"/>
      <c r="D35" s="51"/>
      <c r="E35" s="70" t="s">
        <v>1152</v>
      </c>
      <c r="F35" s="64">
        <f>($E$19*F34)+(F33*$F$19)+(F32*$G$19)+(F31*$H$19)+F30</f>
        <v>424088.63500000001</v>
      </c>
      <c r="G35" s="64">
        <f>($E$19*G34)+(G33*$F$19)+(G32*$G$19)+(G31*$H$19)+G30-SUM($F28:F28)</f>
        <v>480584.12749999994</v>
      </c>
      <c r="H35" s="64">
        <f>($E$19*H34)+(H33*$F$19)+(H32*$G$19)+(H31*$H$19)+H30-SUM($F28:G28)</f>
        <v>538640.96624999982</v>
      </c>
      <c r="I35" s="64">
        <f>($E$19*I34)+(I33*$F$19)+(I32*$G$19)+(I31*$H$19)+I30-SUM($F28:H28)</f>
        <v>603656.13499999978</v>
      </c>
      <c r="J35" s="64">
        <f>($E$19*J34)+(J33*$F$19)+(J32*$G$19)+(J31*$H$19)+J30-SUM($F28:I28)</f>
        <v>671649.32874999987</v>
      </c>
      <c r="K35" s="64">
        <f>($E$19*K34)+(K33*$F$19)+(K32*$G$19)+(K31*$H$19)+K30-SUM($F28:J28)</f>
        <v>736828.97499999986</v>
      </c>
      <c r="L35" s="64">
        <f>($E$19*L34)+(L33*$F$19)+(L32*$G$19)+(L31*$H$19)+L30-SUM($F28:K28)</f>
        <v>797981.1962500005</v>
      </c>
      <c r="M35" s="64">
        <f>($E$19*M34)+(M33*$F$19)+(M32*$G$19)+(M31*$H$19)+M30-SUM($F28:L28)</f>
        <v>865371.29375000065</v>
      </c>
      <c r="N35" s="64">
        <f>($E$19*N34)+(N33*$F$19)+(N32*$G$19)+(N31*$H$19)+N30-SUM($F28:M28)</f>
        <v>917952.01250000042</v>
      </c>
      <c r="O35" s="64">
        <f>($E$19*O34)+(O33*$F$19)+(O32*$G$19)+(O31*$H$19)+O30-SUM($F28:N28)</f>
        <v>973224.08250000002</v>
      </c>
      <c r="P35" s="64">
        <f>($E$19*P34)+(P33*$F$19)+(P32*$G$19)+(P31*$H$19)+P30-SUM($F28:O28)</f>
        <v>1010987.0725</v>
      </c>
      <c r="Q35" s="64">
        <f>($E$19*Q34)+(Q33*$F$19)+(Q32*$G$19)+(Q31*$H$19)+Q30-SUM($F28:P28)</f>
        <v>1049733.9737500001</v>
      </c>
      <c r="R35" s="64">
        <f>($E$19*R34)+(R33*$F$19)+(R32*$G$19)+(R31*$H$19)+R30-SUM($F28:Q28)</f>
        <v>1089257.7787500001</v>
      </c>
      <c r="S35" s="64">
        <f>($E$19*S34)+(S33*$F$19)+(S32*$G$19)+(S31*$H$19)+S30-SUM($F28:R28)</f>
        <v>1116025.165</v>
      </c>
      <c r="T35" s="142">
        <f>($E$19*T34)+(T33*$F$19)+(T32*$G$19)+(T31*$H$19)+T30-SUM($F28:S28)</f>
        <v>1146827.6706722688</v>
      </c>
      <c r="U35" s="142">
        <f>($E$19*U34)+(U33*$F$19)+(U32*$G$19)+(U31*$H$19)+U30-SUM($F28:T28)</f>
        <v>1179916.585262605</v>
      </c>
      <c r="V35" s="142">
        <f>($E$19*V34)+(V33*$F$19)+(V32*$G$19)+(V31*$H$19)+V30-SUM($F28:U28)</f>
        <v>1212315.3975210083</v>
      </c>
      <c r="W35" s="142">
        <f>($E$19*W34)+(W33*$F$19)+(W32*$G$19)+(W31*$H$19)+W30-SUM($F28:V28)</f>
        <v>1243906.438697479</v>
      </c>
      <c r="X35" s="142">
        <f>($E$19*X34)+(X33*$F$19)+(X32*$G$19)+(X31*$H$19)+X30-SUM($F28:W28)</f>
        <v>1276357.1000420167</v>
      </c>
      <c r="Y35" s="142">
        <f>($E$19*Y34)+(Y33*$F$19)+(Y32*$G$19)+(Y31*$H$19)+Y30-SUM($F28:X28)</f>
        <v>1308807.7613865545</v>
      </c>
      <c r="Z35" s="142">
        <f>($E$19*Z34)+(Z33*$F$19)+(Z32*$G$19)+(Z31*$H$19)+Z30-SUM($F28:Y28)</f>
        <v>1332554.7685294114</v>
      </c>
      <c r="AA35" s="142">
        <f>($E$19*AA34)+(AA33*$F$19)+(AA32*$G$19)+(AA31*$H$19)+AA30-SUM($F28:Z28)</f>
        <v>1354125.8621218484</v>
      </c>
      <c r="AB35" s="142">
        <f>($E$19*AB34)+(AB33*$F$19)+(AB32*$G$19)+(AB31*$H$19)+AB30-SUM($F28:AA28)</f>
        <v>1373521.0421638652</v>
      </c>
      <c r="AC35" s="142">
        <f>($E$19*AC34)+(AC33*$F$19)+(AC32*$G$19)+(AC31*$H$19)+AC30-SUM($F28:AB28)</f>
        <v>1390740.3086554615</v>
      </c>
      <c r="AD35" s="142">
        <f>($E$19*AD34)+(AD33*$F$19)+(AD32*$G$19)+(AD31*$H$19)+AD30-SUM($F28:AC28)</f>
        <v>1405783.6615966379</v>
      </c>
      <c r="AE35" s="142">
        <f>($E$19*AE34)+(AE33*$F$19)+(AE32*$G$19)+(AE31*$H$19)+AE30-SUM($F28:AD28)</f>
        <v>1420827.0145378143</v>
      </c>
      <c r="AF35" s="174"/>
      <c r="AG35" s="122"/>
      <c r="AH35" s="109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</row>
    <row r="36" spans="1:49" ht="30" customHeight="1" thickBot="1" x14ac:dyDescent="0.3">
      <c r="A36" s="60"/>
      <c r="B36" s="51"/>
      <c r="C36" s="51"/>
      <c r="D36" s="51"/>
      <c r="E36" s="123" t="s">
        <v>64</v>
      </c>
      <c r="F36" s="124">
        <f t="shared" ref="F36:Q36" si="40">F11/F35</f>
        <v>5.8070006992759895</v>
      </c>
      <c r="G36" s="124">
        <f t="shared" si="40"/>
        <v>6.0272839535259104</v>
      </c>
      <c r="H36" s="124">
        <f t="shared" si="40"/>
        <v>6.4272125904237258</v>
      </c>
      <c r="I36" s="124">
        <f t="shared" si="40"/>
        <v>6.1474085668159431</v>
      </c>
      <c r="J36" s="124">
        <f t="shared" si="40"/>
        <v>6.536253133566488</v>
      </c>
      <c r="K36" s="124">
        <f t="shared" si="40"/>
        <v>6.9410662950788655</v>
      </c>
      <c r="L36" s="124">
        <f t="shared" si="40"/>
        <v>6.6309216353041283</v>
      </c>
      <c r="M36" s="124">
        <f t="shared" si="40"/>
        <v>6.9700321858405685</v>
      </c>
      <c r="N36" s="124">
        <f t="shared" si="40"/>
        <v>7.4087355824169467</v>
      </c>
      <c r="O36" s="124">
        <f t="shared" si="40"/>
        <v>7.9409860008473432</v>
      </c>
      <c r="P36" s="124">
        <f t="shared" si="40"/>
        <v>5.9160459684414013</v>
      </c>
      <c r="Q36" s="124">
        <f t="shared" si="40"/>
        <v>8.2057611300112505</v>
      </c>
      <c r="R36" s="124">
        <f t="shared" ref="R36:S36" si="41">R11/R35</f>
        <v>9.7340392322903995</v>
      </c>
      <c r="S36" s="124">
        <f t="shared" si="41"/>
        <v>9.6393616356312162</v>
      </c>
      <c r="T36" s="144">
        <f t="shared" ref="T36:AE36" si="42">S36*(1+$AF$36)</f>
        <v>10.022562329408894</v>
      </c>
      <c r="U36" s="144">
        <f t="shared" si="42"/>
        <v>10.420996684632462</v>
      </c>
      <c r="V36" s="144">
        <f t="shared" si="42"/>
        <v>10.835270296346019</v>
      </c>
      <c r="W36" s="144">
        <f t="shared" si="42"/>
        <v>11.266012834262698</v>
      </c>
      <c r="X36" s="144">
        <f t="shared" si="42"/>
        <v>11.713878999822841</v>
      </c>
      <c r="Y36" s="144">
        <f t="shared" si="42"/>
        <v>12.179549521298815</v>
      </c>
      <c r="Z36" s="144">
        <f t="shared" si="42"/>
        <v>12.663732188458981</v>
      </c>
      <c r="AA36" s="144">
        <f t="shared" si="42"/>
        <v>13.16716292836341</v>
      </c>
      <c r="AB36" s="144">
        <f t="shared" si="42"/>
        <v>13.690606923926524</v>
      </c>
      <c r="AC36" s="144">
        <f t="shared" si="42"/>
        <v>14.234859776946763</v>
      </c>
      <c r="AD36" s="144">
        <f t="shared" si="42"/>
        <v>14.800748717371061</v>
      </c>
      <c r="AE36" s="144">
        <f t="shared" si="42"/>
        <v>15.389133860632082</v>
      </c>
      <c r="AF36" s="178">
        <f>(S36/F36)^(1/COUNT(F23:R23))-1</f>
        <v>3.9753741820537591E-2</v>
      </c>
      <c r="AG36" s="185" t="s">
        <v>1063</v>
      </c>
      <c r="AH36" s="113">
        <v>2</v>
      </c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</row>
    <row r="37" spans="1:49" ht="30" customHeight="1" x14ac:dyDescent="0.25">
      <c r="A37" s="6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</row>
    <row r="38" spans="1:49" ht="30" customHeight="1" x14ac:dyDescent="0.25">
      <c r="A38" s="60"/>
      <c r="B38" s="51"/>
      <c r="C38" s="51"/>
      <c r="D38" s="51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</row>
    <row r="39" spans="1:49" ht="30" customHeight="1" x14ac:dyDescent="0.25">
      <c r="A39" s="60"/>
      <c r="B39" s="51"/>
      <c r="C39" s="51"/>
      <c r="D39" s="51"/>
      <c r="E39" s="58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73"/>
      <c r="AG39" s="59"/>
      <c r="AH39" s="105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</row>
    <row r="40" spans="1:49" ht="30" customHeight="1" x14ac:dyDescent="0.25">
      <c r="A40" s="60"/>
      <c r="B40" s="51"/>
      <c r="C40" s="51"/>
      <c r="D40" s="51"/>
      <c r="E40" s="70" t="s">
        <v>451</v>
      </c>
      <c r="F40" s="116">
        <v>2010</v>
      </c>
      <c r="G40" s="117">
        <v>2011</v>
      </c>
      <c r="H40" s="117">
        <v>2012</v>
      </c>
      <c r="I40" s="116">
        <v>2013</v>
      </c>
      <c r="J40" s="117">
        <v>2014</v>
      </c>
      <c r="K40" s="117">
        <v>2015</v>
      </c>
      <c r="L40" s="116">
        <v>2016</v>
      </c>
      <c r="M40" s="117">
        <v>2017</v>
      </c>
      <c r="N40" s="117">
        <v>2018</v>
      </c>
      <c r="O40" s="117">
        <v>2019</v>
      </c>
      <c r="P40" s="117">
        <v>2020</v>
      </c>
      <c r="Q40" s="117">
        <v>2021</v>
      </c>
      <c r="R40" s="117">
        <v>2022</v>
      </c>
      <c r="S40" s="117">
        <v>2023</v>
      </c>
      <c r="T40" s="140">
        <v>2024</v>
      </c>
      <c r="U40" s="140">
        <v>2025</v>
      </c>
      <c r="V40" s="140">
        <v>2026</v>
      </c>
      <c r="W40" s="140">
        <v>2027</v>
      </c>
      <c r="X40" s="140">
        <v>2028</v>
      </c>
      <c r="Y40" s="140">
        <v>2029</v>
      </c>
      <c r="Z40" s="140">
        <v>2030</v>
      </c>
      <c r="AA40" s="140">
        <v>2031</v>
      </c>
      <c r="AB40" s="140">
        <v>2032</v>
      </c>
      <c r="AC40" s="140">
        <v>2033</v>
      </c>
      <c r="AD40" s="140">
        <v>2034</v>
      </c>
      <c r="AE40" s="140">
        <v>2035</v>
      </c>
      <c r="AF40" s="175" t="s">
        <v>1348</v>
      </c>
      <c r="AG40" s="116" t="s">
        <v>38</v>
      </c>
      <c r="AH40" s="107" t="s">
        <v>72</v>
      </c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</row>
    <row r="41" spans="1:49" ht="30" customHeight="1" x14ac:dyDescent="0.25">
      <c r="A41" s="60"/>
      <c r="B41" s="51"/>
      <c r="C41" s="51"/>
      <c r="D41" s="51"/>
      <c r="E41" s="70" t="s">
        <v>376</v>
      </c>
      <c r="F41" s="117">
        <v>0</v>
      </c>
      <c r="G41" s="117">
        <v>0</v>
      </c>
      <c r="H41" s="117">
        <v>0</v>
      </c>
      <c r="I41" s="117">
        <v>46</v>
      </c>
      <c r="J41" s="117">
        <f>I41+J42-J44</f>
        <v>59</v>
      </c>
      <c r="K41" s="117">
        <f t="shared" ref="K41:S41" si="43">J41+K42-K44</f>
        <v>68</v>
      </c>
      <c r="L41" s="117">
        <f t="shared" si="43"/>
        <v>83</v>
      </c>
      <c r="M41" s="117">
        <f t="shared" si="43"/>
        <v>98</v>
      </c>
      <c r="N41" s="117">
        <f t="shared" si="43"/>
        <v>108</v>
      </c>
      <c r="O41" s="117">
        <f t="shared" si="43"/>
        <v>114</v>
      </c>
      <c r="P41" s="117">
        <f t="shared" si="43"/>
        <v>113</v>
      </c>
      <c r="Q41" s="117">
        <f t="shared" si="43"/>
        <v>119</v>
      </c>
      <c r="R41" s="117">
        <f t="shared" si="43"/>
        <v>123</v>
      </c>
      <c r="S41" s="117">
        <f t="shared" si="43"/>
        <v>107</v>
      </c>
      <c r="T41" s="141">
        <f>S41+T42</f>
        <v>110</v>
      </c>
      <c r="U41" s="141">
        <f t="shared" ref="U41:X41" si="44">T41+U42</f>
        <v>112</v>
      </c>
      <c r="V41" s="141">
        <f t="shared" si="44"/>
        <v>114</v>
      </c>
      <c r="W41" s="141">
        <f t="shared" si="44"/>
        <v>116</v>
      </c>
      <c r="X41" s="141">
        <f t="shared" si="44"/>
        <v>118</v>
      </c>
      <c r="Y41" s="141">
        <v>126</v>
      </c>
      <c r="Z41" s="141">
        <f t="shared" ref="Z41" si="45">Y41+Z42</f>
        <v>128</v>
      </c>
      <c r="AA41" s="141">
        <f t="shared" ref="AA41" si="46">Z41+AA42</f>
        <v>130</v>
      </c>
      <c r="AB41" s="141">
        <f t="shared" ref="AB41" si="47">AA41+AB42</f>
        <v>132</v>
      </c>
      <c r="AC41" s="141">
        <f t="shared" ref="AC41" si="48">AB41+AC42</f>
        <v>134</v>
      </c>
      <c r="AD41" s="141">
        <f t="shared" ref="AD41" si="49">AC41+AD42</f>
        <v>136</v>
      </c>
      <c r="AE41" s="141">
        <f t="shared" ref="AE41" si="50">AD41+AE42</f>
        <v>138</v>
      </c>
      <c r="AF41" s="176"/>
      <c r="AG41" s="111"/>
      <c r="AH41" s="109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</row>
    <row r="42" spans="1:49" ht="30" customHeight="1" x14ac:dyDescent="0.25">
      <c r="A42" s="60"/>
      <c r="B42" s="51"/>
      <c r="C42" s="51"/>
      <c r="D42" s="51"/>
      <c r="E42" s="66" t="s">
        <v>74</v>
      </c>
      <c r="F42" s="118">
        <v>0</v>
      </c>
      <c r="G42" s="118">
        <v>0</v>
      </c>
      <c r="H42" s="118">
        <v>0</v>
      </c>
      <c r="I42" s="118">
        <v>0</v>
      </c>
      <c r="J42" s="118">
        <f>COUNTIFS(Lojas!$E$10:$E$1000,"Camicado",Lojas!$F$10:$F$1000,J40)</f>
        <v>13</v>
      </c>
      <c r="K42" s="118">
        <f>COUNTIFS(Lojas!$E$10:$E$1000,"Camicado",Lojas!$F$10:$F$1000,K40)</f>
        <v>10</v>
      </c>
      <c r="L42" s="118">
        <f>COUNTIFS(Lojas!$E$10:$E$1000,"Camicado",Lojas!$F$10:$F$1000,L40)</f>
        <v>17</v>
      </c>
      <c r="M42" s="118">
        <f>COUNTIFS(Lojas!$E$10:$E$1000,"Camicado",Lojas!$F$10:$F$1000,M40)</f>
        <v>15</v>
      </c>
      <c r="N42" s="118">
        <f>COUNTIFS(Lojas!$E$10:$E$1000,"Camicado",Lojas!$F$10:$F$1000,N40)</f>
        <v>10</v>
      </c>
      <c r="O42" s="118">
        <f>COUNTIFS(Lojas!$E$10:$E$1000,"Camicado",Lojas!$F$10:$F$1000,O40)</f>
        <v>9</v>
      </c>
      <c r="P42" s="118">
        <f>COUNTIFS(Lojas!$E$10:$E$1000,"Camicado",Lojas!$F$10:$F$1000,P40)</f>
        <v>2</v>
      </c>
      <c r="Q42" s="118">
        <f>COUNTIFS(Lojas!$E$10:$E$1000,"Camicado",Lojas!$F$10:$F$1000,Q40)</f>
        <v>6</v>
      </c>
      <c r="R42" s="118">
        <f>COUNTIFS(Lojas!$E$10:$E$1000,"Camicado",Lojas!$F$10:$F$1000,R40)</f>
        <v>4</v>
      </c>
      <c r="S42" s="118">
        <f>COUNTIFS(Lojas!$E$10:$E$1000,"Camicado",Lojas!$F$10:$F$1000,S40)</f>
        <v>0</v>
      </c>
      <c r="T42" s="143">
        <v>3</v>
      </c>
      <c r="U42" s="143">
        <v>2</v>
      </c>
      <c r="V42" s="143">
        <v>2</v>
      </c>
      <c r="W42" s="143">
        <v>2</v>
      </c>
      <c r="X42" s="143">
        <v>2</v>
      </c>
      <c r="Y42" s="143">
        <v>2</v>
      </c>
      <c r="Z42" s="143">
        <f t="shared" ref="U42:AA43" si="51">Y42</f>
        <v>2</v>
      </c>
      <c r="AA42" s="143">
        <f t="shared" si="51"/>
        <v>2</v>
      </c>
      <c r="AB42" s="143">
        <f t="shared" ref="AB42:AB43" si="52">AA42</f>
        <v>2</v>
      </c>
      <c r="AC42" s="143">
        <f t="shared" ref="AC42:AC43" si="53">AB42</f>
        <v>2</v>
      </c>
      <c r="AD42" s="143">
        <f t="shared" ref="AD42:AE43" si="54">AC42</f>
        <v>2</v>
      </c>
      <c r="AE42" s="143">
        <f t="shared" ref="AE42" si="55">AD42</f>
        <v>2</v>
      </c>
      <c r="AF42" s="177"/>
      <c r="AG42" s="108" t="s">
        <v>1190</v>
      </c>
      <c r="AH42" s="109">
        <v>3</v>
      </c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</row>
    <row r="43" spans="1:49" ht="30" customHeight="1" x14ac:dyDescent="0.25">
      <c r="A43" s="60"/>
      <c r="B43" s="51"/>
      <c r="C43" s="51"/>
      <c r="D43" s="51"/>
      <c r="E43" s="69" t="s">
        <v>1069</v>
      </c>
      <c r="F43" s="227">
        <v>0</v>
      </c>
      <c r="G43" s="227">
        <v>0</v>
      </c>
      <c r="H43" s="227">
        <v>0</v>
      </c>
      <c r="I43" s="227">
        <v>0</v>
      </c>
      <c r="J43" s="227">
        <f t="shared" ref="J43:O43" si="56">J51/J42</f>
        <v>459.17846153846159</v>
      </c>
      <c r="K43" s="227">
        <f t="shared" si="56"/>
        <v>505.70799999999997</v>
      </c>
      <c r="L43" s="227">
        <f t="shared" si="56"/>
        <v>501.43294117647065</v>
      </c>
      <c r="M43" s="227">
        <f t="shared" si="56"/>
        <v>508.53399999999993</v>
      </c>
      <c r="N43" s="227">
        <f t="shared" si="56"/>
        <v>636.35</v>
      </c>
      <c r="O43" s="227">
        <f t="shared" si="56"/>
        <v>515.38222222222225</v>
      </c>
      <c r="P43" s="227">
        <v>0</v>
      </c>
      <c r="Q43" s="227">
        <f>Q51/Q42</f>
        <v>542.9666666666667</v>
      </c>
      <c r="R43" s="227">
        <f>R51/R42</f>
        <v>652</v>
      </c>
      <c r="S43" s="227" t="str">
        <f>IFERROR(S51/S42,"0")</f>
        <v>0</v>
      </c>
      <c r="T43" s="228">
        <f>AVERAGE(Q43:R43)</f>
        <v>597.48333333333335</v>
      </c>
      <c r="U43" s="228">
        <f t="shared" si="51"/>
        <v>597.48333333333335</v>
      </c>
      <c r="V43" s="228">
        <f t="shared" si="51"/>
        <v>597.48333333333335</v>
      </c>
      <c r="W43" s="228">
        <f t="shared" si="51"/>
        <v>597.48333333333335</v>
      </c>
      <c r="X43" s="228">
        <f t="shared" si="51"/>
        <v>597.48333333333335</v>
      </c>
      <c r="Y43" s="228">
        <f t="shared" si="51"/>
        <v>597.48333333333335</v>
      </c>
      <c r="Z43" s="228">
        <f t="shared" si="51"/>
        <v>597.48333333333335</v>
      </c>
      <c r="AA43" s="228">
        <f t="shared" si="51"/>
        <v>597.48333333333335</v>
      </c>
      <c r="AB43" s="228">
        <f t="shared" si="52"/>
        <v>597.48333333333335</v>
      </c>
      <c r="AC43" s="228">
        <f t="shared" si="53"/>
        <v>597.48333333333335</v>
      </c>
      <c r="AD43" s="228">
        <f t="shared" si="54"/>
        <v>597.48333333333335</v>
      </c>
      <c r="AE43" s="228">
        <f t="shared" si="54"/>
        <v>597.48333333333335</v>
      </c>
      <c r="AF43" s="110"/>
      <c r="AG43" s="108" t="s">
        <v>1151</v>
      </c>
      <c r="AH43" s="109">
        <v>5</v>
      </c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</row>
    <row r="44" spans="1:49" ht="30" customHeight="1" x14ac:dyDescent="0.25">
      <c r="A44" s="60"/>
      <c r="B44" s="51"/>
      <c r="C44" s="51"/>
      <c r="D44" s="51"/>
      <c r="E44" s="66" t="s">
        <v>1067</v>
      </c>
      <c r="F44" s="118">
        <v>0</v>
      </c>
      <c r="G44" s="118">
        <v>0</v>
      </c>
      <c r="H44" s="118">
        <v>0</v>
      </c>
      <c r="I44" s="118">
        <f>COUNTIFS(Lojas!$E$10:$E$1000,"Camicado",Lojas!$H$10:$H$1000,I40)</f>
        <v>0</v>
      </c>
      <c r="J44" s="118">
        <f>COUNTIFS(Lojas!$E$10:$E$1000,"Camicado",Lojas!$H$10:$H$1000,J40)</f>
        <v>0</v>
      </c>
      <c r="K44" s="118">
        <f>COUNTIFS(Lojas!$E$10:$E$1000,"Camicado",Lojas!$H$10:$H$1000,K40)</f>
        <v>1</v>
      </c>
      <c r="L44" s="118">
        <f>COUNTIFS(Lojas!$E$10:$E$1000,"Camicado",Lojas!$H$10:$H$1000,L40)</f>
        <v>2</v>
      </c>
      <c r="M44" s="118">
        <f>COUNTIFS(Lojas!$E$10:$E$1000,"Camicado",Lojas!$H$10:$H$1000,M40)</f>
        <v>0</v>
      </c>
      <c r="N44" s="118">
        <f>COUNTIFS(Lojas!$E$10:$E$1000,"Camicado",Lojas!$H$10:$H$1000,N40)</f>
        <v>0</v>
      </c>
      <c r="O44" s="118">
        <f>COUNTIFS(Lojas!$E$10:$E$1000,"Camicado",Lojas!$H$10:$H$1000,O40)</f>
        <v>3</v>
      </c>
      <c r="P44" s="118">
        <f>COUNTIFS(Lojas!$E$10:$E$1000,"Camicado",Lojas!$H$10:$H$1000,P40)</f>
        <v>3</v>
      </c>
      <c r="Q44" s="118">
        <f>COUNTIFS(Lojas!$E$10:$E$1000,"Camicado",Lojas!$H$10:$H$1000,Q40)</f>
        <v>0</v>
      </c>
      <c r="R44" s="118">
        <f>COUNTIFS(Lojas!$E$10:$E$1000,"Camicado",Lojas!$H$10:$H$1000,R40)</f>
        <v>0</v>
      </c>
      <c r="S44" s="118">
        <f>COUNTIFS(Lojas!$E$10:$E$1000,"Camicado",Lojas!$H$10:$H$1000,S40)</f>
        <v>16</v>
      </c>
      <c r="T44" s="229">
        <f>COUNTIFS(Lojas!$H$10:$H$1000,T39,Lojas!$E$10:$E$1000,"Camicado")</f>
        <v>0</v>
      </c>
      <c r="U44" s="229">
        <f>COUNTIFS(Lojas!$H$10:$H$1000,U39,Lojas!$E$10:$E$1000,"Camicado")</f>
        <v>0</v>
      </c>
      <c r="V44" s="229">
        <f>COUNTIFS(Lojas!$H$10:$H$1000,V39,Lojas!$E$10:$E$1000,"Camicado")</f>
        <v>0</v>
      </c>
      <c r="W44" s="229">
        <f>COUNTIFS(Lojas!$H$10:$H$1000,W39,Lojas!$E$10:$E$1000,"Camicado")</f>
        <v>0</v>
      </c>
      <c r="X44" s="229">
        <f>COUNTIFS(Lojas!$H$10:$H$1000,X39,Lojas!$E$10:$E$1000,"Camicado")</f>
        <v>0</v>
      </c>
      <c r="Y44" s="229">
        <f>COUNTIFS(Lojas!$H$10:$H$1000,Y39,Lojas!$E$10:$E$1000,"Camicado")</f>
        <v>0</v>
      </c>
      <c r="Z44" s="229">
        <f>COUNTIFS(Lojas!$H$10:$H$1000,Z39,Lojas!$E$10:$E$1000,"Camicado")</f>
        <v>0</v>
      </c>
      <c r="AA44" s="229">
        <f>COUNTIFS(Lojas!$H$10:$H$1000,AA39,Lojas!$E$10:$E$1000,"Camicado")</f>
        <v>0</v>
      </c>
      <c r="AB44" s="229">
        <f>COUNTIFS(Lojas!$H$10:$H$1000,AB39,Lojas!$E$10:$E$1000,"Camicado")</f>
        <v>0</v>
      </c>
      <c r="AC44" s="229">
        <f>COUNTIFS(Lojas!$H$10:$H$1000,AC39,Lojas!$E$10:$E$1000,"Camicado")</f>
        <v>0</v>
      </c>
      <c r="AD44" s="229">
        <f>COUNTIFS(Lojas!$H$10:$H$1000,AD39,Lojas!$E$10:$E$1000,"Camicado")</f>
        <v>0</v>
      </c>
      <c r="AE44" s="229">
        <f>COUNTIFS(Lojas!$H$10:$H$1000,AE39,Lojas!$E$10:$E$1000,"Camicado")</f>
        <v>0</v>
      </c>
      <c r="AF44" s="110"/>
      <c r="AG44" s="108"/>
      <c r="AH44" s="109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</row>
    <row r="45" spans="1:49" ht="30" customHeight="1" x14ac:dyDescent="0.25">
      <c r="A45" s="60"/>
      <c r="B45" s="51"/>
      <c r="C45" s="51"/>
      <c r="D45" s="51"/>
      <c r="E45" s="69" t="s">
        <v>1068</v>
      </c>
      <c r="F45" s="227">
        <v>0</v>
      </c>
      <c r="G45" s="227">
        <v>0</v>
      </c>
      <c r="H45" s="227">
        <v>0</v>
      </c>
      <c r="I45" s="227">
        <f>SUMIFS(Lojas!$Q$10:$Q$1000,Lojas!$E$10:$E$1000,"Camicado",Lojas!$H$10:$H$1000,'Projeções - Receita'!I40)</f>
        <v>0</v>
      </c>
      <c r="J45" s="227">
        <f>SUMIFS(Lojas!$Q$10:$Q$1000,Lojas!$E$10:$E$1000,"Camicado",Lojas!$H$10:$H$1000,'Projeções - Receita'!J40)</f>
        <v>0</v>
      </c>
      <c r="K45" s="227">
        <f>SUMIFS(Lojas!$Q$10:$Q$1000,Lojas!$E$10:$E$1000,"Camicado",Lojas!$H$10:$H$1000,'Projeções - Receita'!K40)</f>
        <v>1034</v>
      </c>
      <c r="L45" s="227">
        <f>SUMIFS(Lojas!$Q$10:$Q$1000,Lojas!$E$10:$E$1000,"Camicado",Lojas!$H$10:$H$1000,'Projeções - Receita'!L40)</f>
        <v>1426.38</v>
      </c>
      <c r="M45" s="227">
        <f>SUMIFS(Lojas!$Q$10:$Q$1000,Lojas!$E$10:$E$1000,"Camicado",Lojas!$H$10:$H$1000,'Projeções - Receita'!M40)</f>
        <v>0</v>
      </c>
      <c r="N45" s="227">
        <f>SUMIFS(Lojas!$Q$10:$Q$1000,Lojas!$E$10:$E$1000,"Camicado",Lojas!$H$10:$H$1000,'Projeções - Receita'!N40)</f>
        <v>0</v>
      </c>
      <c r="O45" s="227">
        <f>SUMIFS(Lojas!$Q$10:$Q$1000,Lojas!$E$10:$E$1000,"Camicado",Lojas!$H$10:$H$1000,'Projeções - Receita'!O40)</f>
        <v>1159.2</v>
      </c>
      <c r="P45" s="227">
        <f>SUMIFS(Lojas!$Q$10:$Q$1000,Lojas!$E$10:$E$1000,"Camicado",Lojas!$H$10:$H$1000,'Projeções - Receita'!P40)</f>
        <v>1465.27</v>
      </c>
      <c r="Q45" s="227">
        <f>SUMIFS(Lojas!$Q$10:$Q$1000,Lojas!$E$10:$E$1000,"Camicado",Lojas!$H$10:$H$1000,'Projeções - Receita'!Q40)</f>
        <v>0</v>
      </c>
      <c r="R45" s="227">
        <f>SUMIFS(Lojas!$Q$10:$Q$1000,Lojas!$E$10:$E$1000,"Camicado",Lojas!$H$10:$H$1000,'Projeções - Receita'!R40)</f>
        <v>0</v>
      </c>
      <c r="S45" s="227">
        <v>0</v>
      </c>
      <c r="T45" s="229">
        <f>COUNTIFS(Lojas!$H$10:$H$1000,T40,Lojas!$E$10:$E$1000,"Camicado")</f>
        <v>3</v>
      </c>
      <c r="U45" s="229">
        <f>COUNTIFS(Lojas!$H$10:$H$1000,U40,Lojas!$E$10:$E$1000,"Camicado")</f>
        <v>0</v>
      </c>
      <c r="V45" s="229">
        <f>COUNTIFS(Lojas!$H$10:$H$1000,V40,Lojas!$E$10:$E$1000,"Camicado")</f>
        <v>0</v>
      </c>
      <c r="W45" s="229">
        <f>COUNTIFS(Lojas!$H$10:$H$1000,W40,Lojas!$E$10:$E$1000,"Camicado")</f>
        <v>0</v>
      </c>
      <c r="X45" s="229">
        <f>COUNTIFS(Lojas!$H$10:$H$1000,X40,Lojas!$E$10:$E$1000,"Camicado")</f>
        <v>0</v>
      </c>
      <c r="Y45" s="229">
        <f>COUNTIFS(Lojas!$H$10:$H$1000,Y40,Lojas!$E$10:$E$1000,"Camicado")</f>
        <v>0</v>
      </c>
      <c r="Z45" s="229">
        <f>COUNTIFS(Lojas!$H$10:$H$1000,Z40,Lojas!$E$10:$E$1000,"Camicado")</f>
        <v>0</v>
      </c>
      <c r="AA45" s="229">
        <f>COUNTIFS(Lojas!$H$10:$H$1000,AA40,Lojas!$E$10:$E$1000,"Camicado")</f>
        <v>0</v>
      </c>
      <c r="AB45" s="229">
        <f>COUNTIFS(Lojas!$H$10:$H$1000,AB40,Lojas!$E$10:$E$1000,"Camicado")</f>
        <v>0</v>
      </c>
      <c r="AC45" s="229">
        <f>COUNTIFS(Lojas!$H$10:$H$1000,AC40,Lojas!$E$10:$E$1000,"Camicado")</f>
        <v>0</v>
      </c>
      <c r="AD45" s="229">
        <f>COUNTIFS(Lojas!$H$10:$H$1000,AD40,Lojas!$E$10:$E$1000,"Camicado")</f>
        <v>0</v>
      </c>
      <c r="AE45" s="229">
        <f>COUNTIFS(Lojas!$H$10:$H$1000,AE40,Lojas!$E$10:$E$1000,"Camicado")</f>
        <v>0</v>
      </c>
      <c r="AF45" s="110"/>
      <c r="AG45" s="108"/>
      <c r="AH45" s="109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</row>
    <row r="46" spans="1:49" ht="30" customHeight="1" x14ac:dyDescent="0.25">
      <c r="A46" s="60"/>
      <c r="B46" s="51"/>
      <c r="C46" s="51"/>
      <c r="D46" s="51"/>
      <c r="E46" s="70" t="s">
        <v>1062</v>
      </c>
      <c r="F46" s="64">
        <v>0</v>
      </c>
      <c r="G46" s="64">
        <v>0</v>
      </c>
      <c r="H46" s="64">
        <v>0</v>
      </c>
      <c r="I46" s="64">
        <f t="shared" ref="I46:Q46" si="57">SUM(I47:I51)</f>
        <v>27959.93</v>
      </c>
      <c r="J46" s="64">
        <f t="shared" si="57"/>
        <v>33929.25</v>
      </c>
      <c r="K46" s="64">
        <f t="shared" si="57"/>
        <v>38986.33</v>
      </c>
      <c r="L46" s="64">
        <f t="shared" si="57"/>
        <v>47510.69</v>
      </c>
      <c r="M46" s="64">
        <f t="shared" si="57"/>
        <v>55138.700000000004</v>
      </c>
      <c r="N46" s="64">
        <f t="shared" si="57"/>
        <v>61502.200000000012</v>
      </c>
      <c r="O46" s="64">
        <f t="shared" si="57"/>
        <v>66140.639999999999</v>
      </c>
      <c r="P46" s="64">
        <f t="shared" si="57"/>
        <v>67109.219999999987</v>
      </c>
      <c r="Q46" s="64">
        <f t="shared" si="57"/>
        <v>70367.01999999999</v>
      </c>
      <c r="R46" s="64">
        <f t="shared" ref="R46" si="58">SUM(R47:R51)</f>
        <v>72975.02</v>
      </c>
      <c r="S46" s="64">
        <f t="shared" ref="S46:AA46" si="59">SUM(S47:S51)</f>
        <v>72975.02</v>
      </c>
      <c r="T46" s="142">
        <f t="shared" si="59"/>
        <v>74767.47</v>
      </c>
      <c r="U46" s="142">
        <f t="shared" si="59"/>
        <v>75962.436666666661</v>
      </c>
      <c r="V46" s="142">
        <f t="shared" si="59"/>
        <v>77157.403333333321</v>
      </c>
      <c r="W46" s="142">
        <f t="shared" si="59"/>
        <v>78352.369999999981</v>
      </c>
      <c r="X46" s="142">
        <f t="shared" si="59"/>
        <v>79547.336666666641</v>
      </c>
      <c r="Y46" s="142">
        <f t="shared" si="59"/>
        <v>80742.303333333301</v>
      </c>
      <c r="Z46" s="142">
        <f t="shared" si="59"/>
        <v>81937.26999999996</v>
      </c>
      <c r="AA46" s="142">
        <f t="shared" si="59"/>
        <v>83132.23666666662</v>
      </c>
      <c r="AB46" s="142">
        <f t="shared" ref="AB46:AE46" si="60">SUM(AB47:AB51)</f>
        <v>84327.20333333328</v>
      </c>
      <c r="AC46" s="142">
        <f t="shared" si="60"/>
        <v>85522.16999999994</v>
      </c>
      <c r="AD46" s="142">
        <f t="shared" si="60"/>
        <v>86717.1366666666</v>
      </c>
      <c r="AE46" s="142">
        <f t="shared" si="60"/>
        <v>87912.10333333326</v>
      </c>
      <c r="AF46" s="110"/>
      <c r="AG46" s="108"/>
      <c r="AH46" s="109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</row>
    <row r="47" spans="1:49" ht="30" customHeight="1" x14ac:dyDescent="0.25">
      <c r="A47" s="60"/>
      <c r="B47" s="51"/>
      <c r="C47" s="51"/>
      <c r="D47" s="51"/>
      <c r="E47" s="66" t="s">
        <v>80</v>
      </c>
      <c r="F47" s="67">
        <v>0</v>
      </c>
      <c r="G47" s="67">
        <v>0</v>
      </c>
      <c r="H47" s="67">
        <v>0</v>
      </c>
      <c r="I47" s="67">
        <f>SUMIFS(Lojas!$Q$10:$Q$1000,Lojas!$E$10:$E$1000,"Camicado",Lojas!$F$10:$F$1000,"&lt;="&amp;I$23-4)</f>
        <v>17465.32</v>
      </c>
      <c r="J47" s="67">
        <f>SUMIFS(Lojas!$Q$10:$Q$1000,Lojas!$E$10:$E$1000,"Camicado",Lojas!$F$10:$F$1000,"&lt;="&amp;J$23-4)</f>
        <v>18021.449999999997</v>
      </c>
      <c r="K47" s="67">
        <f>SUMIFS(Lojas!$Q$10:$Q$1000,Lojas!$E$10:$E$1000,"Camicado",Lojas!$F$10:$F$1000,"&lt;="&amp;K$23-4)</f>
        <v>20262.64</v>
      </c>
      <c r="L47" s="67">
        <f>SUMIFS(Lojas!$Q$10:$Q$1000,Lojas!$E$10:$E$1000,"Camicado",Lojas!$F$10:$F$1000,"&lt;="&amp;L$23-4)</f>
        <v>25119.529999999995</v>
      </c>
      <c r="M47" s="67">
        <f>SUMIFS(Lojas!$Q$10:$Q$1000,Lojas!$E$10:$E$1000,"Camicado",Lojas!$F$10:$F$1000,"&lt;="&amp;M$23-4)</f>
        <v>27959.929999999997</v>
      </c>
      <c r="N47" s="67">
        <f>SUMIFS(Lojas!$Q$10:$Q$1000,Lojas!$E$10:$E$1000,"Camicado",Lojas!$F$10:$F$1000,"&lt;="&amp;N$23-4)</f>
        <v>33929.250000000007</v>
      </c>
      <c r="O47" s="67">
        <f>SUMIFS(Lojas!$Q$10:$Q$1000,Lojas!$E$10:$E$1000,"Camicado",Lojas!$F$10:$F$1000,"&lt;="&amp;O$23-4)</f>
        <v>38986.33</v>
      </c>
      <c r="P47" s="67">
        <f>SUMIFS(Lojas!$Q$10:$Q$1000,Lojas!$E$10:$E$1000,"Camicado",Lojas!$F$10:$F$1000,"&lt;="&amp;P$23-4)</f>
        <v>47510.689999999988</v>
      </c>
      <c r="Q47" s="67">
        <f>SUMIFS(Lojas!$Q$10:$Q$1000,Lojas!$E$10:$E$1000,"Camicado",Lojas!$F$10:$F$1000,"&lt;="&amp;Q$23-4)</f>
        <v>55138.699999999983</v>
      </c>
      <c r="R47" s="67">
        <f>SUMIFS(Lojas!$Q$10:$Q$1000,Lojas!$E$10:$E$1000,"Camicado",Lojas!$F$10:$F$1000,"&lt;="&amp;R$23-4)</f>
        <v>61502.2</v>
      </c>
      <c r="S47" s="67">
        <f>SUMIFS(Lojas!$Q$10:$Q$1000,Lojas!$E$10:$E$1000,"Camicado",Lojas!$F$10:$F$1000,"&lt;="&amp;S$23-4)</f>
        <v>66140.639999999999</v>
      </c>
      <c r="T47" s="143">
        <f>S48+S47</f>
        <v>67109.22</v>
      </c>
      <c r="U47" s="143">
        <f t="shared" ref="U47" si="61">T48+T47</f>
        <v>70367.02</v>
      </c>
      <c r="V47" s="143">
        <f t="shared" ref="V47" si="62">U48+U47</f>
        <v>72975.02</v>
      </c>
      <c r="W47" s="143">
        <f t="shared" ref="W47" si="63">V48+V47</f>
        <v>72975.02</v>
      </c>
      <c r="X47" s="143">
        <f t="shared" ref="X47" si="64">W48+W47</f>
        <v>74767.47</v>
      </c>
      <c r="Y47" s="143">
        <f t="shared" ref="Y47" si="65">X48+X47</f>
        <v>75962.436666666661</v>
      </c>
      <c r="Z47" s="143">
        <f t="shared" ref="Z47" si="66">Y48+Y47</f>
        <v>77157.403333333321</v>
      </c>
      <c r="AA47" s="143">
        <f t="shared" ref="AA47" si="67">Z48+Z47</f>
        <v>78352.369999999981</v>
      </c>
      <c r="AB47" s="143">
        <f t="shared" ref="AB47" si="68">AA48+AA47</f>
        <v>79547.336666666641</v>
      </c>
      <c r="AC47" s="143">
        <f t="shared" ref="AC47" si="69">AB48+AB47</f>
        <v>80742.303333333301</v>
      </c>
      <c r="AD47" s="143">
        <f t="shared" ref="AD47" si="70">AC48+AC47</f>
        <v>81937.26999999996</v>
      </c>
      <c r="AE47" s="143">
        <f t="shared" ref="AE47" si="71">AD48+AD47</f>
        <v>83132.23666666662</v>
      </c>
      <c r="AF47" s="110"/>
      <c r="AG47" s="108"/>
      <c r="AH47" s="109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</row>
    <row r="48" spans="1:49" ht="30" customHeight="1" x14ac:dyDescent="0.25">
      <c r="A48" s="60"/>
      <c r="B48" s="51"/>
      <c r="C48" s="51"/>
      <c r="D48" s="120"/>
      <c r="E48" s="66" t="s">
        <v>60</v>
      </c>
      <c r="F48" s="67">
        <v>0</v>
      </c>
      <c r="G48" s="67">
        <v>0</v>
      </c>
      <c r="H48" s="67">
        <v>0</v>
      </c>
      <c r="I48" s="67">
        <f>SUMIFS(Lojas!$Q$10:$Q$1000,Lojas!$E$10:$E$1000,"Camicado",Lojas!$F$10:$F$1000,I$23-3)</f>
        <v>556.13</v>
      </c>
      <c r="J48" s="67">
        <f>SUMIFS(Lojas!$Q$10:$Q$1000,Lojas!$E$10:$E$1000,"Camicado",Lojas!$F$10:$F$1000,J$23-3)</f>
        <v>2241.19</v>
      </c>
      <c r="K48" s="67">
        <f>SUMIFS(Lojas!$Q$10:$Q$1000,Lojas!$E$10:$E$1000,"Camicado",Lojas!$F$10:$F$1000,K$23-3)</f>
        <v>4856.8899999999994</v>
      </c>
      <c r="L48" s="67">
        <f>SUMIFS(Lojas!$Q$10:$Q$1000,Lojas!$E$10:$E$1000,"Camicado",Lojas!$F$10:$F$1000,L$23-3)</f>
        <v>2840.4</v>
      </c>
      <c r="M48" s="67">
        <f>SUMIFS(Lojas!$Q$10:$Q$1000,Lojas!$E$10:$E$1000,"Camicado",Lojas!$F$10:$F$1000,M$23-3)</f>
        <v>5969.3200000000006</v>
      </c>
      <c r="N48" s="67">
        <f>SUMIFS(Lojas!$Q$10:$Q$1000,Lojas!$E$10:$E$1000,"Camicado",Lojas!$F$10:$F$1000,N$23-3)</f>
        <v>5057.08</v>
      </c>
      <c r="O48" s="67">
        <f>SUMIFS(Lojas!$Q$10:$Q$1000,Lojas!$E$10:$E$1000,"Camicado",Lojas!$F$10:$F$1000,O$23-3)</f>
        <v>8524.36</v>
      </c>
      <c r="P48" s="67">
        <f>SUMIFS(Lojas!$Q$10:$Q$1000,Lojas!$E$10:$E$1000,"Camicado",Lojas!$F$10:$F$1000,P$23-3)</f>
        <v>7628.0099999999993</v>
      </c>
      <c r="Q48" s="67">
        <f>SUMIFS(Lojas!$Q$10:$Q$1000,Lojas!$E$10:$E$1000,"Camicado",Lojas!$F$10:$F$1000,Q$23-3)</f>
        <v>6363.5</v>
      </c>
      <c r="R48" s="67">
        <f>SUMIFS(Lojas!$Q$10:$Q$1000,Lojas!$E$10:$E$1000,"Camicado",Lojas!$F$10:$F$1000,R$23-3)</f>
        <v>4638.4400000000005</v>
      </c>
      <c r="S48" s="67">
        <f>SUMIFS(Lojas!$Q$10:$Q$1000,Lojas!$E$10:$E$1000,"Camicado",Lojas!$F$10:$F$1000,S$23-3)</f>
        <v>968.57999999999993</v>
      </c>
      <c r="T48" s="143">
        <f>S49</f>
        <v>3257.8</v>
      </c>
      <c r="U48" s="143">
        <f t="shared" ref="U48:U50" si="72">T49</f>
        <v>2608</v>
      </c>
      <c r="V48" s="143">
        <f t="shared" ref="V48:V50" si="73">U49</f>
        <v>0</v>
      </c>
      <c r="W48" s="143">
        <f t="shared" ref="W48:W50" si="74">V49</f>
        <v>1792.45</v>
      </c>
      <c r="X48" s="143">
        <f t="shared" ref="X48:X50" si="75">W49</f>
        <v>1194.9666666666667</v>
      </c>
      <c r="Y48" s="143">
        <f t="shared" ref="Y48:Y50" si="76">X49</f>
        <v>1194.9666666666667</v>
      </c>
      <c r="Z48" s="143">
        <f t="shared" ref="Z48:Z50" si="77">Y49</f>
        <v>1194.9666666666667</v>
      </c>
      <c r="AA48" s="143">
        <f t="shared" ref="AA48:AA50" si="78">Z49</f>
        <v>1194.9666666666667</v>
      </c>
      <c r="AB48" s="143">
        <f t="shared" ref="AB48:AB50" si="79">AA49</f>
        <v>1194.9666666666667</v>
      </c>
      <c r="AC48" s="143">
        <f t="shared" ref="AC48:AC50" si="80">AB49</f>
        <v>1194.9666666666667</v>
      </c>
      <c r="AD48" s="143">
        <f t="shared" ref="AD48:AD50" si="81">AC49</f>
        <v>1194.9666666666667</v>
      </c>
      <c r="AE48" s="143">
        <f t="shared" ref="AE48:AE50" si="82">AD49</f>
        <v>1194.9666666666667</v>
      </c>
      <c r="AF48" s="110"/>
      <c r="AG48" s="108"/>
      <c r="AH48" s="109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</row>
    <row r="49" spans="1:49" ht="30" customHeight="1" x14ac:dyDescent="0.25">
      <c r="A49" s="60"/>
      <c r="B49" s="51"/>
      <c r="C49" s="51"/>
      <c r="D49" s="51"/>
      <c r="E49" s="66" t="s">
        <v>61</v>
      </c>
      <c r="F49" s="67">
        <v>0</v>
      </c>
      <c r="G49" s="67">
        <v>0</v>
      </c>
      <c r="H49" s="67">
        <v>0</v>
      </c>
      <c r="I49" s="67">
        <f>SUMIFS(Lojas!$Q$10:$Q$1000,Lojas!$E$10:$E$1000,"Camicado",Lojas!$F$10:$F$1000,I$23-2)</f>
        <v>2241.19</v>
      </c>
      <c r="J49" s="67">
        <f>SUMIFS(Lojas!$Q$10:$Q$1000,Lojas!$E$10:$E$1000,"Camicado",Lojas!$F$10:$F$1000,J$23-2)</f>
        <v>4856.8899999999994</v>
      </c>
      <c r="K49" s="67">
        <f>SUMIFS(Lojas!$Q$10:$Q$1000,Lojas!$E$10:$E$1000,"Camicado",Lojas!$F$10:$F$1000,K$23-2)</f>
        <v>2840.4</v>
      </c>
      <c r="L49" s="67">
        <f>SUMIFS(Lojas!$Q$10:$Q$1000,Lojas!$E$10:$E$1000,"Camicado",Lojas!$F$10:$F$1000,L$23-2)</f>
        <v>5969.3200000000006</v>
      </c>
      <c r="M49" s="67">
        <f>SUMIFS(Lojas!$Q$10:$Q$1000,Lojas!$E$10:$E$1000,"Camicado",Lojas!$F$10:$F$1000,M$23-2)</f>
        <v>5057.08</v>
      </c>
      <c r="N49" s="67">
        <f>SUMIFS(Lojas!$Q$10:$Q$1000,Lojas!$E$10:$E$1000,"Camicado",Lojas!$F$10:$F$1000,N$23-2)</f>
        <v>8524.36</v>
      </c>
      <c r="O49" s="67">
        <f>SUMIFS(Lojas!$Q$10:$Q$1000,Lojas!$E$10:$E$1000,"Camicado",Lojas!$F$10:$F$1000,O$23-2)</f>
        <v>7628.0099999999993</v>
      </c>
      <c r="P49" s="67">
        <f>SUMIFS(Lojas!$Q$10:$Q$1000,Lojas!$E$10:$E$1000,"Camicado",Lojas!$F$10:$F$1000,P$23-2)</f>
        <v>6363.5</v>
      </c>
      <c r="Q49" s="67">
        <f>SUMIFS(Lojas!$Q$10:$Q$1000,Lojas!$E$10:$E$1000,"Camicado",Lojas!$F$10:$F$1000,Q$23-2)</f>
        <v>4638.4400000000005</v>
      </c>
      <c r="R49" s="67">
        <f>SUMIFS(Lojas!$Q$10:$Q$1000,Lojas!$E$10:$E$1000,"Camicado",Lojas!$F$10:$F$1000,R$23-2)</f>
        <v>968.57999999999993</v>
      </c>
      <c r="S49" s="67">
        <f>SUMIFS(Lojas!$Q$10:$Q$1000,Lojas!$E$10:$E$1000,"Camicado",Lojas!$F$10:$F$1000,S$23-2)</f>
        <v>3257.8</v>
      </c>
      <c r="T49" s="143">
        <f>S50</f>
        <v>2608</v>
      </c>
      <c r="U49" s="143">
        <f t="shared" si="72"/>
        <v>0</v>
      </c>
      <c r="V49" s="143">
        <f t="shared" si="73"/>
        <v>1792.45</v>
      </c>
      <c r="W49" s="143">
        <f t="shared" si="74"/>
        <v>1194.9666666666667</v>
      </c>
      <c r="X49" s="143">
        <f t="shared" si="75"/>
        <v>1194.9666666666667</v>
      </c>
      <c r="Y49" s="143">
        <f t="shared" si="76"/>
        <v>1194.9666666666667</v>
      </c>
      <c r="Z49" s="143">
        <f t="shared" si="77"/>
        <v>1194.9666666666667</v>
      </c>
      <c r="AA49" s="143">
        <f t="shared" si="78"/>
        <v>1194.9666666666667</v>
      </c>
      <c r="AB49" s="143">
        <f t="shared" si="79"/>
        <v>1194.9666666666667</v>
      </c>
      <c r="AC49" s="143">
        <f t="shared" si="80"/>
        <v>1194.9666666666667</v>
      </c>
      <c r="AD49" s="143">
        <f t="shared" si="81"/>
        <v>1194.9666666666667</v>
      </c>
      <c r="AE49" s="143">
        <f t="shared" si="82"/>
        <v>1194.9666666666667</v>
      </c>
      <c r="AF49" s="110"/>
      <c r="AG49" s="108"/>
      <c r="AH49" s="109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</row>
    <row r="50" spans="1:49" ht="30" customHeight="1" x14ac:dyDescent="0.25">
      <c r="A50" s="60"/>
      <c r="B50" s="51"/>
      <c r="C50" s="51"/>
      <c r="D50" s="51"/>
      <c r="E50" s="121" t="s">
        <v>62</v>
      </c>
      <c r="F50" s="67">
        <v>0</v>
      </c>
      <c r="G50" s="67">
        <v>0</v>
      </c>
      <c r="H50" s="67">
        <v>0</v>
      </c>
      <c r="I50" s="67">
        <f>SUMIFS(Lojas!$Q$10:$Q$1000,Lojas!$E$10:$E$1000,"Camicado",Lojas!$F$10:$F$1000,I$23-1)</f>
        <v>4856.8899999999994</v>
      </c>
      <c r="J50" s="67">
        <f>SUMIFS(Lojas!$Q$10:$Q$1000,Lojas!$E$10:$E$1000,"Camicado",Lojas!$F$10:$F$1000,J$23-1)</f>
        <v>2840.4</v>
      </c>
      <c r="K50" s="67">
        <f>SUMIFS(Lojas!$Q$10:$Q$1000,Lojas!$E$10:$E$1000,"Camicado",Lojas!$F$10:$F$1000,K$23-1)</f>
        <v>5969.3200000000006</v>
      </c>
      <c r="L50" s="67">
        <f>SUMIFS(Lojas!$Q$10:$Q$1000,Lojas!$E$10:$E$1000,"Camicado",Lojas!$F$10:$F$1000,L$23-1)</f>
        <v>5057.08</v>
      </c>
      <c r="M50" s="67">
        <f>SUMIFS(Lojas!$Q$10:$Q$1000,Lojas!$E$10:$E$1000,"Camicado",Lojas!$F$10:$F$1000,M$23-1)</f>
        <v>8524.36</v>
      </c>
      <c r="N50" s="67">
        <f>SUMIFS(Lojas!$Q$10:$Q$1000,Lojas!$E$10:$E$1000,"Camicado",Lojas!$F$10:$F$1000,N$23-1)</f>
        <v>7628.0099999999993</v>
      </c>
      <c r="O50" s="67">
        <f>SUMIFS(Lojas!$Q$10:$Q$1000,Lojas!$E$10:$E$1000,"Camicado",Lojas!$F$10:$F$1000,O$23-1)</f>
        <v>6363.5</v>
      </c>
      <c r="P50" s="67">
        <f>SUMIFS(Lojas!$Q$10:$Q$1000,Lojas!$E$10:$E$1000,"Camicado",Lojas!$F$10:$F$1000,P$23-1)</f>
        <v>4638.4400000000005</v>
      </c>
      <c r="Q50" s="67">
        <f>SUMIFS(Lojas!$Q$10:$Q$1000,Lojas!$E$10:$E$1000,"Camicado",Lojas!$F$10:$F$1000,Q$23-1)</f>
        <v>968.57999999999993</v>
      </c>
      <c r="R50" s="67">
        <f>SUMIFS(Lojas!$Q$10:$Q$1000,Lojas!$E$10:$E$1000,"Camicado",Lojas!$F$10:$F$1000,R$23-1)</f>
        <v>3257.8</v>
      </c>
      <c r="S50" s="67">
        <f>SUMIFS(Lojas!$Q$10:$Q$1000,Lojas!$E$10:$E$1000,"Camicado",Lojas!$F$10:$F$1000,S$23-1)</f>
        <v>2608</v>
      </c>
      <c r="T50" s="143">
        <f>S51</f>
        <v>0</v>
      </c>
      <c r="U50" s="143">
        <f t="shared" si="72"/>
        <v>1792.45</v>
      </c>
      <c r="V50" s="143">
        <f t="shared" si="73"/>
        <v>1194.9666666666667</v>
      </c>
      <c r="W50" s="143">
        <f t="shared" si="74"/>
        <v>1194.9666666666667</v>
      </c>
      <c r="X50" s="143">
        <f t="shared" si="75"/>
        <v>1194.9666666666667</v>
      </c>
      <c r="Y50" s="143">
        <f t="shared" si="76"/>
        <v>1194.9666666666667</v>
      </c>
      <c r="Z50" s="143">
        <f t="shared" si="77"/>
        <v>1194.9666666666667</v>
      </c>
      <c r="AA50" s="143">
        <f t="shared" si="78"/>
        <v>1194.9666666666667</v>
      </c>
      <c r="AB50" s="143">
        <f t="shared" si="79"/>
        <v>1194.9666666666667</v>
      </c>
      <c r="AC50" s="143">
        <f t="shared" si="80"/>
        <v>1194.9666666666667</v>
      </c>
      <c r="AD50" s="143">
        <f t="shared" si="81"/>
        <v>1194.9666666666667</v>
      </c>
      <c r="AE50" s="143">
        <f t="shared" si="82"/>
        <v>1194.9666666666667</v>
      </c>
      <c r="AF50" s="110"/>
      <c r="AG50" s="267"/>
      <c r="AH50" s="109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</row>
    <row r="51" spans="1:49" ht="30" customHeight="1" x14ac:dyDescent="0.25">
      <c r="A51" s="60"/>
      <c r="B51" s="51"/>
      <c r="C51" s="51"/>
      <c r="D51" s="51"/>
      <c r="E51" s="66" t="s">
        <v>63</v>
      </c>
      <c r="F51" s="67">
        <v>0</v>
      </c>
      <c r="G51" s="67">
        <v>0</v>
      </c>
      <c r="H51" s="67">
        <v>0</v>
      </c>
      <c r="I51" s="67">
        <f>SUMIFS(Lojas!$Q$10:$Q$1000,Lojas!$E$10:$E$1000,"Camicado",Lojas!$F$10:$F$1000,I$23)</f>
        <v>2840.4</v>
      </c>
      <c r="J51" s="67">
        <f>SUMIFS(Lojas!$Q$10:$Q$1000,Lojas!$E$10:$E$1000,"Camicado",Lojas!$F$10:$F$1000,J$23)</f>
        <v>5969.3200000000006</v>
      </c>
      <c r="K51" s="67">
        <f>SUMIFS(Lojas!$Q$10:$Q$1000,Lojas!$E$10:$E$1000,"Camicado",Lojas!$F$10:$F$1000,K$23)</f>
        <v>5057.08</v>
      </c>
      <c r="L51" s="67">
        <f>SUMIFS(Lojas!$Q$10:$Q$1000,Lojas!$E$10:$E$1000,"Camicado",Lojas!$F$10:$F$1000,L$23)</f>
        <v>8524.36</v>
      </c>
      <c r="M51" s="67">
        <f>SUMIFS(Lojas!$Q$10:$Q$1000,Lojas!$E$10:$E$1000,"Camicado",Lojas!$F$10:$F$1000,M$23)</f>
        <v>7628.0099999999993</v>
      </c>
      <c r="N51" s="67">
        <f>SUMIFS(Lojas!$Q$10:$Q$1000,Lojas!$E$10:$E$1000,"Camicado",Lojas!$F$10:$F$1000,N$23)</f>
        <v>6363.5</v>
      </c>
      <c r="O51" s="67">
        <f>SUMIFS(Lojas!$Q$10:$Q$1000,Lojas!$E$10:$E$1000,"Camicado",Lojas!$F$10:$F$1000,O$23)</f>
        <v>4638.4400000000005</v>
      </c>
      <c r="P51" s="67">
        <f>SUMIFS(Lojas!$Q$10:$Q$1000,Lojas!$E$10:$E$1000,"Camicado",Lojas!$F$10:$F$1000,P$23)</f>
        <v>968.57999999999993</v>
      </c>
      <c r="Q51" s="67">
        <f>SUMIFS(Lojas!$Q$10:$Q$1000,Lojas!$E$10:$E$1000,"Camicado",Lojas!$F$10:$F$1000,Q$23)</f>
        <v>3257.8</v>
      </c>
      <c r="R51" s="67">
        <f>SUMIFS(Lojas!$Q$10:$Q$1000,Lojas!$E$10:$E$1000,"Camicado",Lojas!$F$10:$F$1000,R$23)</f>
        <v>2608</v>
      </c>
      <c r="S51" s="67">
        <f>SUMIFS(Lojas!$Q$10:$Q$1000,Lojas!$E$10:$E$1000,"Camicado",Lojas!$F$10:$F$1000,S$23)</f>
        <v>0</v>
      </c>
      <c r="T51" s="143">
        <f t="shared" ref="T51:AE51" si="83">T42*T43</f>
        <v>1792.45</v>
      </c>
      <c r="U51" s="143">
        <f t="shared" si="83"/>
        <v>1194.9666666666667</v>
      </c>
      <c r="V51" s="143">
        <f t="shared" si="83"/>
        <v>1194.9666666666667</v>
      </c>
      <c r="W51" s="143">
        <f t="shared" si="83"/>
        <v>1194.9666666666667</v>
      </c>
      <c r="X51" s="143">
        <f t="shared" si="83"/>
        <v>1194.9666666666667</v>
      </c>
      <c r="Y51" s="143">
        <f t="shared" si="83"/>
        <v>1194.9666666666667</v>
      </c>
      <c r="Z51" s="143">
        <f t="shared" si="83"/>
        <v>1194.9666666666667</v>
      </c>
      <c r="AA51" s="143">
        <f t="shared" si="83"/>
        <v>1194.9666666666667</v>
      </c>
      <c r="AB51" s="143">
        <f t="shared" si="83"/>
        <v>1194.9666666666667</v>
      </c>
      <c r="AC51" s="143">
        <f t="shared" si="83"/>
        <v>1194.9666666666667</v>
      </c>
      <c r="AD51" s="143">
        <f t="shared" si="83"/>
        <v>1194.9666666666667</v>
      </c>
      <c r="AE51" s="143">
        <f t="shared" si="83"/>
        <v>1194.9666666666667</v>
      </c>
      <c r="AF51" s="110"/>
      <c r="AG51" s="267"/>
      <c r="AH51" s="109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</row>
    <row r="52" spans="1:49" ht="30" customHeight="1" x14ac:dyDescent="0.25">
      <c r="A52" s="60"/>
      <c r="B52" s="51"/>
      <c r="C52" s="51"/>
      <c r="D52" s="51"/>
      <c r="E52" s="70" t="s">
        <v>1152</v>
      </c>
      <c r="F52" s="64">
        <v>0</v>
      </c>
      <c r="G52" s="64">
        <v>0</v>
      </c>
      <c r="H52" s="64">
        <v>0</v>
      </c>
      <c r="I52" s="64">
        <f>($E$19*I51)+(I50*$F$19)+(I49*$G$19)+(I48*$H$19)+I47-SUM($F45:H45)</f>
        <v>24088.582499999997</v>
      </c>
      <c r="J52" s="64">
        <f>($E$19*J51)+(J50*$F$19)+(J49*$G$19)+(J48*$H$19)+J47-SUM($F45:I45)</f>
        <v>28385.068749999999</v>
      </c>
      <c r="K52" s="64">
        <f>($E$19*K51)+(K50*$F$19)+(K49*$G$19)+(K48*$H$19)+K47-SUM($F45:J45)</f>
        <v>32902.083749999998</v>
      </c>
      <c r="L52" s="64">
        <f>($E$19*L51)+(L50*$F$19)+(L49*$G$19)+(L48*$H$19)+L47-SUM($F45:K45)</f>
        <v>38470.724999999999</v>
      </c>
      <c r="M52" s="64">
        <f>($E$19*M51)+(M50*$F$19)+(M49*$G$19)+(M48*$H$19)+M47-SUM($F45:L45)</f>
        <v>43657.245000000003</v>
      </c>
      <c r="N52" s="64">
        <f>($E$19*N51)+(N50*$F$19)+(N49*$G$19)+(N48*$H$19)+N47-SUM($F45:M45)</f>
        <v>50236.341250000005</v>
      </c>
      <c r="O52" s="64">
        <f>($E$19*O51)+(O50*$F$19)+(O49*$G$19)+(O48*$H$19)+O47-SUM($F45:N45)</f>
        <v>56002.180000000008</v>
      </c>
      <c r="P52" s="64">
        <f>($E$19*P51)+(P50*$F$19)+(P49*$G$19)+(P48*$H$19)+P47-SUM($F45:O45)</f>
        <v>58721.558749999982</v>
      </c>
      <c r="Q52" s="64">
        <f>($E$19*Q51)+(Q50*$F$19)+(Q49*$G$19)+(Q48*$H$19)+Q47-SUM($F45:P45)</f>
        <v>61335.004999999983</v>
      </c>
      <c r="R52" s="64">
        <f>($E$19*R51)+(R50*$F$19)+(R49*$G$19)+(R48*$H$19)+R47-SUM($F45:Q45)</f>
        <v>64542.544999999991</v>
      </c>
      <c r="S52" s="64">
        <f>($E$19*S51)+(S50*$F$19)+(S49*$G$19)+(S48*$H$19)+S47-SUM($F45:R45)</f>
        <v>65976.647499999992</v>
      </c>
      <c r="T52" s="142">
        <f>($E$19*T51)+(T50*$F$19)+(T49*$G$19)+(T48*$H$19)+T47-SUM($F45:S45)</f>
        <v>67727.17</v>
      </c>
      <c r="U52" s="142">
        <f>($E$19*U51)+(U50*$F$19)+(U49*$G$19)+(U48*$H$19)+U47-SUM($F45:T45)</f>
        <v>69278.934583333335</v>
      </c>
      <c r="V52" s="142">
        <f>($E$19*V51)+(V50*$F$19)+(V49*$G$19)+(V48*$H$19)+V47-SUM($F45:U45)</f>
        <v>70575.845000000001</v>
      </c>
      <c r="W52" s="142">
        <f>($E$19*W51)+(W50*$F$19)+(W49*$G$19)+(W48*$H$19)+W47-SUM($F45:V45)</f>
        <v>71696.126250000001</v>
      </c>
      <c r="X52" s="142">
        <f>($E$19*X51)+(X50*$F$19)+(X49*$G$19)+(X48*$H$19)+X47-SUM($F45:W45)</f>
        <v>72965.778333333335</v>
      </c>
      <c r="Y52" s="142">
        <f>($E$19*Y51)+(Y50*$F$19)+(Y49*$G$19)+(Y48*$H$19)+Y47-SUM($F45:X45)</f>
        <v>74160.744999999995</v>
      </c>
      <c r="Z52" s="142">
        <f>($E$19*Z51)+(Z50*$F$19)+(Z49*$G$19)+(Z48*$H$19)+Z47-SUM($F45:Y45)</f>
        <v>75355.711666666655</v>
      </c>
      <c r="AA52" s="142">
        <f>($E$19*AA51)+(AA50*$F$19)+(AA49*$G$19)+(AA48*$H$19)+AA47-SUM($F45:Z45)</f>
        <v>76550.678333333315</v>
      </c>
      <c r="AB52" s="142">
        <f>($E$19*AB51)+(AB50*$F$19)+(AB49*$G$19)+(AB48*$H$19)+AB47-SUM($F45:AA45)</f>
        <v>77745.644999999975</v>
      </c>
      <c r="AC52" s="142">
        <f>($E$19*AC51)+(AC50*$F$19)+(AC49*$G$19)+(AC48*$H$19)+AC47-SUM($F45:AB45)</f>
        <v>78940.611666666635</v>
      </c>
      <c r="AD52" s="142">
        <f>($E$19*AD51)+(AD50*$F$19)+(AD49*$G$19)+(AD48*$H$19)+AD47-SUM($F45:AC45)</f>
        <v>80135.578333333295</v>
      </c>
      <c r="AE52" s="142">
        <f>($E$19*AE51)+(AE50*$F$19)+(AE49*$G$19)+(AE48*$H$19)+AE47-SUM($F45:AD45)</f>
        <v>81330.544999999955</v>
      </c>
      <c r="AF52" s="174"/>
      <c r="AG52" s="267"/>
      <c r="AH52" s="109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</row>
    <row r="53" spans="1:49" ht="30" customHeight="1" thickBot="1" x14ac:dyDescent="0.3">
      <c r="A53" s="60"/>
      <c r="B53" s="51"/>
      <c r="C53" s="51"/>
      <c r="D53" s="51"/>
      <c r="E53" s="123" t="s">
        <v>64</v>
      </c>
      <c r="F53" s="124">
        <v>0</v>
      </c>
      <c r="G53" s="124">
        <v>0</v>
      </c>
      <c r="H53" s="124">
        <v>0</v>
      </c>
      <c r="I53" s="124">
        <f t="shared" ref="I53:Q53" si="84">I12/I52</f>
        <v>8.0030770843406831</v>
      </c>
      <c r="J53" s="124">
        <f t="shared" si="84"/>
        <v>8.2230047242707514</v>
      </c>
      <c r="K53" s="124">
        <f t="shared" si="84"/>
        <v>8.9584195593691049</v>
      </c>
      <c r="L53" s="124">
        <f t="shared" si="84"/>
        <v>9.0566963939463072</v>
      </c>
      <c r="M53" s="124">
        <f t="shared" si="84"/>
        <v>10.170227659349555</v>
      </c>
      <c r="N53" s="124">
        <f t="shared" si="84"/>
        <v>10.052676129553918</v>
      </c>
      <c r="O53" s="124">
        <f t="shared" si="84"/>
        <v>9.3750417914088349</v>
      </c>
      <c r="P53" s="124">
        <f t="shared" si="84"/>
        <v>8.6316248454491191</v>
      </c>
      <c r="Q53" s="124">
        <f t="shared" si="84"/>
        <v>10.607567989274644</v>
      </c>
      <c r="R53" s="124">
        <f t="shared" ref="R53:S53" si="85">R12/R52</f>
        <v>8.7864898443344632</v>
      </c>
      <c r="S53" s="124">
        <f t="shared" si="85"/>
        <v>7.8892656084109172</v>
      </c>
      <c r="T53" s="144">
        <f>S53</f>
        <v>7.8892656084109172</v>
      </c>
      <c r="U53" s="144">
        <f t="shared" ref="U53:AE53" si="86">T53</f>
        <v>7.8892656084109172</v>
      </c>
      <c r="V53" s="144">
        <f t="shared" si="86"/>
        <v>7.8892656084109172</v>
      </c>
      <c r="W53" s="144">
        <f t="shared" si="86"/>
        <v>7.8892656084109172</v>
      </c>
      <c r="X53" s="144">
        <f t="shared" si="86"/>
        <v>7.8892656084109172</v>
      </c>
      <c r="Y53" s="144">
        <f t="shared" si="86"/>
        <v>7.8892656084109172</v>
      </c>
      <c r="Z53" s="144">
        <f t="shared" si="86"/>
        <v>7.8892656084109172</v>
      </c>
      <c r="AA53" s="144">
        <f t="shared" si="86"/>
        <v>7.8892656084109172</v>
      </c>
      <c r="AB53" s="144">
        <f t="shared" si="86"/>
        <v>7.8892656084109172</v>
      </c>
      <c r="AC53" s="144">
        <f t="shared" si="86"/>
        <v>7.8892656084109172</v>
      </c>
      <c r="AD53" s="144">
        <f t="shared" si="86"/>
        <v>7.8892656084109172</v>
      </c>
      <c r="AE53" s="144">
        <f t="shared" si="86"/>
        <v>7.8892656084109172</v>
      </c>
      <c r="AF53" s="178">
        <f>(S53/I53)^(1/COUNT(J40:S40))-1</f>
        <v>-1.4312798930617987E-3</v>
      </c>
      <c r="AG53" s="185" t="s">
        <v>1063</v>
      </c>
      <c r="AH53" s="113">
        <v>1</v>
      </c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</row>
    <row r="54" spans="1:49" ht="30" customHeight="1" x14ac:dyDescent="0.25">
      <c r="A54" s="60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</row>
    <row r="55" spans="1:49" ht="30" customHeight="1" x14ac:dyDescent="0.25">
      <c r="A55" s="60"/>
      <c r="B55" s="51"/>
      <c r="C55" s="51"/>
      <c r="D55" s="51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</row>
    <row r="56" spans="1:49" ht="30" customHeight="1" x14ac:dyDescent="0.25">
      <c r="A56" s="60"/>
      <c r="B56" s="51"/>
      <c r="C56" s="51"/>
      <c r="D56" s="51"/>
      <c r="E56" s="58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45"/>
      <c r="AF56" s="192"/>
      <c r="AG56" s="59"/>
      <c r="AH56" s="105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</row>
    <row r="57" spans="1:49" ht="30" customHeight="1" x14ac:dyDescent="0.25">
      <c r="A57" s="60"/>
      <c r="B57" s="51"/>
      <c r="C57" s="51"/>
      <c r="D57" s="51"/>
      <c r="E57" s="70" t="s">
        <v>452</v>
      </c>
      <c r="F57" s="116">
        <v>2010</v>
      </c>
      <c r="G57" s="117">
        <v>2011</v>
      </c>
      <c r="H57" s="117">
        <v>2012</v>
      </c>
      <c r="I57" s="116">
        <v>2013</v>
      </c>
      <c r="J57" s="117">
        <v>2014</v>
      </c>
      <c r="K57" s="117">
        <v>2015</v>
      </c>
      <c r="L57" s="116">
        <v>2016</v>
      </c>
      <c r="M57" s="117">
        <v>2017</v>
      </c>
      <c r="N57" s="117">
        <v>2018</v>
      </c>
      <c r="O57" s="117">
        <v>2019</v>
      </c>
      <c r="P57" s="117">
        <v>2020</v>
      </c>
      <c r="Q57" s="117">
        <v>2021</v>
      </c>
      <c r="R57" s="117">
        <v>2022</v>
      </c>
      <c r="S57" s="117">
        <v>2023</v>
      </c>
      <c r="T57" s="140">
        <v>2024</v>
      </c>
      <c r="U57" s="140">
        <v>2025</v>
      </c>
      <c r="V57" s="140">
        <v>2026</v>
      </c>
      <c r="W57" s="140">
        <v>2027</v>
      </c>
      <c r="X57" s="140">
        <v>2028</v>
      </c>
      <c r="Y57" s="140">
        <v>2029</v>
      </c>
      <c r="Z57" s="140">
        <v>2030</v>
      </c>
      <c r="AA57" s="140">
        <v>2031</v>
      </c>
      <c r="AB57" s="140">
        <v>2032</v>
      </c>
      <c r="AC57" s="140">
        <v>2033</v>
      </c>
      <c r="AD57" s="140">
        <v>2034</v>
      </c>
      <c r="AE57" s="140">
        <v>2035</v>
      </c>
      <c r="AF57" s="175" t="s">
        <v>1349</v>
      </c>
      <c r="AG57" s="116" t="s">
        <v>38</v>
      </c>
      <c r="AH57" s="107" t="s">
        <v>72</v>
      </c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</row>
    <row r="58" spans="1:49" ht="30" customHeight="1" x14ac:dyDescent="0.25">
      <c r="A58" s="60"/>
      <c r="B58" s="51"/>
      <c r="C58" s="51"/>
      <c r="D58" s="51"/>
      <c r="E58" s="70" t="s">
        <v>376</v>
      </c>
      <c r="F58" s="117">
        <v>0</v>
      </c>
      <c r="G58" s="117">
        <v>0</v>
      </c>
      <c r="H58" s="117">
        <v>0</v>
      </c>
      <c r="I58" s="117">
        <f>H58+I59-I61</f>
        <v>15</v>
      </c>
      <c r="J58" s="117">
        <f>I58+J59-J61</f>
        <v>25</v>
      </c>
      <c r="K58" s="117">
        <f t="shared" ref="K58:S58" si="87">J58+K59-K61</f>
        <v>37</v>
      </c>
      <c r="L58" s="117">
        <f t="shared" si="87"/>
        <v>59</v>
      </c>
      <c r="M58" s="117">
        <f t="shared" si="87"/>
        <v>84</v>
      </c>
      <c r="N58" s="117">
        <f t="shared" si="87"/>
        <v>94</v>
      </c>
      <c r="O58" s="117">
        <f t="shared" si="87"/>
        <v>101</v>
      </c>
      <c r="P58" s="117">
        <f t="shared" si="87"/>
        <v>100</v>
      </c>
      <c r="Q58" s="117">
        <f t="shared" si="87"/>
        <v>104</v>
      </c>
      <c r="R58" s="117">
        <f t="shared" si="87"/>
        <v>114</v>
      </c>
      <c r="S58" s="117">
        <f t="shared" si="87"/>
        <v>124</v>
      </c>
      <c r="T58" s="141">
        <f>S58+T59</f>
        <v>137</v>
      </c>
      <c r="U58" s="141">
        <f t="shared" ref="U58" si="88">T58+U59</f>
        <v>150</v>
      </c>
      <c r="V58" s="141">
        <f t="shared" ref="V58" si="89">U58+V59</f>
        <v>163</v>
      </c>
      <c r="W58" s="141">
        <f t="shared" ref="W58" si="90">V58+W59</f>
        <v>176</v>
      </c>
      <c r="X58" s="141">
        <f t="shared" ref="X58" si="91">W58+X59</f>
        <v>188</v>
      </c>
      <c r="Y58" s="141">
        <v>200</v>
      </c>
      <c r="Z58" s="141">
        <f t="shared" ref="Z58" si="92">Y58+Z59</f>
        <v>212</v>
      </c>
      <c r="AA58" s="141">
        <f t="shared" ref="AA58" si="93">Z58+AA59</f>
        <v>224</v>
      </c>
      <c r="AB58" s="141">
        <f t="shared" ref="AB58" si="94">AA58+AB59</f>
        <v>236</v>
      </c>
      <c r="AC58" s="141">
        <f t="shared" ref="AC58" si="95">AB58+AC59</f>
        <v>248</v>
      </c>
      <c r="AD58" s="141">
        <f t="shared" ref="AD58" si="96">AC58+AD59</f>
        <v>260</v>
      </c>
      <c r="AE58" s="141">
        <f t="shared" ref="AE58" si="97">AD58+AE59</f>
        <v>272</v>
      </c>
      <c r="AF58" s="177"/>
      <c r="AG58" s="111"/>
      <c r="AH58" s="109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</row>
    <row r="59" spans="1:49" ht="30" customHeight="1" x14ac:dyDescent="0.25">
      <c r="A59" s="60"/>
      <c r="B59" s="51"/>
      <c r="C59" s="51"/>
      <c r="D59" s="51"/>
      <c r="E59" s="66" t="s">
        <v>74</v>
      </c>
      <c r="F59" s="118">
        <v>0</v>
      </c>
      <c r="G59" s="118">
        <v>0</v>
      </c>
      <c r="H59" s="118">
        <v>0</v>
      </c>
      <c r="I59" s="118">
        <f>COUNTIFS(Lojas!$E$10:$E$1000,"Youcom",Lojas!$F$10:$F$1000,I57)</f>
        <v>15</v>
      </c>
      <c r="J59" s="118">
        <f>COUNTIFS(Lojas!$E$10:$E$1000,"Youcom",Lojas!$F$10:$F$1000,J57)</f>
        <v>10</v>
      </c>
      <c r="K59" s="118">
        <f>COUNTIFS(Lojas!$E$10:$E$1000,"Youcom",Lojas!$F$10:$F$1000,K57)</f>
        <v>12</v>
      </c>
      <c r="L59" s="118">
        <f>COUNTIFS(Lojas!$E$10:$E$1000,"Youcom",Lojas!$F$10:$F$1000,L57)</f>
        <v>22</v>
      </c>
      <c r="M59" s="118">
        <f>COUNTIFS(Lojas!$E$10:$E$1000,"Youcom",Lojas!$F$10:$F$1000,M57)</f>
        <v>25</v>
      </c>
      <c r="N59" s="118">
        <f>COUNTIFS(Lojas!$E$10:$E$1000,"Youcom",Lojas!$F$10:$F$1000,N57)</f>
        <v>16</v>
      </c>
      <c r="O59" s="118">
        <f>COUNTIFS(Lojas!$E$10:$E$1000,"Youcom",Lojas!$F$10:$F$1000,O57)</f>
        <v>10</v>
      </c>
      <c r="P59" s="118">
        <f>COUNTIFS(Lojas!$E$10:$E$1000,"Youcom",Lojas!$F$10:$F$1000,P57)</f>
        <v>2</v>
      </c>
      <c r="Q59" s="118">
        <f>COUNTIFS(Lojas!$E$10:$E$1000,"Youcom",Lojas!$F$10:$F$1000,Q57)</f>
        <v>5</v>
      </c>
      <c r="R59" s="118">
        <f>COUNTIFS(Lojas!$E$10:$E$1000,"Youcom",Lojas!$F$10:$F$1000,R57)</f>
        <v>11</v>
      </c>
      <c r="S59" s="118">
        <f>COUNTIFS(Lojas!$E$10:$E$1000,"Youcom",Lojas!$F$10:$F$1000,S57)</f>
        <v>13</v>
      </c>
      <c r="T59" s="143">
        <v>13</v>
      </c>
      <c r="U59" s="143">
        <v>13</v>
      </c>
      <c r="V59" s="143">
        <v>13</v>
      </c>
      <c r="W59" s="143">
        <v>13</v>
      </c>
      <c r="X59" s="143">
        <v>12</v>
      </c>
      <c r="Y59" s="143">
        <f t="shared" ref="U59:AE60" si="98">X59</f>
        <v>12</v>
      </c>
      <c r="Z59" s="143">
        <f t="shared" si="98"/>
        <v>12</v>
      </c>
      <c r="AA59" s="143">
        <f t="shared" si="98"/>
        <v>12</v>
      </c>
      <c r="AB59" s="143">
        <f t="shared" si="98"/>
        <v>12</v>
      </c>
      <c r="AC59" s="143">
        <f t="shared" si="98"/>
        <v>12</v>
      </c>
      <c r="AD59" s="143">
        <f t="shared" si="98"/>
        <v>12</v>
      </c>
      <c r="AE59" s="143">
        <f t="shared" si="98"/>
        <v>12</v>
      </c>
      <c r="AF59" s="177"/>
      <c r="AG59" s="108" t="s">
        <v>1191</v>
      </c>
      <c r="AH59" s="109">
        <v>4</v>
      </c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</row>
    <row r="60" spans="1:49" ht="30" customHeight="1" x14ac:dyDescent="0.25">
      <c r="A60" s="60"/>
      <c r="B60" s="51"/>
      <c r="C60" s="51"/>
      <c r="D60" s="51"/>
      <c r="E60" s="69" t="s">
        <v>1069</v>
      </c>
      <c r="F60" s="227">
        <v>0</v>
      </c>
      <c r="G60" s="227">
        <v>0</v>
      </c>
      <c r="H60" s="227">
        <v>0</v>
      </c>
      <c r="I60" s="227">
        <f>I68/I59</f>
        <v>239.602</v>
      </c>
      <c r="J60" s="227">
        <f t="shared" ref="J60:Q60" si="99">J68/J59</f>
        <v>193.32999999999998</v>
      </c>
      <c r="K60" s="227">
        <f t="shared" si="99"/>
        <v>239.99999999999997</v>
      </c>
      <c r="L60" s="227">
        <f t="shared" si="99"/>
        <v>207.92681818181819</v>
      </c>
      <c r="M60" s="227">
        <f t="shared" si="99"/>
        <v>226.67000000000004</v>
      </c>
      <c r="N60" s="227">
        <f t="shared" si="99"/>
        <v>237.176875</v>
      </c>
      <c r="O60" s="227">
        <f t="shared" si="99"/>
        <v>243.99799999999996</v>
      </c>
      <c r="P60" s="227">
        <v>0</v>
      </c>
      <c r="Q60" s="227">
        <f t="shared" si="99"/>
        <v>281.49199999999996</v>
      </c>
      <c r="R60" s="227">
        <f t="shared" ref="R60:S60" si="100">R68/R59</f>
        <v>286.16909090909093</v>
      </c>
      <c r="S60" s="227">
        <f t="shared" si="100"/>
        <v>261.98461538461532</v>
      </c>
      <c r="T60" s="228">
        <f>S60</f>
        <v>261.98461538461532</v>
      </c>
      <c r="U60" s="228">
        <f t="shared" si="98"/>
        <v>261.98461538461532</v>
      </c>
      <c r="V60" s="228">
        <f t="shared" si="98"/>
        <v>261.98461538461532</v>
      </c>
      <c r="W60" s="228">
        <f t="shared" si="98"/>
        <v>261.98461538461532</v>
      </c>
      <c r="X60" s="228">
        <f t="shared" si="98"/>
        <v>261.98461538461532</v>
      </c>
      <c r="Y60" s="228">
        <f t="shared" si="98"/>
        <v>261.98461538461532</v>
      </c>
      <c r="Z60" s="228">
        <f t="shared" si="98"/>
        <v>261.98461538461532</v>
      </c>
      <c r="AA60" s="228">
        <f t="shared" si="98"/>
        <v>261.98461538461532</v>
      </c>
      <c r="AB60" s="228">
        <f t="shared" si="98"/>
        <v>261.98461538461532</v>
      </c>
      <c r="AC60" s="228">
        <f t="shared" si="98"/>
        <v>261.98461538461532</v>
      </c>
      <c r="AD60" s="228">
        <f t="shared" si="98"/>
        <v>261.98461538461532</v>
      </c>
      <c r="AE60" s="228">
        <f t="shared" si="98"/>
        <v>261.98461538461532</v>
      </c>
      <c r="AF60" s="177"/>
      <c r="AG60" s="111" t="s">
        <v>1156</v>
      </c>
      <c r="AH60" s="109">
        <v>2</v>
      </c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</row>
    <row r="61" spans="1:49" ht="30" customHeight="1" x14ac:dyDescent="0.25">
      <c r="A61" s="60"/>
      <c r="B61" s="51"/>
      <c r="C61" s="51"/>
      <c r="D61" s="51"/>
      <c r="E61" s="66" t="s">
        <v>1067</v>
      </c>
      <c r="F61" s="227">
        <v>0</v>
      </c>
      <c r="G61" s="227">
        <v>0</v>
      </c>
      <c r="H61" s="227">
        <v>0</v>
      </c>
      <c r="I61" s="118">
        <f>COUNTIFS(Lojas!$E$10:$E$1000,"Youcom",Lojas!$H$10:$H$1000,I57)</f>
        <v>0</v>
      </c>
      <c r="J61" s="118">
        <f>COUNTIFS(Lojas!$E$10:$E$1000,"Youcom",Lojas!$H$10:$H$1000,J57)</f>
        <v>0</v>
      </c>
      <c r="K61" s="118">
        <f>COUNTIFS(Lojas!$E$10:$E$1000,"Youcom",Lojas!$H$10:$H$1000,K57)</f>
        <v>0</v>
      </c>
      <c r="L61" s="118">
        <f>COUNTIFS(Lojas!$E$10:$E$1000,"Youcom",Lojas!$H$10:$H$1000,L57)</f>
        <v>0</v>
      </c>
      <c r="M61" s="118">
        <f>COUNTIFS(Lojas!$E$10:$E$1000,"Youcom",Lojas!$H$10:$H$1000,M57)</f>
        <v>0</v>
      </c>
      <c r="N61" s="118">
        <f>COUNTIFS(Lojas!$E$10:$E$1000,"Youcom",Lojas!$H$10:$H$1000,N57)</f>
        <v>6</v>
      </c>
      <c r="O61" s="118">
        <f>COUNTIFS(Lojas!$E$10:$E$1000,"Youcom",Lojas!$H$10:$H$1000,O57)</f>
        <v>3</v>
      </c>
      <c r="P61" s="118">
        <f>COUNTIFS(Lojas!$E$10:$E$1000,"Youcom",Lojas!$H$10:$H$1000,P57)</f>
        <v>3</v>
      </c>
      <c r="Q61" s="118">
        <f>COUNTIFS(Lojas!$E$10:$E$1000,"Youcom",Lojas!$H$10:$H$1000,Q57)</f>
        <v>1</v>
      </c>
      <c r="R61" s="118">
        <f>COUNTIFS(Lojas!$E$10:$E$1000,"Youcom",Lojas!$H$10:$H$1000,R57)</f>
        <v>1</v>
      </c>
      <c r="S61" s="118">
        <f>COUNTIFS(Lojas!$E$10:$E$1000,"Youcom",Lojas!$H$10:$H$1000,S57)</f>
        <v>3</v>
      </c>
      <c r="T61" s="228">
        <v>0</v>
      </c>
      <c r="U61" s="228">
        <v>0</v>
      </c>
      <c r="V61" s="228">
        <v>0</v>
      </c>
      <c r="W61" s="228">
        <v>0</v>
      </c>
      <c r="X61" s="228">
        <v>0</v>
      </c>
      <c r="Y61" s="228">
        <v>0</v>
      </c>
      <c r="Z61" s="228">
        <v>0</v>
      </c>
      <c r="AA61" s="228">
        <v>0</v>
      </c>
      <c r="AB61" s="228">
        <v>0</v>
      </c>
      <c r="AC61" s="228">
        <v>0</v>
      </c>
      <c r="AD61" s="228">
        <v>0</v>
      </c>
      <c r="AE61" s="228">
        <v>0</v>
      </c>
      <c r="AF61" s="177"/>
      <c r="AG61" s="111"/>
      <c r="AH61" s="109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</row>
    <row r="62" spans="1:49" ht="30" customHeight="1" x14ac:dyDescent="0.25">
      <c r="A62" s="60"/>
      <c r="B62" s="51"/>
      <c r="C62" s="51"/>
      <c r="D62" s="51"/>
      <c r="E62" s="69" t="s">
        <v>1068</v>
      </c>
      <c r="F62" s="227">
        <v>0</v>
      </c>
      <c r="G62" s="227">
        <v>0</v>
      </c>
      <c r="H62" s="227">
        <v>0</v>
      </c>
      <c r="I62" s="227">
        <f>SUMIFS(Lojas!$Q$10:$Q$1000,Lojas!$E$10:$E$1000,"Youcom",Lojas!$H$10:$H$1000,'Projeções - Receita'!I57)</f>
        <v>0</v>
      </c>
      <c r="J62" s="227">
        <f>SUMIFS(Lojas!$Q$10:$Q$1000,Lojas!$E$10:$E$1000,"Youcom",Lojas!$H$10:$H$1000,'Projeções - Receita'!J57)</f>
        <v>0</v>
      </c>
      <c r="K62" s="227">
        <f>SUMIFS(Lojas!$Q$10:$Q$1000,Lojas!$E$10:$E$1000,"Youcom",Lojas!$H$10:$H$1000,'Projeções - Receita'!K57)</f>
        <v>0</v>
      </c>
      <c r="L62" s="227">
        <f>SUMIFS(Lojas!$Q$10:$Q$1000,Lojas!$E$10:$E$1000,"Youcom",Lojas!$H$10:$H$1000,'Projeções - Receita'!L57)</f>
        <v>0</v>
      </c>
      <c r="M62" s="227">
        <f>SUMIFS(Lojas!$Q$10:$Q$1000,Lojas!$E$10:$E$1000,"Youcom",Lojas!$H$10:$H$1000,'Projeções - Receita'!M57)</f>
        <v>0</v>
      </c>
      <c r="N62" s="227">
        <f>SUMIFS(Lojas!$Q$10:$Q$1000,Lojas!$E$10:$E$1000,"Youcom",Lojas!$H$10:$H$1000,'Projeções - Receita'!N57)</f>
        <v>1125.4000000000001</v>
      </c>
      <c r="O62" s="227">
        <f>SUMIFS(Lojas!$Q$10:$Q$1000,Lojas!$E$10:$E$1000,"Youcom",Lojas!$H$10:$H$1000,'Projeções - Receita'!O57)</f>
        <v>545.98</v>
      </c>
      <c r="P62" s="227">
        <f>SUMIFS(Lojas!$Q$10:$Q$1000,Lojas!$E$10:$E$1000,"Youcom",Lojas!$H$10:$H$1000,'Projeções - Receita'!P57)</f>
        <v>589.4</v>
      </c>
      <c r="Q62" s="227">
        <f>SUMIFS(Lojas!$Q$10:$Q$1000,Lojas!$E$10:$E$1000,"Youcom",Lojas!$H$10:$H$1000,'Projeções - Receita'!Q57)</f>
        <v>225.79</v>
      </c>
      <c r="R62" s="227">
        <f>SUMIFS(Lojas!$Q$10:$Q$1000,Lojas!$E$10:$E$1000,"Youcom",Lojas!$H$10:$H$1000,'Projeções - Receita'!R57)</f>
        <v>270.12</v>
      </c>
      <c r="S62" s="227">
        <f>SUMIFS(Lojas!$Q$10:$Q$1000,Lojas!$E$10:$E$1000,"Youcom",Lojas!$H$10:$H$1000,'Projeções - Receita'!S57)</f>
        <v>697.81</v>
      </c>
      <c r="T62" s="229">
        <f>COUNTIFS(Lojas!$H$10:$H$1000,T57,Lojas!$E$10:$E$1000,"Youcom")</f>
        <v>0</v>
      </c>
      <c r="U62" s="229">
        <f>COUNTIFS(Lojas!$H$10:$H$1000,U57,Lojas!$E$10:$E$1000,"Youcom")</f>
        <v>0</v>
      </c>
      <c r="V62" s="229">
        <f>COUNTIFS(Lojas!$H$10:$H$1000,V57,Lojas!$E$10:$E$1000,"Youcom")</f>
        <v>0</v>
      </c>
      <c r="W62" s="229">
        <f>COUNTIFS(Lojas!$H$10:$H$1000,W57,Lojas!$E$10:$E$1000,"Youcom")</f>
        <v>0</v>
      </c>
      <c r="X62" s="229">
        <f>COUNTIFS(Lojas!$H$10:$H$1000,X57,Lojas!$E$10:$E$1000,"Youcom")</f>
        <v>0</v>
      </c>
      <c r="Y62" s="229">
        <f>COUNTIFS(Lojas!$H$10:$H$1000,Y57,Lojas!$E$10:$E$1000,"Youcom")</f>
        <v>0</v>
      </c>
      <c r="Z62" s="229">
        <f>COUNTIFS(Lojas!$H$10:$H$1000,Z57,Lojas!$E$10:$E$1000,"Youcom")</f>
        <v>0</v>
      </c>
      <c r="AA62" s="229">
        <f>COUNTIFS(Lojas!$H$10:$H$1000,AA57,Lojas!$E$10:$E$1000,"Youcom")</f>
        <v>0</v>
      </c>
      <c r="AB62" s="229">
        <f>COUNTIFS(Lojas!$H$10:$H$1000,AB57,Lojas!$E$10:$E$1000,"Youcom")</f>
        <v>0</v>
      </c>
      <c r="AC62" s="229">
        <f>COUNTIFS(Lojas!$H$10:$H$1000,AC57,Lojas!$E$10:$E$1000,"Youcom")</f>
        <v>0</v>
      </c>
      <c r="AD62" s="229">
        <f>COUNTIFS(Lojas!$H$10:$H$1000,AD57,Lojas!$E$10:$E$1000,"Youcom")</f>
        <v>0</v>
      </c>
      <c r="AE62" s="229">
        <f>COUNTIFS(Lojas!$H$10:$H$1000,AE57,Lojas!$E$10:$E$1000,"Youcom")</f>
        <v>0</v>
      </c>
      <c r="AF62" s="110"/>
      <c r="AG62" s="119"/>
      <c r="AH62" s="109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</row>
    <row r="63" spans="1:49" ht="30" customHeight="1" x14ac:dyDescent="0.25">
      <c r="A63" s="60"/>
      <c r="B63" s="51"/>
      <c r="C63" s="51"/>
      <c r="D63" s="51"/>
      <c r="E63" s="70" t="s">
        <v>1062</v>
      </c>
      <c r="F63" s="64">
        <v>0</v>
      </c>
      <c r="G63" s="64">
        <v>0</v>
      </c>
      <c r="H63" s="64">
        <v>0</v>
      </c>
      <c r="I63" s="64">
        <f t="shared" ref="I63:Q63" si="101">SUM(I64:I68)</f>
        <v>3594.03</v>
      </c>
      <c r="J63" s="64">
        <f t="shared" si="101"/>
        <v>5527.33</v>
      </c>
      <c r="K63" s="64">
        <f t="shared" si="101"/>
        <v>8407.33</v>
      </c>
      <c r="L63" s="64">
        <f t="shared" si="101"/>
        <v>12981.720000000001</v>
      </c>
      <c r="M63" s="64">
        <f t="shared" si="101"/>
        <v>18648.47</v>
      </c>
      <c r="N63" s="64">
        <f t="shared" si="101"/>
        <v>22443.300000000003</v>
      </c>
      <c r="O63" s="64">
        <f t="shared" si="101"/>
        <v>24883.280000000002</v>
      </c>
      <c r="P63" s="64">
        <f t="shared" si="101"/>
        <v>25380.559999999994</v>
      </c>
      <c r="Q63" s="64">
        <f t="shared" si="101"/>
        <v>26788.02</v>
      </c>
      <c r="R63" s="64">
        <f t="shared" ref="R63:S63" si="102">SUM(R64:R68)</f>
        <v>29935.88</v>
      </c>
      <c r="S63" s="64">
        <f t="shared" si="102"/>
        <v>33341.68</v>
      </c>
      <c r="T63" s="142">
        <f t="shared" ref="T63:AB63" si="103">SUM(T64:T68)</f>
        <v>36747.479999999996</v>
      </c>
      <c r="U63" s="142">
        <f t="shared" si="103"/>
        <v>40153.279999999999</v>
      </c>
      <c r="V63" s="142">
        <f t="shared" si="103"/>
        <v>43559.08</v>
      </c>
      <c r="W63" s="142">
        <f t="shared" si="103"/>
        <v>46964.880000000005</v>
      </c>
      <c r="X63" s="142">
        <f t="shared" si="103"/>
        <v>50108.695384615392</v>
      </c>
      <c r="Y63" s="142">
        <f t="shared" si="103"/>
        <v>53252.510769230779</v>
      </c>
      <c r="Z63" s="142">
        <f t="shared" si="103"/>
        <v>56396.326153846167</v>
      </c>
      <c r="AA63" s="142">
        <f t="shared" si="103"/>
        <v>59540.141538461554</v>
      </c>
      <c r="AB63" s="142">
        <f t="shared" si="103"/>
        <v>62683.956923076941</v>
      </c>
      <c r="AC63" s="142">
        <f t="shared" ref="AC63:AE63" si="104">SUM(AC64:AC68)</f>
        <v>65827.772307692328</v>
      </c>
      <c r="AD63" s="142">
        <f t="shared" si="104"/>
        <v>68971.587692307716</v>
      </c>
      <c r="AE63" s="142">
        <f t="shared" si="104"/>
        <v>72115.403076923103</v>
      </c>
      <c r="AF63" s="110"/>
      <c r="AG63" s="119"/>
      <c r="AH63" s="109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</row>
    <row r="64" spans="1:49" ht="30" customHeight="1" x14ac:dyDescent="0.25">
      <c r="A64" s="60"/>
      <c r="B64" s="51"/>
      <c r="C64" s="51"/>
      <c r="D64" s="51"/>
      <c r="E64" s="66" t="s">
        <v>80</v>
      </c>
      <c r="F64" s="67">
        <v>0</v>
      </c>
      <c r="G64" s="67">
        <v>0</v>
      </c>
      <c r="H64" s="67">
        <v>0</v>
      </c>
      <c r="I64" s="67">
        <f>SUMIFS(Lojas!$Q$10:$Q$1000,Lojas!$E$10:$E$1000,"Youcom",Lojas!$F$10:$F$1000,"&lt;="&amp;I$23-4)</f>
        <v>0</v>
      </c>
      <c r="J64" s="67">
        <f>SUMIFS(Lojas!$Q$10:$Q$1000,Lojas!$E$10:$E$1000,"Youcom",Lojas!$F$10:$F$1000,"&lt;="&amp;J$23-4)</f>
        <v>0</v>
      </c>
      <c r="K64" s="67">
        <f>SUMIFS(Lojas!$Q$10:$Q$1000,Lojas!$E$10:$E$1000,"Youcom",Lojas!$F$10:$F$1000,"&lt;="&amp;K$23-4)</f>
        <v>0</v>
      </c>
      <c r="L64" s="67">
        <f>SUMIFS(Lojas!$Q$10:$Q$1000,Lojas!$E$10:$E$1000,"Youcom",Lojas!$F$10:$F$1000,"&lt;="&amp;L$23-4)</f>
        <v>0</v>
      </c>
      <c r="M64" s="67">
        <f>SUMIFS(Lojas!$Q$10:$Q$1000,Lojas!$E$10:$E$1000,"Youcom",Lojas!$F$10:$F$1000,"&lt;="&amp;M$23-4)</f>
        <v>3594.03</v>
      </c>
      <c r="N64" s="67">
        <f>SUMIFS(Lojas!$Q$10:$Q$1000,Lojas!$E$10:$E$1000,"Youcom",Lojas!$F$10:$F$1000,"&lt;="&amp;N$23-4)</f>
        <v>5527.3300000000008</v>
      </c>
      <c r="O64" s="67">
        <f>SUMIFS(Lojas!$Q$10:$Q$1000,Lojas!$E$10:$E$1000,"Youcom",Lojas!$F$10:$F$1000,"&lt;="&amp;O$23-4)</f>
        <v>8407.3300000000017</v>
      </c>
      <c r="P64" s="67">
        <f>SUMIFS(Lojas!$Q$10:$Q$1000,Lojas!$E$10:$E$1000,"Youcom",Lojas!$F$10:$F$1000,"&lt;="&amp;P$23-4)</f>
        <v>12981.719999999996</v>
      </c>
      <c r="Q64" s="67">
        <f>SUMIFS(Lojas!$Q$10:$Q$1000,Lojas!$E$10:$E$1000,"Youcom",Lojas!$F$10:$F$1000,"&lt;="&amp;Q$23-4)</f>
        <v>18648.47</v>
      </c>
      <c r="R64" s="67">
        <f>SUMIFS(Lojas!$Q$10:$Q$1000,Lojas!$E$10:$E$1000,"Youcom",Lojas!$F$10:$F$1000,"&lt;="&amp;R$23-4)</f>
        <v>22443.300000000003</v>
      </c>
      <c r="S64" s="67">
        <f>SUMIFS(Lojas!$Q$10:$Q$1000,Lojas!$E$10:$E$1000,"Youcom",Lojas!$F$10:$F$1000,"&lt;="&amp;S$23-4)</f>
        <v>24883.280000000002</v>
      </c>
      <c r="T64" s="143">
        <f>S65+S64</f>
        <v>25380.560000000001</v>
      </c>
      <c r="U64" s="143">
        <f t="shared" ref="U64" si="105">T65+T64</f>
        <v>26788.02</v>
      </c>
      <c r="V64" s="143">
        <f t="shared" ref="V64" si="106">U65+U64</f>
        <v>29935.88</v>
      </c>
      <c r="W64" s="143">
        <f t="shared" ref="W64" si="107">V65+V64</f>
        <v>33341.68</v>
      </c>
      <c r="X64" s="143">
        <f t="shared" ref="X64" si="108">W65+W64</f>
        <v>36747.479999999996</v>
      </c>
      <c r="Y64" s="143">
        <f t="shared" ref="Y64" si="109">X65+X64</f>
        <v>40153.279999999999</v>
      </c>
      <c r="Z64" s="143">
        <f t="shared" ref="Z64" si="110">Y65+Y64</f>
        <v>43559.08</v>
      </c>
      <c r="AA64" s="143">
        <f t="shared" ref="AA64" si="111">Z65+Z64</f>
        <v>46964.880000000005</v>
      </c>
      <c r="AB64" s="143">
        <f>AA65+AA64</f>
        <v>50108.695384615392</v>
      </c>
      <c r="AC64" s="143">
        <f t="shared" ref="AC64:AE64" si="112">AB65+AB64</f>
        <v>53252.510769230779</v>
      </c>
      <c r="AD64" s="143">
        <f t="shared" si="112"/>
        <v>56396.326153846167</v>
      </c>
      <c r="AE64" s="143">
        <f t="shared" si="112"/>
        <v>59540.141538461554</v>
      </c>
      <c r="AF64" s="110"/>
      <c r="AG64" s="119"/>
      <c r="AH64" s="109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</row>
    <row r="65" spans="1:49" ht="30" customHeight="1" x14ac:dyDescent="0.25">
      <c r="A65" s="60"/>
      <c r="B65" s="51"/>
      <c r="C65" s="51"/>
      <c r="D65" s="120"/>
      <c r="E65" s="66" t="s">
        <v>60</v>
      </c>
      <c r="F65" s="67">
        <v>0</v>
      </c>
      <c r="G65" s="67">
        <v>0</v>
      </c>
      <c r="H65" s="67">
        <v>0</v>
      </c>
      <c r="I65" s="67">
        <f>SUMIFS(Lojas!$Q$10:$Q$1000,Lojas!$E$10:$E$1000,"Youcom",Lojas!$F$10:$F$1000,I$23-3)</f>
        <v>0</v>
      </c>
      <c r="J65" s="67">
        <f>SUMIFS(Lojas!$Q$10:$Q$1000,Lojas!$E$10:$E$1000,"Youcom",Lojas!$F$10:$F$1000,J$23-3)</f>
        <v>0</v>
      </c>
      <c r="K65" s="67">
        <f>SUMIFS(Lojas!$Q$10:$Q$1000,Lojas!$E$10:$E$1000,"Youcom",Lojas!$F$10:$F$1000,K$23-3)</f>
        <v>0</v>
      </c>
      <c r="L65" s="67">
        <f>SUMIFS(Lojas!$Q$10:$Q$1000,Lojas!$E$10:$E$1000,"Youcom",Lojas!$F$10:$F$1000,L$23-3)</f>
        <v>3594.03</v>
      </c>
      <c r="M65" s="67">
        <f>SUMIFS(Lojas!$Q$10:$Q$1000,Lojas!$E$10:$E$1000,"Youcom",Lojas!$F$10:$F$1000,M$23-3)</f>
        <v>1933.2999999999997</v>
      </c>
      <c r="N65" s="67">
        <f>SUMIFS(Lojas!$Q$10:$Q$1000,Lojas!$E$10:$E$1000,"Youcom",Lojas!$F$10:$F$1000,N$23-3)</f>
        <v>2879.9999999999995</v>
      </c>
      <c r="O65" s="67">
        <f>SUMIFS(Lojas!$Q$10:$Q$1000,Lojas!$E$10:$E$1000,"Youcom",Lojas!$F$10:$F$1000,O$23-3)</f>
        <v>4574.3900000000003</v>
      </c>
      <c r="P65" s="67">
        <f>SUMIFS(Lojas!$Q$10:$Q$1000,Lojas!$E$10:$E$1000,"Youcom",Lojas!$F$10:$F$1000,P$23-3)</f>
        <v>5666.7500000000009</v>
      </c>
      <c r="Q65" s="67">
        <f>SUMIFS(Lojas!$Q$10:$Q$1000,Lojas!$E$10:$E$1000,"Youcom",Lojas!$F$10:$F$1000,Q$23-3)</f>
        <v>3794.83</v>
      </c>
      <c r="R65" s="67">
        <f>SUMIFS(Lojas!$Q$10:$Q$1000,Lojas!$E$10:$E$1000,"Youcom",Lojas!$F$10:$F$1000,R$23-3)</f>
        <v>2439.9799999999996</v>
      </c>
      <c r="S65" s="67">
        <f>SUMIFS(Lojas!$Q$10:$Q$1000,Lojas!$E$10:$E$1000,"Youcom",Lojas!$F$10:$F$1000,S$23-3)</f>
        <v>497.28</v>
      </c>
      <c r="T65" s="143">
        <f>S66</f>
        <v>1407.4599999999998</v>
      </c>
      <c r="U65" s="143">
        <f t="shared" ref="U65:U67" si="113">T66</f>
        <v>3147.86</v>
      </c>
      <c r="V65" s="143">
        <f t="shared" ref="V65:V67" si="114">U66</f>
        <v>3405.7999999999993</v>
      </c>
      <c r="W65" s="143">
        <f t="shared" ref="W65:W67" si="115">V66</f>
        <v>3405.7999999999993</v>
      </c>
      <c r="X65" s="143">
        <f t="shared" ref="X65:X67" si="116">W66</f>
        <v>3405.7999999999993</v>
      </c>
      <c r="Y65" s="143">
        <f t="shared" ref="Y65:Y67" si="117">X66</f>
        <v>3405.7999999999993</v>
      </c>
      <c r="Z65" s="143">
        <f t="shared" ref="Z65:Z67" si="118">Y66</f>
        <v>3405.7999999999993</v>
      </c>
      <c r="AA65" s="143">
        <f t="shared" ref="AA65:AA67" si="119">Z66</f>
        <v>3143.8153846153837</v>
      </c>
      <c r="AB65" s="143">
        <f t="shared" ref="AB65:AB67" si="120">AA66</f>
        <v>3143.8153846153837</v>
      </c>
      <c r="AC65" s="143">
        <f t="shared" ref="AC65:AC67" si="121">AB66</f>
        <v>3143.8153846153837</v>
      </c>
      <c r="AD65" s="143">
        <f t="shared" ref="AD65:AD67" si="122">AC66</f>
        <v>3143.8153846153837</v>
      </c>
      <c r="AE65" s="143">
        <f t="shared" ref="AE65:AE67" si="123">AD66</f>
        <v>3143.8153846153837</v>
      </c>
      <c r="AF65" s="110"/>
      <c r="AG65" s="119"/>
      <c r="AH65" s="109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</row>
    <row r="66" spans="1:49" ht="30" customHeight="1" x14ac:dyDescent="0.25">
      <c r="A66" s="60"/>
      <c r="B66" s="51"/>
      <c r="C66" s="51"/>
      <c r="D66" s="51"/>
      <c r="E66" s="66" t="s">
        <v>61</v>
      </c>
      <c r="F66" s="67">
        <v>0</v>
      </c>
      <c r="G66" s="67">
        <v>0</v>
      </c>
      <c r="H66" s="67">
        <v>0</v>
      </c>
      <c r="I66" s="67">
        <f>SUMIFS(Lojas!$Q$10:$Q$1000,Lojas!$E$10:$E$1000,"Youcom",Lojas!$F$10:$F$1000,I$23-2)</f>
        <v>0</v>
      </c>
      <c r="J66" s="67">
        <f>SUMIFS(Lojas!$Q$10:$Q$1000,Lojas!$E$10:$E$1000,"Youcom",Lojas!$F$10:$F$1000,J$23-2)</f>
        <v>0</v>
      </c>
      <c r="K66" s="67">
        <f>SUMIFS(Lojas!$Q$10:$Q$1000,Lojas!$E$10:$E$1000,"Youcom",Lojas!$F$10:$F$1000,K$23-2)</f>
        <v>3594.03</v>
      </c>
      <c r="L66" s="67">
        <f>SUMIFS(Lojas!$Q$10:$Q$1000,Lojas!$E$10:$E$1000,"Youcom",Lojas!$F$10:$F$1000,L$23-2)</f>
        <v>1933.2999999999997</v>
      </c>
      <c r="M66" s="67">
        <f>SUMIFS(Lojas!$Q$10:$Q$1000,Lojas!$E$10:$E$1000,"Youcom",Lojas!$F$10:$F$1000,M$23-2)</f>
        <v>2879.9999999999995</v>
      </c>
      <c r="N66" s="67">
        <f>SUMIFS(Lojas!$Q$10:$Q$1000,Lojas!$E$10:$E$1000,"Youcom",Lojas!$F$10:$F$1000,N$23-2)</f>
        <v>4574.3900000000003</v>
      </c>
      <c r="O66" s="67">
        <f>SUMIFS(Lojas!$Q$10:$Q$1000,Lojas!$E$10:$E$1000,"Youcom",Lojas!$F$10:$F$1000,O$23-2)</f>
        <v>5666.7500000000009</v>
      </c>
      <c r="P66" s="67">
        <f>SUMIFS(Lojas!$Q$10:$Q$1000,Lojas!$E$10:$E$1000,"Youcom",Lojas!$F$10:$F$1000,P$23-2)</f>
        <v>3794.83</v>
      </c>
      <c r="Q66" s="67">
        <f>SUMIFS(Lojas!$Q$10:$Q$1000,Lojas!$E$10:$E$1000,"Youcom",Lojas!$F$10:$F$1000,Q$23-2)</f>
        <v>2439.9799999999996</v>
      </c>
      <c r="R66" s="67">
        <f>SUMIFS(Lojas!$Q$10:$Q$1000,Lojas!$E$10:$E$1000,"Youcom",Lojas!$F$10:$F$1000,R$23-2)</f>
        <v>497.28</v>
      </c>
      <c r="S66" s="67">
        <f>SUMIFS(Lojas!$Q$10:$Q$1000,Lojas!$E$10:$E$1000,"Youcom",Lojas!$F$10:$F$1000,S$23-2)</f>
        <v>1407.4599999999998</v>
      </c>
      <c r="T66" s="143">
        <f>S67</f>
        <v>3147.86</v>
      </c>
      <c r="U66" s="143">
        <f t="shared" si="113"/>
        <v>3405.7999999999993</v>
      </c>
      <c r="V66" s="143">
        <f t="shared" si="114"/>
        <v>3405.7999999999993</v>
      </c>
      <c r="W66" s="143">
        <f t="shared" si="115"/>
        <v>3405.7999999999993</v>
      </c>
      <c r="X66" s="143">
        <f t="shared" si="116"/>
        <v>3405.7999999999993</v>
      </c>
      <c r="Y66" s="143">
        <f t="shared" si="117"/>
        <v>3405.7999999999993</v>
      </c>
      <c r="Z66" s="143">
        <f t="shared" si="118"/>
        <v>3143.8153846153837</v>
      </c>
      <c r="AA66" s="143">
        <f t="shared" si="119"/>
        <v>3143.8153846153837</v>
      </c>
      <c r="AB66" s="143">
        <f t="shared" si="120"/>
        <v>3143.8153846153837</v>
      </c>
      <c r="AC66" s="143">
        <f t="shared" si="121"/>
        <v>3143.8153846153837</v>
      </c>
      <c r="AD66" s="143">
        <f t="shared" si="122"/>
        <v>3143.8153846153837</v>
      </c>
      <c r="AE66" s="143">
        <f t="shared" si="123"/>
        <v>3143.8153846153837</v>
      </c>
      <c r="AF66" s="110"/>
      <c r="AG66" s="119"/>
      <c r="AH66" s="109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</row>
    <row r="67" spans="1:49" ht="30" customHeight="1" x14ac:dyDescent="0.25">
      <c r="A67" s="60"/>
      <c r="B67" s="51"/>
      <c r="C67" s="51"/>
      <c r="D67" s="51"/>
      <c r="E67" s="121" t="s">
        <v>62</v>
      </c>
      <c r="F67" s="67">
        <v>0</v>
      </c>
      <c r="G67" s="67">
        <v>0</v>
      </c>
      <c r="H67" s="67">
        <v>0</v>
      </c>
      <c r="I67" s="67">
        <f>SUMIFS(Lojas!$Q$10:$Q$1000,Lojas!$E$10:$E$1000,"Youcom",Lojas!$F$10:$F$1000,I$23-1)</f>
        <v>0</v>
      </c>
      <c r="J67" s="67">
        <f>SUMIFS(Lojas!$Q$10:$Q$1000,Lojas!$E$10:$E$1000,"Youcom",Lojas!$F$10:$F$1000,J$23-1)</f>
        <v>3594.03</v>
      </c>
      <c r="K67" s="67">
        <f>SUMIFS(Lojas!$Q$10:$Q$1000,Lojas!$E$10:$E$1000,"Youcom",Lojas!$F$10:$F$1000,K$23-1)</f>
        <v>1933.2999999999997</v>
      </c>
      <c r="L67" s="67">
        <f>SUMIFS(Lojas!$Q$10:$Q$1000,Lojas!$E$10:$E$1000,"Youcom",Lojas!$F$10:$F$1000,L$23-1)</f>
        <v>2879.9999999999995</v>
      </c>
      <c r="M67" s="67">
        <f>SUMIFS(Lojas!$Q$10:$Q$1000,Lojas!$E$10:$E$1000,"Youcom",Lojas!$F$10:$F$1000,M$23-1)</f>
        <v>4574.3900000000003</v>
      </c>
      <c r="N67" s="67">
        <f>SUMIFS(Lojas!$Q$10:$Q$1000,Lojas!$E$10:$E$1000,"Youcom",Lojas!$F$10:$F$1000,N$23-1)</f>
        <v>5666.7500000000009</v>
      </c>
      <c r="O67" s="67">
        <f>SUMIFS(Lojas!$Q$10:$Q$1000,Lojas!$E$10:$E$1000,"Youcom",Lojas!$F$10:$F$1000,O$23-1)</f>
        <v>3794.83</v>
      </c>
      <c r="P67" s="67">
        <f>SUMIFS(Lojas!$Q$10:$Q$1000,Lojas!$E$10:$E$1000,"Youcom",Lojas!$F$10:$F$1000,P$23-1)</f>
        <v>2439.9799999999996</v>
      </c>
      <c r="Q67" s="67">
        <f>SUMIFS(Lojas!$Q$10:$Q$1000,Lojas!$E$10:$E$1000,"Youcom",Lojas!$F$10:$F$1000,Q$23-1)</f>
        <v>497.28</v>
      </c>
      <c r="R67" s="67">
        <f>SUMIFS(Lojas!$Q$10:$Q$1000,Lojas!$E$10:$E$1000,"Youcom",Lojas!$F$10:$F$1000,R$23-1)</f>
        <v>1407.4599999999998</v>
      </c>
      <c r="S67" s="67">
        <f>SUMIFS(Lojas!$Q$10:$Q$1000,Lojas!$E$10:$E$1000,"Youcom",Lojas!$F$10:$F$1000,S$23-1)</f>
        <v>3147.86</v>
      </c>
      <c r="T67" s="143">
        <f>S68</f>
        <v>3405.7999999999993</v>
      </c>
      <c r="U67" s="143">
        <f t="shared" si="113"/>
        <v>3405.7999999999993</v>
      </c>
      <c r="V67" s="143">
        <f t="shared" si="114"/>
        <v>3405.7999999999993</v>
      </c>
      <c r="W67" s="143">
        <f t="shared" si="115"/>
        <v>3405.7999999999993</v>
      </c>
      <c r="X67" s="143">
        <f t="shared" si="116"/>
        <v>3405.7999999999993</v>
      </c>
      <c r="Y67" s="143">
        <f t="shared" si="117"/>
        <v>3143.8153846153837</v>
      </c>
      <c r="Z67" s="143">
        <f t="shared" si="118"/>
        <v>3143.8153846153837</v>
      </c>
      <c r="AA67" s="143">
        <f t="shared" si="119"/>
        <v>3143.8153846153837</v>
      </c>
      <c r="AB67" s="143">
        <f t="shared" si="120"/>
        <v>3143.8153846153837</v>
      </c>
      <c r="AC67" s="143">
        <f t="shared" si="121"/>
        <v>3143.8153846153837</v>
      </c>
      <c r="AD67" s="143">
        <f t="shared" si="122"/>
        <v>3143.8153846153837</v>
      </c>
      <c r="AE67" s="143">
        <f t="shared" si="123"/>
        <v>3143.8153846153837</v>
      </c>
      <c r="AF67" s="110"/>
      <c r="AG67" s="122"/>
      <c r="AH67" s="109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</row>
    <row r="68" spans="1:49" ht="30" customHeight="1" x14ac:dyDescent="0.25">
      <c r="A68" s="60"/>
      <c r="B68" s="51"/>
      <c r="C68" s="51"/>
      <c r="D68" s="51"/>
      <c r="E68" s="66" t="s">
        <v>63</v>
      </c>
      <c r="F68" s="67">
        <v>0</v>
      </c>
      <c r="G68" s="67">
        <v>0</v>
      </c>
      <c r="H68" s="67">
        <v>0</v>
      </c>
      <c r="I68" s="67">
        <f>SUMIFS(Lojas!$Q$10:$Q$1000,Lojas!$E$10:$E$1000,"Youcom",Lojas!$F$10:$F$1000,I$23)</f>
        <v>3594.03</v>
      </c>
      <c r="J68" s="67">
        <f>SUMIFS(Lojas!$Q$10:$Q$1000,Lojas!$E$10:$E$1000,"Youcom",Lojas!$F$10:$F$1000,J$23)</f>
        <v>1933.2999999999997</v>
      </c>
      <c r="K68" s="67">
        <f>SUMIFS(Lojas!$Q$10:$Q$1000,Lojas!$E$10:$E$1000,"Youcom",Lojas!$F$10:$F$1000,K$23)</f>
        <v>2879.9999999999995</v>
      </c>
      <c r="L68" s="67">
        <f>SUMIFS(Lojas!$Q$10:$Q$1000,Lojas!$E$10:$E$1000,"Youcom",Lojas!$F$10:$F$1000,L$23)</f>
        <v>4574.3900000000003</v>
      </c>
      <c r="M68" s="67">
        <f>SUMIFS(Lojas!$Q$10:$Q$1000,Lojas!$E$10:$E$1000,"Youcom",Lojas!$F$10:$F$1000,M$23)</f>
        <v>5666.7500000000009</v>
      </c>
      <c r="N68" s="67">
        <f>SUMIFS(Lojas!$Q$10:$Q$1000,Lojas!$E$10:$E$1000,"Youcom",Lojas!$F$10:$F$1000,N$23)</f>
        <v>3794.83</v>
      </c>
      <c r="O68" s="67">
        <f>SUMIFS(Lojas!$Q$10:$Q$1000,Lojas!$E$10:$E$1000,"Youcom",Lojas!$F$10:$F$1000,O$23)</f>
        <v>2439.9799999999996</v>
      </c>
      <c r="P68" s="67">
        <f>SUMIFS(Lojas!$Q$10:$Q$1000,Lojas!$E$10:$E$1000,"Youcom",Lojas!$F$10:$F$1000,P$23)</f>
        <v>497.28</v>
      </c>
      <c r="Q68" s="67">
        <f>SUMIFS(Lojas!$Q$10:$Q$1000,Lojas!$E$10:$E$1000,"Youcom",Lojas!$F$10:$F$1000,Q$23)</f>
        <v>1407.4599999999998</v>
      </c>
      <c r="R68" s="67">
        <f>SUMIFS(Lojas!$Q$10:$Q$1000,Lojas!$E$10:$E$1000,"Youcom",Lojas!$F$10:$F$1000,R$23)</f>
        <v>3147.86</v>
      </c>
      <c r="S68" s="67">
        <f>SUMIFS(Lojas!$Q$10:$Q$1000,Lojas!$E$10:$E$1000,"Youcom",Lojas!$F$10:$F$1000,S$23)</f>
        <v>3405.7999999999993</v>
      </c>
      <c r="T68" s="143">
        <f t="shared" ref="T68:AE68" si="124">T59*T60</f>
        <v>3405.7999999999993</v>
      </c>
      <c r="U68" s="143">
        <f t="shared" si="124"/>
        <v>3405.7999999999993</v>
      </c>
      <c r="V68" s="143">
        <f t="shared" si="124"/>
        <v>3405.7999999999993</v>
      </c>
      <c r="W68" s="143">
        <f t="shared" si="124"/>
        <v>3405.7999999999993</v>
      </c>
      <c r="X68" s="143">
        <f t="shared" si="124"/>
        <v>3143.8153846153837</v>
      </c>
      <c r="Y68" s="143">
        <f t="shared" si="124"/>
        <v>3143.8153846153837</v>
      </c>
      <c r="Z68" s="143">
        <f t="shared" si="124"/>
        <v>3143.8153846153837</v>
      </c>
      <c r="AA68" s="143">
        <f t="shared" si="124"/>
        <v>3143.8153846153837</v>
      </c>
      <c r="AB68" s="143">
        <f t="shared" si="124"/>
        <v>3143.8153846153837</v>
      </c>
      <c r="AC68" s="143">
        <f t="shared" si="124"/>
        <v>3143.8153846153837</v>
      </c>
      <c r="AD68" s="143">
        <f t="shared" si="124"/>
        <v>3143.8153846153837</v>
      </c>
      <c r="AE68" s="143">
        <f t="shared" si="124"/>
        <v>3143.8153846153837</v>
      </c>
      <c r="AF68" s="110"/>
      <c r="AG68" s="122"/>
      <c r="AH68" s="109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</row>
    <row r="69" spans="1:49" ht="30" customHeight="1" x14ac:dyDescent="0.25">
      <c r="A69" s="60"/>
      <c r="B69" s="51"/>
      <c r="C69" s="51"/>
      <c r="D69" s="51"/>
      <c r="E69" s="70" t="s">
        <v>1152</v>
      </c>
      <c r="F69" s="64">
        <v>0</v>
      </c>
      <c r="G69" s="64">
        <v>0</v>
      </c>
      <c r="H69" s="64">
        <v>0</v>
      </c>
      <c r="I69" s="64">
        <f>($E$19*I68)+(I67*$F$19)+(I66*$G$19)+(I65*$H$19)+I64-SUM($F62:H62)</f>
        <v>1797.0150000000001</v>
      </c>
      <c r="J69" s="64">
        <f>($E$19*J68)+(J67*$F$19)+(J66*$G$19)+(J65*$H$19)+J64-SUM($F62:I62)</f>
        <v>3212.9187499999998</v>
      </c>
      <c r="K69" s="64">
        <f>($E$19*K68)+(K67*$F$19)+(K66*$G$19)+(K65*$H$19)+K64-SUM($F62:J62)</f>
        <v>5343.8349999999991</v>
      </c>
      <c r="L69" s="64">
        <f>($E$19*L68)+(L67*$F$19)+(L66*$G$19)+(L65*$H$19)+L64-SUM($F62:K62)</f>
        <v>8681.9462500000009</v>
      </c>
      <c r="M69" s="64">
        <f>($E$19*M68)+(M67*$F$19)+(M66*$G$19)+(M65*$H$19)+M64-SUM($F62:L62)</f>
        <v>13138.036249999999</v>
      </c>
      <c r="N69" s="64">
        <f>($E$19*N68)+(N67*$F$19)+(N66*$G$19)+(N65*$H$19)+N64-SUM($F62:M62)</f>
        <v>16917.256250000002</v>
      </c>
      <c r="O69" s="64">
        <f>($E$19*O68)+(O67*$F$19)+(O66*$G$19)+(O65*$H$19)+O64-SUM($F62:N62)</f>
        <v>19126.342500000002</v>
      </c>
      <c r="P69" s="64">
        <f>($E$19*P68)+(P67*$F$19)+(P66*$G$19)+(P65*$H$19)+P64-SUM($F62:O62)</f>
        <v>20888.496249999993</v>
      </c>
      <c r="Q69" s="64">
        <f>($E$19*Q68)+(Q67*$F$19)+(Q66*$G$19)+(Q65*$H$19)+Q64-SUM($F62:P62)</f>
        <v>22552.681250000001</v>
      </c>
      <c r="R69" s="64">
        <f>($E$19*R68)+(R67*$F$19)+(R66*$G$19)+(R65*$H$19)+R64-SUM($F62:Q62)</f>
        <v>24918.265000000003</v>
      </c>
      <c r="S69" s="64">
        <f>($E$19*S68)+(S67*$F$19)+(S66*$G$19)+(S65*$H$19)+S64-SUM($F62:R62)</f>
        <v>27287.617500000004</v>
      </c>
      <c r="T69" s="142">
        <f>($E$19*T68)+(T67*$F$19)+(T66*$G$19)+(T65*$H$19)+T64-SUM($F62:S62)</f>
        <v>29350.0075</v>
      </c>
      <c r="U69" s="142">
        <f>($E$19*U68)+(U67*$F$19)+(U66*$G$19)+(U65*$H$19)+U64-SUM($F62:T62)</f>
        <v>32473.772499999999</v>
      </c>
      <c r="V69" s="142">
        <f>($E$19*V68)+(V67*$F$19)+(V66*$G$19)+(V65*$H$19)+V64-SUM($F62:U62)</f>
        <v>35847.33</v>
      </c>
      <c r="W69" s="142">
        <f>($E$19*W68)+(W67*$F$19)+(W66*$G$19)+(W65*$H$19)+W64-SUM($F62:V62)</f>
        <v>39253.129999999997</v>
      </c>
      <c r="X69" s="142">
        <f>($E$19*X68)+(X67*$F$19)+(X66*$G$19)+(X65*$H$19)+X64-SUM($F62:W62)</f>
        <v>42527.937692307685</v>
      </c>
      <c r="Y69" s="142">
        <f>($E$19*Y68)+(Y67*$F$19)+(Y66*$G$19)+(Y65*$H$19)+Y64-SUM($F62:X62)</f>
        <v>45769.997307692305</v>
      </c>
      <c r="Z69" s="142">
        <f>($E$19*Z68)+(Z67*$F$19)+(Z66*$G$19)+(Z65*$H$19)+Z64-SUM($F62:Y62)</f>
        <v>48979.308846153843</v>
      </c>
      <c r="AA69" s="142">
        <f>($E$19*AA68)+(AA67*$F$19)+(AA66*$G$19)+(AA65*$H$19)+AA64-SUM($F62:Z62)</f>
        <v>52155.872307692305</v>
      </c>
      <c r="AB69" s="142">
        <f>($E$19*AB68)+(AB67*$F$19)+(AB66*$G$19)+(AB65*$H$19)+AB64-SUM($F62:AA62)</f>
        <v>55299.687692307692</v>
      </c>
      <c r="AC69" s="142">
        <f>($E$19*AC68)+(AC67*$F$19)+(AC66*$G$19)+(AC65*$H$19)+AC64-SUM($F62:AB62)</f>
        <v>58443.50307692308</v>
      </c>
      <c r="AD69" s="142">
        <f>($E$19*AD68)+(AD67*$F$19)+(AD66*$G$19)+(AD65*$H$19)+AD64-SUM($F62:AC62)</f>
        <v>61587.318461538467</v>
      </c>
      <c r="AE69" s="142">
        <f>($E$19*AE68)+(AE67*$F$19)+(AE66*$G$19)+(AE65*$H$19)+AE64-SUM($F62:AD62)</f>
        <v>64731.133846153854</v>
      </c>
      <c r="AF69" s="174"/>
      <c r="AG69" s="122"/>
      <c r="AH69" s="109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</row>
    <row r="70" spans="1:49" ht="39" thickBot="1" x14ac:dyDescent="0.3">
      <c r="A70" s="60"/>
      <c r="B70" s="51"/>
      <c r="C70" s="51"/>
      <c r="D70" s="51"/>
      <c r="E70" s="123" t="s">
        <v>64</v>
      </c>
      <c r="F70" s="124">
        <v>0</v>
      </c>
      <c r="G70" s="124">
        <v>0</v>
      </c>
      <c r="H70" s="124">
        <v>0</v>
      </c>
      <c r="I70" s="124">
        <f t="shared" ref="I70:Q70" si="125">I13/I69</f>
        <v>5.622115625078254</v>
      </c>
      <c r="J70" s="124">
        <f t="shared" si="125"/>
        <v>5.9543429132778414</v>
      </c>
      <c r="K70" s="124">
        <f t="shared" si="125"/>
        <v>7.8075845586549848</v>
      </c>
      <c r="L70" s="124">
        <f t="shared" si="125"/>
        <v>9.4436064413552412</v>
      </c>
      <c r="M70" s="124">
        <f t="shared" si="125"/>
        <v>9.4688795207122389</v>
      </c>
      <c r="N70" s="124">
        <f t="shared" si="125"/>
        <v>10.61396100446253</v>
      </c>
      <c r="O70" s="124">
        <f t="shared" si="125"/>
        <v>11.571031561836772</v>
      </c>
      <c r="P70" s="124">
        <f t="shared" si="125"/>
        <v>8.2659084868304031</v>
      </c>
      <c r="Q70" s="124">
        <f t="shared" si="125"/>
        <v>12.905130920963108</v>
      </c>
      <c r="R70" s="124">
        <f t="shared" ref="R70" si="126">R13/R69</f>
        <v>16.287847834108835</v>
      </c>
      <c r="S70" s="124">
        <f t="shared" ref="S70" si="127">S13/S69</f>
        <v>15.687077609835301</v>
      </c>
      <c r="T70" s="144">
        <f t="shared" ref="T70:AB70" si="128">S70*(1+$AF$70)</f>
        <v>16.866631418321084</v>
      </c>
      <c r="U70" s="144">
        <f t="shared" si="128"/>
        <v>18.134879069071086</v>
      </c>
      <c r="V70" s="144">
        <f t="shared" si="128"/>
        <v>19.498489692055472</v>
      </c>
      <c r="W70" s="144">
        <f t="shared" si="128"/>
        <v>20.964633887170873</v>
      </c>
      <c r="X70" s="144">
        <f t="shared" si="128"/>
        <v>22.541021431120949</v>
      </c>
      <c r="Y70" s="144">
        <f t="shared" si="128"/>
        <v>24.235941819579303</v>
      </c>
      <c r="Z70" s="144">
        <f t="shared" si="128"/>
        <v>26.058307857827312</v>
      </c>
      <c r="AA70" s="144">
        <f t="shared" si="128"/>
        <v>28.017702529089981</v>
      </c>
      <c r="AB70" s="144">
        <f t="shared" si="128"/>
        <v>30.124429387028744</v>
      </c>
      <c r="AC70" s="144">
        <f t="shared" ref="AC70:AE70" si="129">AB70*(1+$AF$70)</f>
        <v>32.389566737382161</v>
      </c>
      <c r="AD70" s="144">
        <f t="shared" si="129"/>
        <v>34.825025893670777</v>
      </c>
      <c r="AE70" s="144">
        <f t="shared" si="129"/>
        <v>37.44361381330603</v>
      </c>
      <c r="AF70" s="178">
        <f>(S70/L70)^(1/COUNT(L57:R57))-1</f>
        <v>7.5192705602874055E-2</v>
      </c>
      <c r="AG70" s="185" t="s">
        <v>1155</v>
      </c>
      <c r="AH70" s="113">
        <v>5</v>
      </c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</row>
    <row r="71" spans="1:49" ht="30" customHeight="1" x14ac:dyDescent="0.25">
      <c r="A71" s="6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</row>
    <row r="72" spans="1:49" ht="30" customHeight="1" x14ac:dyDescent="0.25">
      <c r="A72" s="60"/>
      <c r="B72" s="51"/>
      <c r="C72" s="51"/>
      <c r="D72" s="51"/>
      <c r="E72" s="58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145"/>
      <c r="U72" s="145"/>
      <c r="V72" s="145"/>
      <c r="W72" s="145"/>
      <c r="X72" s="145"/>
      <c r="Y72" s="145"/>
      <c r="Z72" s="145"/>
      <c r="AA72" s="145"/>
      <c r="AB72" s="145"/>
      <c r="AC72" s="145"/>
      <c r="AD72" s="145"/>
      <c r="AE72" s="290">
        <v>2035</v>
      </c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</row>
    <row r="73" spans="1:49" ht="30" customHeight="1" x14ac:dyDescent="0.25">
      <c r="A73" s="60"/>
      <c r="B73" s="51"/>
      <c r="C73" s="51"/>
      <c r="D73" s="51"/>
      <c r="E73" s="61"/>
      <c r="F73" s="62">
        <v>2010</v>
      </c>
      <c r="G73" s="62">
        <v>2011</v>
      </c>
      <c r="H73" s="62">
        <v>2012</v>
      </c>
      <c r="I73" s="62">
        <v>2013</v>
      </c>
      <c r="J73" s="62">
        <v>2014</v>
      </c>
      <c r="K73" s="62">
        <v>2015</v>
      </c>
      <c r="L73" s="62">
        <v>2016</v>
      </c>
      <c r="M73" s="62">
        <v>2017</v>
      </c>
      <c r="N73" s="62">
        <v>2018</v>
      </c>
      <c r="O73" s="62">
        <v>2019</v>
      </c>
      <c r="P73" s="62">
        <v>2020</v>
      </c>
      <c r="Q73" s="62">
        <v>2021</v>
      </c>
      <c r="R73" s="62">
        <v>2022</v>
      </c>
      <c r="S73" s="62">
        <v>2023</v>
      </c>
      <c r="T73" s="140">
        <v>2024</v>
      </c>
      <c r="U73" s="140">
        <v>2025</v>
      </c>
      <c r="V73" s="140">
        <v>2026</v>
      </c>
      <c r="W73" s="140">
        <v>2027</v>
      </c>
      <c r="X73" s="140">
        <v>2028</v>
      </c>
      <c r="Y73" s="140">
        <v>2029</v>
      </c>
      <c r="Z73" s="140">
        <v>2030</v>
      </c>
      <c r="AA73" s="140">
        <v>2031</v>
      </c>
      <c r="AB73" s="140">
        <v>2032</v>
      </c>
      <c r="AC73" s="140">
        <v>2033</v>
      </c>
      <c r="AD73" s="286">
        <v>2034</v>
      </c>
      <c r="AE73" s="289">
        <v>2035</v>
      </c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</row>
    <row r="74" spans="1:49" ht="30" customHeight="1" x14ac:dyDescent="0.25">
      <c r="A74" s="60"/>
      <c r="B74" s="51"/>
      <c r="C74" s="51"/>
      <c r="D74" s="51"/>
      <c r="E74" s="70" t="s">
        <v>1059</v>
      </c>
      <c r="F74" s="64">
        <f>F10</f>
        <v>2751338</v>
      </c>
      <c r="G74" s="64">
        <f t="shared" ref="G74:AB74" si="130">G10</f>
        <v>3238543</v>
      </c>
      <c r="H74" s="64">
        <f t="shared" si="130"/>
        <v>3862508</v>
      </c>
      <c r="I74" s="64">
        <f t="shared" si="130"/>
        <v>4370325.7044200003</v>
      </c>
      <c r="J74" s="64">
        <f t="shared" si="130"/>
        <v>5216818.404120015</v>
      </c>
      <c r="K74" s="64">
        <f t="shared" si="130"/>
        <v>6145197.8778500073</v>
      </c>
      <c r="L74" s="64">
        <f t="shared" si="130"/>
        <v>6451578.3386899978</v>
      </c>
      <c r="M74" s="64">
        <f t="shared" si="130"/>
        <v>7444304.3731599972</v>
      </c>
      <c r="N74" s="64">
        <f t="shared" si="130"/>
        <v>8426540.5046199989</v>
      </c>
      <c r="O74" s="64">
        <f t="shared" si="130"/>
        <v>9588437.1054599993</v>
      </c>
      <c r="P74" s="64">
        <f t="shared" si="130"/>
        <v>7537179.85831</v>
      </c>
      <c r="Q74" s="64">
        <f t="shared" si="130"/>
        <v>10579642.778460002</v>
      </c>
      <c r="R74" s="64">
        <f t="shared" ref="R74" si="131">R10</f>
        <v>13271136.999999998</v>
      </c>
      <c r="S74" s="64">
        <f t="shared" si="130"/>
        <v>13647849.42949</v>
      </c>
      <c r="T74" s="142">
        <f t="shared" si="130"/>
        <v>14600541.847960988</v>
      </c>
      <c r="U74" s="142">
        <f t="shared" si="130"/>
        <v>15658982.439319737</v>
      </c>
      <c r="V74" s="142">
        <f t="shared" si="130"/>
        <v>16778375.178209808</v>
      </c>
      <c r="W74" s="142">
        <f t="shared" si="130"/>
        <v>17956931.438169353</v>
      </c>
      <c r="X74" s="142">
        <f t="shared" si="130"/>
        <v>19219477.028580904</v>
      </c>
      <c r="Y74" s="142">
        <f t="shared" si="130"/>
        <v>20559832.16476294</v>
      </c>
      <c r="Z74" s="142">
        <f t="shared" si="130"/>
        <v>21854969.2289607</v>
      </c>
      <c r="AA74" s="142">
        <f t="shared" si="130"/>
        <v>23194854.286702234</v>
      </c>
      <c r="AB74" s="142">
        <f t="shared" si="130"/>
        <v>24580295.809051227</v>
      </c>
      <c r="AC74" s="142">
        <f t="shared" ref="AC74:AE74" si="132">AC10</f>
        <v>26013327.531065028</v>
      </c>
      <c r="AD74" s="142">
        <f t="shared" si="132"/>
        <v>27495013.560619287</v>
      </c>
      <c r="AE74" s="287">
        <f t="shared" si="132"/>
        <v>29065486.548539326</v>
      </c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</row>
    <row r="75" spans="1:49" ht="30" customHeight="1" x14ac:dyDescent="0.25">
      <c r="A75" s="60"/>
      <c r="B75" s="51"/>
      <c r="C75" s="51"/>
      <c r="D75" s="51"/>
      <c r="E75" s="269" t="s">
        <v>1061</v>
      </c>
      <c r="F75" s="67">
        <f>'DRE - Contas Abertas'!F110/34%</f>
        <v>0</v>
      </c>
      <c r="G75" s="67">
        <f>'DRE - Contas Abertas'!G110/34%</f>
        <v>0</v>
      </c>
      <c r="H75" s="67">
        <f>'DRE - Contas Abertas'!H110/34%</f>
        <v>0</v>
      </c>
      <c r="I75" s="67">
        <f>'DRE - Contas Abertas'!I110/34%</f>
        <v>0</v>
      </c>
      <c r="J75" s="67">
        <f>'DRE - Contas Abertas'!J110/34%</f>
        <v>0</v>
      </c>
      <c r="K75" s="67">
        <f>'DRE - Contas Abertas'!K110/34%</f>
        <v>0</v>
      </c>
      <c r="L75" s="67">
        <f>'DRE - Contas Abertas'!L110/34%</f>
        <v>0</v>
      </c>
      <c r="M75" s="67">
        <f>'DRE - Contas Abertas'!M110/34%</f>
        <v>25835.294117647056</v>
      </c>
      <c r="N75" s="67">
        <f>'DRE - Contas Abertas'!N110/34%</f>
        <v>140617.64705882352</v>
      </c>
      <c r="O75" s="67">
        <f>'DRE - Contas Abertas'!O110/34%</f>
        <v>101482.35294117646</v>
      </c>
      <c r="P75" s="67">
        <f>'DRE - Contas Abertas'!P110/34%</f>
        <v>67579.411764705874</v>
      </c>
      <c r="Q75" s="67">
        <f>'DRE - Contas Abertas'!Q110/34%</f>
        <v>281335.29411764705</v>
      </c>
      <c r="R75" s="67">
        <f>'DRE - Contas Abertas'!R110/34%</f>
        <v>361797.0588235294</v>
      </c>
      <c r="S75" s="67">
        <f>'DRE - Contas Abertas'!S110/34%</f>
        <v>416585.29411764705</v>
      </c>
      <c r="T75" s="143">
        <f t="shared" ref="T75:AB75" si="133">T76*T74</f>
        <v>410654.65809675463</v>
      </c>
      <c r="U75" s="143">
        <f t="shared" si="133"/>
        <v>440424.34498141328</v>
      </c>
      <c r="V75" s="143">
        <f t="shared" si="133"/>
        <v>471908.37120808975</v>
      </c>
      <c r="W75" s="143">
        <f>W76*W74</f>
        <v>505056.42989120405</v>
      </c>
      <c r="X75" s="143">
        <f t="shared" si="133"/>
        <v>540566.77143612597</v>
      </c>
      <c r="Y75" s="143">
        <f t="shared" si="133"/>
        <v>578265.58329590166</v>
      </c>
      <c r="Z75" s="143">
        <f t="shared" si="133"/>
        <v>614692.59222645324</v>
      </c>
      <c r="AA75" s="143">
        <f t="shared" si="133"/>
        <v>652378.18266586843</v>
      </c>
      <c r="AB75" s="143">
        <f t="shared" si="133"/>
        <v>691345.09366121108</v>
      </c>
      <c r="AC75" s="143">
        <f t="shared" ref="AC75" si="134">AC76*AC74</f>
        <v>731650.5260193646</v>
      </c>
      <c r="AD75" s="143">
        <f t="shared" ref="AD75" si="135">AD76*AD74</f>
        <v>773324.40882518084</v>
      </c>
      <c r="AE75" s="256">
        <f t="shared" ref="AE75" si="136">AE76*AE74</f>
        <v>817495.51251573034</v>
      </c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</row>
    <row r="76" spans="1:49" ht="30" customHeight="1" x14ac:dyDescent="0.25">
      <c r="A76" s="60"/>
      <c r="B76" s="51"/>
      <c r="C76" s="51"/>
      <c r="D76" s="51"/>
      <c r="E76" s="285" t="s">
        <v>973</v>
      </c>
      <c r="F76" s="282">
        <f>F75/F74</f>
        <v>0</v>
      </c>
      <c r="G76" s="282">
        <f t="shared" ref="G76:Q76" si="137">G75/G74</f>
        <v>0</v>
      </c>
      <c r="H76" s="282">
        <f t="shared" si="137"/>
        <v>0</v>
      </c>
      <c r="I76" s="282">
        <f t="shared" si="137"/>
        <v>0</v>
      </c>
      <c r="J76" s="282">
        <f t="shared" si="137"/>
        <v>0</v>
      </c>
      <c r="K76" s="282">
        <f t="shared" si="137"/>
        <v>0</v>
      </c>
      <c r="L76" s="282">
        <f t="shared" si="137"/>
        <v>0</v>
      </c>
      <c r="M76" s="276">
        <f>M75/M74</f>
        <v>3.4704779416052213E-3</v>
      </c>
      <c r="N76" s="276">
        <f t="shared" si="137"/>
        <v>1.6687470615221921E-2</v>
      </c>
      <c r="O76" s="276">
        <f t="shared" si="137"/>
        <v>1.0583826313402919E-2</v>
      </c>
      <c r="P76" s="276">
        <f t="shared" si="137"/>
        <v>8.9661402587066091E-3</v>
      </c>
      <c r="Q76" s="276">
        <f t="shared" si="137"/>
        <v>2.6592135482158396E-2</v>
      </c>
      <c r="R76" s="276">
        <f t="shared" ref="R76" si="138">R75/R74</f>
        <v>2.7261948906377009E-2</v>
      </c>
      <c r="S76" s="276">
        <f>S75/S10</f>
        <v>3.05238782322362E-2</v>
      </c>
      <c r="T76" s="283">
        <f>AVERAGE(Q76:S76)</f>
        <v>2.8125987540257202E-2</v>
      </c>
      <c r="U76" s="283">
        <f t="shared" ref="U76:AE76" si="139">T76</f>
        <v>2.8125987540257202E-2</v>
      </c>
      <c r="V76" s="283">
        <f t="shared" si="139"/>
        <v>2.8125987540257202E-2</v>
      </c>
      <c r="W76" s="283">
        <f t="shared" si="139"/>
        <v>2.8125987540257202E-2</v>
      </c>
      <c r="X76" s="283">
        <f t="shared" si="139"/>
        <v>2.8125987540257202E-2</v>
      </c>
      <c r="Y76" s="283">
        <f t="shared" si="139"/>
        <v>2.8125987540257202E-2</v>
      </c>
      <c r="Z76" s="283">
        <f t="shared" si="139"/>
        <v>2.8125987540257202E-2</v>
      </c>
      <c r="AA76" s="283">
        <f t="shared" si="139"/>
        <v>2.8125987540257202E-2</v>
      </c>
      <c r="AB76" s="283">
        <f t="shared" si="139"/>
        <v>2.8125987540257202E-2</v>
      </c>
      <c r="AC76" s="283">
        <f t="shared" si="139"/>
        <v>2.8125987540257202E-2</v>
      </c>
      <c r="AD76" s="283">
        <f t="shared" si="139"/>
        <v>2.8125987540257202E-2</v>
      </c>
      <c r="AE76" s="284">
        <f t="shared" si="139"/>
        <v>2.8125987540257202E-2</v>
      </c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</row>
    <row r="77" spans="1:49" ht="30" customHeight="1" thickBot="1" x14ac:dyDescent="0.3">
      <c r="A77" s="60"/>
      <c r="B77" s="51"/>
      <c r="C77" s="51"/>
      <c r="D77" s="51"/>
      <c r="E77" s="123" t="s">
        <v>1060</v>
      </c>
      <c r="F77" s="183">
        <v>0</v>
      </c>
      <c r="G77" s="183">
        <f>G74-G75</f>
        <v>3238543</v>
      </c>
      <c r="H77" s="183">
        <f t="shared" ref="H77:Q77" si="140">H74-H75</f>
        <v>3862508</v>
      </c>
      <c r="I77" s="183">
        <f t="shared" si="140"/>
        <v>4370325.7044200003</v>
      </c>
      <c r="J77" s="183">
        <f t="shared" si="140"/>
        <v>5216818.404120015</v>
      </c>
      <c r="K77" s="183">
        <f t="shared" si="140"/>
        <v>6145197.8778500073</v>
      </c>
      <c r="L77" s="183">
        <f t="shared" si="140"/>
        <v>6451578.3386899978</v>
      </c>
      <c r="M77" s="183">
        <f t="shared" si="140"/>
        <v>7418469.0790423499</v>
      </c>
      <c r="N77" s="183">
        <f t="shared" si="140"/>
        <v>8285922.8575611757</v>
      </c>
      <c r="O77" s="183">
        <f t="shared" si="140"/>
        <v>9486954.7525188234</v>
      </c>
      <c r="P77" s="183">
        <f t="shared" si="140"/>
        <v>7469600.4465452945</v>
      </c>
      <c r="Q77" s="183">
        <f t="shared" si="140"/>
        <v>10298307.484342355</v>
      </c>
      <c r="R77" s="183">
        <f t="shared" ref="R77" si="141">R74-R75</f>
        <v>12909339.941176469</v>
      </c>
      <c r="S77" s="183">
        <f t="shared" ref="S77:AB77" si="142">S74-S75</f>
        <v>13231264.135372354</v>
      </c>
      <c r="T77" s="254">
        <f t="shared" si="142"/>
        <v>14189887.189864233</v>
      </c>
      <c r="U77" s="254">
        <f t="shared" si="142"/>
        <v>15218558.094338324</v>
      </c>
      <c r="V77" s="254">
        <f t="shared" si="142"/>
        <v>16306466.807001717</v>
      </c>
      <c r="W77" s="254">
        <f t="shared" si="142"/>
        <v>17451875.00827815</v>
      </c>
      <c r="X77" s="254">
        <f t="shared" si="142"/>
        <v>18678910.257144779</v>
      </c>
      <c r="Y77" s="254">
        <f t="shared" si="142"/>
        <v>19981566.58146704</v>
      </c>
      <c r="Z77" s="254">
        <f t="shared" si="142"/>
        <v>21240276.636734247</v>
      </c>
      <c r="AA77" s="254">
        <f t="shared" si="142"/>
        <v>22542476.104036365</v>
      </c>
      <c r="AB77" s="254">
        <f t="shared" si="142"/>
        <v>23888950.715390015</v>
      </c>
      <c r="AC77" s="254">
        <f t="shared" ref="AC77:AE77" si="143">AC74-AC75</f>
        <v>25281677.005045664</v>
      </c>
      <c r="AD77" s="254">
        <f t="shared" si="143"/>
        <v>26721689.151794106</v>
      </c>
      <c r="AE77" s="257">
        <f t="shared" si="143"/>
        <v>28247991.036023594</v>
      </c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</row>
    <row r="78" spans="1:49" ht="30" customHeight="1" x14ac:dyDescent="0.25">
      <c r="A78" s="60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</row>
    <row r="79" spans="1:49" ht="30" customHeight="1" x14ac:dyDescent="0.25">
      <c r="A79" s="60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</row>
    <row r="80" spans="1:49" ht="30" customHeight="1" x14ac:dyDescent="0.25">
      <c r="A80" s="60"/>
      <c r="B80" s="51"/>
      <c r="C80" s="51"/>
      <c r="D80" s="51"/>
      <c r="E80" s="58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145"/>
      <c r="U80" s="145"/>
      <c r="V80" s="145"/>
      <c r="W80" s="145"/>
      <c r="X80" s="145"/>
      <c r="Y80" s="145"/>
      <c r="Z80" s="145"/>
      <c r="AA80" s="145"/>
      <c r="AB80" s="145"/>
      <c r="AC80" s="145"/>
      <c r="AD80" s="145"/>
      <c r="AE80" s="290">
        <v>2035</v>
      </c>
      <c r="AF80" s="56"/>
      <c r="AG80" s="56"/>
      <c r="AH80" s="56"/>
      <c r="AI80" s="56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</row>
    <row r="81" spans="1:49" ht="30" customHeight="1" x14ac:dyDescent="0.25">
      <c r="A81" s="60"/>
      <c r="B81" s="51"/>
      <c r="C81" s="51"/>
      <c r="D81" s="51"/>
      <c r="E81" s="61"/>
      <c r="F81" s="311">
        <v>2010</v>
      </c>
      <c r="G81" s="312">
        <v>2011</v>
      </c>
      <c r="H81" s="312">
        <v>2012</v>
      </c>
      <c r="I81" s="312">
        <v>2013</v>
      </c>
      <c r="J81" s="312">
        <v>2014</v>
      </c>
      <c r="K81" s="312">
        <v>2015</v>
      </c>
      <c r="L81" s="312">
        <v>2016</v>
      </c>
      <c r="M81" s="312">
        <v>2017</v>
      </c>
      <c r="N81" s="312">
        <v>2018</v>
      </c>
      <c r="O81" s="312">
        <v>2019</v>
      </c>
      <c r="P81" s="312">
        <v>2020</v>
      </c>
      <c r="Q81" s="312">
        <v>2021</v>
      </c>
      <c r="R81" s="312">
        <v>2022</v>
      </c>
      <c r="S81" s="312">
        <v>2023</v>
      </c>
      <c r="T81" s="288">
        <v>2024</v>
      </c>
      <c r="U81" s="288">
        <v>2025</v>
      </c>
      <c r="V81" s="288">
        <v>2026</v>
      </c>
      <c r="W81" s="288">
        <v>2027</v>
      </c>
      <c r="X81" s="288">
        <v>2028</v>
      </c>
      <c r="Y81" s="288">
        <v>2029</v>
      </c>
      <c r="Z81" s="288">
        <v>2030</v>
      </c>
      <c r="AA81" s="288">
        <v>2031</v>
      </c>
      <c r="AB81" s="288">
        <v>2032</v>
      </c>
      <c r="AC81" s="288">
        <v>2033</v>
      </c>
      <c r="AD81" s="288">
        <v>2034</v>
      </c>
      <c r="AE81" s="290">
        <v>2035</v>
      </c>
      <c r="AF81" s="56"/>
      <c r="AG81" s="56"/>
      <c r="AH81" s="56"/>
      <c r="AI81" s="56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</row>
    <row r="82" spans="1:49" ht="30" customHeight="1" x14ac:dyDescent="0.25">
      <c r="A82" s="60"/>
      <c r="B82" s="51"/>
      <c r="C82" s="51"/>
      <c r="D82" s="51"/>
      <c r="E82" s="66" t="s">
        <v>450</v>
      </c>
      <c r="F82" s="313">
        <f t="shared" ref="F82:AE82" si="144">F11/F10</f>
        <v>0.8950855910833202</v>
      </c>
      <c r="G82" s="314">
        <f t="shared" si="144"/>
        <v>0.89441980544954935</v>
      </c>
      <c r="H82" s="314">
        <f t="shared" si="144"/>
        <v>0.89629846721353068</v>
      </c>
      <c r="I82" s="314">
        <f t="shared" si="144"/>
        <v>0.84911769664144243</v>
      </c>
      <c r="J82" s="314">
        <f t="shared" si="144"/>
        <v>0.84152249314120831</v>
      </c>
      <c r="K82" s="314">
        <f t="shared" si="144"/>
        <v>0.83225615598880465</v>
      </c>
      <c r="L82" s="314">
        <f t="shared" si="144"/>
        <v>0.82016376474077102</v>
      </c>
      <c r="M82" s="314">
        <f t="shared" si="144"/>
        <v>0.81023900525706805</v>
      </c>
      <c r="N82" s="314">
        <f t="shared" si="144"/>
        <v>0.80707660922430813</v>
      </c>
      <c r="O82" s="314">
        <f t="shared" si="144"/>
        <v>0.8060081877597336</v>
      </c>
      <c r="P82" s="314">
        <f t="shared" si="144"/>
        <v>0.79353897702410414</v>
      </c>
      <c r="Q82" s="314">
        <f t="shared" si="144"/>
        <v>0.81419254118746875</v>
      </c>
      <c r="R82" s="395">
        <f t="shared" si="144"/>
        <v>0.79894269439234922</v>
      </c>
      <c r="S82" s="395">
        <f t="shared" si="144"/>
        <v>0.78823921786936069</v>
      </c>
      <c r="T82" s="314">
        <f t="shared" si="144"/>
        <v>0.78724145515248978</v>
      </c>
      <c r="U82" s="314">
        <f t="shared" si="144"/>
        <v>0.78523025814815484</v>
      </c>
      <c r="V82" s="314">
        <f t="shared" si="144"/>
        <v>0.78289851532357002</v>
      </c>
      <c r="W82" s="314">
        <f t="shared" si="144"/>
        <v>0.78041540400381848</v>
      </c>
      <c r="X82" s="314">
        <f t="shared" si="144"/>
        <v>0.77791360338387383</v>
      </c>
      <c r="Y82" s="314">
        <f t="shared" si="144"/>
        <v>0.77533166690865274</v>
      </c>
      <c r="Z82" s="314">
        <f t="shared" si="144"/>
        <v>0.77214095056920373</v>
      </c>
      <c r="AA82" s="314">
        <f t="shared" si="144"/>
        <v>0.7687048011459594</v>
      </c>
      <c r="AB82" s="314">
        <f t="shared" si="144"/>
        <v>0.76501669614094103</v>
      </c>
      <c r="AC82" s="314">
        <f t="shared" si="144"/>
        <v>0.76103271510408099</v>
      </c>
      <c r="AD82" s="314">
        <f t="shared" si="144"/>
        <v>0.75674269737690536</v>
      </c>
      <c r="AE82" s="315">
        <f t="shared" si="144"/>
        <v>0.75227700327705338</v>
      </c>
      <c r="AF82" s="56"/>
      <c r="AG82" s="56"/>
      <c r="AH82" s="56"/>
      <c r="AI82" s="56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</row>
    <row r="83" spans="1:49" ht="30" customHeight="1" x14ac:dyDescent="0.25">
      <c r="A83" s="60"/>
      <c r="B83" s="51"/>
      <c r="C83" s="51"/>
      <c r="D83" s="51"/>
      <c r="E83" s="66" t="s">
        <v>451</v>
      </c>
      <c r="F83" s="313">
        <f t="shared" ref="F83:AE83" si="145">F12/F10</f>
        <v>0</v>
      </c>
      <c r="G83" s="314">
        <f t="shared" si="145"/>
        <v>0</v>
      </c>
      <c r="H83" s="314">
        <f t="shared" si="145"/>
        <v>0</v>
      </c>
      <c r="I83" s="314">
        <f t="shared" si="145"/>
        <v>4.4111765492678486E-2</v>
      </c>
      <c r="J83" s="314">
        <f t="shared" si="145"/>
        <v>4.4741935859922324E-2</v>
      </c>
      <c r="K83" s="314">
        <f t="shared" si="145"/>
        <v>4.7964390483244045E-2</v>
      </c>
      <c r="L83" s="314">
        <f t="shared" si="145"/>
        <v>5.4005029171008523E-2</v>
      </c>
      <c r="M83" s="314">
        <f t="shared" si="145"/>
        <v>5.9643466786612177E-2</v>
      </c>
      <c r="N83" s="314">
        <f t="shared" si="145"/>
        <v>5.9930842110486438E-2</v>
      </c>
      <c r="O83" s="314">
        <f t="shared" si="145"/>
        <v>5.4755824347122568E-2</v>
      </c>
      <c r="P83" s="314">
        <f t="shared" si="145"/>
        <v>6.724829113785398E-2</v>
      </c>
      <c r="Q83" s="314">
        <f t="shared" si="145"/>
        <v>6.1496900158542513E-2</v>
      </c>
      <c r="R83" s="395">
        <f t="shared" si="145"/>
        <v>4.2732014308193796E-2</v>
      </c>
      <c r="S83" s="395">
        <f t="shared" si="145"/>
        <v>3.8138411386287596E-2</v>
      </c>
      <c r="T83" s="314">
        <f t="shared" si="145"/>
        <v>3.6595739980062367E-2</v>
      </c>
      <c r="U83" s="314">
        <f t="shared" si="145"/>
        <v>3.4903922915401467E-2</v>
      </c>
      <c r="V83" s="314">
        <f t="shared" si="145"/>
        <v>3.3185071905302767E-2</v>
      </c>
      <c r="W83" s="314">
        <f t="shared" si="145"/>
        <v>3.149924501455223E-2</v>
      </c>
      <c r="X83" s="314">
        <f t="shared" si="145"/>
        <v>2.9951200271478188E-2</v>
      </c>
      <c r="Y83" s="314">
        <f t="shared" si="145"/>
        <v>2.8457129918860791E-2</v>
      </c>
      <c r="Z83" s="314">
        <f t="shared" si="145"/>
        <v>2.7202107594888329E-2</v>
      </c>
      <c r="AA83" s="314">
        <f t="shared" si="145"/>
        <v>2.6037181627044308E-2</v>
      </c>
      <c r="AB83" s="314">
        <f t="shared" si="145"/>
        <v>2.4953159557842559E-2</v>
      </c>
      <c r="AC83" s="314">
        <f t="shared" si="145"/>
        <v>2.3940937659168316E-2</v>
      </c>
      <c r="AD83" s="314">
        <f t="shared" si="145"/>
        <v>2.299365522266161E-2</v>
      </c>
      <c r="AE83" s="315">
        <f t="shared" si="145"/>
        <v>2.2075607456640407E-2</v>
      </c>
      <c r="AF83" s="56"/>
      <c r="AG83" s="56"/>
      <c r="AH83" s="56"/>
      <c r="AI83" s="56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</row>
    <row r="84" spans="1:49" ht="30" customHeight="1" x14ac:dyDescent="0.25">
      <c r="A84" s="60"/>
      <c r="B84" s="51"/>
      <c r="C84" s="51"/>
      <c r="D84" s="51"/>
      <c r="E84" s="66" t="s">
        <v>452</v>
      </c>
      <c r="F84" s="313">
        <f t="shared" ref="F84:AE84" si="146">F13/F10</f>
        <v>0</v>
      </c>
      <c r="G84" s="314">
        <f t="shared" si="146"/>
        <v>0</v>
      </c>
      <c r="H84" s="314">
        <f t="shared" si="146"/>
        <v>0</v>
      </c>
      <c r="I84" s="314">
        <f t="shared" si="146"/>
        <v>2.3117329904684537E-3</v>
      </c>
      <c r="J84" s="314">
        <f t="shared" si="146"/>
        <v>3.6671431719554038E-3</v>
      </c>
      <c r="K84" s="314">
        <f t="shared" si="146"/>
        <v>6.789438592431021E-3</v>
      </c>
      <c r="L84" s="314">
        <f t="shared" si="146"/>
        <v>1.2708345032147274E-2</v>
      </c>
      <c r="M84" s="314">
        <f t="shared" si="146"/>
        <v>1.6711095644950505E-2</v>
      </c>
      <c r="N84" s="314">
        <f t="shared" si="146"/>
        <v>2.1308756308897298E-2</v>
      </c>
      <c r="O84" s="314">
        <f t="shared" si="146"/>
        <v>2.3081083006111329E-2</v>
      </c>
      <c r="P84" s="314">
        <f t="shared" si="146"/>
        <v>2.2908090516061359E-2</v>
      </c>
      <c r="Q84" s="314">
        <f t="shared" si="146"/>
        <v>2.7509936795083848E-2</v>
      </c>
      <c r="R84" s="395">
        <f t="shared" si="146"/>
        <v>3.0582527225059924E-2</v>
      </c>
      <c r="S84" s="395">
        <f t="shared" si="146"/>
        <v>3.1364866363857304E-2</v>
      </c>
      <c r="T84" s="314">
        <f t="shared" si="146"/>
        <v>3.3905300486953692E-2</v>
      </c>
      <c r="U84" s="314">
        <f t="shared" si="146"/>
        <v>3.7608314555949512E-2</v>
      </c>
      <c r="V84" s="314">
        <f t="shared" si="146"/>
        <v>4.1658908390632875E-2</v>
      </c>
      <c r="W84" s="314">
        <f t="shared" si="146"/>
        <v>4.5827846601134994E-2</v>
      </c>
      <c r="X84" s="314">
        <f t="shared" si="146"/>
        <v>4.9877691964153578E-2</v>
      </c>
      <c r="Y84" s="314">
        <f t="shared" si="146"/>
        <v>5.3953698791992168E-2</v>
      </c>
      <c r="Z84" s="314">
        <f t="shared" si="146"/>
        <v>5.8399437455413705E-2</v>
      </c>
      <c r="AA84" s="314">
        <f t="shared" si="146"/>
        <v>6.3000512846501933E-2</v>
      </c>
      <c r="AB84" s="314">
        <f t="shared" si="146"/>
        <v>6.7772639920722189E-2</v>
      </c>
      <c r="AC84" s="314">
        <f t="shared" si="146"/>
        <v>7.2768842856256413E-2</v>
      </c>
      <c r="AD84" s="314">
        <f t="shared" si="146"/>
        <v>7.8006143019938814E-2</v>
      </c>
      <c r="AE84" s="315">
        <f t="shared" si="146"/>
        <v>8.338988488581188E-2</v>
      </c>
      <c r="AF84" s="56"/>
      <c r="AG84" s="56"/>
      <c r="AH84" s="56"/>
      <c r="AI84" s="56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</row>
    <row r="85" spans="1:49" ht="30" customHeight="1" thickBot="1" x14ac:dyDescent="0.3">
      <c r="A85" s="60"/>
      <c r="B85" s="51"/>
      <c r="C85" s="51"/>
      <c r="D85" s="51"/>
      <c r="E85" s="112" t="s">
        <v>453</v>
      </c>
      <c r="F85" s="316">
        <f t="shared" ref="F85:AE85" si="147">F14/F10</f>
        <v>0.10491440891667982</v>
      </c>
      <c r="G85" s="317">
        <f t="shared" si="147"/>
        <v>0.10558019455045062</v>
      </c>
      <c r="H85" s="317">
        <f t="shared" si="147"/>
        <v>0.10370153278646931</v>
      </c>
      <c r="I85" s="317">
        <f t="shared" si="147"/>
        <v>0.10445880487541055</v>
      </c>
      <c r="J85" s="317">
        <f t="shared" si="147"/>
        <v>0.11006842782691389</v>
      </c>
      <c r="K85" s="317">
        <f t="shared" si="147"/>
        <v>0.1129900149355203</v>
      </c>
      <c r="L85" s="317">
        <f t="shared" si="147"/>
        <v>0.11312286105607317</v>
      </c>
      <c r="M85" s="317">
        <f t="shared" si="147"/>
        <v>0.11340643231136935</v>
      </c>
      <c r="N85" s="317">
        <f t="shared" si="147"/>
        <v>0.11168379235630814</v>
      </c>
      <c r="O85" s="317">
        <f t="shared" si="147"/>
        <v>0.11615490488703256</v>
      </c>
      <c r="P85" s="317">
        <f t="shared" si="147"/>
        <v>0.11630464132198046</v>
      </c>
      <c r="Q85" s="317">
        <f t="shared" si="147"/>
        <v>9.680062185890484E-2</v>
      </c>
      <c r="R85" s="396">
        <f t="shared" si="147"/>
        <v>0.12774276407439719</v>
      </c>
      <c r="S85" s="396">
        <f t="shared" si="147"/>
        <v>0.14225750438049428</v>
      </c>
      <c r="T85" s="317">
        <f t="shared" si="147"/>
        <v>0.14225750438049428</v>
      </c>
      <c r="U85" s="317">
        <f t="shared" si="147"/>
        <v>0.14225750438049428</v>
      </c>
      <c r="V85" s="317">
        <f t="shared" si="147"/>
        <v>0.14225750438049425</v>
      </c>
      <c r="W85" s="317">
        <f t="shared" si="147"/>
        <v>0.14225750438049425</v>
      </c>
      <c r="X85" s="317">
        <f t="shared" si="147"/>
        <v>0.14225750438049425</v>
      </c>
      <c r="Y85" s="317">
        <f t="shared" si="147"/>
        <v>0.14225750438049428</v>
      </c>
      <c r="Z85" s="317">
        <f t="shared" si="147"/>
        <v>0.14225750438049428</v>
      </c>
      <c r="AA85" s="317">
        <f t="shared" si="147"/>
        <v>0.14225750438049428</v>
      </c>
      <c r="AB85" s="317">
        <f t="shared" si="147"/>
        <v>0.14225750438049428</v>
      </c>
      <c r="AC85" s="317">
        <f t="shared" si="147"/>
        <v>0.14225750438049425</v>
      </c>
      <c r="AD85" s="317">
        <f t="shared" si="147"/>
        <v>0.14225750438049428</v>
      </c>
      <c r="AE85" s="318">
        <f t="shared" si="147"/>
        <v>0.14225750438049428</v>
      </c>
      <c r="AF85" s="56"/>
      <c r="AG85" s="56"/>
      <c r="AH85" s="56"/>
      <c r="AI85" s="56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</row>
    <row r="86" spans="1:49" ht="30" customHeight="1" x14ac:dyDescent="0.25">
      <c r="A86" s="60"/>
      <c r="B86" s="51"/>
      <c r="C86" s="51"/>
      <c r="D86" s="51"/>
      <c r="E86" s="114"/>
      <c r="F86" s="114"/>
      <c r="G86" s="114"/>
      <c r="H86" s="114"/>
      <c r="I86" s="114"/>
      <c r="J86" s="114"/>
      <c r="K86" s="114"/>
      <c r="L86" s="114"/>
      <c r="M86" s="114"/>
      <c r="N86" s="115"/>
      <c r="O86" s="115"/>
      <c r="P86" s="115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56"/>
      <c r="AD86" s="56"/>
      <c r="AE86" s="56"/>
      <c r="AF86" s="56"/>
      <c r="AG86" s="56"/>
      <c r="AH86" s="56"/>
      <c r="AI86" s="56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</row>
    <row r="87" spans="1:49" ht="30" customHeight="1" x14ac:dyDescent="0.25">
      <c r="A87" s="60"/>
      <c r="B87" s="51"/>
      <c r="C87" s="51"/>
      <c r="D87" s="51"/>
      <c r="E87" s="83"/>
      <c r="F87" s="83"/>
      <c r="G87" s="83"/>
      <c r="H87" s="83"/>
      <c r="I87" s="83"/>
      <c r="J87" s="83"/>
      <c r="K87" s="83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56"/>
      <c r="AH87" s="56"/>
      <c r="AI87" s="56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</row>
    <row r="88" spans="1:49" ht="30" customHeight="1" x14ac:dyDescent="0.25">
      <c r="A88" s="60"/>
      <c r="B88" s="51"/>
      <c r="C88" s="51"/>
      <c r="D88" s="51"/>
      <c r="E88" s="83"/>
      <c r="F88" s="83"/>
      <c r="G88" s="83"/>
      <c r="H88" s="83"/>
      <c r="I88" s="83"/>
      <c r="J88" s="83"/>
      <c r="K88" s="83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56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</row>
    <row r="89" spans="1:49" ht="30" customHeight="1" x14ac:dyDescent="0.25">
      <c r="A89" s="60"/>
      <c r="B89" s="51"/>
      <c r="C89" s="51"/>
      <c r="D89" s="51"/>
      <c r="E89" s="83"/>
      <c r="F89" s="83"/>
      <c r="G89" s="83"/>
      <c r="H89" s="83"/>
      <c r="I89" s="83"/>
      <c r="J89" s="83"/>
      <c r="K89" s="83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56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</row>
    <row r="90" spans="1:49" ht="30" customHeight="1" x14ac:dyDescent="0.25">
      <c r="A90" s="60"/>
      <c r="B90" s="51"/>
      <c r="C90" s="51"/>
      <c r="D90" s="51"/>
      <c r="E90" s="83"/>
      <c r="F90" s="83"/>
      <c r="G90" s="83"/>
      <c r="H90" s="83"/>
      <c r="I90" s="83"/>
      <c r="J90" s="83"/>
      <c r="K90" s="83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56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</row>
    <row r="91" spans="1:49" ht="30" customHeight="1" x14ac:dyDescent="0.25">
      <c r="A91" s="60"/>
      <c r="B91" s="51"/>
      <c r="C91" s="51"/>
      <c r="D91" s="51"/>
      <c r="E91" s="83"/>
      <c r="F91" s="83"/>
      <c r="G91" s="83"/>
      <c r="H91" s="83"/>
      <c r="I91" s="83"/>
      <c r="J91" s="83"/>
      <c r="K91" s="83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56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</row>
    <row r="92" spans="1:49" ht="30" customHeight="1" x14ac:dyDescent="0.25">
      <c r="A92" s="60"/>
      <c r="B92" s="51"/>
      <c r="C92" s="51"/>
      <c r="D92" s="51"/>
      <c r="E92" s="83"/>
      <c r="F92" s="83"/>
      <c r="G92" s="83"/>
      <c r="H92" s="83"/>
      <c r="I92" s="83"/>
      <c r="J92" s="83"/>
      <c r="K92" s="83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56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</row>
    <row r="93" spans="1:49" ht="30" customHeight="1" x14ac:dyDescent="0.25">
      <c r="A93" s="60"/>
      <c r="B93" s="51"/>
      <c r="C93" s="51"/>
      <c r="D93" s="51"/>
      <c r="E93" s="83"/>
      <c r="F93" s="83"/>
      <c r="G93" s="83"/>
      <c r="H93" s="83"/>
      <c r="I93" s="83"/>
      <c r="J93" s="83"/>
      <c r="K93" s="83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56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</row>
    <row r="94" spans="1:49" ht="30" customHeight="1" x14ac:dyDescent="0.25">
      <c r="A94" s="60"/>
      <c r="B94" s="51"/>
      <c r="C94" s="51"/>
      <c r="D94" s="51"/>
      <c r="E94" s="83"/>
      <c r="F94" s="83"/>
      <c r="G94" s="83"/>
      <c r="H94" s="83"/>
      <c r="I94" s="83"/>
      <c r="J94" s="83"/>
      <c r="K94" s="83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56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</row>
    <row r="95" spans="1:49" ht="30" customHeight="1" x14ac:dyDescent="0.25">
      <c r="A95" s="60"/>
      <c r="B95" s="51"/>
      <c r="C95" s="51"/>
      <c r="D95" s="51"/>
      <c r="E95" s="83"/>
      <c r="F95" s="83"/>
      <c r="G95" s="83"/>
      <c r="H95" s="83"/>
      <c r="I95" s="83"/>
      <c r="J95" s="83"/>
      <c r="K95" s="83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56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</row>
    <row r="96" spans="1:49" ht="30" customHeight="1" x14ac:dyDescent="0.25">
      <c r="A96" s="60"/>
      <c r="B96" s="51"/>
      <c r="C96" s="51"/>
      <c r="D96" s="51"/>
      <c r="E96" s="83"/>
      <c r="F96" s="83"/>
      <c r="G96" s="83"/>
      <c r="H96" s="83"/>
      <c r="I96" s="83"/>
      <c r="J96" s="83"/>
      <c r="K96" s="83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56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</row>
    <row r="97" spans="1:49" ht="30" customHeight="1" x14ac:dyDescent="0.25">
      <c r="A97" s="60"/>
      <c r="B97" s="51"/>
      <c r="C97" s="51"/>
      <c r="D97" s="51"/>
      <c r="E97" s="83"/>
      <c r="F97" s="83"/>
      <c r="G97" s="83"/>
      <c r="H97" s="83"/>
      <c r="I97" s="83"/>
      <c r="J97" s="83"/>
      <c r="K97" s="83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56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</row>
    <row r="98" spans="1:49" ht="30" customHeight="1" x14ac:dyDescent="0.25">
      <c r="A98" s="60"/>
      <c r="B98" s="51"/>
      <c r="C98" s="51"/>
      <c r="D98" s="51"/>
      <c r="E98" s="83"/>
      <c r="F98" s="83"/>
      <c r="G98" s="83"/>
      <c r="H98" s="83"/>
      <c r="I98" s="83"/>
      <c r="J98" s="83"/>
      <c r="K98" s="83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56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</row>
    <row r="99" spans="1:49" ht="30" customHeight="1" x14ac:dyDescent="0.25">
      <c r="A99" s="60"/>
      <c r="B99" s="51"/>
      <c r="C99" s="51"/>
      <c r="D99" s="51"/>
      <c r="E99" s="83"/>
      <c r="F99" s="83"/>
      <c r="G99" s="83"/>
      <c r="H99" s="83"/>
      <c r="I99" s="83"/>
      <c r="J99" s="83"/>
      <c r="K99" s="83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56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</row>
    <row r="100" spans="1:49" ht="30" customHeight="1" x14ac:dyDescent="0.25">
      <c r="A100" s="60"/>
      <c r="B100" s="51"/>
      <c r="C100" s="51"/>
      <c r="D100" s="51"/>
      <c r="E100" s="83"/>
      <c r="F100" s="83"/>
      <c r="G100" s="83"/>
      <c r="H100" s="83"/>
      <c r="I100" s="83"/>
      <c r="J100" s="83"/>
      <c r="K100" s="83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56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</row>
    <row r="101" spans="1:49" ht="30" customHeight="1" x14ac:dyDescent="0.25">
      <c r="A101" s="60"/>
      <c r="B101" s="51"/>
      <c r="C101" s="51"/>
      <c r="D101" s="51"/>
      <c r="E101" s="83"/>
      <c r="F101" s="83"/>
      <c r="G101" s="83"/>
      <c r="H101" s="83"/>
      <c r="I101" s="83"/>
      <c r="J101" s="83"/>
      <c r="K101" s="83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56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</row>
    <row r="102" spans="1:49" ht="30" customHeight="1" x14ac:dyDescent="0.25">
      <c r="A102" s="60"/>
      <c r="B102" s="51"/>
      <c r="C102" s="51"/>
      <c r="D102" s="51"/>
      <c r="E102" s="83"/>
      <c r="F102" s="83"/>
      <c r="G102" s="83"/>
      <c r="H102" s="83"/>
      <c r="I102" s="83"/>
      <c r="J102" s="83"/>
      <c r="K102" s="83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56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</row>
    <row r="103" spans="1:49" ht="30" customHeight="1" x14ac:dyDescent="0.25">
      <c r="A103" s="60"/>
      <c r="B103" s="51"/>
      <c r="C103" s="51"/>
      <c r="D103" s="51"/>
      <c r="E103" s="83"/>
      <c r="F103" s="83"/>
      <c r="G103" s="83"/>
      <c r="H103" s="83"/>
      <c r="I103" s="83"/>
      <c r="J103" s="83"/>
      <c r="K103" s="83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56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</row>
    <row r="104" spans="1:49" ht="30" customHeight="1" x14ac:dyDescent="0.25">
      <c r="A104" s="60"/>
      <c r="B104" s="51"/>
      <c r="C104" s="51"/>
      <c r="D104" s="51"/>
      <c r="E104" s="83"/>
      <c r="F104" s="83"/>
      <c r="G104" s="83"/>
      <c r="H104" s="83"/>
      <c r="I104" s="83"/>
      <c r="J104" s="83"/>
      <c r="K104" s="83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56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</row>
    <row r="105" spans="1:49" ht="30" customHeight="1" x14ac:dyDescent="0.25">
      <c r="A105" s="60"/>
      <c r="B105" s="51"/>
      <c r="C105" s="51"/>
      <c r="D105" s="51"/>
      <c r="E105" s="83"/>
      <c r="F105" s="83"/>
      <c r="G105" s="83"/>
      <c r="H105" s="83"/>
      <c r="I105" s="83"/>
      <c r="J105" s="83"/>
      <c r="K105" s="83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56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</row>
    <row r="106" spans="1:49" ht="30" customHeight="1" x14ac:dyDescent="0.25">
      <c r="A106" s="60"/>
      <c r="B106" s="51"/>
      <c r="C106" s="51"/>
      <c r="D106" s="51"/>
      <c r="E106" s="83"/>
      <c r="F106" s="83"/>
      <c r="G106" s="83"/>
      <c r="H106" s="83"/>
      <c r="I106" s="83"/>
      <c r="J106" s="83"/>
      <c r="K106" s="83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56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</row>
    <row r="107" spans="1:49" ht="30" customHeight="1" x14ac:dyDescent="0.25">
      <c r="A107" s="60"/>
      <c r="B107" s="51"/>
      <c r="C107" s="51"/>
      <c r="D107" s="51"/>
      <c r="E107" s="83"/>
      <c r="F107" s="83"/>
      <c r="G107" s="83"/>
      <c r="H107" s="83"/>
      <c r="I107" s="83"/>
      <c r="J107" s="83"/>
      <c r="K107" s="83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56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</row>
    <row r="108" spans="1:49" ht="30" customHeight="1" x14ac:dyDescent="0.25">
      <c r="A108" s="60"/>
      <c r="B108" s="51"/>
      <c r="C108" s="51"/>
      <c r="D108" s="51"/>
      <c r="E108" s="83"/>
      <c r="F108" s="83"/>
      <c r="G108" s="83"/>
      <c r="H108" s="83"/>
      <c r="I108" s="83"/>
      <c r="J108" s="83"/>
      <c r="K108" s="83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56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</row>
    <row r="109" spans="1:49" ht="30" customHeight="1" x14ac:dyDescent="0.25">
      <c r="A109" s="60"/>
      <c r="B109" s="51"/>
      <c r="C109" s="51"/>
      <c r="D109" s="51"/>
      <c r="E109" s="83"/>
      <c r="F109" s="83"/>
      <c r="G109" s="83"/>
      <c r="H109" s="83"/>
      <c r="I109" s="83"/>
      <c r="J109" s="83"/>
      <c r="K109" s="83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56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</row>
    <row r="110" spans="1:49" ht="30" customHeight="1" x14ac:dyDescent="0.25">
      <c r="A110" s="60"/>
      <c r="B110" s="51"/>
      <c r="C110" s="51"/>
      <c r="D110" s="51"/>
      <c r="E110" s="83"/>
      <c r="F110" s="83"/>
      <c r="G110" s="83"/>
      <c r="H110" s="83"/>
      <c r="I110" s="83"/>
      <c r="J110" s="83"/>
      <c r="K110" s="83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56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</row>
    <row r="111" spans="1:49" ht="30" customHeight="1" x14ac:dyDescent="0.25">
      <c r="A111" s="60"/>
      <c r="B111" s="51"/>
      <c r="C111" s="51"/>
      <c r="D111" s="51"/>
      <c r="E111" s="83"/>
      <c r="F111" s="83"/>
      <c r="G111" s="83"/>
      <c r="H111" s="83"/>
      <c r="I111" s="83"/>
      <c r="J111" s="83"/>
      <c r="K111" s="83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56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</row>
    <row r="112" spans="1:49" ht="30" customHeight="1" x14ac:dyDescent="0.25">
      <c r="A112" s="60"/>
      <c r="B112" s="51"/>
      <c r="C112" s="51"/>
      <c r="D112" s="51"/>
      <c r="E112" s="83"/>
      <c r="F112" s="83"/>
      <c r="G112" s="83"/>
      <c r="H112" s="83"/>
      <c r="I112" s="83"/>
      <c r="J112" s="83"/>
      <c r="K112" s="83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56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</row>
    <row r="113" spans="1:49" ht="30" customHeight="1" x14ac:dyDescent="0.25">
      <c r="A113" s="60"/>
      <c r="B113" s="51"/>
      <c r="C113" s="51"/>
      <c r="D113" s="51"/>
      <c r="E113" s="83"/>
      <c r="F113" s="83"/>
      <c r="G113" s="83"/>
      <c r="H113" s="83"/>
      <c r="I113" s="83"/>
      <c r="J113" s="83"/>
      <c r="K113" s="83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56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</row>
    <row r="114" spans="1:49" ht="30" customHeight="1" x14ac:dyDescent="0.25">
      <c r="A114" s="60"/>
      <c r="B114" s="51"/>
      <c r="C114" s="51"/>
      <c r="D114" s="51"/>
      <c r="E114" s="83"/>
      <c r="F114" s="83"/>
      <c r="G114" s="83"/>
      <c r="H114" s="83"/>
      <c r="I114" s="83"/>
      <c r="J114" s="83"/>
      <c r="K114" s="83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56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</row>
    <row r="115" spans="1:49" ht="30" customHeight="1" x14ac:dyDescent="0.25">
      <c r="A115" s="60"/>
      <c r="B115" s="51"/>
      <c r="C115" s="51"/>
      <c r="D115" s="51"/>
      <c r="E115" s="83"/>
      <c r="F115" s="83"/>
      <c r="G115" s="83"/>
      <c r="H115" s="83"/>
      <c r="I115" s="83"/>
      <c r="J115" s="83"/>
      <c r="K115" s="83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56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</row>
    <row r="116" spans="1:49" ht="30" customHeight="1" x14ac:dyDescent="0.25">
      <c r="A116" s="60"/>
      <c r="B116" s="51"/>
      <c r="C116" s="51"/>
      <c r="D116" s="51"/>
      <c r="E116" s="83"/>
      <c r="F116" s="83"/>
      <c r="G116" s="83"/>
      <c r="H116" s="83"/>
      <c r="I116" s="83"/>
      <c r="J116" s="83"/>
      <c r="K116" s="83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56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</row>
    <row r="117" spans="1:49" ht="30" customHeight="1" x14ac:dyDescent="0.25">
      <c r="A117" s="60"/>
      <c r="B117" s="51"/>
      <c r="C117" s="51"/>
      <c r="D117" s="51"/>
      <c r="E117" s="83"/>
      <c r="F117" s="83"/>
      <c r="G117" s="83"/>
      <c r="H117" s="83"/>
      <c r="I117" s="83"/>
      <c r="J117" s="83"/>
      <c r="K117" s="83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56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</row>
    <row r="118" spans="1:49" ht="30" customHeight="1" x14ac:dyDescent="0.25">
      <c r="A118" s="60"/>
      <c r="B118" s="51"/>
      <c r="C118" s="51"/>
      <c r="D118" s="51"/>
      <c r="E118" s="83"/>
      <c r="F118" s="83"/>
      <c r="G118" s="83"/>
      <c r="H118" s="83"/>
      <c r="I118" s="83"/>
      <c r="J118" s="83"/>
      <c r="K118" s="83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56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</row>
    <row r="119" spans="1:49" ht="30" customHeight="1" x14ac:dyDescent="0.25">
      <c r="A119" s="60"/>
      <c r="B119" s="51"/>
      <c r="C119" s="51"/>
      <c r="D119" s="51"/>
      <c r="E119" s="83"/>
      <c r="F119" s="83"/>
      <c r="G119" s="83"/>
      <c r="H119" s="83"/>
      <c r="I119" s="83"/>
      <c r="J119" s="83"/>
      <c r="K119" s="83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56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</row>
    <row r="120" spans="1:49" ht="30" customHeight="1" x14ac:dyDescent="0.25">
      <c r="A120" s="60"/>
      <c r="B120" s="51"/>
      <c r="C120" s="51"/>
      <c r="D120" s="51"/>
      <c r="E120" s="83"/>
      <c r="F120" s="83"/>
      <c r="G120" s="83"/>
      <c r="H120" s="83"/>
      <c r="I120" s="83"/>
      <c r="J120" s="83"/>
      <c r="K120" s="83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56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</row>
    <row r="121" spans="1:49" ht="30" customHeight="1" x14ac:dyDescent="0.25">
      <c r="A121" s="60"/>
      <c r="B121" s="51"/>
      <c r="C121" s="51"/>
      <c r="D121" s="51"/>
      <c r="E121" s="83"/>
      <c r="F121" s="83"/>
      <c r="G121" s="83"/>
      <c r="H121" s="83"/>
      <c r="I121" s="83"/>
      <c r="J121" s="83"/>
      <c r="K121" s="83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56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</row>
    <row r="122" spans="1:49" ht="30" customHeight="1" x14ac:dyDescent="0.25">
      <c r="A122" s="60"/>
      <c r="B122" s="51"/>
      <c r="C122" s="51"/>
      <c r="D122" s="51"/>
      <c r="E122" s="83"/>
      <c r="F122" s="83"/>
      <c r="G122" s="83"/>
      <c r="H122" s="83"/>
      <c r="I122" s="83"/>
      <c r="J122" s="83"/>
      <c r="K122" s="83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56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</row>
    <row r="123" spans="1:49" ht="30" customHeight="1" x14ac:dyDescent="0.25">
      <c r="A123" s="60"/>
      <c r="B123" s="51"/>
      <c r="C123" s="51"/>
      <c r="D123" s="51"/>
      <c r="E123" s="83"/>
      <c r="F123" s="83"/>
      <c r="G123" s="83"/>
      <c r="H123" s="83"/>
      <c r="I123" s="83"/>
      <c r="J123" s="83"/>
      <c r="K123" s="83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56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</row>
    <row r="124" spans="1:49" ht="30" customHeight="1" x14ac:dyDescent="0.25">
      <c r="A124" s="60"/>
      <c r="B124" s="51"/>
      <c r="C124" s="51"/>
      <c r="D124" s="51"/>
      <c r="E124" s="83"/>
      <c r="F124" s="83"/>
      <c r="G124" s="83"/>
      <c r="H124" s="83"/>
      <c r="I124" s="83"/>
      <c r="J124" s="83"/>
      <c r="K124" s="83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56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</row>
    <row r="125" spans="1:49" ht="30" customHeight="1" x14ac:dyDescent="0.25">
      <c r="A125" s="60"/>
      <c r="B125" s="51"/>
      <c r="C125" s="51"/>
      <c r="D125" s="51"/>
      <c r="E125" s="83"/>
      <c r="F125" s="83"/>
      <c r="G125" s="83"/>
      <c r="H125" s="83"/>
      <c r="I125" s="83"/>
      <c r="J125" s="83"/>
      <c r="K125" s="83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56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</row>
    <row r="126" spans="1:49" ht="30" customHeight="1" x14ac:dyDescent="0.25">
      <c r="A126" s="60"/>
      <c r="B126" s="51"/>
      <c r="C126" s="51"/>
      <c r="D126" s="51"/>
      <c r="E126" s="83"/>
      <c r="F126" s="83"/>
      <c r="G126" s="83"/>
      <c r="H126" s="83"/>
      <c r="I126" s="83"/>
      <c r="J126" s="83"/>
      <c r="K126" s="83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56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</row>
    <row r="127" spans="1:49" ht="30" customHeight="1" x14ac:dyDescent="0.25">
      <c r="A127" s="60"/>
      <c r="B127" s="51"/>
      <c r="C127" s="51"/>
      <c r="D127" s="51"/>
      <c r="E127" s="83"/>
      <c r="F127" s="83"/>
      <c r="G127" s="83"/>
      <c r="H127" s="83"/>
      <c r="I127" s="83"/>
      <c r="J127" s="83"/>
      <c r="K127" s="83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56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</row>
    <row r="128" spans="1:49" ht="30" customHeight="1" x14ac:dyDescent="0.25">
      <c r="A128" s="60"/>
      <c r="B128" s="51"/>
      <c r="C128" s="51"/>
      <c r="D128" s="51"/>
      <c r="E128" s="83"/>
      <c r="F128" s="83"/>
      <c r="G128" s="83"/>
      <c r="H128" s="83"/>
      <c r="I128" s="83"/>
      <c r="J128" s="83"/>
      <c r="K128" s="83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56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</row>
    <row r="129" spans="1:50" ht="30" customHeight="1" x14ac:dyDescent="0.25">
      <c r="A129" s="60"/>
      <c r="B129" s="51"/>
      <c r="C129" s="51"/>
      <c r="D129" s="51"/>
      <c r="E129" s="83"/>
      <c r="F129" s="83"/>
      <c r="G129" s="83"/>
      <c r="H129" s="83"/>
      <c r="I129" s="83"/>
      <c r="J129" s="83"/>
      <c r="K129" s="83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56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</row>
    <row r="130" spans="1:50" ht="30" customHeight="1" x14ac:dyDescent="0.25">
      <c r="A130" s="60"/>
      <c r="B130" s="51"/>
      <c r="C130" s="51"/>
      <c r="D130" s="51"/>
      <c r="E130" s="83"/>
      <c r="F130" s="83"/>
      <c r="G130" s="83"/>
      <c r="H130" s="83"/>
      <c r="I130" s="83"/>
      <c r="J130" s="83"/>
      <c r="K130" s="83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56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</row>
    <row r="131" spans="1:50" ht="30" customHeight="1" x14ac:dyDescent="0.25">
      <c r="A131" s="60"/>
      <c r="B131" s="51"/>
      <c r="C131" s="51"/>
      <c r="D131" s="51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56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</row>
    <row r="132" spans="1:50" ht="30" customHeight="1" x14ac:dyDescent="0.25">
      <c r="A132" s="60"/>
      <c r="B132" s="51"/>
      <c r="C132" s="51"/>
      <c r="D132" s="51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56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</row>
    <row r="133" spans="1:50" ht="30" customHeight="1" x14ac:dyDescent="0.25">
      <c r="A133" s="60"/>
      <c r="B133" s="51"/>
      <c r="C133" s="51"/>
      <c r="D133" s="51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56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</row>
    <row r="134" spans="1:50" ht="30" customHeight="1" x14ac:dyDescent="0.25">
      <c r="A134" s="60"/>
      <c r="B134" s="51"/>
      <c r="C134" s="51"/>
      <c r="D134" s="51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56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</row>
    <row r="135" spans="1:50" s="50" customFormat="1" ht="30" customHeight="1" x14ac:dyDescent="0.25">
      <c r="A135" s="60"/>
      <c r="B135" s="51"/>
      <c r="C135" s="51"/>
      <c r="D135" s="51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56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3"/>
    </row>
    <row r="136" spans="1:50" s="50" customFormat="1" ht="30" customHeight="1" x14ac:dyDescent="0.25">
      <c r="A136" s="60"/>
      <c r="B136" s="51"/>
      <c r="C136" s="51"/>
      <c r="D136" s="51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56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3"/>
    </row>
    <row r="137" spans="1:50" s="50" customFormat="1" ht="30" customHeight="1" x14ac:dyDescent="0.25">
      <c r="A137" s="60"/>
      <c r="B137" s="51"/>
      <c r="C137" s="51"/>
      <c r="D137" s="51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56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3"/>
    </row>
    <row r="138" spans="1:50" s="50" customFormat="1" ht="30" customHeight="1" x14ac:dyDescent="0.25">
      <c r="A138" s="60"/>
      <c r="B138" s="51"/>
      <c r="C138" s="51"/>
      <c r="D138" s="51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56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3"/>
    </row>
    <row r="139" spans="1:50" s="50" customFormat="1" ht="30" customHeight="1" x14ac:dyDescent="0.25">
      <c r="A139" s="60"/>
      <c r="B139" s="51"/>
      <c r="C139" s="51"/>
      <c r="D139" s="51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56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3"/>
    </row>
    <row r="140" spans="1:50" s="50" customFormat="1" ht="30" customHeight="1" x14ac:dyDescent="0.25">
      <c r="A140" s="60"/>
      <c r="B140" s="51"/>
      <c r="C140" s="51"/>
      <c r="D140" s="51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56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3"/>
    </row>
    <row r="141" spans="1:50" s="50" customFormat="1" ht="40.5" customHeight="1" x14ac:dyDescent="0.25">
      <c r="A141" s="60"/>
      <c r="B141" s="51"/>
      <c r="C141" s="51"/>
      <c r="D141" s="51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56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3"/>
    </row>
    <row r="142" spans="1:50" ht="40.5" hidden="1" customHeight="1" x14ac:dyDescent="0.25">
      <c r="C142" s="51"/>
      <c r="D142" s="51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56"/>
      <c r="AH142" s="51"/>
      <c r="AI142" s="51"/>
      <c r="AJ142" s="51"/>
    </row>
    <row r="143" spans="1:50" ht="40.5" hidden="1" customHeight="1" x14ac:dyDescent="0.25">
      <c r="D143" s="51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56"/>
      <c r="AI143" s="51"/>
    </row>
    <row r="144" spans="1:50" ht="40.5" hidden="1" customHeight="1" x14ac:dyDescent="0.25"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</row>
  </sheetData>
  <phoneticPr fontId="4" type="noConversion"/>
  <conditionalFormatting sqref="D69:Q79">
    <cfRule type="cellIs" dxfId="38" priority="52" operator="equal">
      <formula>0</formula>
    </cfRule>
  </conditionalFormatting>
  <conditionalFormatting sqref="E9:E15">
    <cfRule type="cellIs" dxfId="37" priority="353" operator="equal">
      <formula>0</formula>
    </cfRule>
  </conditionalFormatting>
  <conditionalFormatting sqref="E81:E85">
    <cfRule type="cellIs" dxfId="36" priority="121" operator="equal">
      <formula>0</formula>
    </cfRule>
  </conditionalFormatting>
  <conditionalFormatting sqref="E47:S51">
    <cfRule type="cellIs" dxfId="35" priority="5" operator="equal">
      <formula>0</formula>
    </cfRule>
  </conditionalFormatting>
  <conditionalFormatting sqref="E64:S68">
    <cfRule type="cellIs" dxfId="34" priority="46" operator="equal">
      <formula>0</formula>
    </cfRule>
  </conditionalFormatting>
  <conditionalFormatting sqref="F82:F85">
    <cfRule type="colorScale" priority="36">
      <colorScale>
        <cfvo type="min"/>
        <cfvo type="max"/>
        <color rgb="FFCEF6CE"/>
        <color rgb="FF59BF59"/>
      </colorScale>
    </cfRule>
  </conditionalFormatting>
  <conditionalFormatting sqref="F11:P14">
    <cfRule type="cellIs" dxfId="33" priority="73" operator="equal">
      <formula>0</formula>
    </cfRule>
  </conditionalFormatting>
  <conditionalFormatting sqref="G82:G85">
    <cfRule type="colorScale" priority="35">
      <colorScale>
        <cfvo type="min"/>
        <cfvo type="max"/>
        <color rgb="FFCEF6CE"/>
        <color rgb="FF59BF59"/>
      </colorScale>
    </cfRule>
  </conditionalFormatting>
  <conditionalFormatting sqref="H82:H85">
    <cfRule type="colorScale" priority="34">
      <colorScale>
        <cfvo type="min"/>
        <cfvo type="max"/>
        <color rgb="FFCEF6CE"/>
        <color rgb="FF59BF59"/>
      </colorScale>
    </cfRule>
  </conditionalFormatting>
  <conditionalFormatting sqref="I82:I85">
    <cfRule type="colorScale" priority="33">
      <colorScale>
        <cfvo type="min"/>
        <cfvo type="max"/>
        <color rgb="FFCEF6CE"/>
        <color rgb="FF59BF59"/>
      </colorScale>
    </cfRule>
  </conditionalFormatting>
  <conditionalFormatting sqref="J82:J85">
    <cfRule type="colorScale" priority="32">
      <colorScale>
        <cfvo type="min"/>
        <cfvo type="max"/>
        <color rgb="FFCEF6CE"/>
        <color rgb="FF59BF59"/>
      </colorScale>
    </cfRule>
  </conditionalFormatting>
  <conditionalFormatting sqref="J16:S19">
    <cfRule type="cellIs" dxfId="32" priority="2" operator="equal">
      <formula>0</formula>
    </cfRule>
  </conditionalFormatting>
  <conditionalFormatting sqref="K82:K85">
    <cfRule type="colorScale" priority="31">
      <colorScale>
        <cfvo type="min"/>
        <cfvo type="max"/>
        <color rgb="FFCEF6CE"/>
        <color rgb="FF59BF59"/>
      </colorScale>
    </cfRule>
  </conditionalFormatting>
  <conditionalFormatting sqref="L82:L85">
    <cfRule type="colorScale" priority="30">
      <colorScale>
        <cfvo type="min"/>
        <cfvo type="max"/>
        <color rgb="FFCEF6CE"/>
        <color rgb="FF59BF59"/>
      </colorScale>
    </cfRule>
  </conditionalFormatting>
  <conditionalFormatting sqref="M82:M85">
    <cfRule type="colorScale" priority="29">
      <colorScale>
        <cfvo type="min"/>
        <cfvo type="max"/>
        <color rgb="FFCEF6CE"/>
        <color rgb="FF59BF59"/>
      </colorScale>
    </cfRule>
  </conditionalFormatting>
  <conditionalFormatting sqref="N82:N85">
    <cfRule type="colorScale" priority="28">
      <colorScale>
        <cfvo type="min"/>
        <cfvo type="max"/>
        <color rgb="FFCEF6CE"/>
        <color rgb="FF59BF59"/>
      </colorScale>
    </cfRule>
  </conditionalFormatting>
  <conditionalFormatting sqref="O82:O85">
    <cfRule type="colorScale" priority="27">
      <colorScale>
        <cfvo type="min"/>
        <cfvo type="max"/>
        <color rgb="FFCEF6CE"/>
        <color rgb="FF59BF59"/>
      </colorScale>
    </cfRule>
  </conditionalFormatting>
  <conditionalFormatting sqref="P82:P85">
    <cfRule type="colorScale" priority="26">
      <colorScale>
        <cfvo type="min"/>
        <cfvo type="max"/>
        <color rgb="FFCEF6CE"/>
        <color rgb="FF59BF59"/>
      </colorScale>
    </cfRule>
  </conditionalFormatting>
  <conditionalFormatting sqref="Q82:Q85">
    <cfRule type="colorScale" priority="25">
      <colorScale>
        <cfvo type="min"/>
        <cfvo type="max"/>
        <color rgb="FFCEF6CE"/>
        <color rgb="FF59BF59"/>
      </colorScale>
    </cfRule>
  </conditionalFormatting>
  <conditionalFormatting sqref="Q11:S12 T12:AF12">
    <cfRule type="cellIs" dxfId="31" priority="72" operator="equal">
      <formula>0</formula>
    </cfRule>
  </conditionalFormatting>
  <conditionalFormatting sqref="R82:R85">
    <cfRule type="colorScale" priority="946">
      <colorScale>
        <cfvo type="min"/>
        <cfvo type="max"/>
        <color rgb="FFCEF6CE"/>
        <color rgb="FF59BF59"/>
      </colorScale>
    </cfRule>
  </conditionalFormatting>
  <conditionalFormatting sqref="R20:S46 D23:Q40">
    <cfRule type="cellIs" dxfId="30" priority="309" operator="equal">
      <formula>0</formula>
    </cfRule>
  </conditionalFormatting>
  <conditionalFormatting sqref="S82:S85">
    <cfRule type="colorScale" priority="4">
      <colorScale>
        <cfvo type="min"/>
        <cfvo type="max"/>
        <color rgb="FFCEF6CE"/>
        <color rgb="FF59BF59"/>
      </colorScale>
    </cfRule>
  </conditionalFormatting>
  <conditionalFormatting sqref="S13:AF15 A1:XFD3 E5:XFD8 Q13:R14 F15:R15 D18:D19 R86:AI1048576">
    <cfRule type="cellIs" dxfId="29" priority="370" operator="equal">
      <formula>0</formula>
    </cfRule>
  </conditionalFormatting>
  <conditionalFormatting sqref="T82:T85">
    <cfRule type="colorScale" priority="22">
      <colorScale>
        <cfvo type="min"/>
        <cfvo type="max"/>
        <color rgb="FFCEF6CE"/>
        <color rgb="FF59BF59"/>
      </colorScale>
    </cfRule>
  </conditionalFormatting>
  <conditionalFormatting sqref="T10:AF11 A4:E4 AI4:XFD4 A5:C6 D5:D12 D7:P7 B7:C12 T9:AG9 F9:S10 AI9:XFD15 AG10:AG15 B13:D20 T16:XFD20 E17:J19 D20:Q20 B21:Q22 T21:AI22 AJ21:XFD53 T23:AF23 AG23:AG36 AI23:AI36 A23:C1048576 T24:AE35 AF24:AF36 T36:AG36 T37:AI37 T38:AH39 AI38:AI53 AF39:AF42 T40:AG40 AG41:AG42 E41:Q46 D41:D51 T41:AE53 AF43:AG53 D52:S57 T54:XFD54 T55:AH55 AI55:AI84 AJ55:XFD1048576 AG56:AH56 T56:AF70 AG57:AG70 D58:H58 I58:Q59 R58:S63 F59:H59 E59:E62 D59:D68 F60:Q62 E63:Q63 R69:S81 T71:AH79 E80:Q80 T80:AE81 AF80:AI85 D80:D86 F81:Q81 E86:Q86 D87:Q1048576">
    <cfRule type="cellIs" dxfId="28" priority="374" operator="equal">
      <formula>0</formula>
    </cfRule>
  </conditionalFormatting>
  <conditionalFormatting sqref="U82:U85">
    <cfRule type="colorScale" priority="21">
      <colorScale>
        <cfvo type="min"/>
        <cfvo type="max"/>
        <color rgb="FFCEF6CE"/>
        <color rgb="FF59BF59"/>
      </colorScale>
    </cfRule>
  </conditionalFormatting>
  <conditionalFormatting sqref="V82:V85">
    <cfRule type="colorScale" priority="20">
      <colorScale>
        <cfvo type="min"/>
        <cfvo type="max"/>
        <color rgb="FFCEF6CE"/>
        <color rgb="FF59BF59"/>
      </colorScale>
    </cfRule>
  </conditionalFormatting>
  <conditionalFormatting sqref="W82:W85">
    <cfRule type="colorScale" priority="19">
      <colorScale>
        <cfvo type="min"/>
        <cfvo type="max"/>
        <color rgb="FFCEF6CE"/>
        <color rgb="FF59BF59"/>
      </colorScale>
    </cfRule>
  </conditionalFormatting>
  <conditionalFormatting sqref="X82:X85">
    <cfRule type="colorScale" priority="18">
      <colorScale>
        <cfvo type="min"/>
        <cfvo type="max"/>
        <color rgb="FFCEF6CE"/>
        <color rgb="FF59BF59"/>
      </colorScale>
    </cfRule>
  </conditionalFormatting>
  <conditionalFormatting sqref="Y82:Y85">
    <cfRule type="colorScale" priority="17">
      <colorScale>
        <cfvo type="min"/>
        <cfvo type="max"/>
        <color rgb="FFCEF6CE"/>
        <color rgb="FF59BF59"/>
      </colorScale>
    </cfRule>
  </conditionalFormatting>
  <conditionalFormatting sqref="Z82:Z85">
    <cfRule type="colorScale" priority="16">
      <colorScale>
        <cfvo type="min"/>
        <cfvo type="max"/>
        <color rgb="FFCEF6CE"/>
        <color rgb="FF59BF59"/>
      </colorScale>
    </cfRule>
  </conditionalFormatting>
  <conditionalFormatting sqref="AA82:AA85">
    <cfRule type="colorScale" priority="15">
      <colorScale>
        <cfvo type="min"/>
        <cfvo type="max"/>
        <color rgb="FFCEF6CE"/>
        <color rgb="FF59BF59"/>
      </colorScale>
    </cfRule>
  </conditionalFormatting>
  <conditionalFormatting sqref="AB82:AB85">
    <cfRule type="colorScale" priority="14">
      <colorScale>
        <cfvo type="min"/>
        <cfvo type="max"/>
        <color rgb="FFCEF6CE"/>
        <color rgb="FF59BF59"/>
      </colorScale>
    </cfRule>
  </conditionalFormatting>
  <conditionalFormatting sqref="AC82:AC85">
    <cfRule type="colorScale" priority="13">
      <colorScale>
        <cfvo type="min"/>
        <cfvo type="max"/>
        <color rgb="FFCEF6CE"/>
        <color rgb="FF59BF59"/>
      </colorScale>
    </cfRule>
  </conditionalFormatting>
  <conditionalFormatting sqref="AD82:AD85">
    <cfRule type="colorScale" priority="12">
      <colorScale>
        <cfvo type="min"/>
        <cfvo type="max"/>
        <color rgb="FFCEF6CE"/>
        <color rgb="FF59BF59"/>
      </colorScale>
    </cfRule>
  </conditionalFormatting>
  <conditionalFormatting sqref="AE82:AE85">
    <cfRule type="colorScale" priority="11">
      <colorScale>
        <cfvo type="min"/>
        <cfvo type="max"/>
        <color rgb="FFCEF6CE"/>
        <color rgb="FF59BF59"/>
      </colorScale>
    </cfRule>
  </conditionalFormatting>
  <conditionalFormatting sqref="AF10:AF14">
    <cfRule type="cellIs" dxfId="27" priority="303" operator="equal">
      <formula>0</formula>
    </cfRule>
  </conditionalFormatting>
  <conditionalFormatting sqref="AH10:AH14">
    <cfRule type="colorScale" priority="40">
      <colorScale>
        <cfvo type="min"/>
        <cfvo type="max"/>
        <color rgb="FFCEF6CE"/>
        <color rgb="FF59BF59"/>
      </colorScale>
    </cfRule>
  </conditionalFormatting>
  <conditionalFormatting sqref="AH24 AH30">
    <cfRule type="colorScale" priority="271">
      <colorScale>
        <cfvo type="min"/>
        <cfvo type="max"/>
        <color rgb="FFD9FBE2"/>
        <color rgb="FF00C556"/>
      </colorScale>
    </cfRule>
  </conditionalFormatting>
  <conditionalFormatting sqref="AH24:AH36">
    <cfRule type="colorScale" priority="39">
      <colorScale>
        <cfvo type="min"/>
        <cfvo type="max"/>
        <color rgb="FFCEF6CE"/>
        <color rgb="FF59BF59"/>
      </colorScale>
    </cfRule>
  </conditionalFormatting>
  <conditionalFormatting sqref="AH41:AH53">
    <cfRule type="colorScale" priority="38">
      <colorScale>
        <cfvo type="min"/>
        <cfvo type="max"/>
        <color rgb="FFCEF6CE"/>
        <color rgb="FF59BF59"/>
      </colorScale>
    </cfRule>
  </conditionalFormatting>
  <conditionalFormatting sqref="AH58:AH70">
    <cfRule type="colorScale" priority="37">
      <colorScale>
        <cfvo type="min"/>
        <cfvo type="max"/>
        <color rgb="FFCEF6CE"/>
        <color rgb="FF59BF59"/>
      </colorScale>
    </cfRule>
  </conditionalFormatting>
  <conditionalFormatting sqref="AH82">
    <cfRule type="colorScale" priority="118">
      <colorScale>
        <cfvo type="min"/>
        <cfvo type="max"/>
        <color rgb="FFD9FBE2"/>
        <color rgb="FF00C556"/>
      </colorScale>
    </cfRule>
    <cfRule type="colorScale" priority="119">
      <colorScale>
        <cfvo type="min"/>
        <cfvo type="max"/>
        <color rgb="FFFCFCFF"/>
        <color rgb="FF63BE7B"/>
      </colorScale>
    </cfRule>
  </conditionalFormatting>
  <conditionalFormatting sqref="AH83:AH84">
    <cfRule type="colorScale" priority="898">
      <colorScale>
        <cfvo type="min"/>
        <cfvo type="max"/>
        <color rgb="FFD9FBE2"/>
        <color rgb="FF00C556"/>
      </colorScale>
    </cfRule>
    <cfRule type="colorScale" priority="899">
      <colorScale>
        <cfvo type="min"/>
        <cfvo type="max"/>
        <color rgb="FFFCFCFF"/>
        <color rgb="FF63BE7B"/>
      </colorScale>
    </cfRule>
  </conditionalFormatting>
  <conditionalFormatting sqref="AH85">
    <cfRule type="colorScale" priority="871">
      <colorScale>
        <cfvo type="min"/>
        <cfvo type="max"/>
        <color rgb="FFD9FBE2"/>
        <color rgb="FF00C556"/>
      </colorScale>
    </cfRule>
    <cfRule type="colorScale" priority="872">
      <colorScale>
        <cfvo type="min"/>
        <cfvo type="max"/>
        <color rgb="FFFCFCFF"/>
        <color rgb="FF63BE7B"/>
      </colorScale>
    </cfRule>
  </conditionalFormatting>
  <conditionalFormatting sqref="AH86">
    <cfRule type="cellIs" dxfId="26" priority="117" operator="equal">
      <formula>0</formula>
    </cfRule>
  </conditionalFormatting>
  <hyperlinks>
    <hyperlink ref="A9" location="WACC!A1" display="WACC" xr:uid="{B51E930C-7B15-48F6-9623-73F3C6FEA7EA}"/>
    <hyperlink ref="A8" location="Dashboard!A1" display="Dashboard" xr:uid="{09DD98A2-2BBE-42B9-94A5-1BE77EBCF4F8}"/>
    <hyperlink ref="A13" location="'Projeções - Receita'!A1" display="Projeções" xr:uid="{486EC036-948A-48E7-9C01-69B331FDF776}"/>
    <hyperlink ref="A10" location="'DRE + DCF'!A1" display="DRE + DCF" xr:uid="{F312BA4D-4B70-4672-910C-6EA04712766D}"/>
    <hyperlink ref="A12" location="'Balanço Patrimonial'!A1" display="Balanço Patrimonial" xr:uid="{5EFE83D9-0145-440F-B28E-8E5E856985D0}"/>
    <hyperlink ref="A15" location="'Capex + K. Giro'!A1" display="Capex + Capital de Giro" xr:uid="{A9144E8F-3E63-4E64-B41F-F89494AA4A7C}"/>
    <hyperlink ref="A14" location="Lojas!A1" display="Lojas" xr:uid="{CB49FAAE-5ADC-45AB-90F6-F0178EF81961}"/>
    <hyperlink ref="A11" location="'DRE - Contas Abertas'!A1" display="Contas Abertas" xr:uid="{646E5EA7-26CB-4382-8D64-E8082EC6C506}"/>
    <hyperlink ref="A16" location="'Projeções Trimestrais'!A1" display="Projeções Trimestrais" xr:uid="{D6602A1E-C264-487A-863C-AA6CE41A9DF5}"/>
    <hyperlink ref="A17" location="'Painel de Índices'!A1" display="Painel de Índices" xr:uid="{9A8EAC33-8458-47D7-B516-F0F9C8464101}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0D3F-36C3-4A44-AD3B-4E26C7298C41}">
  <sheetPr codeName="Planilha21" filterMode="1"/>
  <dimension ref="A1:AG1275"/>
  <sheetViews>
    <sheetView showGridLines="0" topLeftCell="D1" zoomScale="70" zoomScaleNormal="70" workbookViewId="0">
      <selection activeCell="G315" sqref="G315"/>
    </sheetView>
  </sheetViews>
  <sheetFormatPr defaultColWidth="0" defaultRowHeight="77.45" customHeight="1" x14ac:dyDescent="0.25"/>
  <cols>
    <col min="1" max="1" width="39.140625" style="50" customWidth="1"/>
    <col min="2" max="4" width="9.140625" style="53" customWidth="1"/>
    <col min="5" max="5" width="14.5703125" style="53" bestFit="1" customWidth="1"/>
    <col min="6" max="6" width="18.85546875" style="53" bestFit="1" customWidth="1"/>
    <col min="7" max="7" width="24.85546875" style="53" bestFit="1" customWidth="1"/>
    <col min="8" max="8" width="23.5703125" style="53" bestFit="1" customWidth="1"/>
    <col min="9" max="10" width="11.7109375" style="53" bestFit="1" customWidth="1"/>
    <col min="11" max="11" width="5.42578125" style="53" bestFit="1" customWidth="1"/>
    <col min="12" max="12" width="23.5703125" style="53" bestFit="1" customWidth="1"/>
    <col min="13" max="13" width="28.85546875" style="53" bestFit="1" customWidth="1"/>
    <col min="14" max="14" width="9.140625" style="53" bestFit="1" customWidth="1"/>
    <col min="15" max="15" width="45.85546875" style="53" bestFit="1" customWidth="1"/>
    <col min="16" max="16" width="16.7109375" style="53" bestFit="1" customWidth="1"/>
    <col min="17" max="18" width="16" style="53" bestFit="1" customWidth="1"/>
    <col min="19" max="27" width="12.7109375" style="53" customWidth="1"/>
    <col min="28" max="33" width="12.7109375" style="53" hidden="1" customWidth="1"/>
    <col min="34" max="16384" width="1.140625" style="53" hidden="1"/>
  </cols>
  <sheetData>
    <row r="1" spans="1:27" ht="15" customHeight="1" x14ac:dyDescent="0.25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6"/>
      <c r="T1" s="56"/>
      <c r="U1" s="56"/>
      <c r="V1" s="56"/>
      <c r="W1" s="56"/>
      <c r="X1" s="56"/>
      <c r="Y1" s="56"/>
      <c r="Z1" s="56"/>
      <c r="AA1" s="56"/>
    </row>
    <row r="2" spans="1:27" ht="15" customHeight="1" x14ac:dyDescent="0.25"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6"/>
      <c r="T2" s="56"/>
      <c r="U2" s="56"/>
      <c r="V2" s="56"/>
      <c r="W2" s="56"/>
      <c r="X2" s="56"/>
      <c r="Y2" s="56"/>
      <c r="Z2" s="56"/>
      <c r="AA2" s="56"/>
    </row>
    <row r="3" spans="1:27" ht="15" customHeight="1" x14ac:dyDescent="0.25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6"/>
      <c r="T3" s="56"/>
      <c r="U3" s="56"/>
      <c r="V3" s="56"/>
      <c r="W3" s="56"/>
      <c r="X3" s="56"/>
      <c r="Y3" s="56"/>
      <c r="Z3" s="56"/>
      <c r="AA3" s="56"/>
    </row>
    <row r="4" spans="1:27" ht="26.25" customHeight="1" x14ac:dyDescent="0.25">
      <c r="B4" s="51"/>
      <c r="C4" s="51"/>
      <c r="D4" s="51"/>
      <c r="E4" s="453" t="s">
        <v>386</v>
      </c>
      <c r="F4" s="453"/>
      <c r="G4" s="453"/>
      <c r="H4" s="453"/>
      <c r="I4" s="453"/>
      <c r="J4" s="453"/>
      <c r="K4" s="453"/>
      <c r="L4" s="453"/>
      <c r="M4" s="453"/>
      <c r="N4" s="453"/>
      <c r="O4" s="453"/>
      <c r="P4" s="453"/>
      <c r="Q4" s="453"/>
      <c r="R4" s="453"/>
      <c r="S4" s="56"/>
      <c r="T4" s="56"/>
      <c r="U4" s="56"/>
      <c r="V4" s="56"/>
      <c r="W4" s="56"/>
      <c r="X4" s="56"/>
      <c r="Y4" s="56"/>
      <c r="Z4" s="56"/>
      <c r="AA4" s="56"/>
    </row>
    <row r="5" spans="1:27" ht="15" customHeight="1" x14ac:dyDescent="0.25">
      <c r="B5" s="51"/>
      <c r="C5" s="51"/>
      <c r="D5" s="51"/>
      <c r="E5" s="453"/>
      <c r="F5" s="453"/>
      <c r="G5" s="453"/>
      <c r="H5" s="453"/>
      <c r="I5" s="453"/>
      <c r="J5" s="453"/>
      <c r="K5" s="453"/>
      <c r="L5" s="453"/>
      <c r="M5" s="453"/>
      <c r="N5" s="453"/>
      <c r="O5" s="453"/>
      <c r="P5" s="453"/>
      <c r="Q5" s="453"/>
      <c r="R5" s="453"/>
      <c r="S5" s="56"/>
      <c r="T5" s="56"/>
      <c r="U5" s="56"/>
      <c r="V5" s="56"/>
      <c r="W5" s="56"/>
      <c r="X5" s="56"/>
      <c r="Y5" s="56"/>
      <c r="Z5" s="56"/>
      <c r="AA5" s="56"/>
    </row>
    <row r="6" spans="1:27" ht="15" x14ac:dyDescent="0.25">
      <c r="B6" s="51"/>
      <c r="C6" s="51"/>
      <c r="D6" s="51"/>
      <c r="E6" s="51"/>
      <c r="F6" s="51"/>
      <c r="G6" s="51"/>
      <c r="H6" s="51"/>
      <c r="I6" s="54"/>
      <c r="J6" s="54"/>
      <c r="K6" s="54"/>
      <c r="L6" s="54"/>
      <c r="M6" s="54"/>
      <c r="N6" s="54"/>
      <c r="O6" s="51"/>
      <c r="P6" s="51"/>
      <c r="Q6" s="51"/>
      <c r="R6" s="51"/>
      <c r="S6" s="56"/>
      <c r="T6" s="56"/>
      <c r="U6" s="56"/>
      <c r="V6" s="56"/>
      <c r="W6" s="56"/>
      <c r="X6" s="56"/>
      <c r="Y6" s="56"/>
      <c r="Z6" s="56"/>
      <c r="AA6" s="56"/>
    </row>
    <row r="7" spans="1:27" s="57" customFormat="1" ht="24.75" customHeight="1" x14ac:dyDescent="0.25">
      <c r="A7" s="55" t="s">
        <v>39</v>
      </c>
      <c r="B7" s="56"/>
      <c r="C7" s="56"/>
      <c r="D7" s="56"/>
      <c r="E7" s="56"/>
      <c r="F7" s="56"/>
      <c r="G7" s="56"/>
      <c r="H7" s="51"/>
      <c r="I7" s="51"/>
      <c r="J7" s="51"/>
      <c r="K7" s="51"/>
      <c r="L7" s="51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 spans="1:27" ht="30" customHeight="1" x14ac:dyDescent="0.25">
      <c r="A8" s="25" t="s">
        <v>40</v>
      </c>
      <c r="B8" s="51"/>
      <c r="C8" s="51"/>
      <c r="D8" s="56"/>
      <c r="E8" s="58"/>
      <c r="F8" s="59"/>
      <c r="G8" s="59"/>
      <c r="H8" s="59"/>
      <c r="I8" s="59"/>
      <c r="J8" s="59"/>
      <c r="K8" s="59"/>
      <c r="L8" s="59"/>
      <c r="M8" s="56"/>
      <c r="N8" s="51"/>
      <c r="O8" s="51"/>
      <c r="P8" s="51"/>
      <c r="Q8" s="51"/>
      <c r="R8" s="51"/>
      <c r="S8" s="56"/>
      <c r="T8" s="56"/>
      <c r="U8" s="56"/>
      <c r="V8" s="56"/>
      <c r="W8" s="56"/>
      <c r="X8" s="56"/>
      <c r="Y8" s="56"/>
      <c r="Z8" s="56"/>
      <c r="AA8" s="56"/>
    </row>
    <row r="9" spans="1:27" ht="30" customHeight="1" x14ac:dyDescent="0.25">
      <c r="A9" s="25" t="s">
        <v>22</v>
      </c>
      <c r="B9" s="51"/>
      <c r="C9" s="51"/>
      <c r="D9" s="51"/>
      <c r="E9" s="136" t="s">
        <v>955</v>
      </c>
      <c r="F9" s="137" t="s">
        <v>962</v>
      </c>
      <c r="G9" s="138" t="s">
        <v>956</v>
      </c>
      <c r="H9" s="138" t="s">
        <v>961</v>
      </c>
      <c r="I9" s="138" t="s">
        <v>957</v>
      </c>
      <c r="J9" s="138" t="s">
        <v>69</v>
      </c>
      <c r="K9" s="138" t="s">
        <v>958</v>
      </c>
      <c r="L9" s="138" t="s">
        <v>68</v>
      </c>
      <c r="M9" s="138" t="s">
        <v>66</v>
      </c>
      <c r="N9" s="138" t="s">
        <v>959</v>
      </c>
      <c r="O9" s="138" t="s">
        <v>67</v>
      </c>
      <c r="P9" s="138" t="s">
        <v>81</v>
      </c>
      <c r="Q9" s="138" t="s">
        <v>65</v>
      </c>
      <c r="R9" s="139" t="s">
        <v>960</v>
      </c>
      <c r="S9" s="56"/>
      <c r="T9" s="56"/>
      <c r="U9" s="56"/>
      <c r="V9" s="56"/>
      <c r="W9" s="56"/>
      <c r="X9" s="56"/>
      <c r="Y9" s="56"/>
      <c r="Z9" s="56"/>
      <c r="AA9" s="56"/>
    </row>
    <row r="10" spans="1:27" ht="30" hidden="1" customHeight="1" x14ac:dyDescent="0.25">
      <c r="A10" s="25" t="s">
        <v>42</v>
      </c>
      <c r="B10" s="51"/>
      <c r="C10" s="51"/>
      <c r="D10" s="51"/>
      <c r="E10" s="63" t="s">
        <v>454</v>
      </c>
      <c r="F10" s="422">
        <v>2023</v>
      </c>
      <c r="G10" s="135" t="s">
        <v>1164</v>
      </c>
      <c r="H10" s="422"/>
      <c r="I10" s="135" t="s">
        <v>455</v>
      </c>
      <c r="J10" s="135" t="s">
        <v>455</v>
      </c>
      <c r="K10" s="135" t="s">
        <v>456</v>
      </c>
      <c r="L10" s="135" t="s">
        <v>455</v>
      </c>
      <c r="M10" s="135" t="s">
        <v>1139</v>
      </c>
      <c r="N10" s="135" t="s">
        <v>965</v>
      </c>
      <c r="O10" s="135" t="s">
        <v>1309</v>
      </c>
      <c r="P10" s="135" t="s">
        <v>459</v>
      </c>
      <c r="Q10" s="135">
        <v>1295</v>
      </c>
      <c r="R10" s="186">
        <v>667</v>
      </c>
      <c r="S10" s="56"/>
      <c r="T10" s="56"/>
      <c r="U10" s="56"/>
      <c r="V10" s="56"/>
      <c r="W10" s="56"/>
      <c r="X10" s="56"/>
      <c r="Y10" s="56"/>
      <c r="Z10" s="56"/>
      <c r="AA10" s="56"/>
    </row>
    <row r="11" spans="1:27" ht="30" hidden="1" customHeight="1" x14ac:dyDescent="0.25">
      <c r="A11" s="25" t="s">
        <v>987</v>
      </c>
      <c r="B11" s="51"/>
      <c r="C11" s="51"/>
      <c r="D11" s="51"/>
      <c r="E11" s="63" t="s">
        <v>452</v>
      </c>
      <c r="F11" s="422">
        <v>2023</v>
      </c>
      <c r="G11" s="135" t="s">
        <v>1164</v>
      </c>
      <c r="H11" s="422"/>
      <c r="I11" s="135" t="s">
        <v>460</v>
      </c>
      <c r="J11" s="135" t="s">
        <v>967</v>
      </c>
      <c r="K11" s="135" t="s">
        <v>553</v>
      </c>
      <c r="L11" s="135" t="s">
        <v>82</v>
      </c>
      <c r="M11" s="135" t="s">
        <v>130</v>
      </c>
      <c r="N11" s="135" t="s">
        <v>964</v>
      </c>
      <c r="O11" s="135" t="s">
        <v>706</v>
      </c>
      <c r="P11" s="135" t="s">
        <v>459</v>
      </c>
      <c r="Q11" s="135">
        <v>255</v>
      </c>
      <c r="R11" s="187">
        <v>666</v>
      </c>
      <c r="S11" s="56"/>
      <c r="T11" s="56"/>
      <c r="U11" s="56"/>
      <c r="V11" s="56"/>
      <c r="W11" s="56"/>
      <c r="X11" s="56"/>
      <c r="Y11" s="56"/>
      <c r="Z11" s="56"/>
      <c r="AA11" s="56"/>
    </row>
    <row r="12" spans="1:27" ht="30" hidden="1" customHeight="1" x14ac:dyDescent="0.25">
      <c r="A12" s="25" t="s">
        <v>43</v>
      </c>
      <c r="B12" s="51"/>
      <c r="C12" s="51"/>
      <c r="D12" s="51"/>
      <c r="E12" s="63" t="s">
        <v>454</v>
      </c>
      <c r="F12" s="422">
        <v>2023</v>
      </c>
      <c r="G12" s="135" t="s">
        <v>1164</v>
      </c>
      <c r="H12" s="422"/>
      <c r="I12" s="135" t="s">
        <v>460</v>
      </c>
      <c r="J12" s="135" t="s">
        <v>966</v>
      </c>
      <c r="K12" s="135" t="s">
        <v>492</v>
      </c>
      <c r="L12" s="135" t="s">
        <v>968</v>
      </c>
      <c r="M12" s="135" t="s">
        <v>1310</v>
      </c>
      <c r="N12" s="135" t="s">
        <v>965</v>
      </c>
      <c r="O12" s="135" t="s">
        <v>1311</v>
      </c>
      <c r="P12" s="135" t="s">
        <v>459</v>
      </c>
      <c r="Q12" s="135">
        <v>1281.8</v>
      </c>
      <c r="R12" s="187">
        <v>665</v>
      </c>
      <c r="S12" s="56"/>
      <c r="T12" s="56"/>
      <c r="U12" s="56"/>
      <c r="V12" s="56"/>
      <c r="W12" s="56"/>
      <c r="X12" s="56"/>
      <c r="Y12" s="56"/>
      <c r="Z12" s="56"/>
      <c r="AA12" s="56"/>
    </row>
    <row r="13" spans="1:27" ht="30" hidden="1" customHeight="1" x14ac:dyDescent="0.25">
      <c r="A13" s="25" t="s">
        <v>385</v>
      </c>
      <c r="B13" s="51"/>
      <c r="C13" s="51"/>
      <c r="D13" s="51"/>
      <c r="E13" s="63" t="s">
        <v>452</v>
      </c>
      <c r="F13" s="422">
        <v>2023</v>
      </c>
      <c r="G13" s="135" t="s">
        <v>1164</v>
      </c>
      <c r="H13" s="422"/>
      <c r="I13" s="135" t="s">
        <v>460</v>
      </c>
      <c r="J13" s="135" t="s">
        <v>967</v>
      </c>
      <c r="K13" s="135" t="s">
        <v>553</v>
      </c>
      <c r="L13" s="135" t="s">
        <v>82</v>
      </c>
      <c r="M13" s="135" t="s">
        <v>83</v>
      </c>
      <c r="N13" s="135" t="s">
        <v>965</v>
      </c>
      <c r="O13" s="135" t="s">
        <v>554</v>
      </c>
      <c r="P13" s="135" t="s">
        <v>459</v>
      </c>
      <c r="Q13" s="135">
        <v>253.2</v>
      </c>
      <c r="R13" s="187">
        <v>664</v>
      </c>
      <c r="S13" s="56"/>
      <c r="T13" s="56"/>
      <c r="U13" s="56"/>
      <c r="V13" s="56"/>
      <c r="W13" s="56"/>
      <c r="X13" s="56"/>
      <c r="Y13" s="56"/>
      <c r="Z13" s="56"/>
      <c r="AA13" s="56"/>
    </row>
    <row r="14" spans="1:27" ht="30" hidden="1" customHeight="1" x14ac:dyDescent="0.25">
      <c r="A14" s="438" t="s">
        <v>73</v>
      </c>
      <c r="B14" s="51"/>
      <c r="C14" s="51"/>
      <c r="D14" s="51"/>
      <c r="E14" s="63" t="s">
        <v>452</v>
      </c>
      <c r="F14" s="422">
        <v>2023</v>
      </c>
      <c r="G14" s="135" t="s">
        <v>1164</v>
      </c>
      <c r="H14" s="422"/>
      <c r="I14" s="135" t="s">
        <v>460</v>
      </c>
      <c r="J14" s="135" t="s">
        <v>966</v>
      </c>
      <c r="K14" s="135" t="s">
        <v>469</v>
      </c>
      <c r="L14" s="135" t="s">
        <v>85</v>
      </c>
      <c r="M14" s="135" t="s">
        <v>85</v>
      </c>
      <c r="N14" s="135" t="s">
        <v>964</v>
      </c>
      <c r="O14" s="135" t="s">
        <v>1312</v>
      </c>
      <c r="P14" s="135" t="s">
        <v>459</v>
      </c>
      <c r="Q14" s="135">
        <v>268.3</v>
      </c>
      <c r="R14" s="187">
        <v>663</v>
      </c>
      <c r="S14" s="56"/>
      <c r="T14" s="56"/>
      <c r="U14" s="56"/>
      <c r="V14" s="56"/>
      <c r="W14" s="56"/>
      <c r="X14" s="56"/>
      <c r="Y14" s="56"/>
      <c r="Z14" s="56"/>
      <c r="AA14" s="56"/>
    </row>
    <row r="15" spans="1:27" ht="30" hidden="1" customHeight="1" x14ac:dyDescent="0.25">
      <c r="A15" s="25" t="s">
        <v>382</v>
      </c>
      <c r="B15" s="51"/>
      <c r="C15" s="51"/>
      <c r="D15" s="51"/>
      <c r="E15" s="63" t="s">
        <v>454</v>
      </c>
      <c r="F15" s="422">
        <v>2023</v>
      </c>
      <c r="G15" s="135" t="s">
        <v>1164</v>
      </c>
      <c r="H15" s="422"/>
      <c r="I15" s="135" t="s">
        <v>460</v>
      </c>
      <c r="J15" s="135" t="s">
        <v>966</v>
      </c>
      <c r="K15" s="135" t="s">
        <v>469</v>
      </c>
      <c r="L15" s="135" t="s">
        <v>85</v>
      </c>
      <c r="M15" s="135" t="s">
        <v>85</v>
      </c>
      <c r="N15" s="135" t="s">
        <v>964</v>
      </c>
      <c r="O15" s="135" t="s">
        <v>1313</v>
      </c>
      <c r="P15" s="135" t="s">
        <v>459</v>
      </c>
      <c r="Q15" s="135">
        <v>1165.0999999999999</v>
      </c>
      <c r="R15" s="187">
        <v>662</v>
      </c>
      <c r="S15" s="56"/>
      <c r="T15" s="56"/>
      <c r="U15" s="56"/>
      <c r="V15" s="56"/>
      <c r="W15" s="56"/>
      <c r="X15" s="56"/>
      <c r="Y15" s="56"/>
      <c r="Z15" s="56"/>
      <c r="AA15" s="56"/>
    </row>
    <row r="16" spans="1:27" ht="30" hidden="1" customHeight="1" x14ac:dyDescent="0.25">
      <c r="A16" s="25" t="s">
        <v>1307</v>
      </c>
      <c r="B16" s="51"/>
      <c r="C16" s="51"/>
      <c r="D16" s="51"/>
      <c r="E16" s="63" t="s">
        <v>477</v>
      </c>
      <c r="F16" s="422">
        <v>2023</v>
      </c>
      <c r="G16" s="135" t="s">
        <v>1164</v>
      </c>
      <c r="H16" s="422"/>
      <c r="I16" s="135" t="s">
        <v>460</v>
      </c>
      <c r="J16" s="135" t="s">
        <v>966</v>
      </c>
      <c r="K16" s="135" t="s">
        <v>469</v>
      </c>
      <c r="L16" s="135" t="s">
        <v>85</v>
      </c>
      <c r="M16" s="135" t="s">
        <v>348</v>
      </c>
      <c r="N16" s="135" t="s">
        <v>965</v>
      </c>
      <c r="O16" s="135" t="s">
        <v>1314</v>
      </c>
      <c r="P16" s="135" t="s">
        <v>459</v>
      </c>
      <c r="Q16" s="135">
        <v>168.6</v>
      </c>
      <c r="R16" s="187">
        <v>661</v>
      </c>
      <c r="S16" s="56"/>
      <c r="T16" s="56"/>
      <c r="U16" s="56"/>
      <c r="V16" s="56"/>
      <c r="W16" s="56"/>
      <c r="X16" s="56"/>
      <c r="Y16" s="56"/>
      <c r="Z16" s="56"/>
      <c r="AA16" s="56"/>
    </row>
    <row r="17" spans="1:27" ht="30" hidden="1" customHeight="1" x14ac:dyDescent="0.25">
      <c r="A17" s="25" t="s">
        <v>1086</v>
      </c>
      <c r="B17" s="51"/>
      <c r="C17" s="51"/>
      <c r="D17" s="51"/>
      <c r="E17" s="63" t="s">
        <v>452</v>
      </c>
      <c r="F17" s="422">
        <v>2023</v>
      </c>
      <c r="G17" s="135" t="s">
        <v>1164</v>
      </c>
      <c r="H17" s="422"/>
      <c r="I17" s="135" t="s">
        <v>460</v>
      </c>
      <c r="J17" s="135" t="s">
        <v>966</v>
      </c>
      <c r="K17" s="135" t="s">
        <v>469</v>
      </c>
      <c r="L17" s="135" t="s">
        <v>85</v>
      </c>
      <c r="M17" s="135" t="s">
        <v>348</v>
      </c>
      <c r="N17" s="135" t="s">
        <v>965</v>
      </c>
      <c r="O17" s="135" t="s">
        <v>1314</v>
      </c>
      <c r="P17" s="135" t="s">
        <v>459</v>
      </c>
      <c r="Q17" s="135">
        <v>295.8</v>
      </c>
      <c r="R17" s="187">
        <v>660</v>
      </c>
      <c r="S17" s="56"/>
      <c r="T17" s="56"/>
      <c r="U17" s="56"/>
      <c r="V17" s="56"/>
      <c r="W17" s="56"/>
      <c r="X17" s="56"/>
      <c r="Y17" s="56"/>
      <c r="Z17" s="56"/>
      <c r="AA17" s="56"/>
    </row>
    <row r="18" spans="1:27" ht="30" hidden="1" customHeight="1" x14ac:dyDescent="0.25">
      <c r="A18" s="25"/>
      <c r="B18" s="51"/>
      <c r="C18" s="51"/>
      <c r="D18" s="51"/>
      <c r="E18" s="63" t="s">
        <v>452</v>
      </c>
      <c r="F18" s="422">
        <v>2023</v>
      </c>
      <c r="G18" s="135" t="s">
        <v>1164</v>
      </c>
      <c r="H18" s="422"/>
      <c r="I18" s="135" t="s">
        <v>460</v>
      </c>
      <c r="J18" s="135" t="s">
        <v>963</v>
      </c>
      <c r="K18" s="135" t="s">
        <v>461</v>
      </c>
      <c r="L18" s="135" t="s">
        <v>253</v>
      </c>
      <c r="M18" s="135" t="s">
        <v>258</v>
      </c>
      <c r="N18" s="135" t="s">
        <v>964</v>
      </c>
      <c r="O18" s="135" t="s">
        <v>629</v>
      </c>
      <c r="P18" s="135" t="s">
        <v>459</v>
      </c>
      <c r="Q18" s="135">
        <v>246.3</v>
      </c>
      <c r="R18" s="187">
        <v>659</v>
      </c>
      <c r="S18" s="56"/>
      <c r="T18" s="56"/>
      <c r="U18" s="56"/>
      <c r="V18" s="56"/>
      <c r="W18" s="56"/>
      <c r="X18" s="56"/>
      <c r="Y18" s="56"/>
      <c r="Z18" s="56"/>
      <c r="AA18" s="56"/>
    </row>
    <row r="19" spans="1:27" ht="30" hidden="1" customHeight="1" x14ac:dyDescent="0.25">
      <c r="A19" s="8"/>
      <c r="B19" s="51"/>
      <c r="C19" s="51"/>
      <c r="D19" s="51"/>
      <c r="E19" s="63" t="s">
        <v>454</v>
      </c>
      <c r="F19" s="422">
        <v>2023</v>
      </c>
      <c r="G19" s="135" t="s">
        <v>1164</v>
      </c>
      <c r="H19" s="422"/>
      <c r="I19" s="135" t="s">
        <v>460</v>
      </c>
      <c r="J19" s="135" t="s">
        <v>966</v>
      </c>
      <c r="K19" s="135" t="s">
        <v>469</v>
      </c>
      <c r="L19" s="135" t="s">
        <v>85</v>
      </c>
      <c r="M19" s="135" t="s">
        <v>85</v>
      </c>
      <c r="N19" s="135" t="s">
        <v>964</v>
      </c>
      <c r="O19" s="135" t="s">
        <v>1315</v>
      </c>
      <c r="P19" s="135" t="s">
        <v>459</v>
      </c>
      <c r="Q19" s="135">
        <v>1926</v>
      </c>
      <c r="R19" s="187">
        <v>658</v>
      </c>
      <c r="S19" s="56"/>
      <c r="T19" s="56"/>
      <c r="U19" s="56"/>
      <c r="V19" s="56"/>
      <c r="W19" s="56"/>
      <c r="X19" s="56"/>
      <c r="Y19" s="56"/>
      <c r="Z19" s="56"/>
      <c r="AA19" s="56"/>
    </row>
    <row r="20" spans="1:27" ht="30" hidden="1" customHeight="1" x14ac:dyDescent="0.25">
      <c r="A20" s="60"/>
      <c r="B20" s="51"/>
      <c r="C20" s="51"/>
      <c r="D20" s="51"/>
      <c r="E20" s="63" t="s">
        <v>452</v>
      </c>
      <c r="F20" s="422">
        <v>2023</v>
      </c>
      <c r="G20" s="135" t="s">
        <v>1164</v>
      </c>
      <c r="H20" s="422"/>
      <c r="I20" s="135" t="s">
        <v>460</v>
      </c>
      <c r="J20" s="135" t="s">
        <v>969</v>
      </c>
      <c r="K20" s="135" t="s">
        <v>575</v>
      </c>
      <c r="L20" s="135" t="s">
        <v>143</v>
      </c>
      <c r="M20" s="135" t="s">
        <v>144</v>
      </c>
      <c r="N20" s="135" t="s">
        <v>964</v>
      </c>
      <c r="O20" s="135" t="s">
        <v>1316</v>
      </c>
      <c r="P20" s="135" t="s">
        <v>459</v>
      </c>
      <c r="Q20" s="135">
        <v>303.10000000000002</v>
      </c>
      <c r="R20" s="187">
        <v>657</v>
      </c>
      <c r="S20" s="56"/>
      <c r="T20" s="56"/>
      <c r="U20" s="56"/>
      <c r="V20" s="56"/>
      <c r="W20" s="56"/>
      <c r="X20" s="56"/>
      <c r="Y20" s="56"/>
      <c r="Z20" s="56"/>
      <c r="AA20" s="56"/>
    </row>
    <row r="21" spans="1:27" ht="30" hidden="1" customHeight="1" x14ac:dyDescent="0.25">
      <c r="A21" s="60"/>
      <c r="B21" s="51"/>
      <c r="C21" s="51"/>
      <c r="D21" s="51"/>
      <c r="E21" s="63" t="s">
        <v>454</v>
      </c>
      <c r="F21" s="422">
        <v>2023</v>
      </c>
      <c r="G21" s="135" t="s">
        <v>1164</v>
      </c>
      <c r="H21" s="422"/>
      <c r="I21" s="135" t="s">
        <v>460</v>
      </c>
      <c r="J21" s="135" t="s">
        <v>963</v>
      </c>
      <c r="K21" s="135" t="s">
        <v>461</v>
      </c>
      <c r="L21" s="135" t="s">
        <v>253</v>
      </c>
      <c r="M21" s="135" t="s">
        <v>1317</v>
      </c>
      <c r="N21" s="135" t="s">
        <v>965</v>
      </c>
      <c r="O21" s="135" t="s">
        <v>1318</v>
      </c>
      <c r="P21" s="135" t="s">
        <v>464</v>
      </c>
      <c r="Q21" s="135">
        <v>1103</v>
      </c>
      <c r="R21" s="187">
        <v>656</v>
      </c>
      <c r="S21" s="56"/>
      <c r="T21" s="56"/>
      <c r="U21" s="56"/>
      <c r="V21" s="56"/>
      <c r="W21" s="56"/>
      <c r="X21" s="56"/>
      <c r="Y21" s="56"/>
      <c r="Z21" s="56"/>
      <c r="AA21" s="56"/>
    </row>
    <row r="22" spans="1:27" ht="30" hidden="1" customHeight="1" x14ac:dyDescent="0.25">
      <c r="A22" s="60"/>
      <c r="B22" s="51"/>
      <c r="C22" s="51"/>
      <c r="D22" s="51"/>
      <c r="E22" s="63" t="s">
        <v>454</v>
      </c>
      <c r="F22" s="422">
        <v>2023</v>
      </c>
      <c r="G22" s="135" t="s">
        <v>1164</v>
      </c>
      <c r="H22" s="422"/>
      <c r="I22" s="135" t="s">
        <v>460</v>
      </c>
      <c r="J22" s="135" t="s">
        <v>966</v>
      </c>
      <c r="K22" s="135" t="s">
        <v>562</v>
      </c>
      <c r="L22" s="135" t="s">
        <v>108</v>
      </c>
      <c r="M22" s="135" t="s">
        <v>1319</v>
      </c>
      <c r="N22" s="135" t="s">
        <v>965</v>
      </c>
      <c r="O22" s="135" t="s">
        <v>1320</v>
      </c>
      <c r="P22" s="135" t="s">
        <v>459</v>
      </c>
      <c r="Q22" s="135">
        <v>1525</v>
      </c>
      <c r="R22" s="187">
        <v>655</v>
      </c>
      <c r="S22" s="56"/>
      <c r="T22" s="56"/>
      <c r="U22" s="56"/>
      <c r="V22" s="56"/>
      <c r="W22" s="56"/>
      <c r="X22" s="56"/>
      <c r="Y22" s="56"/>
      <c r="Z22" s="56"/>
      <c r="AA22" s="56"/>
    </row>
    <row r="23" spans="1:27" ht="30" hidden="1" customHeight="1" x14ac:dyDescent="0.25">
      <c r="A23" s="60"/>
      <c r="B23" s="51"/>
      <c r="C23" s="51"/>
      <c r="D23" s="51"/>
      <c r="E23" s="63" t="s">
        <v>454</v>
      </c>
      <c r="F23" s="422">
        <v>2023</v>
      </c>
      <c r="G23" s="135" t="s">
        <v>1164</v>
      </c>
      <c r="H23" s="422"/>
      <c r="I23" s="135" t="s">
        <v>460</v>
      </c>
      <c r="J23" s="135" t="s">
        <v>963</v>
      </c>
      <c r="K23" s="135" t="s">
        <v>465</v>
      </c>
      <c r="L23" s="135" t="s">
        <v>106</v>
      </c>
      <c r="M23" s="135" t="s">
        <v>1321</v>
      </c>
      <c r="N23" s="135" t="s">
        <v>965</v>
      </c>
      <c r="O23" s="135" t="s">
        <v>1322</v>
      </c>
      <c r="P23" s="135" t="s">
        <v>459</v>
      </c>
      <c r="Q23" s="135">
        <v>1467</v>
      </c>
      <c r="R23" s="187">
        <v>654</v>
      </c>
      <c r="S23" s="56"/>
      <c r="T23" s="56"/>
      <c r="U23" s="56"/>
      <c r="V23" s="56"/>
      <c r="W23" s="56"/>
      <c r="X23" s="56"/>
      <c r="Y23" s="56"/>
      <c r="Z23" s="56"/>
      <c r="AA23" s="56"/>
    </row>
    <row r="24" spans="1:27" ht="30" hidden="1" customHeight="1" x14ac:dyDescent="0.25">
      <c r="A24" s="60"/>
      <c r="B24" s="51"/>
      <c r="C24" s="51"/>
      <c r="D24" s="51"/>
      <c r="E24" s="63" t="s">
        <v>477</v>
      </c>
      <c r="F24" s="422">
        <v>2023</v>
      </c>
      <c r="G24" s="135" t="s">
        <v>1163</v>
      </c>
      <c r="H24" s="422"/>
      <c r="I24" s="135" t="s">
        <v>460</v>
      </c>
      <c r="J24" s="135" t="s">
        <v>966</v>
      </c>
      <c r="K24" s="135" t="s">
        <v>492</v>
      </c>
      <c r="L24" s="135" t="s">
        <v>968</v>
      </c>
      <c r="M24" s="135" t="s">
        <v>155</v>
      </c>
      <c r="N24" s="135" t="s">
        <v>964</v>
      </c>
      <c r="O24" s="135" t="s">
        <v>156</v>
      </c>
      <c r="P24" s="135" t="s">
        <v>459</v>
      </c>
      <c r="Q24" s="135">
        <v>211</v>
      </c>
      <c r="R24" s="187">
        <v>653</v>
      </c>
      <c r="S24" s="56"/>
      <c r="T24" s="56"/>
      <c r="U24" s="56"/>
      <c r="V24" s="56"/>
      <c r="W24" s="56"/>
      <c r="X24" s="56"/>
      <c r="Y24" s="56"/>
      <c r="Z24" s="56"/>
      <c r="AA24" s="56"/>
    </row>
    <row r="25" spans="1:27" ht="30" hidden="1" customHeight="1" x14ac:dyDescent="0.25">
      <c r="A25" s="60"/>
      <c r="B25" s="51"/>
      <c r="C25" s="51"/>
      <c r="D25" s="51"/>
      <c r="E25" s="63" t="s">
        <v>452</v>
      </c>
      <c r="F25" s="422">
        <v>2023</v>
      </c>
      <c r="G25" s="135" t="s">
        <v>1163</v>
      </c>
      <c r="H25" s="422"/>
      <c r="I25" s="135" t="s">
        <v>460</v>
      </c>
      <c r="J25" s="135" t="s">
        <v>967</v>
      </c>
      <c r="K25" s="135" t="s">
        <v>632</v>
      </c>
      <c r="L25" s="135" t="s">
        <v>92</v>
      </c>
      <c r="M25" s="135" t="s">
        <v>205</v>
      </c>
      <c r="N25" s="135" t="s">
        <v>964</v>
      </c>
      <c r="O25" s="135" t="s">
        <v>722</v>
      </c>
      <c r="P25" s="135" t="s">
        <v>459</v>
      </c>
      <c r="Q25" s="135">
        <v>260</v>
      </c>
      <c r="R25" s="187">
        <v>652</v>
      </c>
      <c r="S25" s="56"/>
      <c r="T25" s="56"/>
      <c r="U25" s="56"/>
      <c r="V25" s="56"/>
      <c r="W25" s="56"/>
      <c r="X25" s="56"/>
      <c r="Y25" s="56"/>
      <c r="Z25" s="56"/>
      <c r="AA25" s="56"/>
    </row>
    <row r="26" spans="1:27" ht="30" hidden="1" customHeight="1" x14ac:dyDescent="0.25">
      <c r="A26" s="60"/>
      <c r="B26" s="51"/>
      <c r="C26" s="51"/>
      <c r="D26" s="51"/>
      <c r="E26" s="63" t="s">
        <v>452</v>
      </c>
      <c r="F26" s="422">
        <v>2023</v>
      </c>
      <c r="G26" s="135" t="s">
        <v>1163</v>
      </c>
      <c r="H26" s="422"/>
      <c r="I26" s="135" t="s">
        <v>460</v>
      </c>
      <c r="J26" s="135" t="s">
        <v>969</v>
      </c>
      <c r="K26" s="135" t="s">
        <v>509</v>
      </c>
      <c r="L26" s="135" t="s">
        <v>157</v>
      </c>
      <c r="M26" s="135" t="s">
        <v>159</v>
      </c>
      <c r="N26" s="135" t="s">
        <v>964</v>
      </c>
      <c r="O26" s="135" t="s">
        <v>1323</v>
      </c>
      <c r="P26" s="135" t="s">
        <v>459</v>
      </c>
      <c r="Q26" s="135">
        <v>261</v>
      </c>
      <c r="R26" s="187">
        <v>651</v>
      </c>
      <c r="S26" s="56"/>
      <c r="T26" s="56"/>
      <c r="U26" s="56"/>
      <c r="V26" s="56"/>
      <c r="W26" s="56"/>
      <c r="X26" s="56"/>
      <c r="Y26" s="56"/>
      <c r="Z26" s="56"/>
      <c r="AA26" s="56"/>
    </row>
    <row r="27" spans="1:27" ht="30" hidden="1" customHeight="1" x14ac:dyDescent="0.25">
      <c r="A27" s="60"/>
      <c r="B27" s="51"/>
      <c r="C27" s="51"/>
      <c r="D27" s="51"/>
      <c r="E27" s="63" t="s">
        <v>452</v>
      </c>
      <c r="F27" s="422">
        <v>2023</v>
      </c>
      <c r="G27" s="135" t="s">
        <v>1163</v>
      </c>
      <c r="H27" s="422"/>
      <c r="I27" s="135" t="s">
        <v>460</v>
      </c>
      <c r="J27" s="135" t="s">
        <v>966</v>
      </c>
      <c r="K27" s="135" t="s">
        <v>469</v>
      </c>
      <c r="L27" s="135" t="s">
        <v>85</v>
      </c>
      <c r="M27" s="135" t="s">
        <v>85</v>
      </c>
      <c r="N27" s="135" t="s">
        <v>964</v>
      </c>
      <c r="O27" s="135" t="s">
        <v>484</v>
      </c>
      <c r="P27" s="135" t="s">
        <v>459</v>
      </c>
      <c r="Q27" s="135">
        <v>271</v>
      </c>
      <c r="R27" s="187">
        <v>650</v>
      </c>
      <c r="S27" s="56"/>
      <c r="T27" s="56"/>
      <c r="U27" s="56"/>
      <c r="V27" s="56"/>
      <c r="W27" s="56"/>
      <c r="X27" s="56"/>
      <c r="Y27" s="56"/>
      <c r="Z27" s="56"/>
      <c r="AA27" s="56"/>
    </row>
    <row r="28" spans="1:27" ht="30" hidden="1" customHeight="1" x14ac:dyDescent="0.25">
      <c r="A28" s="60"/>
      <c r="B28" s="51"/>
      <c r="C28" s="51"/>
      <c r="D28" s="51"/>
      <c r="E28" s="63" t="s">
        <v>454</v>
      </c>
      <c r="F28" s="422">
        <v>2023</v>
      </c>
      <c r="G28" s="135" t="s">
        <v>1163</v>
      </c>
      <c r="H28" s="422"/>
      <c r="I28" s="135" t="s">
        <v>460</v>
      </c>
      <c r="J28" s="135" t="s">
        <v>963</v>
      </c>
      <c r="K28" s="135" t="s">
        <v>461</v>
      </c>
      <c r="L28" s="135" t="s">
        <v>253</v>
      </c>
      <c r="M28" s="135" t="s">
        <v>1324</v>
      </c>
      <c r="N28" s="135" t="s">
        <v>965</v>
      </c>
      <c r="O28" s="135" t="s">
        <v>1325</v>
      </c>
      <c r="P28" s="135" t="s">
        <v>464</v>
      </c>
      <c r="Q28" s="135">
        <v>1516</v>
      </c>
      <c r="R28" s="187">
        <v>649</v>
      </c>
      <c r="S28" s="56"/>
      <c r="T28" s="56"/>
      <c r="U28" s="56"/>
      <c r="V28" s="56"/>
      <c r="W28" s="56"/>
      <c r="X28" s="56"/>
      <c r="Y28" s="56"/>
      <c r="Z28" s="56"/>
      <c r="AA28" s="56"/>
    </row>
    <row r="29" spans="1:27" ht="30" hidden="1" customHeight="1" x14ac:dyDescent="0.25">
      <c r="A29" s="60"/>
      <c r="B29" s="51"/>
      <c r="C29" s="51"/>
      <c r="D29" s="51"/>
      <c r="E29" s="63" t="s">
        <v>454</v>
      </c>
      <c r="F29" s="422">
        <v>2023</v>
      </c>
      <c r="G29" s="135" t="s">
        <v>1163</v>
      </c>
      <c r="H29" s="422"/>
      <c r="I29" s="135" t="s">
        <v>460</v>
      </c>
      <c r="J29" s="135" t="s">
        <v>966</v>
      </c>
      <c r="K29" s="135" t="s">
        <v>469</v>
      </c>
      <c r="L29" s="135" t="s">
        <v>85</v>
      </c>
      <c r="M29" s="135" t="s">
        <v>1326</v>
      </c>
      <c r="N29" s="135" t="s">
        <v>965</v>
      </c>
      <c r="O29" s="135" t="s">
        <v>1327</v>
      </c>
      <c r="P29" s="135" t="s">
        <v>459</v>
      </c>
      <c r="Q29" s="135">
        <v>1619</v>
      </c>
      <c r="R29" s="187">
        <v>648</v>
      </c>
      <c r="S29" s="56"/>
      <c r="T29" s="56"/>
      <c r="U29" s="56"/>
      <c r="V29" s="56"/>
      <c r="W29" s="56"/>
      <c r="X29" s="56"/>
      <c r="Y29" s="56"/>
      <c r="Z29" s="56"/>
      <c r="AA29" s="56"/>
    </row>
    <row r="30" spans="1:27" ht="30" hidden="1" customHeight="1" x14ac:dyDescent="0.25">
      <c r="A30" s="60"/>
      <c r="B30" s="51"/>
      <c r="C30" s="51"/>
      <c r="D30" s="51"/>
      <c r="E30" s="63" t="s">
        <v>454</v>
      </c>
      <c r="F30" s="422">
        <v>2023</v>
      </c>
      <c r="G30" s="135" t="s">
        <v>1163</v>
      </c>
      <c r="H30" s="422"/>
      <c r="I30" s="135" t="s">
        <v>460</v>
      </c>
      <c r="J30" s="135" t="s">
        <v>963</v>
      </c>
      <c r="K30" s="135" t="s">
        <v>461</v>
      </c>
      <c r="L30" s="135" t="s">
        <v>253</v>
      </c>
      <c r="M30" s="135" t="s">
        <v>1328</v>
      </c>
      <c r="N30" s="135" t="s">
        <v>965</v>
      </c>
      <c r="O30" s="135" t="s">
        <v>1329</v>
      </c>
      <c r="P30" s="135" t="s">
        <v>464</v>
      </c>
      <c r="Q30" s="135">
        <v>1780</v>
      </c>
      <c r="R30" s="187">
        <v>647</v>
      </c>
      <c r="S30" s="56"/>
      <c r="T30" s="56"/>
      <c r="U30" s="56"/>
      <c r="V30" s="56"/>
      <c r="W30" s="56"/>
      <c r="X30" s="56"/>
      <c r="Y30" s="56"/>
      <c r="Z30" s="56"/>
      <c r="AA30" s="56"/>
    </row>
    <row r="31" spans="1:27" ht="30" hidden="1" customHeight="1" x14ac:dyDescent="0.25">
      <c r="A31" s="60"/>
      <c r="B31" s="51"/>
      <c r="C31" s="51"/>
      <c r="D31" s="51"/>
      <c r="E31" s="63" t="s">
        <v>454</v>
      </c>
      <c r="F31" s="422">
        <v>2023</v>
      </c>
      <c r="G31" s="135" t="s">
        <v>1163</v>
      </c>
      <c r="H31" s="422"/>
      <c r="I31" s="135" t="s">
        <v>460</v>
      </c>
      <c r="J31" s="135" t="s">
        <v>966</v>
      </c>
      <c r="K31" s="135" t="s">
        <v>562</v>
      </c>
      <c r="L31" s="135" t="s">
        <v>108</v>
      </c>
      <c r="M31" s="135" t="s">
        <v>1330</v>
      </c>
      <c r="N31" s="135" t="s">
        <v>965</v>
      </c>
      <c r="O31" s="135" t="s">
        <v>1331</v>
      </c>
      <c r="P31" s="135" t="s">
        <v>464</v>
      </c>
      <c r="Q31" s="135">
        <v>1294</v>
      </c>
      <c r="R31" s="187">
        <v>646</v>
      </c>
      <c r="S31" s="56"/>
      <c r="T31" s="56"/>
      <c r="U31" s="56"/>
      <c r="V31" s="56"/>
      <c r="W31" s="56"/>
      <c r="X31" s="56"/>
      <c r="Y31" s="56"/>
      <c r="Z31" s="56"/>
      <c r="AA31" s="56"/>
    </row>
    <row r="32" spans="1:27" ht="30" hidden="1" customHeight="1" x14ac:dyDescent="0.25">
      <c r="A32" s="60"/>
      <c r="B32" s="51"/>
      <c r="C32" s="51"/>
      <c r="D32" s="51"/>
      <c r="E32" s="63" t="s">
        <v>454</v>
      </c>
      <c r="F32" s="422">
        <v>2023</v>
      </c>
      <c r="G32" s="135" t="s">
        <v>1163</v>
      </c>
      <c r="H32" s="422"/>
      <c r="I32" s="135" t="s">
        <v>460</v>
      </c>
      <c r="J32" s="135" t="s">
        <v>966</v>
      </c>
      <c r="K32" s="135" t="s">
        <v>562</v>
      </c>
      <c r="L32" s="135" t="s">
        <v>108</v>
      </c>
      <c r="M32" s="135" t="s">
        <v>1332</v>
      </c>
      <c r="N32" s="135" t="s">
        <v>965</v>
      </c>
      <c r="O32" s="135" t="s">
        <v>1333</v>
      </c>
      <c r="P32" s="135" t="s">
        <v>459</v>
      </c>
      <c r="Q32" s="135">
        <v>1805</v>
      </c>
      <c r="R32" s="187">
        <v>645</v>
      </c>
      <c r="S32" s="56"/>
      <c r="T32" s="56"/>
      <c r="U32" s="56"/>
      <c r="V32" s="56"/>
      <c r="W32" s="56"/>
      <c r="X32" s="56"/>
      <c r="Y32" s="56"/>
      <c r="Z32" s="56"/>
      <c r="AA32" s="56"/>
    </row>
    <row r="33" spans="1:27" ht="30" hidden="1" customHeight="1" x14ac:dyDescent="0.25">
      <c r="A33" s="60"/>
      <c r="B33" s="51"/>
      <c r="C33" s="51"/>
      <c r="D33" s="51"/>
      <c r="E33" s="63" t="s">
        <v>477</v>
      </c>
      <c r="F33" s="422">
        <v>2023</v>
      </c>
      <c r="G33" s="135" t="s">
        <v>1163</v>
      </c>
      <c r="H33" s="422"/>
      <c r="I33" s="135" t="s">
        <v>460</v>
      </c>
      <c r="J33" s="135" t="s">
        <v>963</v>
      </c>
      <c r="K33" s="135" t="s">
        <v>474</v>
      </c>
      <c r="L33" s="135" t="s">
        <v>95</v>
      </c>
      <c r="M33" s="135" t="s">
        <v>96</v>
      </c>
      <c r="N33" s="135" t="s">
        <v>964</v>
      </c>
      <c r="O33" s="135" t="s">
        <v>1192</v>
      </c>
      <c r="P33" s="135" t="s">
        <v>459</v>
      </c>
      <c r="Q33" s="135">
        <v>232.8</v>
      </c>
      <c r="R33" s="187">
        <v>644</v>
      </c>
      <c r="S33" s="56"/>
      <c r="T33" s="56"/>
      <c r="U33" s="56"/>
      <c r="V33" s="56"/>
      <c r="W33" s="56"/>
      <c r="X33" s="56"/>
      <c r="Y33" s="56"/>
      <c r="Z33" s="56"/>
      <c r="AA33" s="56"/>
    </row>
    <row r="34" spans="1:27" ht="30" hidden="1" customHeight="1" x14ac:dyDescent="0.25">
      <c r="A34" s="60"/>
      <c r="B34" s="51"/>
      <c r="C34" s="51"/>
      <c r="D34" s="51"/>
      <c r="E34" s="63" t="s">
        <v>454</v>
      </c>
      <c r="F34" s="422">
        <v>2023</v>
      </c>
      <c r="G34" s="135" t="s">
        <v>1163</v>
      </c>
      <c r="H34" s="422"/>
      <c r="I34" s="135" t="s">
        <v>460</v>
      </c>
      <c r="J34" s="135" t="s">
        <v>967</v>
      </c>
      <c r="K34" s="135" t="s">
        <v>488</v>
      </c>
      <c r="L34" s="135" t="s">
        <v>135</v>
      </c>
      <c r="M34" s="135" t="s">
        <v>1193</v>
      </c>
      <c r="N34" s="135" t="s">
        <v>965</v>
      </c>
      <c r="O34" s="135" t="s">
        <v>1194</v>
      </c>
      <c r="P34" s="135" t="s">
        <v>459</v>
      </c>
      <c r="Q34" s="135">
        <v>1864</v>
      </c>
      <c r="R34" s="187">
        <v>643</v>
      </c>
      <c r="S34" s="56"/>
      <c r="T34" s="56"/>
      <c r="U34" s="56"/>
      <c r="V34" s="56"/>
      <c r="W34" s="56"/>
      <c r="X34" s="56"/>
      <c r="Y34" s="56"/>
      <c r="Z34" s="56"/>
      <c r="AA34" s="56"/>
    </row>
    <row r="35" spans="1:27" ht="30" hidden="1" customHeight="1" x14ac:dyDescent="0.25">
      <c r="A35" s="60"/>
      <c r="B35" s="51"/>
      <c r="C35" s="51"/>
      <c r="D35" s="51"/>
      <c r="E35" s="63" t="s">
        <v>452</v>
      </c>
      <c r="F35" s="422">
        <v>2023</v>
      </c>
      <c r="G35" s="135" t="s">
        <v>1162</v>
      </c>
      <c r="H35" s="422"/>
      <c r="I35" s="135" t="s">
        <v>460</v>
      </c>
      <c r="J35" s="135" t="s">
        <v>971</v>
      </c>
      <c r="K35" s="135" t="s">
        <v>857</v>
      </c>
      <c r="L35" s="135" t="s">
        <v>111</v>
      </c>
      <c r="M35" s="135" t="s">
        <v>112</v>
      </c>
      <c r="N35" s="135" t="s">
        <v>964</v>
      </c>
      <c r="O35" s="135" t="s">
        <v>1195</v>
      </c>
      <c r="P35" s="135" t="s">
        <v>459</v>
      </c>
      <c r="Q35" s="135">
        <v>233</v>
      </c>
      <c r="R35" s="187">
        <v>642</v>
      </c>
      <c r="S35" s="56"/>
      <c r="T35" s="56"/>
      <c r="U35" s="56"/>
      <c r="V35" s="56"/>
      <c r="W35" s="56"/>
      <c r="X35" s="56"/>
      <c r="Y35" s="56"/>
      <c r="Z35" s="56"/>
      <c r="AA35" s="56"/>
    </row>
    <row r="36" spans="1:27" ht="30" hidden="1" customHeight="1" x14ac:dyDescent="0.25">
      <c r="A36" s="60"/>
      <c r="B36" s="51"/>
      <c r="C36" s="51"/>
      <c r="D36" s="51"/>
      <c r="E36" s="63" t="s">
        <v>454</v>
      </c>
      <c r="F36" s="422">
        <v>2023</v>
      </c>
      <c r="G36" s="135" t="s">
        <v>1162</v>
      </c>
      <c r="H36" s="422"/>
      <c r="I36" s="135" t="s">
        <v>460</v>
      </c>
      <c r="J36" s="135" t="s">
        <v>966</v>
      </c>
      <c r="K36" s="135" t="s">
        <v>469</v>
      </c>
      <c r="L36" s="135" t="s">
        <v>85</v>
      </c>
      <c r="M36" s="135" t="s">
        <v>1196</v>
      </c>
      <c r="N36" s="135" t="s">
        <v>965</v>
      </c>
      <c r="O36" s="135" t="s">
        <v>1197</v>
      </c>
      <c r="P36" s="135" t="s">
        <v>459</v>
      </c>
      <c r="Q36" s="135">
        <v>1247</v>
      </c>
      <c r="R36" s="187">
        <v>640</v>
      </c>
      <c r="S36" s="56"/>
      <c r="T36" s="56"/>
      <c r="U36" s="56"/>
      <c r="V36" s="56"/>
      <c r="W36" s="56"/>
      <c r="X36" s="56"/>
      <c r="Y36" s="56"/>
      <c r="Z36" s="56"/>
      <c r="AA36" s="56"/>
    </row>
    <row r="37" spans="1:27" ht="30" hidden="1" customHeight="1" x14ac:dyDescent="0.25">
      <c r="A37" s="60"/>
      <c r="B37" s="51"/>
      <c r="C37" s="51"/>
      <c r="D37" s="51"/>
      <c r="E37" s="63" t="s">
        <v>452</v>
      </c>
      <c r="F37" s="422">
        <v>2023</v>
      </c>
      <c r="G37" s="135" t="s">
        <v>1162</v>
      </c>
      <c r="H37" s="422"/>
      <c r="I37" s="135" t="s">
        <v>460</v>
      </c>
      <c r="J37" s="135" t="s">
        <v>967</v>
      </c>
      <c r="K37" s="135" t="s">
        <v>655</v>
      </c>
      <c r="L37" s="135" t="s">
        <v>216</v>
      </c>
      <c r="M37" s="135" t="s">
        <v>219</v>
      </c>
      <c r="N37" s="135" t="s">
        <v>964</v>
      </c>
      <c r="O37" s="135" t="s">
        <v>220</v>
      </c>
      <c r="P37" s="135" t="s">
        <v>459</v>
      </c>
      <c r="Q37" s="135">
        <v>262.7</v>
      </c>
      <c r="R37" s="187">
        <v>640</v>
      </c>
      <c r="S37" s="56"/>
      <c r="T37" s="56"/>
      <c r="U37" s="56"/>
      <c r="V37" s="56"/>
      <c r="W37" s="56"/>
      <c r="X37" s="56"/>
      <c r="Y37" s="56"/>
      <c r="Z37" s="56"/>
      <c r="AA37" s="56"/>
    </row>
    <row r="38" spans="1:27" ht="30" hidden="1" customHeight="1" x14ac:dyDescent="0.25">
      <c r="A38" s="60"/>
      <c r="B38" s="51"/>
      <c r="C38" s="51"/>
      <c r="D38" s="51"/>
      <c r="E38" s="63" t="s">
        <v>477</v>
      </c>
      <c r="F38" s="422">
        <v>2023</v>
      </c>
      <c r="G38" s="135" t="s">
        <v>1162</v>
      </c>
      <c r="H38" s="422"/>
      <c r="I38" s="135" t="s">
        <v>460</v>
      </c>
      <c r="J38" s="135" t="s">
        <v>966</v>
      </c>
      <c r="K38" s="135" t="s">
        <v>499</v>
      </c>
      <c r="L38" s="135" t="s">
        <v>88</v>
      </c>
      <c r="M38" s="135" t="s">
        <v>240</v>
      </c>
      <c r="N38" s="135" t="s">
        <v>965</v>
      </c>
      <c r="O38" s="135" t="s">
        <v>1198</v>
      </c>
      <c r="P38" s="135" t="s">
        <v>459</v>
      </c>
      <c r="Q38" s="135">
        <v>153.30000000000001</v>
      </c>
      <c r="R38" s="187">
        <v>639</v>
      </c>
      <c r="S38" s="56"/>
      <c r="T38" s="56"/>
      <c r="U38" s="56"/>
      <c r="V38" s="56"/>
      <c r="W38" s="56"/>
      <c r="X38" s="56"/>
      <c r="Y38" s="56"/>
      <c r="Z38" s="56"/>
      <c r="AA38" s="56"/>
    </row>
    <row r="39" spans="1:27" ht="30" hidden="1" customHeight="1" x14ac:dyDescent="0.25">
      <c r="A39" s="60"/>
      <c r="B39" s="51"/>
      <c r="C39" s="51"/>
      <c r="D39" s="51"/>
      <c r="E39" s="63" t="s">
        <v>454</v>
      </c>
      <c r="F39" s="422">
        <v>2023</v>
      </c>
      <c r="G39" s="135" t="s">
        <v>1162</v>
      </c>
      <c r="H39" s="422"/>
      <c r="I39" s="135" t="s">
        <v>460</v>
      </c>
      <c r="J39" s="135" t="s">
        <v>966</v>
      </c>
      <c r="K39" s="135" t="s">
        <v>469</v>
      </c>
      <c r="L39" s="135" t="s">
        <v>85</v>
      </c>
      <c r="M39" s="135" t="s">
        <v>1199</v>
      </c>
      <c r="N39" s="135" t="s">
        <v>965</v>
      </c>
      <c r="O39" s="135" t="s">
        <v>1200</v>
      </c>
      <c r="P39" s="135" t="s">
        <v>459</v>
      </c>
      <c r="Q39" s="135">
        <v>749.8</v>
      </c>
      <c r="R39" s="187">
        <v>638</v>
      </c>
      <c r="S39" s="56"/>
      <c r="T39" s="56"/>
      <c r="U39" s="56"/>
      <c r="V39" s="56"/>
      <c r="W39" s="56"/>
      <c r="X39" s="56"/>
      <c r="Y39" s="56"/>
      <c r="Z39" s="56"/>
      <c r="AA39" s="56"/>
    </row>
    <row r="40" spans="1:27" ht="30" hidden="1" customHeight="1" x14ac:dyDescent="0.25">
      <c r="A40" s="60"/>
      <c r="B40" s="51"/>
      <c r="C40" s="51"/>
      <c r="D40" s="51"/>
      <c r="E40" s="63" t="s">
        <v>452</v>
      </c>
      <c r="F40" s="422">
        <v>2023</v>
      </c>
      <c r="G40" s="135" t="s">
        <v>1162</v>
      </c>
      <c r="H40" s="422"/>
      <c r="I40" s="135" t="s">
        <v>460</v>
      </c>
      <c r="J40" s="135" t="s">
        <v>966</v>
      </c>
      <c r="K40" s="135" t="s">
        <v>499</v>
      </c>
      <c r="L40" s="135" t="s">
        <v>88</v>
      </c>
      <c r="M40" s="135" t="s">
        <v>240</v>
      </c>
      <c r="N40" s="135" t="s">
        <v>965</v>
      </c>
      <c r="O40" s="135" t="s">
        <v>1198</v>
      </c>
      <c r="P40" s="135" t="s">
        <v>459</v>
      </c>
      <c r="Q40" s="135">
        <v>250.2</v>
      </c>
      <c r="R40" s="187">
        <v>637</v>
      </c>
      <c r="S40" s="56"/>
      <c r="T40" s="56"/>
      <c r="U40" s="56"/>
      <c r="V40" s="56"/>
      <c r="W40" s="56"/>
      <c r="X40" s="56"/>
      <c r="Y40" s="56"/>
      <c r="Z40" s="56"/>
      <c r="AA40" s="56"/>
    </row>
    <row r="41" spans="1:27" ht="30" hidden="1" customHeight="1" x14ac:dyDescent="0.25">
      <c r="A41" s="60"/>
      <c r="B41" s="51"/>
      <c r="C41" s="51"/>
      <c r="D41" s="51"/>
      <c r="E41" s="63" t="s">
        <v>452</v>
      </c>
      <c r="F41" s="422">
        <v>2023</v>
      </c>
      <c r="G41" s="135" t="s">
        <v>1162</v>
      </c>
      <c r="H41" s="422"/>
      <c r="I41" s="135" t="s">
        <v>460</v>
      </c>
      <c r="J41" s="135" t="s">
        <v>966</v>
      </c>
      <c r="K41" s="135" t="s">
        <v>469</v>
      </c>
      <c r="L41" s="135" t="s">
        <v>85</v>
      </c>
      <c r="M41" s="135" t="s">
        <v>300</v>
      </c>
      <c r="N41" s="135" t="s">
        <v>965</v>
      </c>
      <c r="O41" s="135" t="s">
        <v>1201</v>
      </c>
      <c r="P41" s="135" t="s">
        <v>459</v>
      </c>
      <c r="Q41" s="135">
        <v>246.2</v>
      </c>
      <c r="R41" s="187">
        <v>636</v>
      </c>
      <c r="S41" s="56"/>
      <c r="T41" s="56"/>
      <c r="U41" s="56"/>
      <c r="V41" s="56"/>
      <c r="W41" s="56"/>
      <c r="X41" s="56"/>
      <c r="Y41" s="56"/>
      <c r="Z41" s="56"/>
      <c r="AA41" s="56"/>
    </row>
    <row r="42" spans="1:27" ht="30" hidden="1" customHeight="1" x14ac:dyDescent="0.25">
      <c r="A42" s="60"/>
      <c r="B42" s="51"/>
      <c r="C42" s="51"/>
      <c r="D42" s="51"/>
      <c r="E42" s="63" t="s">
        <v>477</v>
      </c>
      <c r="F42" s="422">
        <v>2023</v>
      </c>
      <c r="G42" s="135" t="s">
        <v>1162</v>
      </c>
      <c r="H42" s="422"/>
      <c r="I42" s="135" t="s">
        <v>460</v>
      </c>
      <c r="J42" s="135" t="s">
        <v>966</v>
      </c>
      <c r="K42" s="135" t="s">
        <v>469</v>
      </c>
      <c r="L42" s="135" t="s">
        <v>85</v>
      </c>
      <c r="M42" s="135" t="s">
        <v>104</v>
      </c>
      <c r="N42" s="135" t="s">
        <v>965</v>
      </c>
      <c r="O42" s="135" t="s">
        <v>825</v>
      </c>
      <c r="P42" s="135" t="s">
        <v>459</v>
      </c>
      <c r="Q42" s="135">
        <v>223.7</v>
      </c>
      <c r="R42" s="187">
        <v>635</v>
      </c>
      <c r="S42" s="56"/>
      <c r="T42" s="56"/>
      <c r="U42" s="56"/>
      <c r="V42" s="56"/>
      <c r="W42" s="56"/>
      <c r="X42" s="56"/>
      <c r="Y42" s="56"/>
      <c r="Z42" s="56"/>
      <c r="AA42" s="56"/>
    </row>
    <row r="43" spans="1:27" ht="30" hidden="1" customHeight="1" x14ac:dyDescent="0.25">
      <c r="A43" s="60"/>
      <c r="B43" s="51"/>
      <c r="C43" s="51"/>
      <c r="D43" s="51"/>
      <c r="E43" s="63" t="s">
        <v>454</v>
      </c>
      <c r="F43" s="422">
        <v>2023</v>
      </c>
      <c r="G43" s="135" t="s">
        <v>1162</v>
      </c>
      <c r="H43" s="422"/>
      <c r="I43" s="135" t="s">
        <v>460</v>
      </c>
      <c r="J43" s="135" t="s">
        <v>966</v>
      </c>
      <c r="K43" s="135" t="s">
        <v>469</v>
      </c>
      <c r="L43" s="135" t="s">
        <v>85</v>
      </c>
      <c r="M43" s="135" t="s">
        <v>1165</v>
      </c>
      <c r="N43" s="135" t="s">
        <v>965</v>
      </c>
      <c r="O43" s="135" t="s">
        <v>1166</v>
      </c>
      <c r="P43" s="135" t="s">
        <v>459</v>
      </c>
      <c r="Q43" s="135">
        <v>1619</v>
      </c>
      <c r="R43" s="187">
        <v>634</v>
      </c>
      <c r="S43" s="56"/>
      <c r="T43" s="56"/>
      <c r="U43" s="56"/>
      <c r="V43" s="56"/>
      <c r="W43" s="56"/>
      <c r="X43" s="56"/>
      <c r="Y43" s="56"/>
      <c r="Z43" s="56"/>
      <c r="AA43" s="56"/>
    </row>
    <row r="44" spans="1:27" ht="30" hidden="1" customHeight="1" x14ac:dyDescent="0.25">
      <c r="A44" s="60"/>
      <c r="B44" s="51"/>
      <c r="C44" s="51"/>
      <c r="D44" s="51"/>
      <c r="E44" s="63" t="s">
        <v>454</v>
      </c>
      <c r="F44" s="422">
        <v>2023</v>
      </c>
      <c r="G44" s="135" t="s">
        <v>1162</v>
      </c>
      <c r="H44" s="422"/>
      <c r="I44" s="135" t="s">
        <v>460</v>
      </c>
      <c r="J44" s="135" t="s">
        <v>966</v>
      </c>
      <c r="K44" s="135" t="s">
        <v>469</v>
      </c>
      <c r="L44" s="135" t="s">
        <v>85</v>
      </c>
      <c r="M44" s="135" t="s">
        <v>321</v>
      </c>
      <c r="N44" s="135" t="s">
        <v>965</v>
      </c>
      <c r="O44" s="135" t="s">
        <v>1167</v>
      </c>
      <c r="P44" s="135" t="s">
        <v>459</v>
      </c>
      <c r="Q44" s="135">
        <v>2317</v>
      </c>
      <c r="R44" s="187">
        <v>633</v>
      </c>
      <c r="S44" s="56"/>
      <c r="T44" s="56"/>
      <c r="U44" s="56"/>
      <c r="V44" s="56"/>
      <c r="W44" s="56"/>
      <c r="X44" s="56"/>
      <c r="Y44" s="56"/>
      <c r="Z44" s="56"/>
      <c r="AA44" s="56"/>
    </row>
    <row r="45" spans="1:27" ht="30" hidden="1" customHeight="1" x14ac:dyDescent="0.25">
      <c r="A45" s="60"/>
      <c r="B45" s="51"/>
      <c r="C45" s="51"/>
      <c r="D45" s="51"/>
      <c r="E45" s="63" t="s">
        <v>454</v>
      </c>
      <c r="F45" s="422">
        <v>2022</v>
      </c>
      <c r="G45" s="135" t="s">
        <v>1202</v>
      </c>
      <c r="H45" s="422"/>
      <c r="I45" s="135" t="s">
        <v>455</v>
      </c>
      <c r="J45" s="135" t="s">
        <v>455</v>
      </c>
      <c r="K45" s="135" t="s">
        <v>456</v>
      </c>
      <c r="L45" s="135" t="s">
        <v>455</v>
      </c>
      <c r="M45" s="135" t="s">
        <v>1139</v>
      </c>
      <c r="N45" s="135" t="s">
        <v>965</v>
      </c>
      <c r="O45" s="135" t="s">
        <v>1140</v>
      </c>
      <c r="P45" s="135" t="s">
        <v>459</v>
      </c>
      <c r="Q45" s="135">
        <v>510</v>
      </c>
      <c r="R45" s="187">
        <v>632</v>
      </c>
      <c r="S45" s="56"/>
      <c r="T45" s="56"/>
      <c r="U45" s="56"/>
      <c r="V45" s="56"/>
      <c r="W45" s="56"/>
      <c r="X45" s="56"/>
      <c r="Y45" s="56"/>
      <c r="Z45" s="56"/>
      <c r="AA45" s="56"/>
    </row>
    <row r="46" spans="1:27" ht="30" hidden="1" customHeight="1" x14ac:dyDescent="0.25">
      <c r="A46" s="60"/>
      <c r="B46" s="51"/>
      <c r="C46" s="51"/>
      <c r="D46" s="51"/>
      <c r="E46" s="63" t="s">
        <v>477</v>
      </c>
      <c r="F46" s="422">
        <v>2022</v>
      </c>
      <c r="G46" s="135" t="s">
        <v>1202</v>
      </c>
      <c r="H46" s="422"/>
      <c r="I46" s="135" t="s">
        <v>460</v>
      </c>
      <c r="J46" s="135" t="s">
        <v>966</v>
      </c>
      <c r="K46" s="135" t="s">
        <v>469</v>
      </c>
      <c r="L46" s="135" t="s">
        <v>85</v>
      </c>
      <c r="M46" s="135" t="s">
        <v>93</v>
      </c>
      <c r="N46" s="135" t="s">
        <v>965</v>
      </c>
      <c r="O46" s="135" t="s">
        <v>753</v>
      </c>
      <c r="P46" s="135" t="s">
        <v>459</v>
      </c>
      <c r="Q46" s="135">
        <v>211.1</v>
      </c>
      <c r="R46" s="187">
        <v>631</v>
      </c>
      <c r="S46" s="56"/>
      <c r="T46" s="56"/>
      <c r="U46" s="56"/>
      <c r="V46" s="56"/>
      <c r="W46" s="56"/>
      <c r="X46" s="56"/>
      <c r="Y46" s="56"/>
      <c r="Z46" s="56"/>
      <c r="AA46" s="56"/>
    </row>
    <row r="47" spans="1:27" ht="30" hidden="1" customHeight="1" x14ac:dyDescent="0.25">
      <c r="A47" s="60"/>
      <c r="B47" s="51"/>
      <c r="C47" s="51"/>
      <c r="D47" s="51"/>
      <c r="E47" s="63" t="s">
        <v>477</v>
      </c>
      <c r="F47" s="422">
        <v>2022</v>
      </c>
      <c r="G47" s="135" t="s">
        <v>1202</v>
      </c>
      <c r="H47" s="422"/>
      <c r="I47" s="135" t="s">
        <v>460</v>
      </c>
      <c r="J47" s="135" t="s">
        <v>967</v>
      </c>
      <c r="K47" s="135" t="s">
        <v>553</v>
      </c>
      <c r="L47" s="135" t="s">
        <v>82</v>
      </c>
      <c r="M47" s="135" t="s">
        <v>130</v>
      </c>
      <c r="N47" s="135" t="s">
        <v>964</v>
      </c>
      <c r="O47" s="135" t="s">
        <v>1141</v>
      </c>
      <c r="P47" s="135" t="s">
        <v>459</v>
      </c>
      <c r="Q47" s="135">
        <v>183.6</v>
      </c>
      <c r="R47" s="187">
        <v>630</v>
      </c>
      <c r="S47" s="56"/>
      <c r="T47" s="56"/>
      <c r="U47" s="56"/>
      <c r="V47" s="56"/>
      <c r="W47" s="56"/>
      <c r="X47" s="56"/>
      <c r="Y47" s="56"/>
      <c r="Z47" s="56"/>
      <c r="AA47" s="56"/>
    </row>
    <row r="48" spans="1:27" ht="30" hidden="1" customHeight="1" x14ac:dyDescent="0.25">
      <c r="A48" s="60"/>
      <c r="B48" s="51"/>
      <c r="C48" s="51"/>
      <c r="D48" s="51"/>
      <c r="E48" s="63" t="s">
        <v>454</v>
      </c>
      <c r="F48" s="422">
        <v>2022</v>
      </c>
      <c r="G48" s="135" t="s">
        <v>1202</v>
      </c>
      <c r="H48" s="422"/>
      <c r="I48" s="135" t="s">
        <v>460</v>
      </c>
      <c r="J48" s="135" t="s">
        <v>966</v>
      </c>
      <c r="K48" s="135" t="s">
        <v>499</v>
      </c>
      <c r="L48" s="135" t="s">
        <v>88</v>
      </c>
      <c r="M48" s="135" t="s">
        <v>1142</v>
      </c>
      <c r="N48" s="135" t="s">
        <v>965</v>
      </c>
      <c r="O48" s="135" t="s">
        <v>1143</v>
      </c>
      <c r="P48" s="135" t="s">
        <v>459</v>
      </c>
      <c r="Q48" s="135">
        <v>1603.85</v>
      </c>
      <c r="R48" s="187">
        <v>629</v>
      </c>
      <c r="S48" s="56"/>
      <c r="T48" s="56"/>
      <c r="U48" s="56"/>
      <c r="V48" s="56"/>
      <c r="W48" s="56"/>
      <c r="X48" s="56"/>
      <c r="Y48" s="56"/>
      <c r="Z48" s="56"/>
      <c r="AA48" s="56"/>
    </row>
    <row r="49" spans="1:27" ht="30" hidden="1" customHeight="1" x14ac:dyDescent="0.25">
      <c r="A49" s="60"/>
      <c r="B49" s="51"/>
      <c r="C49" s="51"/>
      <c r="D49" s="51"/>
      <c r="E49" s="63" t="s">
        <v>452</v>
      </c>
      <c r="F49" s="422">
        <v>2022</v>
      </c>
      <c r="G49" s="135" t="s">
        <v>1202</v>
      </c>
      <c r="H49" s="422"/>
      <c r="I49" s="135" t="s">
        <v>460</v>
      </c>
      <c r="J49" s="135" t="s">
        <v>966</v>
      </c>
      <c r="K49" s="135" t="s">
        <v>469</v>
      </c>
      <c r="L49" s="135" t="s">
        <v>85</v>
      </c>
      <c r="M49" s="135" t="s">
        <v>343</v>
      </c>
      <c r="N49" s="135" t="s">
        <v>965</v>
      </c>
      <c r="O49" s="135" t="s">
        <v>919</v>
      </c>
      <c r="P49" s="135" t="s">
        <v>459</v>
      </c>
      <c r="Q49" s="135">
        <v>337.6</v>
      </c>
      <c r="R49" s="187">
        <v>628</v>
      </c>
      <c r="S49" s="56"/>
      <c r="T49" s="56"/>
      <c r="U49" s="56"/>
      <c r="V49" s="56"/>
      <c r="W49" s="56"/>
      <c r="X49" s="56"/>
      <c r="Y49" s="56"/>
      <c r="Z49" s="56"/>
      <c r="AA49" s="56"/>
    </row>
    <row r="50" spans="1:27" ht="30" hidden="1" customHeight="1" x14ac:dyDescent="0.25">
      <c r="A50" s="60"/>
      <c r="B50" s="51"/>
      <c r="C50" s="51"/>
      <c r="D50" s="51"/>
      <c r="E50" s="63" t="s">
        <v>454</v>
      </c>
      <c r="F50" s="422">
        <v>2022</v>
      </c>
      <c r="G50" s="135" t="s">
        <v>1202</v>
      </c>
      <c r="H50" s="422"/>
      <c r="I50" s="135" t="s">
        <v>460</v>
      </c>
      <c r="J50" s="135" t="s">
        <v>966</v>
      </c>
      <c r="K50" s="135" t="s">
        <v>469</v>
      </c>
      <c r="L50" s="135" t="s">
        <v>85</v>
      </c>
      <c r="M50" s="135" t="s">
        <v>1144</v>
      </c>
      <c r="N50" s="135" t="s">
        <v>965</v>
      </c>
      <c r="O50" s="135" t="s">
        <v>1145</v>
      </c>
      <c r="P50" s="135" t="s">
        <v>464</v>
      </c>
      <c r="Q50" s="135">
        <v>2114.1999999999998</v>
      </c>
      <c r="R50" s="187">
        <v>627</v>
      </c>
      <c r="S50" s="56"/>
      <c r="T50" s="56"/>
      <c r="U50" s="56"/>
      <c r="V50" s="56"/>
      <c r="W50" s="56"/>
      <c r="X50" s="56"/>
      <c r="Y50" s="56"/>
      <c r="Z50" s="56"/>
      <c r="AA50" s="56"/>
    </row>
    <row r="51" spans="1:27" ht="30" hidden="1" customHeight="1" x14ac:dyDescent="0.25">
      <c r="A51" s="60"/>
      <c r="B51" s="51"/>
      <c r="C51" s="51"/>
      <c r="D51" s="51"/>
      <c r="E51" s="63" t="s">
        <v>454</v>
      </c>
      <c r="F51" s="422">
        <v>2022</v>
      </c>
      <c r="G51" s="135" t="s">
        <v>1202</v>
      </c>
      <c r="H51" s="422"/>
      <c r="I51" s="135" t="s">
        <v>460</v>
      </c>
      <c r="J51" s="135" t="s">
        <v>963</v>
      </c>
      <c r="K51" s="135" t="s">
        <v>474</v>
      </c>
      <c r="L51" s="135" t="s">
        <v>95</v>
      </c>
      <c r="M51" s="135" t="s">
        <v>224</v>
      </c>
      <c r="N51" s="135" t="s">
        <v>965</v>
      </c>
      <c r="O51" s="135" t="s">
        <v>1146</v>
      </c>
      <c r="P51" s="135" t="s">
        <v>459</v>
      </c>
      <c r="Q51" s="135">
        <v>2008.2</v>
      </c>
      <c r="R51" s="187">
        <v>626</v>
      </c>
      <c r="S51" s="56"/>
      <c r="T51" s="56"/>
      <c r="U51" s="56"/>
      <c r="V51" s="56"/>
      <c r="W51" s="56"/>
      <c r="X51" s="56"/>
      <c r="Y51" s="56"/>
      <c r="Z51" s="56"/>
      <c r="AA51" s="56"/>
    </row>
    <row r="52" spans="1:27" ht="30" hidden="1" customHeight="1" x14ac:dyDescent="0.25">
      <c r="A52" s="60"/>
      <c r="B52" s="51"/>
      <c r="C52" s="51"/>
      <c r="D52" s="51"/>
      <c r="E52" s="63" t="s">
        <v>454</v>
      </c>
      <c r="F52" s="422">
        <v>2022</v>
      </c>
      <c r="G52" s="135" t="s">
        <v>1202</v>
      </c>
      <c r="H52" s="422"/>
      <c r="I52" s="135" t="s">
        <v>460</v>
      </c>
      <c r="J52" s="135" t="s">
        <v>967</v>
      </c>
      <c r="K52" s="135" t="s">
        <v>553</v>
      </c>
      <c r="L52" s="135" t="s">
        <v>82</v>
      </c>
      <c r="M52" s="135" t="s">
        <v>1147</v>
      </c>
      <c r="N52" s="135" t="s">
        <v>965</v>
      </c>
      <c r="O52" s="135" t="s">
        <v>1148</v>
      </c>
      <c r="P52" s="135" t="s">
        <v>459</v>
      </c>
      <c r="Q52" s="135">
        <v>1563.3</v>
      </c>
      <c r="R52" s="187">
        <v>625</v>
      </c>
      <c r="S52" s="56"/>
      <c r="T52" s="56"/>
      <c r="U52" s="56"/>
      <c r="V52" s="56"/>
      <c r="W52" s="56"/>
      <c r="X52" s="56"/>
      <c r="Y52" s="56"/>
      <c r="Z52" s="56"/>
      <c r="AA52" s="56"/>
    </row>
    <row r="53" spans="1:27" ht="30" hidden="1" customHeight="1" x14ac:dyDescent="0.25">
      <c r="A53" s="60"/>
      <c r="B53" s="51"/>
      <c r="C53" s="51"/>
      <c r="D53" s="51"/>
      <c r="E53" s="63" t="s">
        <v>452</v>
      </c>
      <c r="F53" s="422">
        <v>2022</v>
      </c>
      <c r="G53" s="135" t="s">
        <v>1202</v>
      </c>
      <c r="H53" s="422"/>
      <c r="I53" s="135" t="s">
        <v>460</v>
      </c>
      <c r="J53" s="135" t="s">
        <v>963</v>
      </c>
      <c r="K53" s="135" t="s">
        <v>461</v>
      </c>
      <c r="L53" s="135" t="s">
        <v>253</v>
      </c>
      <c r="M53" s="135" t="s">
        <v>363</v>
      </c>
      <c r="N53" s="135" t="s">
        <v>965</v>
      </c>
      <c r="O53" s="135" t="s">
        <v>1149</v>
      </c>
      <c r="P53" s="135" t="s">
        <v>459</v>
      </c>
      <c r="Q53" s="135">
        <v>233.12</v>
      </c>
      <c r="R53" s="187">
        <v>624</v>
      </c>
      <c r="S53" s="56"/>
      <c r="T53" s="56"/>
      <c r="U53" s="56"/>
      <c r="V53" s="56"/>
      <c r="W53" s="56"/>
      <c r="X53" s="56"/>
      <c r="Y53" s="56"/>
      <c r="Z53" s="56"/>
      <c r="AA53" s="56"/>
    </row>
    <row r="54" spans="1:27" ht="30" hidden="1" customHeight="1" x14ac:dyDescent="0.25">
      <c r="A54" s="60"/>
      <c r="B54" s="51"/>
      <c r="C54" s="51"/>
      <c r="D54" s="51"/>
      <c r="E54" s="63" t="s">
        <v>454</v>
      </c>
      <c r="F54" s="422">
        <v>2022</v>
      </c>
      <c r="G54" s="135" t="s">
        <v>1202</v>
      </c>
      <c r="H54" s="422"/>
      <c r="I54" s="135" t="s">
        <v>460</v>
      </c>
      <c r="J54" s="135" t="s">
        <v>963</v>
      </c>
      <c r="K54" s="135" t="s">
        <v>461</v>
      </c>
      <c r="L54" s="135" t="s">
        <v>253</v>
      </c>
      <c r="M54" s="135" t="s">
        <v>1126</v>
      </c>
      <c r="N54" s="135" t="s">
        <v>965</v>
      </c>
      <c r="O54" s="135" t="s">
        <v>1127</v>
      </c>
      <c r="P54" s="135" t="s">
        <v>464</v>
      </c>
      <c r="Q54" s="135">
        <v>1823.3</v>
      </c>
      <c r="R54" s="187">
        <v>623</v>
      </c>
      <c r="S54" s="56"/>
      <c r="T54" s="56"/>
      <c r="U54" s="56"/>
      <c r="V54" s="56"/>
      <c r="W54" s="56"/>
      <c r="X54" s="56"/>
      <c r="Y54" s="56"/>
      <c r="Z54" s="56"/>
      <c r="AA54" s="56"/>
    </row>
    <row r="55" spans="1:27" ht="30" hidden="1" customHeight="1" x14ac:dyDescent="0.25">
      <c r="A55" s="60"/>
      <c r="B55" s="51"/>
      <c r="C55" s="51"/>
      <c r="D55" s="51"/>
      <c r="E55" s="63" t="s">
        <v>477</v>
      </c>
      <c r="F55" s="422">
        <v>2022</v>
      </c>
      <c r="G55" s="135" t="s">
        <v>1203</v>
      </c>
      <c r="H55" s="422"/>
      <c r="I55" s="135" t="s">
        <v>460</v>
      </c>
      <c r="J55" s="135" t="s">
        <v>966</v>
      </c>
      <c r="K55" s="135" t="s">
        <v>562</v>
      </c>
      <c r="L55" s="135" t="s">
        <v>108</v>
      </c>
      <c r="M55" s="135" t="s">
        <v>109</v>
      </c>
      <c r="N55" s="135" t="s">
        <v>964</v>
      </c>
      <c r="O55" s="135" t="s">
        <v>1128</v>
      </c>
      <c r="P55" s="135" t="s">
        <v>459</v>
      </c>
      <c r="Q55" s="135">
        <v>210</v>
      </c>
      <c r="R55" s="187">
        <v>622</v>
      </c>
      <c r="S55" s="56"/>
      <c r="T55" s="56"/>
      <c r="U55" s="56"/>
      <c r="V55" s="56"/>
      <c r="W55" s="56"/>
      <c r="X55" s="56"/>
      <c r="Y55" s="56"/>
      <c r="Z55" s="56"/>
      <c r="AA55" s="56"/>
    </row>
    <row r="56" spans="1:27" ht="30" hidden="1" customHeight="1" x14ac:dyDescent="0.25">
      <c r="A56" s="60"/>
      <c r="B56" s="51"/>
      <c r="C56" s="51"/>
      <c r="D56" s="51"/>
      <c r="E56" s="63" t="s">
        <v>452</v>
      </c>
      <c r="F56" s="422">
        <v>2022</v>
      </c>
      <c r="G56" s="135" t="s">
        <v>1203</v>
      </c>
      <c r="H56" s="422"/>
      <c r="I56" s="135" t="s">
        <v>460</v>
      </c>
      <c r="J56" s="135" t="s">
        <v>967</v>
      </c>
      <c r="K56" s="135" t="s">
        <v>488</v>
      </c>
      <c r="L56" s="135" t="s">
        <v>135</v>
      </c>
      <c r="M56" s="135" t="s">
        <v>136</v>
      </c>
      <c r="N56" s="135" t="s">
        <v>964</v>
      </c>
      <c r="O56" s="135" t="s">
        <v>908</v>
      </c>
      <c r="P56" s="135" t="s">
        <v>459</v>
      </c>
      <c r="Q56" s="135">
        <v>260</v>
      </c>
      <c r="R56" s="187">
        <v>621</v>
      </c>
      <c r="S56" s="56"/>
      <c r="T56" s="56"/>
      <c r="U56" s="56"/>
      <c r="V56" s="56"/>
      <c r="W56" s="56"/>
      <c r="X56" s="56"/>
      <c r="Y56" s="56"/>
      <c r="Z56" s="56"/>
      <c r="AA56" s="56"/>
    </row>
    <row r="57" spans="1:27" ht="30" hidden="1" customHeight="1" x14ac:dyDescent="0.25">
      <c r="A57" s="60"/>
      <c r="B57" s="51"/>
      <c r="C57" s="51"/>
      <c r="D57" s="51"/>
      <c r="E57" s="63" t="s">
        <v>451</v>
      </c>
      <c r="F57" s="422">
        <v>2022</v>
      </c>
      <c r="G57" s="135" t="s">
        <v>1203</v>
      </c>
      <c r="H57" s="422"/>
      <c r="I57" s="135" t="s">
        <v>460</v>
      </c>
      <c r="J57" s="135" t="s">
        <v>963</v>
      </c>
      <c r="K57" s="135" t="s">
        <v>465</v>
      </c>
      <c r="L57" s="135" t="s">
        <v>106</v>
      </c>
      <c r="M57" s="135" t="s">
        <v>273</v>
      </c>
      <c r="N57" s="135" t="s">
        <v>965</v>
      </c>
      <c r="O57" s="135" t="s">
        <v>274</v>
      </c>
      <c r="P57" s="135" t="s">
        <v>459</v>
      </c>
      <c r="Q57" s="135">
        <v>615</v>
      </c>
      <c r="R57" s="187">
        <v>620</v>
      </c>
      <c r="S57" s="56"/>
      <c r="T57" s="56"/>
      <c r="U57" s="56"/>
      <c r="V57" s="56"/>
      <c r="W57" s="56"/>
      <c r="X57" s="56"/>
      <c r="Y57" s="56"/>
      <c r="Z57" s="56"/>
      <c r="AA57" s="56"/>
    </row>
    <row r="58" spans="1:27" ht="30" hidden="1" customHeight="1" x14ac:dyDescent="0.25">
      <c r="A58" s="60"/>
      <c r="B58" s="51"/>
      <c r="C58" s="51"/>
      <c r="D58" s="51"/>
      <c r="E58" s="63" t="s">
        <v>454</v>
      </c>
      <c r="F58" s="422">
        <v>2022</v>
      </c>
      <c r="G58" s="135" t="s">
        <v>1203</v>
      </c>
      <c r="H58" s="422"/>
      <c r="I58" s="135" t="s">
        <v>460</v>
      </c>
      <c r="J58" s="135" t="s">
        <v>963</v>
      </c>
      <c r="K58" s="135" t="s">
        <v>461</v>
      </c>
      <c r="L58" s="135" t="s">
        <v>253</v>
      </c>
      <c r="M58" s="135" t="s">
        <v>1129</v>
      </c>
      <c r="N58" s="135" t="s">
        <v>965</v>
      </c>
      <c r="O58" s="135" t="s">
        <v>1130</v>
      </c>
      <c r="P58" s="135" t="s">
        <v>464</v>
      </c>
      <c r="Q58" s="135">
        <v>1829</v>
      </c>
      <c r="R58" s="187">
        <v>619</v>
      </c>
      <c r="S58" s="56"/>
      <c r="T58" s="56"/>
      <c r="U58" s="56"/>
      <c r="V58" s="56"/>
      <c r="W58" s="56"/>
      <c r="X58" s="56"/>
      <c r="Y58" s="56"/>
      <c r="Z58" s="56"/>
      <c r="AA58" s="56"/>
    </row>
    <row r="59" spans="1:27" ht="30" hidden="1" customHeight="1" x14ac:dyDescent="0.25">
      <c r="A59" s="60"/>
      <c r="B59" s="51"/>
      <c r="C59" s="51"/>
      <c r="D59" s="51"/>
      <c r="E59" s="63" t="s">
        <v>454</v>
      </c>
      <c r="F59" s="422">
        <v>2022</v>
      </c>
      <c r="G59" s="135" t="s">
        <v>1203</v>
      </c>
      <c r="H59" s="422"/>
      <c r="I59" s="135" t="s">
        <v>460</v>
      </c>
      <c r="J59" s="135" t="s">
        <v>963</v>
      </c>
      <c r="K59" s="135" t="s">
        <v>461</v>
      </c>
      <c r="L59" s="135" t="s">
        <v>253</v>
      </c>
      <c r="M59" s="135" t="s">
        <v>1131</v>
      </c>
      <c r="N59" s="135" t="s">
        <v>965</v>
      </c>
      <c r="O59" s="135" t="s">
        <v>1132</v>
      </c>
      <c r="P59" s="135" t="s">
        <v>464</v>
      </c>
      <c r="Q59" s="135">
        <v>1476</v>
      </c>
      <c r="R59" s="187">
        <v>618</v>
      </c>
      <c r="S59" s="56"/>
      <c r="T59" s="56"/>
      <c r="U59" s="56"/>
      <c r="V59" s="56"/>
      <c r="W59" s="56"/>
      <c r="X59" s="56"/>
      <c r="Y59" s="56"/>
      <c r="Z59" s="56"/>
      <c r="AA59" s="56"/>
    </row>
    <row r="60" spans="1:27" ht="30" hidden="1" customHeight="1" x14ac:dyDescent="0.25">
      <c r="A60" s="60"/>
      <c r="B60" s="51"/>
      <c r="C60" s="51"/>
      <c r="D60" s="51"/>
      <c r="E60" s="63" t="s">
        <v>454</v>
      </c>
      <c r="F60" s="422">
        <v>2022</v>
      </c>
      <c r="G60" s="135" t="s">
        <v>1203</v>
      </c>
      <c r="H60" s="422"/>
      <c r="I60" s="135" t="s">
        <v>455</v>
      </c>
      <c r="J60" s="135" t="s">
        <v>455</v>
      </c>
      <c r="K60" s="135" t="s">
        <v>456</v>
      </c>
      <c r="L60" s="135" t="s">
        <v>455</v>
      </c>
      <c r="M60" s="135" t="s">
        <v>457</v>
      </c>
      <c r="N60" s="135" t="s">
        <v>965</v>
      </c>
      <c r="O60" s="135" t="s">
        <v>458</v>
      </c>
      <c r="P60" s="135" t="s">
        <v>459</v>
      </c>
      <c r="Q60" s="135">
        <v>2516.2599999999998</v>
      </c>
      <c r="R60" s="187">
        <v>617</v>
      </c>
      <c r="S60" s="56"/>
      <c r="T60" s="56"/>
      <c r="U60" s="56"/>
      <c r="V60" s="56"/>
      <c r="W60" s="56"/>
      <c r="X60" s="56"/>
      <c r="Y60" s="56"/>
      <c r="Z60" s="56"/>
      <c r="AA60" s="56"/>
    </row>
    <row r="61" spans="1:27" ht="30" hidden="1" customHeight="1" x14ac:dyDescent="0.25">
      <c r="A61" s="60"/>
      <c r="B61" s="51"/>
      <c r="C61" s="51"/>
      <c r="D61" s="51"/>
      <c r="E61" s="63" t="s">
        <v>454</v>
      </c>
      <c r="F61" s="422">
        <v>2022</v>
      </c>
      <c r="G61" s="135" t="s">
        <v>1203</v>
      </c>
      <c r="H61" s="422"/>
      <c r="I61" s="135" t="s">
        <v>460</v>
      </c>
      <c r="J61" s="135" t="s">
        <v>963</v>
      </c>
      <c r="K61" s="135" t="s">
        <v>461</v>
      </c>
      <c r="L61" s="135" t="s">
        <v>253</v>
      </c>
      <c r="M61" s="135" t="s">
        <v>462</v>
      </c>
      <c r="N61" s="135" t="s">
        <v>965</v>
      </c>
      <c r="O61" s="135" t="s">
        <v>463</v>
      </c>
      <c r="P61" s="135" t="s">
        <v>464</v>
      </c>
      <c r="Q61" s="135">
        <v>1808.96</v>
      </c>
      <c r="R61" s="187">
        <v>616</v>
      </c>
      <c r="S61" s="56"/>
      <c r="T61" s="56"/>
      <c r="U61" s="56"/>
      <c r="V61" s="56"/>
      <c r="W61" s="56"/>
      <c r="X61" s="56"/>
      <c r="Y61" s="56"/>
      <c r="Z61" s="56"/>
      <c r="AA61" s="56"/>
    </row>
    <row r="62" spans="1:27" ht="30" hidden="1" customHeight="1" x14ac:dyDescent="0.25">
      <c r="A62" s="60"/>
      <c r="B62" s="51"/>
      <c r="C62" s="51"/>
      <c r="D62" s="51"/>
      <c r="E62" s="63" t="s">
        <v>454</v>
      </c>
      <c r="F62" s="422">
        <v>2022</v>
      </c>
      <c r="G62" s="135" t="s">
        <v>1203</v>
      </c>
      <c r="H62" s="422"/>
      <c r="I62" s="135" t="s">
        <v>460</v>
      </c>
      <c r="J62" s="135" t="s">
        <v>963</v>
      </c>
      <c r="K62" s="135" t="s">
        <v>465</v>
      </c>
      <c r="L62" s="135" t="s">
        <v>106</v>
      </c>
      <c r="M62" s="135" t="s">
        <v>466</v>
      </c>
      <c r="N62" s="135" t="s">
        <v>965</v>
      </c>
      <c r="O62" s="135" t="s">
        <v>374</v>
      </c>
      <c r="P62" s="135" t="s">
        <v>464</v>
      </c>
      <c r="Q62" s="135">
        <v>1868</v>
      </c>
      <c r="R62" s="187">
        <v>615</v>
      </c>
      <c r="S62" s="56"/>
      <c r="T62" s="56"/>
      <c r="U62" s="56"/>
      <c r="V62" s="56"/>
      <c r="W62" s="56"/>
      <c r="X62" s="56"/>
      <c r="Y62" s="56"/>
      <c r="Z62" s="56"/>
      <c r="AA62" s="56"/>
    </row>
    <row r="63" spans="1:27" ht="30" hidden="1" customHeight="1" x14ac:dyDescent="0.25">
      <c r="A63" s="60"/>
      <c r="B63" s="51"/>
      <c r="C63" s="51"/>
      <c r="D63" s="51"/>
      <c r="E63" s="63" t="s">
        <v>454</v>
      </c>
      <c r="F63" s="422">
        <v>2022</v>
      </c>
      <c r="G63" s="135" t="s">
        <v>1203</v>
      </c>
      <c r="H63" s="422"/>
      <c r="I63" s="135" t="s">
        <v>460</v>
      </c>
      <c r="J63" s="135" t="s">
        <v>963</v>
      </c>
      <c r="K63" s="135" t="s">
        <v>461</v>
      </c>
      <c r="L63" s="135" t="s">
        <v>253</v>
      </c>
      <c r="M63" s="135" t="s">
        <v>467</v>
      </c>
      <c r="N63" s="135" t="s">
        <v>965</v>
      </c>
      <c r="O63" s="135" t="s">
        <v>468</v>
      </c>
      <c r="P63" s="135" t="s">
        <v>464</v>
      </c>
      <c r="Q63" s="135">
        <v>1932.85</v>
      </c>
      <c r="R63" s="187">
        <v>614</v>
      </c>
      <c r="S63" s="56"/>
      <c r="T63" s="56"/>
      <c r="U63" s="56"/>
      <c r="V63" s="56"/>
      <c r="W63" s="56"/>
      <c r="X63" s="56"/>
      <c r="Y63" s="56"/>
      <c r="Z63" s="56"/>
      <c r="AA63" s="56"/>
    </row>
    <row r="64" spans="1:27" ht="30" hidden="1" customHeight="1" x14ac:dyDescent="0.25">
      <c r="A64" s="60"/>
      <c r="B64" s="51"/>
      <c r="C64" s="51"/>
      <c r="D64" s="51"/>
      <c r="E64" s="63" t="s">
        <v>451</v>
      </c>
      <c r="F64" s="422">
        <v>2022</v>
      </c>
      <c r="G64" s="135" t="s">
        <v>1203</v>
      </c>
      <c r="H64" s="422"/>
      <c r="I64" s="135" t="s">
        <v>460</v>
      </c>
      <c r="J64" s="135" t="s">
        <v>963</v>
      </c>
      <c r="K64" s="135" t="s">
        <v>465</v>
      </c>
      <c r="L64" s="135" t="s">
        <v>106</v>
      </c>
      <c r="M64" s="135" t="s">
        <v>275</v>
      </c>
      <c r="N64" s="135" t="s">
        <v>965</v>
      </c>
      <c r="O64" s="135" t="s">
        <v>459</v>
      </c>
      <c r="P64" s="135" t="s">
        <v>459</v>
      </c>
      <c r="Q64" s="135">
        <v>645</v>
      </c>
      <c r="R64" s="187">
        <v>613</v>
      </c>
      <c r="S64" s="56"/>
      <c r="T64" s="56"/>
      <c r="U64" s="56"/>
      <c r="V64" s="56"/>
      <c r="W64" s="56"/>
      <c r="X64" s="56"/>
      <c r="Y64" s="56"/>
      <c r="Z64" s="56"/>
      <c r="AA64" s="56"/>
    </row>
    <row r="65" spans="1:27" ht="30" hidden="1" customHeight="1" x14ac:dyDescent="0.25">
      <c r="A65" s="60"/>
      <c r="B65" s="51"/>
      <c r="C65" s="51"/>
      <c r="D65" s="51"/>
      <c r="E65" s="63" t="s">
        <v>451</v>
      </c>
      <c r="F65" s="422">
        <v>2022</v>
      </c>
      <c r="G65" s="135" t="s">
        <v>1203</v>
      </c>
      <c r="H65" s="422"/>
      <c r="I65" s="135" t="s">
        <v>460</v>
      </c>
      <c r="J65" s="135" t="s">
        <v>966</v>
      </c>
      <c r="K65" s="135" t="s">
        <v>469</v>
      </c>
      <c r="L65" s="135" t="s">
        <v>85</v>
      </c>
      <c r="M65" s="135" t="s">
        <v>470</v>
      </c>
      <c r="N65" s="135" t="s">
        <v>965</v>
      </c>
      <c r="O65" s="135" t="s">
        <v>471</v>
      </c>
      <c r="P65" s="135" t="s">
        <v>459</v>
      </c>
      <c r="Q65" s="135">
        <v>710</v>
      </c>
      <c r="R65" s="187">
        <v>612</v>
      </c>
      <c r="S65" s="56"/>
      <c r="T65" s="56"/>
      <c r="U65" s="56"/>
      <c r="V65" s="56"/>
      <c r="W65" s="56"/>
      <c r="X65" s="56"/>
      <c r="Y65" s="56"/>
      <c r="Z65" s="56"/>
      <c r="AA65" s="56"/>
    </row>
    <row r="66" spans="1:27" ht="30" hidden="1" customHeight="1" x14ac:dyDescent="0.25">
      <c r="A66" s="60"/>
      <c r="B66" s="51"/>
      <c r="C66" s="51"/>
      <c r="D66" s="51"/>
      <c r="E66" s="63" t="s">
        <v>454</v>
      </c>
      <c r="F66" s="422">
        <v>2022</v>
      </c>
      <c r="G66" s="135" t="s">
        <v>1203</v>
      </c>
      <c r="H66" s="422"/>
      <c r="I66" s="135" t="s">
        <v>460</v>
      </c>
      <c r="J66" s="135" t="s">
        <v>963</v>
      </c>
      <c r="K66" s="135" t="s">
        <v>461</v>
      </c>
      <c r="L66" s="135" t="s">
        <v>253</v>
      </c>
      <c r="M66" s="135" t="s">
        <v>472</v>
      </c>
      <c r="N66" s="135" t="s">
        <v>965</v>
      </c>
      <c r="O66" s="135" t="s">
        <v>473</v>
      </c>
      <c r="P66" s="135" t="s">
        <v>464</v>
      </c>
      <c r="Q66" s="135">
        <v>2044.21</v>
      </c>
      <c r="R66" s="187">
        <v>611</v>
      </c>
      <c r="S66" s="56"/>
      <c r="T66" s="56"/>
      <c r="U66" s="56"/>
      <c r="V66" s="56"/>
      <c r="W66" s="56"/>
      <c r="X66" s="56"/>
      <c r="Y66" s="56"/>
      <c r="Z66" s="56"/>
      <c r="AA66" s="56"/>
    </row>
    <row r="67" spans="1:27" ht="30" hidden="1" customHeight="1" x14ac:dyDescent="0.25">
      <c r="A67" s="60"/>
      <c r="B67" s="51"/>
      <c r="C67" s="51"/>
      <c r="D67" s="51"/>
      <c r="E67" s="63" t="s">
        <v>454</v>
      </c>
      <c r="F67" s="422">
        <v>2022</v>
      </c>
      <c r="G67" s="135" t="s">
        <v>1204</v>
      </c>
      <c r="H67" s="422"/>
      <c r="I67" s="135" t="s">
        <v>460</v>
      </c>
      <c r="J67" s="135" t="s">
        <v>963</v>
      </c>
      <c r="K67" s="135" t="s">
        <v>474</v>
      </c>
      <c r="L67" s="135" t="s">
        <v>95</v>
      </c>
      <c r="M67" s="135" t="s">
        <v>475</v>
      </c>
      <c r="N67" s="135" t="s">
        <v>965</v>
      </c>
      <c r="O67" s="135" t="s">
        <v>476</v>
      </c>
      <c r="P67" s="135" t="s">
        <v>464</v>
      </c>
      <c r="Q67" s="135">
        <v>1706.54</v>
      </c>
      <c r="R67" s="187">
        <v>610</v>
      </c>
      <c r="S67" s="56"/>
      <c r="T67" s="56"/>
      <c r="U67" s="56"/>
      <c r="V67" s="56"/>
      <c r="W67" s="56"/>
      <c r="X67" s="56"/>
      <c r="Y67" s="56"/>
      <c r="Z67" s="56"/>
      <c r="AA67" s="56"/>
    </row>
    <row r="68" spans="1:27" ht="30" hidden="1" customHeight="1" x14ac:dyDescent="0.25">
      <c r="A68" s="60"/>
      <c r="B68" s="51"/>
      <c r="C68" s="51"/>
      <c r="D68" s="51"/>
      <c r="E68" s="63" t="s">
        <v>477</v>
      </c>
      <c r="F68" s="422">
        <v>2022</v>
      </c>
      <c r="G68" s="135" t="s">
        <v>1204</v>
      </c>
      <c r="H68" s="422"/>
      <c r="I68" s="135" t="s">
        <v>460</v>
      </c>
      <c r="J68" s="135" t="s">
        <v>967</v>
      </c>
      <c r="K68" s="135" t="s">
        <v>478</v>
      </c>
      <c r="L68" s="135" t="s">
        <v>207</v>
      </c>
      <c r="M68" s="135" t="s">
        <v>211</v>
      </c>
      <c r="N68" s="135" t="s">
        <v>964</v>
      </c>
      <c r="O68" s="135" t="s">
        <v>479</v>
      </c>
      <c r="P68" s="135" t="s">
        <v>459</v>
      </c>
      <c r="Q68" s="135">
        <v>213</v>
      </c>
      <c r="R68" s="187">
        <v>609</v>
      </c>
      <c r="S68" s="56"/>
      <c r="T68" s="56"/>
      <c r="U68" s="56"/>
      <c r="V68" s="56"/>
      <c r="W68" s="56"/>
      <c r="X68" s="56"/>
      <c r="Y68" s="56"/>
      <c r="Z68" s="56"/>
      <c r="AA68" s="56"/>
    </row>
    <row r="69" spans="1:27" ht="30" hidden="1" customHeight="1" x14ac:dyDescent="0.25">
      <c r="A69" s="60"/>
      <c r="B69" s="51"/>
      <c r="C69" s="51"/>
      <c r="D69" s="51"/>
      <c r="E69" s="63" t="s">
        <v>452</v>
      </c>
      <c r="F69" s="422">
        <v>2022</v>
      </c>
      <c r="G69" s="135" t="s">
        <v>1204</v>
      </c>
      <c r="H69" s="422"/>
      <c r="I69" s="135" t="s">
        <v>460</v>
      </c>
      <c r="J69" s="135" t="s">
        <v>967</v>
      </c>
      <c r="K69" s="135" t="s">
        <v>480</v>
      </c>
      <c r="L69" s="135" t="s">
        <v>102</v>
      </c>
      <c r="M69" s="135" t="s">
        <v>103</v>
      </c>
      <c r="N69" s="135" t="s">
        <v>964</v>
      </c>
      <c r="O69" s="135" t="s">
        <v>481</v>
      </c>
      <c r="P69" s="135" t="s">
        <v>459</v>
      </c>
      <c r="Q69" s="135">
        <v>352</v>
      </c>
      <c r="R69" s="187">
        <v>608</v>
      </c>
      <c r="S69" s="56"/>
      <c r="T69" s="56"/>
      <c r="U69" s="56"/>
      <c r="V69" s="56"/>
      <c r="W69" s="56"/>
      <c r="X69" s="56"/>
      <c r="Y69" s="56"/>
      <c r="Z69" s="56"/>
      <c r="AA69" s="56"/>
    </row>
    <row r="70" spans="1:27" ht="30" hidden="1" customHeight="1" x14ac:dyDescent="0.25">
      <c r="A70" s="60"/>
      <c r="B70" s="51"/>
      <c r="C70" s="51"/>
      <c r="D70" s="51"/>
      <c r="E70" s="63" t="s">
        <v>452</v>
      </c>
      <c r="F70" s="422">
        <v>2022</v>
      </c>
      <c r="G70" s="135" t="s">
        <v>1204</v>
      </c>
      <c r="H70" s="422"/>
      <c r="I70" s="135" t="s">
        <v>460</v>
      </c>
      <c r="J70" s="135" t="s">
        <v>967</v>
      </c>
      <c r="K70" s="135" t="s">
        <v>482</v>
      </c>
      <c r="L70" s="135" t="s">
        <v>114</v>
      </c>
      <c r="M70" s="135" t="s">
        <v>115</v>
      </c>
      <c r="N70" s="135" t="s">
        <v>964</v>
      </c>
      <c r="O70" s="135" t="s">
        <v>483</v>
      </c>
      <c r="P70" s="135" t="s">
        <v>459</v>
      </c>
      <c r="Q70" s="135">
        <v>403</v>
      </c>
      <c r="R70" s="187">
        <v>607</v>
      </c>
      <c r="S70" s="56"/>
      <c r="T70" s="56"/>
      <c r="U70" s="56"/>
      <c r="V70" s="56"/>
      <c r="W70" s="56"/>
      <c r="X70" s="56"/>
      <c r="Y70" s="56"/>
      <c r="Z70" s="56"/>
      <c r="AA70" s="56"/>
    </row>
    <row r="71" spans="1:27" ht="30" customHeight="1" x14ac:dyDescent="0.25">
      <c r="A71" s="60"/>
      <c r="B71" s="51"/>
      <c r="C71" s="51"/>
      <c r="D71" s="51"/>
      <c r="E71" s="63" t="s">
        <v>454</v>
      </c>
      <c r="F71" s="422">
        <v>2022</v>
      </c>
      <c r="G71" s="135" t="s">
        <v>1204</v>
      </c>
      <c r="H71" s="422">
        <v>2023</v>
      </c>
      <c r="I71" s="135" t="s">
        <v>460</v>
      </c>
      <c r="J71" s="135" t="s">
        <v>966</v>
      </c>
      <c r="K71" s="135" t="s">
        <v>469</v>
      </c>
      <c r="L71" s="135" t="s">
        <v>85</v>
      </c>
      <c r="M71" s="135" t="s">
        <v>85</v>
      </c>
      <c r="N71" s="135" t="s">
        <v>964</v>
      </c>
      <c r="O71" s="135" t="s">
        <v>1334</v>
      </c>
      <c r="P71" s="135" t="s">
        <v>459</v>
      </c>
      <c r="Q71" s="135">
        <v>1165</v>
      </c>
      <c r="R71" s="187">
        <v>606</v>
      </c>
      <c r="S71" s="56"/>
      <c r="T71" s="56"/>
      <c r="U71" s="56"/>
      <c r="V71" s="56"/>
      <c r="W71" s="56"/>
      <c r="X71" s="56"/>
      <c r="Y71" s="56"/>
      <c r="Z71" s="56"/>
      <c r="AA71" s="56"/>
    </row>
    <row r="72" spans="1:27" ht="30" hidden="1" customHeight="1" x14ac:dyDescent="0.25">
      <c r="A72" s="60"/>
      <c r="B72" s="51"/>
      <c r="C72" s="51"/>
      <c r="D72" s="51"/>
      <c r="E72" s="63" t="s">
        <v>452</v>
      </c>
      <c r="F72" s="422">
        <v>2022</v>
      </c>
      <c r="G72" s="135" t="s">
        <v>1204</v>
      </c>
      <c r="H72" s="422"/>
      <c r="I72" s="135" t="s">
        <v>460</v>
      </c>
      <c r="J72" s="135" t="s">
        <v>967</v>
      </c>
      <c r="K72" s="135" t="s">
        <v>485</v>
      </c>
      <c r="L72" s="135" t="s">
        <v>167</v>
      </c>
      <c r="M72" s="135" t="s">
        <v>169</v>
      </c>
      <c r="N72" s="135" t="s">
        <v>964</v>
      </c>
      <c r="O72" s="135" t="s">
        <v>170</v>
      </c>
      <c r="P72" s="135" t="s">
        <v>459</v>
      </c>
      <c r="Q72" s="135">
        <v>250</v>
      </c>
      <c r="R72" s="187">
        <v>606</v>
      </c>
      <c r="S72" s="56"/>
      <c r="T72" s="56"/>
      <c r="U72" s="56"/>
      <c r="V72" s="56"/>
      <c r="W72" s="56"/>
      <c r="X72" s="56"/>
      <c r="Y72" s="56"/>
      <c r="Z72" s="56"/>
      <c r="AA72" s="56"/>
    </row>
    <row r="73" spans="1:27" ht="30" hidden="1" customHeight="1" x14ac:dyDescent="0.25">
      <c r="A73" s="60"/>
      <c r="B73" s="51"/>
      <c r="C73" s="51"/>
      <c r="D73" s="51"/>
      <c r="E73" s="63" t="s">
        <v>452</v>
      </c>
      <c r="F73" s="422">
        <v>2022</v>
      </c>
      <c r="G73" s="135" t="s">
        <v>1204</v>
      </c>
      <c r="H73" s="422"/>
      <c r="I73" s="135" t="s">
        <v>460</v>
      </c>
      <c r="J73" s="135" t="s">
        <v>967</v>
      </c>
      <c r="K73" s="135" t="s">
        <v>486</v>
      </c>
      <c r="L73" s="135" t="s">
        <v>283</v>
      </c>
      <c r="M73" s="135" t="s">
        <v>284</v>
      </c>
      <c r="N73" s="135" t="s">
        <v>965</v>
      </c>
      <c r="O73" s="135" t="s">
        <v>487</v>
      </c>
      <c r="P73" s="135" t="s">
        <v>459</v>
      </c>
      <c r="Q73" s="135">
        <v>260</v>
      </c>
      <c r="R73" s="187">
        <v>605</v>
      </c>
      <c r="S73" s="56"/>
      <c r="T73" s="56"/>
      <c r="U73" s="56"/>
      <c r="V73" s="56"/>
      <c r="W73" s="56"/>
      <c r="X73" s="56"/>
      <c r="Y73" s="56"/>
      <c r="Z73" s="56"/>
      <c r="AA73" s="56"/>
    </row>
    <row r="74" spans="1:27" ht="30" hidden="1" customHeight="1" x14ac:dyDescent="0.25">
      <c r="A74" s="60"/>
      <c r="B74" s="51"/>
      <c r="C74" s="51"/>
      <c r="D74" s="51"/>
      <c r="E74" s="63" t="s">
        <v>452</v>
      </c>
      <c r="F74" s="422">
        <v>2022</v>
      </c>
      <c r="G74" s="135" t="s">
        <v>1204</v>
      </c>
      <c r="H74" s="422"/>
      <c r="I74" s="135" t="s">
        <v>460</v>
      </c>
      <c r="J74" s="135" t="s">
        <v>967</v>
      </c>
      <c r="K74" s="135" t="s">
        <v>488</v>
      </c>
      <c r="L74" s="135" t="s">
        <v>135</v>
      </c>
      <c r="M74" s="135" t="s">
        <v>136</v>
      </c>
      <c r="N74" s="135" t="s">
        <v>964</v>
      </c>
      <c r="O74" s="135" t="s">
        <v>489</v>
      </c>
      <c r="P74" s="135" t="s">
        <v>459</v>
      </c>
      <c r="Q74" s="135">
        <v>264.61</v>
      </c>
      <c r="R74" s="187">
        <v>604</v>
      </c>
      <c r="S74" s="56"/>
      <c r="T74" s="56"/>
      <c r="U74" s="56"/>
      <c r="V74" s="56"/>
      <c r="W74" s="56"/>
      <c r="X74" s="56"/>
      <c r="Y74" s="56"/>
      <c r="Z74" s="56"/>
      <c r="AA74" s="56"/>
    </row>
    <row r="75" spans="1:27" ht="30" hidden="1" customHeight="1" x14ac:dyDescent="0.25">
      <c r="A75" s="60"/>
      <c r="B75" s="51"/>
      <c r="C75" s="51"/>
      <c r="D75" s="51"/>
      <c r="E75" s="63" t="s">
        <v>454</v>
      </c>
      <c r="F75" s="422">
        <v>2022</v>
      </c>
      <c r="G75" s="135" t="s">
        <v>1204</v>
      </c>
      <c r="H75" s="422"/>
      <c r="I75" s="135" t="s">
        <v>460</v>
      </c>
      <c r="J75" s="135" t="s">
        <v>966</v>
      </c>
      <c r="K75" s="135" t="s">
        <v>469</v>
      </c>
      <c r="L75" s="135" t="s">
        <v>85</v>
      </c>
      <c r="M75" s="135" t="s">
        <v>490</v>
      </c>
      <c r="N75" s="135" t="s">
        <v>965</v>
      </c>
      <c r="O75" s="135" t="s">
        <v>491</v>
      </c>
      <c r="P75" s="135" t="s">
        <v>464</v>
      </c>
      <c r="Q75" s="135">
        <v>2363.83</v>
      </c>
      <c r="R75" s="187">
        <v>603</v>
      </c>
      <c r="S75" s="56"/>
      <c r="T75" s="56"/>
      <c r="U75" s="56"/>
      <c r="V75" s="56"/>
      <c r="W75" s="56"/>
      <c r="X75" s="56"/>
      <c r="Y75" s="56"/>
      <c r="Z75" s="56"/>
      <c r="AA75" s="56"/>
    </row>
    <row r="76" spans="1:27" ht="30" hidden="1" customHeight="1" x14ac:dyDescent="0.25">
      <c r="A76" s="60"/>
      <c r="B76" s="51"/>
      <c r="C76" s="51"/>
      <c r="D76" s="51"/>
      <c r="E76" s="63" t="s">
        <v>452</v>
      </c>
      <c r="F76" s="422">
        <v>2022</v>
      </c>
      <c r="G76" s="135" t="s">
        <v>1204</v>
      </c>
      <c r="H76" s="422"/>
      <c r="I76" s="135" t="s">
        <v>460</v>
      </c>
      <c r="J76" s="135" t="s">
        <v>966</v>
      </c>
      <c r="K76" s="135" t="s">
        <v>492</v>
      </c>
      <c r="L76" s="135" t="s">
        <v>968</v>
      </c>
      <c r="M76" s="135" t="s">
        <v>153</v>
      </c>
      <c r="N76" s="135" t="s">
        <v>965</v>
      </c>
      <c r="O76" s="135" t="s">
        <v>154</v>
      </c>
      <c r="P76" s="135" t="s">
        <v>459</v>
      </c>
      <c r="Q76" s="135">
        <v>234.47</v>
      </c>
      <c r="R76" s="187">
        <v>602</v>
      </c>
      <c r="S76" s="56"/>
      <c r="T76" s="56"/>
      <c r="U76" s="56"/>
      <c r="V76" s="56"/>
      <c r="W76" s="56"/>
      <c r="X76" s="56"/>
      <c r="Y76" s="56"/>
      <c r="Z76" s="56"/>
      <c r="AA76" s="56"/>
    </row>
    <row r="77" spans="1:27" ht="30" hidden="1" customHeight="1" x14ac:dyDescent="0.25">
      <c r="A77" s="60"/>
      <c r="B77" s="51"/>
      <c r="C77" s="51"/>
      <c r="D77" s="51"/>
      <c r="E77" s="63" t="s">
        <v>454</v>
      </c>
      <c r="F77" s="422">
        <v>2022</v>
      </c>
      <c r="G77" s="135" t="s">
        <v>1204</v>
      </c>
      <c r="H77" s="422"/>
      <c r="I77" s="135" t="s">
        <v>460</v>
      </c>
      <c r="J77" s="135" t="s">
        <v>963</v>
      </c>
      <c r="K77" s="135" t="s">
        <v>461</v>
      </c>
      <c r="L77" s="135" t="s">
        <v>253</v>
      </c>
      <c r="M77" s="135" t="s">
        <v>494</v>
      </c>
      <c r="N77" s="135" t="s">
        <v>965</v>
      </c>
      <c r="O77" s="135" t="s">
        <v>495</v>
      </c>
      <c r="P77" s="135" t="s">
        <v>459</v>
      </c>
      <c r="Q77" s="135">
        <v>2035.59</v>
      </c>
      <c r="R77" s="187">
        <v>600</v>
      </c>
      <c r="S77" s="56"/>
      <c r="T77" s="56"/>
      <c r="U77" s="56"/>
      <c r="V77" s="56"/>
      <c r="W77" s="56"/>
      <c r="X77" s="56"/>
      <c r="Y77" s="56"/>
      <c r="Z77" s="56"/>
      <c r="AA77" s="56"/>
    </row>
    <row r="78" spans="1:27" ht="30" hidden="1" customHeight="1" x14ac:dyDescent="0.25">
      <c r="A78" s="60"/>
      <c r="B78" s="51"/>
      <c r="C78" s="51"/>
      <c r="D78" s="51"/>
      <c r="E78" s="63" t="s">
        <v>454</v>
      </c>
      <c r="F78" s="422">
        <v>2022</v>
      </c>
      <c r="G78" s="135" t="s">
        <v>1204</v>
      </c>
      <c r="H78" s="422"/>
      <c r="I78" s="135" t="s">
        <v>460</v>
      </c>
      <c r="J78" s="135" t="s">
        <v>963</v>
      </c>
      <c r="K78" s="135" t="s">
        <v>461</v>
      </c>
      <c r="L78" s="135" t="s">
        <v>253</v>
      </c>
      <c r="M78" s="135" t="s">
        <v>258</v>
      </c>
      <c r="N78" s="135" t="s">
        <v>964</v>
      </c>
      <c r="O78" s="135" t="s">
        <v>493</v>
      </c>
      <c r="P78" s="135" t="s">
        <v>459</v>
      </c>
      <c r="Q78" s="135">
        <v>1872.57</v>
      </c>
      <c r="R78" s="187">
        <v>601</v>
      </c>
      <c r="S78" s="56"/>
      <c r="T78" s="56"/>
      <c r="U78" s="56"/>
      <c r="V78" s="56"/>
      <c r="W78" s="56"/>
      <c r="X78" s="56"/>
      <c r="Y78" s="56"/>
      <c r="Z78" s="56"/>
      <c r="AA78" s="56"/>
    </row>
    <row r="79" spans="1:27" ht="30" hidden="1" customHeight="1" x14ac:dyDescent="0.25">
      <c r="A79" s="60"/>
      <c r="B79" s="51"/>
      <c r="C79" s="51"/>
      <c r="D79" s="51"/>
      <c r="E79" s="63" t="s">
        <v>454</v>
      </c>
      <c r="F79" s="422">
        <v>2022</v>
      </c>
      <c r="G79" s="135" t="s">
        <v>1204</v>
      </c>
      <c r="H79" s="422"/>
      <c r="I79" s="135" t="s">
        <v>460</v>
      </c>
      <c r="J79" s="135" t="s">
        <v>963</v>
      </c>
      <c r="K79" s="135" t="s">
        <v>474</v>
      </c>
      <c r="L79" s="135" t="s">
        <v>95</v>
      </c>
      <c r="M79" s="135" t="s">
        <v>496</v>
      </c>
      <c r="N79" s="135" t="s">
        <v>965</v>
      </c>
      <c r="O79" s="135" t="s">
        <v>496</v>
      </c>
      <c r="P79" s="135" t="s">
        <v>459</v>
      </c>
      <c r="Q79" s="135">
        <v>2003.63</v>
      </c>
      <c r="R79" s="187">
        <v>599</v>
      </c>
      <c r="S79" s="56"/>
      <c r="T79" s="56"/>
      <c r="U79" s="56"/>
      <c r="V79" s="56"/>
      <c r="W79" s="56"/>
      <c r="X79" s="56"/>
      <c r="Y79" s="56"/>
      <c r="Z79" s="56"/>
      <c r="AA79" s="56"/>
    </row>
    <row r="80" spans="1:27" ht="30" hidden="1" customHeight="1" x14ac:dyDescent="0.25">
      <c r="A80" s="60"/>
      <c r="B80" s="51"/>
      <c r="C80" s="51"/>
      <c r="D80" s="51"/>
      <c r="E80" s="63" t="s">
        <v>454</v>
      </c>
      <c r="F80" s="422">
        <v>2022</v>
      </c>
      <c r="G80" s="135" t="s">
        <v>1204</v>
      </c>
      <c r="H80" s="422"/>
      <c r="I80" s="135" t="s">
        <v>460</v>
      </c>
      <c r="J80" s="135" t="s">
        <v>963</v>
      </c>
      <c r="K80" s="135" t="s">
        <v>461</v>
      </c>
      <c r="L80" s="135" t="s">
        <v>253</v>
      </c>
      <c r="M80" s="135" t="s">
        <v>497</v>
      </c>
      <c r="N80" s="135" t="s">
        <v>965</v>
      </c>
      <c r="O80" s="135" t="s">
        <v>498</v>
      </c>
      <c r="P80" s="135" t="s">
        <v>464</v>
      </c>
      <c r="Q80" s="135">
        <v>2090.29</v>
      </c>
      <c r="R80" s="187">
        <v>598</v>
      </c>
      <c r="S80" s="56"/>
      <c r="T80" s="56"/>
      <c r="U80" s="56"/>
      <c r="V80" s="56"/>
      <c r="W80" s="56"/>
      <c r="X80" s="56"/>
      <c r="Y80" s="56"/>
      <c r="Z80" s="56"/>
      <c r="AA80" s="56"/>
    </row>
    <row r="81" spans="1:27" ht="30" hidden="1" customHeight="1" x14ac:dyDescent="0.25">
      <c r="A81" s="60"/>
      <c r="B81" s="51"/>
      <c r="C81" s="51"/>
      <c r="D81" s="51"/>
      <c r="E81" s="63" t="s">
        <v>452</v>
      </c>
      <c r="F81" s="422">
        <v>2022</v>
      </c>
      <c r="G81" s="135" t="s">
        <v>1204</v>
      </c>
      <c r="H81" s="422"/>
      <c r="I81" s="135" t="s">
        <v>460</v>
      </c>
      <c r="J81" s="135" t="s">
        <v>966</v>
      </c>
      <c r="K81" s="135" t="s">
        <v>492</v>
      </c>
      <c r="L81" s="135" t="s">
        <v>968</v>
      </c>
      <c r="M81" s="135" t="s">
        <v>155</v>
      </c>
      <c r="N81" s="135" t="s">
        <v>964</v>
      </c>
      <c r="O81" s="135" t="s">
        <v>156</v>
      </c>
      <c r="P81" s="135" t="s">
        <v>459</v>
      </c>
      <c r="Q81" s="135">
        <v>338.06</v>
      </c>
      <c r="R81" s="187">
        <v>597</v>
      </c>
      <c r="S81" s="56"/>
      <c r="T81" s="56"/>
      <c r="U81" s="56"/>
      <c r="V81" s="56"/>
      <c r="W81" s="56"/>
      <c r="X81" s="56"/>
      <c r="Y81" s="56"/>
      <c r="Z81" s="56"/>
      <c r="AA81" s="56"/>
    </row>
    <row r="82" spans="1:27" ht="30" hidden="1" customHeight="1" x14ac:dyDescent="0.25">
      <c r="A82" s="60"/>
      <c r="B82" s="51"/>
      <c r="C82" s="51"/>
      <c r="D82" s="51"/>
      <c r="E82" s="63" t="s">
        <v>452</v>
      </c>
      <c r="F82" s="422">
        <v>2022</v>
      </c>
      <c r="G82" s="135" t="s">
        <v>1204</v>
      </c>
      <c r="H82" s="422"/>
      <c r="I82" s="135" t="s">
        <v>460</v>
      </c>
      <c r="J82" s="135" t="s">
        <v>966</v>
      </c>
      <c r="K82" s="135" t="s">
        <v>499</v>
      </c>
      <c r="L82" s="135" t="s">
        <v>88</v>
      </c>
      <c r="M82" s="135" t="s">
        <v>500</v>
      </c>
      <c r="N82" s="135" t="s">
        <v>964</v>
      </c>
      <c r="O82" s="135" t="s">
        <v>233</v>
      </c>
      <c r="P82" s="135" t="s">
        <v>459</v>
      </c>
      <c r="Q82" s="135">
        <v>215</v>
      </c>
      <c r="R82" s="187">
        <v>596</v>
      </c>
      <c r="S82" s="56"/>
      <c r="T82" s="56"/>
      <c r="U82" s="56"/>
      <c r="V82" s="56"/>
      <c r="W82" s="56"/>
      <c r="X82" s="56"/>
      <c r="Y82" s="56"/>
      <c r="Z82" s="56"/>
      <c r="AA82" s="56"/>
    </row>
    <row r="83" spans="1:27" ht="30" hidden="1" customHeight="1" x14ac:dyDescent="0.25">
      <c r="A83" s="60"/>
      <c r="B83" s="51"/>
      <c r="C83" s="51"/>
      <c r="D83" s="51"/>
      <c r="E83" s="63" t="s">
        <v>454</v>
      </c>
      <c r="F83" s="422">
        <v>2022</v>
      </c>
      <c r="G83" s="135" t="s">
        <v>1205</v>
      </c>
      <c r="H83" s="422"/>
      <c r="I83" s="135" t="s">
        <v>460</v>
      </c>
      <c r="J83" s="135" t="s">
        <v>966</v>
      </c>
      <c r="K83" s="135" t="s">
        <v>499</v>
      </c>
      <c r="L83" s="135" t="s">
        <v>88</v>
      </c>
      <c r="M83" s="135" t="s">
        <v>501</v>
      </c>
      <c r="N83" s="135" t="s">
        <v>965</v>
      </c>
      <c r="O83" s="135" t="s">
        <v>502</v>
      </c>
      <c r="P83" s="135" t="s">
        <v>459</v>
      </c>
      <c r="Q83" s="135">
        <v>2577.25</v>
      </c>
      <c r="R83" s="187">
        <v>595</v>
      </c>
      <c r="S83" s="56"/>
      <c r="T83" s="56"/>
      <c r="U83" s="56"/>
      <c r="V83" s="56"/>
      <c r="W83" s="56"/>
      <c r="X83" s="56"/>
      <c r="Y83" s="56"/>
      <c r="Z83" s="56"/>
      <c r="AA83" s="56"/>
    </row>
    <row r="84" spans="1:27" ht="30" hidden="1" customHeight="1" x14ac:dyDescent="0.25">
      <c r="A84" s="60"/>
      <c r="B84" s="51"/>
      <c r="C84" s="51"/>
      <c r="D84" s="51"/>
      <c r="E84" s="63" t="s">
        <v>451</v>
      </c>
      <c r="F84" s="422">
        <v>2022</v>
      </c>
      <c r="G84" s="135" t="s">
        <v>1205</v>
      </c>
      <c r="H84" s="422"/>
      <c r="I84" s="135" t="s">
        <v>460</v>
      </c>
      <c r="J84" s="135" t="s">
        <v>963</v>
      </c>
      <c r="K84" s="135" t="s">
        <v>461</v>
      </c>
      <c r="L84" s="135" t="s">
        <v>253</v>
      </c>
      <c r="M84" s="135" t="s">
        <v>256</v>
      </c>
      <c r="N84" s="135" t="s">
        <v>965</v>
      </c>
      <c r="O84" s="135" t="s">
        <v>257</v>
      </c>
      <c r="P84" s="135" t="s">
        <v>459</v>
      </c>
      <c r="Q84" s="135">
        <v>638</v>
      </c>
      <c r="R84" s="187">
        <v>594</v>
      </c>
      <c r="S84" s="56"/>
      <c r="T84" s="56"/>
      <c r="U84" s="56"/>
      <c r="V84" s="56"/>
      <c r="W84" s="56"/>
      <c r="X84" s="56"/>
      <c r="Y84" s="56"/>
      <c r="Z84" s="56"/>
      <c r="AA84" s="56"/>
    </row>
    <row r="85" spans="1:27" ht="30" hidden="1" customHeight="1" x14ac:dyDescent="0.25">
      <c r="A85" s="60"/>
      <c r="B85" s="51"/>
      <c r="C85" s="51"/>
      <c r="D85" s="51"/>
      <c r="E85" s="63" t="s">
        <v>454</v>
      </c>
      <c r="F85" s="422">
        <v>2021</v>
      </c>
      <c r="G85" s="135" t="s">
        <v>1206</v>
      </c>
      <c r="H85" s="422"/>
      <c r="I85" s="135" t="s">
        <v>460</v>
      </c>
      <c r="J85" s="135" t="s">
        <v>969</v>
      </c>
      <c r="K85" s="135" t="s">
        <v>503</v>
      </c>
      <c r="L85" s="135" t="s">
        <v>970</v>
      </c>
      <c r="M85" s="135" t="s">
        <v>504</v>
      </c>
      <c r="N85" s="135" t="s">
        <v>965</v>
      </c>
      <c r="O85" s="135" t="s">
        <v>505</v>
      </c>
      <c r="P85" s="135" t="s">
        <v>459</v>
      </c>
      <c r="Q85" s="135">
        <v>2334.04</v>
      </c>
      <c r="R85" s="187">
        <v>593</v>
      </c>
      <c r="S85" s="56"/>
      <c r="T85" s="56"/>
      <c r="U85" s="56"/>
      <c r="V85" s="56"/>
      <c r="W85" s="56"/>
      <c r="X85" s="56"/>
      <c r="Y85" s="56"/>
      <c r="Z85" s="56"/>
      <c r="AA85" s="56"/>
    </row>
    <row r="86" spans="1:27" ht="30" hidden="1" customHeight="1" x14ac:dyDescent="0.25">
      <c r="A86" s="60"/>
      <c r="B86" s="51"/>
      <c r="C86" s="51"/>
      <c r="D86" s="51"/>
      <c r="E86" s="63" t="s">
        <v>454</v>
      </c>
      <c r="F86" s="422">
        <v>2021</v>
      </c>
      <c r="G86" s="135" t="s">
        <v>1206</v>
      </c>
      <c r="H86" s="422"/>
      <c r="I86" s="135" t="s">
        <v>460</v>
      </c>
      <c r="J86" s="135" t="s">
        <v>963</v>
      </c>
      <c r="K86" s="135" t="s">
        <v>461</v>
      </c>
      <c r="L86" s="135" t="s">
        <v>253</v>
      </c>
      <c r="M86" s="135" t="s">
        <v>506</v>
      </c>
      <c r="N86" s="135" t="s">
        <v>965</v>
      </c>
      <c r="O86" s="135" t="s">
        <v>507</v>
      </c>
      <c r="P86" s="135" t="s">
        <v>459</v>
      </c>
      <c r="Q86" s="135">
        <v>1435.19</v>
      </c>
      <c r="R86" s="187">
        <v>592</v>
      </c>
      <c r="S86" s="56"/>
      <c r="T86" s="56"/>
      <c r="U86" s="56"/>
      <c r="V86" s="56"/>
      <c r="W86" s="56"/>
      <c r="X86" s="56"/>
      <c r="Y86" s="56"/>
      <c r="Z86" s="56"/>
      <c r="AA86" s="56"/>
    </row>
    <row r="87" spans="1:27" ht="30" hidden="1" customHeight="1" x14ac:dyDescent="0.25">
      <c r="A87" s="60"/>
      <c r="B87" s="51"/>
      <c r="C87" s="51"/>
      <c r="D87" s="51"/>
      <c r="E87" s="63" t="s">
        <v>452</v>
      </c>
      <c r="F87" s="422">
        <v>2021</v>
      </c>
      <c r="G87" s="135" t="s">
        <v>1207</v>
      </c>
      <c r="H87" s="422"/>
      <c r="I87" s="135" t="s">
        <v>460</v>
      </c>
      <c r="J87" s="135" t="s">
        <v>966</v>
      </c>
      <c r="K87" s="135" t="s">
        <v>469</v>
      </c>
      <c r="L87" s="135" t="s">
        <v>85</v>
      </c>
      <c r="M87" s="135" t="s">
        <v>85</v>
      </c>
      <c r="N87" s="135" t="s">
        <v>964</v>
      </c>
      <c r="O87" s="135" t="s">
        <v>288</v>
      </c>
      <c r="P87" s="135" t="s">
        <v>459</v>
      </c>
      <c r="Q87" s="135">
        <v>255.5</v>
      </c>
      <c r="R87" s="187">
        <v>591</v>
      </c>
      <c r="S87" s="56"/>
      <c r="T87" s="56"/>
      <c r="U87" s="56"/>
      <c r="V87" s="56"/>
      <c r="W87" s="56"/>
      <c r="X87" s="56"/>
      <c r="Y87" s="56"/>
      <c r="Z87" s="56"/>
      <c r="AA87" s="56"/>
    </row>
    <row r="88" spans="1:27" ht="30" hidden="1" customHeight="1" x14ac:dyDescent="0.25">
      <c r="A88" s="60"/>
      <c r="B88" s="51"/>
      <c r="C88" s="51"/>
      <c r="D88" s="51"/>
      <c r="E88" s="63" t="s">
        <v>454</v>
      </c>
      <c r="F88" s="422">
        <v>2021</v>
      </c>
      <c r="G88" s="135" t="s">
        <v>1207</v>
      </c>
      <c r="H88" s="422"/>
      <c r="I88" s="135" t="s">
        <v>460</v>
      </c>
      <c r="J88" s="135" t="s">
        <v>967</v>
      </c>
      <c r="K88" s="135" t="s">
        <v>478</v>
      </c>
      <c r="L88" s="135" t="s">
        <v>207</v>
      </c>
      <c r="M88" s="135" t="s">
        <v>211</v>
      </c>
      <c r="N88" s="135" t="s">
        <v>964</v>
      </c>
      <c r="O88" s="135" t="s">
        <v>508</v>
      </c>
      <c r="P88" s="135" t="s">
        <v>459</v>
      </c>
      <c r="Q88" s="135">
        <v>1136.9099999999999</v>
      </c>
      <c r="R88" s="187">
        <v>590</v>
      </c>
      <c r="S88" s="56"/>
      <c r="T88" s="56"/>
      <c r="U88" s="56"/>
      <c r="V88" s="56"/>
      <c r="W88" s="56"/>
      <c r="X88" s="56"/>
      <c r="Y88" s="56"/>
      <c r="Z88" s="56"/>
      <c r="AA88" s="56"/>
    </row>
    <row r="89" spans="1:27" ht="30" hidden="1" customHeight="1" x14ac:dyDescent="0.25">
      <c r="A89" s="60"/>
      <c r="B89" s="51"/>
      <c r="C89" s="51"/>
      <c r="D89" s="51"/>
      <c r="E89" s="63" t="s">
        <v>454</v>
      </c>
      <c r="F89" s="422">
        <v>2021</v>
      </c>
      <c r="G89" s="135" t="s">
        <v>1208</v>
      </c>
      <c r="H89" s="422"/>
      <c r="I89" s="135" t="s">
        <v>460</v>
      </c>
      <c r="J89" s="135" t="s">
        <v>969</v>
      </c>
      <c r="K89" s="135" t="s">
        <v>509</v>
      </c>
      <c r="L89" s="135" t="s">
        <v>157</v>
      </c>
      <c r="M89" s="135" t="s">
        <v>510</v>
      </c>
      <c r="N89" s="135" t="s">
        <v>965</v>
      </c>
      <c r="O89" s="135" t="s">
        <v>511</v>
      </c>
      <c r="P89" s="135" t="s">
        <v>459</v>
      </c>
      <c r="Q89" s="135">
        <v>1698.69</v>
      </c>
      <c r="R89" s="187">
        <v>589</v>
      </c>
      <c r="S89" s="56"/>
      <c r="T89" s="56"/>
      <c r="U89" s="56"/>
      <c r="V89" s="56"/>
      <c r="W89" s="56"/>
      <c r="X89" s="56"/>
      <c r="Y89" s="56"/>
      <c r="Z89" s="56"/>
      <c r="AA89" s="56"/>
    </row>
    <row r="90" spans="1:27" ht="30" hidden="1" customHeight="1" x14ac:dyDescent="0.25">
      <c r="A90" s="60"/>
      <c r="B90" s="51"/>
      <c r="C90" s="51"/>
      <c r="D90" s="51"/>
      <c r="E90" s="63" t="s">
        <v>454</v>
      </c>
      <c r="F90" s="422">
        <v>2021</v>
      </c>
      <c r="G90" s="135" t="s">
        <v>1208</v>
      </c>
      <c r="H90" s="422">
        <v>2024</v>
      </c>
      <c r="I90" s="135" t="s">
        <v>460</v>
      </c>
      <c r="J90" s="135" t="s">
        <v>967</v>
      </c>
      <c r="K90" s="135" t="s">
        <v>480</v>
      </c>
      <c r="L90" s="135" t="s">
        <v>102</v>
      </c>
      <c r="M90" s="135" t="s">
        <v>103</v>
      </c>
      <c r="N90" s="135" t="s">
        <v>964</v>
      </c>
      <c r="O90" s="135" t="s">
        <v>512</v>
      </c>
      <c r="P90" s="135" t="s">
        <v>459</v>
      </c>
      <c r="Q90" s="135">
        <v>2006.87</v>
      </c>
      <c r="R90" s="187">
        <v>588</v>
      </c>
      <c r="S90" s="56"/>
      <c r="T90" s="56"/>
      <c r="U90" s="56"/>
      <c r="V90" s="56"/>
      <c r="W90" s="56"/>
      <c r="X90" s="56"/>
      <c r="Y90" s="56"/>
      <c r="Z90" s="56"/>
      <c r="AA90" s="56"/>
    </row>
    <row r="91" spans="1:27" ht="30" hidden="1" customHeight="1" x14ac:dyDescent="0.25">
      <c r="A91" s="60"/>
      <c r="B91" s="51"/>
      <c r="C91" s="51"/>
      <c r="D91" s="51"/>
      <c r="E91" s="63" t="s">
        <v>451</v>
      </c>
      <c r="F91" s="422">
        <v>2021</v>
      </c>
      <c r="G91" s="135" t="s">
        <v>1208</v>
      </c>
      <c r="H91" s="422"/>
      <c r="I91" s="135" t="s">
        <v>460</v>
      </c>
      <c r="J91" s="135" t="s">
        <v>963</v>
      </c>
      <c r="K91" s="135" t="s">
        <v>465</v>
      </c>
      <c r="L91" s="135" t="s">
        <v>106</v>
      </c>
      <c r="M91" s="135" t="s">
        <v>268</v>
      </c>
      <c r="N91" s="135" t="s">
        <v>964</v>
      </c>
      <c r="O91" s="135" t="s">
        <v>513</v>
      </c>
      <c r="P91" s="135" t="s">
        <v>459</v>
      </c>
      <c r="Q91" s="135">
        <v>786.24</v>
      </c>
      <c r="R91" s="187">
        <v>588</v>
      </c>
      <c r="S91" s="56"/>
      <c r="T91" s="56"/>
      <c r="U91" s="56"/>
      <c r="V91" s="56"/>
      <c r="W91" s="56"/>
      <c r="X91" s="56"/>
      <c r="Y91" s="56"/>
      <c r="Z91" s="56"/>
      <c r="AA91" s="56"/>
    </row>
    <row r="92" spans="1:27" ht="30" hidden="1" customHeight="1" x14ac:dyDescent="0.25">
      <c r="A92" s="60"/>
      <c r="B92" s="51"/>
      <c r="C92" s="51"/>
      <c r="D92" s="51"/>
      <c r="E92" s="63" t="s">
        <v>454</v>
      </c>
      <c r="F92" s="422">
        <v>2021</v>
      </c>
      <c r="G92" s="135" t="s">
        <v>1208</v>
      </c>
      <c r="H92" s="422"/>
      <c r="I92" s="135" t="s">
        <v>460</v>
      </c>
      <c r="J92" s="135" t="s">
        <v>963</v>
      </c>
      <c r="K92" s="135" t="s">
        <v>474</v>
      </c>
      <c r="L92" s="135" t="s">
        <v>95</v>
      </c>
      <c r="M92" s="135" t="s">
        <v>98</v>
      </c>
      <c r="N92" s="135" t="s">
        <v>965</v>
      </c>
      <c r="O92" s="135" t="s">
        <v>514</v>
      </c>
      <c r="P92" s="135" t="s">
        <v>459</v>
      </c>
      <c r="Q92" s="135">
        <v>1884.6499999999999</v>
      </c>
      <c r="R92" s="187">
        <v>587</v>
      </c>
      <c r="S92" s="56"/>
      <c r="T92" s="56"/>
      <c r="U92" s="56"/>
      <c r="V92" s="56"/>
      <c r="W92" s="56"/>
      <c r="X92" s="56"/>
      <c r="Y92" s="56"/>
      <c r="Z92" s="56"/>
      <c r="AA92" s="56"/>
    </row>
    <row r="93" spans="1:27" ht="30" hidden="1" customHeight="1" x14ac:dyDescent="0.25">
      <c r="A93" s="60"/>
      <c r="B93" s="51"/>
      <c r="C93" s="51"/>
      <c r="D93" s="51"/>
      <c r="E93" s="63" t="s">
        <v>454</v>
      </c>
      <c r="F93" s="422">
        <v>2021</v>
      </c>
      <c r="G93" s="135" t="s">
        <v>1208</v>
      </c>
      <c r="H93" s="422"/>
      <c r="I93" s="135" t="s">
        <v>460</v>
      </c>
      <c r="J93" s="135" t="s">
        <v>966</v>
      </c>
      <c r="K93" s="135" t="s">
        <v>499</v>
      </c>
      <c r="L93" s="135" t="s">
        <v>88</v>
      </c>
      <c r="M93" s="135" t="s">
        <v>515</v>
      </c>
      <c r="N93" s="135" t="s">
        <v>965</v>
      </c>
      <c r="O93" s="135" t="s">
        <v>516</v>
      </c>
      <c r="P93" s="135" t="s">
        <v>459</v>
      </c>
      <c r="Q93" s="135">
        <v>1805.8600000000001</v>
      </c>
      <c r="R93" s="187">
        <v>586</v>
      </c>
      <c r="S93" s="56"/>
      <c r="T93" s="56"/>
      <c r="U93" s="56"/>
      <c r="V93" s="56"/>
      <c r="W93" s="56"/>
      <c r="X93" s="56"/>
      <c r="Y93" s="56"/>
      <c r="Z93" s="56"/>
      <c r="AA93" s="56"/>
    </row>
    <row r="94" spans="1:27" ht="30" hidden="1" customHeight="1" x14ac:dyDescent="0.25">
      <c r="A94" s="60"/>
      <c r="B94" s="51"/>
      <c r="C94" s="51"/>
      <c r="D94" s="51"/>
      <c r="E94" s="63" t="s">
        <v>454</v>
      </c>
      <c r="F94" s="422">
        <v>2021</v>
      </c>
      <c r="G94" s="135" t="s">
        <v>1208</v>
      </c>
      <c r="H94" s="422"/>
      <c r="I94" s="135" t="s">
        <v>460</v>
      </c>
      <c r="J94" s="135" t="s">
        <v>966</v>
      </c>
      <c r="K94" s="135" t="s">
        <v>469</v>
      </c>
      <c r="L94" s="135" t="s">
        <v>85</v>
      </c>
      <c r="M94" s="135" t="s">
        <v>517</v>
      </c>
      <c r="N94" s="135" t="s">
        <v>965</v>
      </c>
      <c r="O94" s="135" t="s">
        <v>518</v>
      </c>
      <c r="P94" s="135" t="s">
        <v>464</v>
      </c>
      <c r="Q94" s="135">
        <v>2178.58</v>
      </c>
      <c r="R94" s="187">
        <v>586</v>
      </c>
      <c r="S94" s="56"/>
      <c r="T94" s="56"/>
      <c r="U94" s="56"/>
      <c r="V94" s="56"/>
      <c r="W94" s="56"/>
      <c r="X94" s="56"/>
      <c r="Y94" s="56"/>
      <c r="Z94" s="56"/>
      <c r="AA94" s="56"/>
    </row>
    <row r="95" spans="1:27" ht="30" hidden="1" customHeight="1" x14ac:dyDescent="0.25">
      <c r="A95" s="60"/>
      <c r="B95" s="51"/>
      <c r="C95" s="51"/>
      <c r="D95" s="51"/>
      <c r="E95" s="63" t="s">
        <v>452</v>
      </c>
      <c r="F95" s="422">
        <v>2021</v>
      </c>
      <c r="G95" s="135" t="s">
        <v>1208</v>
      </c>
      <c r="H95" s="422"/>
      <c r="I95" s="135" t="s">
        <v>460</v>
      </c>
      <c r="J95" s="135" t="s">
        <v>969</v>
      </c>
      <c r="K95" s="135" t="s">
        <v>519</v>
      </c>
      <c r="L95" s="135" t="s">
        <v>186</v>
      </c>
      <c r="M95" s="135" t="s">
        <v>187</v>
      </c>
      <c r="N95" s="135" t="s">
        <v>964</v>
      </c>
      <c r="O95" s="135" t="s">
        <v>520</v>
      </c>
      <c r="P95" s="135" t="s">
        <v>459</v>
      </c>
      <c r="Q95" s="135">
        <v>256.2</v>
      </c>
      <c r="R95" s="187">
        <v>584</v>
      </c>
      <c r="S95" s="56"/>
      <c r="T95" s="56"/>
      <c r="U95" s="56"/>
      <c r="V95" s="56"/>
      <c r="W95" s="56"/>
      <c r="X95" s="56"/>
      <c r="Y95" s="56"/>
      <c r="Z95" s="56"/>
      <c r="AA95" s="56"/>
    </row>
    <row r="96" spans="1:27" ht="30" customHeight="1" x14ac:dyDescent="0.25">
      <c r="A96" s="60"/>
      <c r="B96" s="51"/>
      <c r="C96" s="51"/>
      <c r="D96" s="51"/>
      <c r="E96" s="63" t="s">
        <v>454</v>
      </c>
      <c r="F96" s="422">
        <v>2021</v>
      </c>
      <c r="G96" s="135" t="s">
        <v>1208</v>
      </c>
      <c r="H96" s="422">
        <v>2023</v>
      </c>
      <c r="I96" s="135" t="s">
        <v>460</v>
      </c>
      <c r="J96" s="135" t="s">
        <v>966</v>
      </c>
      <c r="K96" s="135" t="s">
        <v>499</v>
      </c>
      <c r="L96" s="135" t="s">
        <v>88</v>
      </c>
      <c r="M96" s="135" t="s">
        <v>500</v>
      </c>
      <c r="N96" s="135" t="s">
        <v>964</v>
      </c>
      <c r="O96" s="135" t="s">
        <v>521</v>
      </c>
      <c r="P96" s="135" t="s">
        <v>464</v>
      </c>
      <c r="Q96" s="135">
        <v>3431.85</v>
      </c>
      <c r="R96" s="187">
        <v>583</v>
      </c>
      <c r="S96" s="56"/>
      <c r="T96" s="56"/>
      <c r="U96" s="56"/>
      <c r="V96" s="56"/>
      <c r="W96" s="56"/>
      <c r="X96" s="56"/>
      <c r="Y96" s="56"/>
      <c r="Z96" s="56"/>
      <c r="AA96" s="56"/>
    </row>
    <row r="97" spans="1:27" ht="30" hidden="1" customHeight="1" x14ac:dyDescent="0.25">
      <c r="A97" s="60"/>
      <c r="B97" s="51"/>
      <c r="C97" s="51"/>
      <c r="D97" s="51"/>
      <c r="E97" s="63" t="s">
        <v>454</v>
      </c>
      <c r="F97" s="422">
        <v>2021</v>
      </c>
      <c r="G97" s="135" t="s">
        <v>1208</v>
      </c>
      <c r="H97" s="422"/>
      <c r="I97" s="135" t="s">
        <v>460</v>
      </c>
      <c r="J97" s="135" t="s">
        <v>966</v>
      </c>
      <c r="K97" s="135" t="s">
        <v>469</v>
      </c>
      <c r="L97" s="135" t="s">
        <v>85</v>
      </c>
      <c r="M97" s="135" t="s">
        <v>322</v>
      </c>
      <c r="N97" s="135" t="s">
        <v>965</v>
      </c>
      <c r="O97" s="135" t="s">
        <v>522</v>
      </c>
      <c r="P97" s="135" t="s">
        <v>459</v>
      </c>
      <c r="Q97" s="135">
        <v>2050.15</v>
      </c>
      <c r="R97" s="187">
        <v>583</v>
      </c>
      <c r="S97" s="56"/>
      <c r="T97" s="56"/>
      <c r="U97" s="56"/>
      <c r="V97" s="56"/>
      <c r="W97" s="56"/>
      <c r="X97" s="56"/>
      <c r="Y97" s="56"/>
      <c r="Z97" s="56"/>
      <c r="AA97" s="56"/>
    </row>
    <row r="98" spans="1:27" ht="30" hidden="1" customHeight="1" x14ac:dyDescent="0.25">
      <c r="A98" s="60"/>
      <c r="B98" s="51"/>
      <c r="C98" s="51"/>
      <c r="D98" s="51"/>
      <c r="E98" s="63" t="s">
        <v>454</v>
      </c>
      <c r="F98" s="422">
        <v>2021</v>
      </c>
      <c r="G98" s="135" t="s">
        <v>1208</v>
      </c>
      <c r="H98" s="422"/>
      <c r="I98" s="135" t="s">
        <v>460</v>
      </c>
      <c r="J98" s="135" t="s">
        <v>963</v>
      </c>
      <c r="K98" s="135" t="s">
        <v>461</v>
      </c>
      <c r="L98" s="135" t="s">
        <v>253</v>
      </c>
      <c r="M98" s="135" t="s">
        <v>523</v>
      </c>
      <c r="N98" s="135" t="s">
        <v>965</v>
      </c>
      <c r="O98" s="135" t="s">
        <v>524</v>
      </c>
      <c r="P98" s="135" t="s">
        <v>464</v>
      </c>
      <c r="Q98" s="135">
        <v>1844.77</v>
      </c>
      <c r="R98" s="187">
        <v>583</v>
      </c>
      <c r="S98" s="56"/>
      <c r="T98" s="56"/>
      <c r="U98" s="56"/>
      <c r="V98" s="56"/>
      <c r="W98" s="56"/>
      <c r="X98" s="56"/>
      <c r="Y98" s="56"/>
      <c r="Z98" s="56"/>
      <c r="AA98" s="56"/>
    </row>
    <row r="99" spans="1:27" ht="30" hidden="1" customHeight="1" x14ac:dyDescent="0.25">
      <c r="A99" s="60"/>
      <c r="B99" s="51"/>
      <c r="C99" s="51"/>
      <c r="D99" s="51"/>
      <c r="E99" s="63" t="s">
        <v>454</v>
      </c>
      <c r="F99" s="422">
        <v>2021</v>
      </c>
      <c r="G99" s="135" t="s">
        <v>1208</v>
      </c>
      <c r="H99" s="422"/>
      <c r="I99" s="135" t="s">
        <v>460</v>
      </c>
      <c r="J99" s="135" t="s">
        <v>966</v>
      </c>
      <c r="K99" s="135" t="s">
        <v>499</v>
      </c>
      <c r="L99" s="135" t="s">
        <v>88</v>
      </c>
      <c r="M99" s="135" t="s">
        <v>525</v>
      </c>
      <c r="N99" s="135" t="s">
        <v>965</v>
      </c>
      <c r="O99" s="135" t="s">
        <v>526</v>
      </c>
      <c r="P99" s="135" t="s">
        <v>459</v>
      </c>
      <c r="Q99" s="135">
        <v>1587.06</v>
      </c>
      <c r="R99" s="187">
        <v>581</v>
      </c>
      <c r="S99" s="56"/>
      <c r="T99" s="56"/>
      <c r="U99" s="56"/>
      <c r="V99" s="56"/>
      <c r="W99" s="56"/>
      <c r="X99" s="56"/>
      <c r="Y99" s="56"/>
      <c r="Z99" s="56"/>
      <c r="AA99" s="56"/>
    </row>
    <row r="100" spans="1:27" ht="30" hidden="1" customHeight="1" x14ac:dyDescent="0.25">
      <c r="A100" s="60"/>
      <c r="B100" s="51"/>
      <c r="C100" s="51"/>
      <c r="D100" s="51"/>
      <c r="E100" s="63" t="s">
        <v>451</v>
      </c>
      <c r="F100" s="422">
        <v>2021</v>
      </c>
      <c r="G100" s="135" t="s">
        <v>1208</v>
      </c>
      <c r="H100" s="422"/>
      <c r="I100" s="135" t="s">
        <v>460</v>
      </c>
      <c r="J100" s="135" t="s">
        <v>971</v>
      </c>
      <c r="K100" s="135" t="s">
        <v>527</v>
      </c>
      <c r="L100" s="135" t="s">
        <v>194</v>
      </c>
      <c r="M100" s="135" t="s">
        <v>196</v>
      </c>
      <c r="N100" s="135" t="s">
        <v>964</v>
      </c>
      <c r="O100" s="135" t="s">
        <v>528</v>
      </c>
      <c r="P100" s="135" t="s">
        <v>459</v>
      </c>
      <c r="Q100" s="135">
        <v>649.26</v>
      </c>
      <c r="R100" s="187">
        <v>580</v>
      </c>
      <c r="S100" s="56"/>
      <c r="T100" s="56"/>
      <c r="U100" s="56"/>
      <c r="V100" s="56"/>
      <c r="W100" s="56"/>
      <c r="X100" s="56"/>
      <c r="Y100" s="56"/>
      <c r="Z100" s="56"/>
      <c r="AA100" s="56"/>
    </row>
    <row r="101" spans="1:27" ht="30" customHeight="1" x14ac:dyDescent="0.25">
      <c r="A101" s="60"/>
      <c r="B101" s="51"/>
      <c r="C101" s="51"/>
      <c r="D101" s="51"/>
      <c r="E101" s="63" t="s">
        <v>454</v>
      </c>
      <c r="F101" s="422">
        <v>2021</v>
      </c>
      <c r="G101" s="135" t="s">
        <v>1208</v>
      </c>
      <c r="H101" s="422">
        <v>2023</v>
      </c>
      <c r="I101" s="135" t="s">
        <v>460</v>
      </c>
      <c r="J101" s="135" t="s">
        <v>963</v>
      </c>
      <c r="K101" s="135" t="s">
        <v>465</v>
      </c>
      <c r="L101" s="135" t="s">
        <v>106</v>
      </c>
      <c r="M101" s="135" t="s">
        <v>529</v>
      </c>
      <c r="N101" s="135" t="s">
        <v>965</v>
      </c>
      <c r="O101" s="135" t="s">
        <v>1335</v>
      </c>
      <c r="P101" s="135" t="s">
        <v>464</v>
      </c>
      <c r="Q101" s="135">
        <v>1750.06</v>
      </c>
      <c r="R101" s="187">
        <v>579</v>
      </c>
      <c r="S101" s="56"/>
      <c r="T101" s="56"/>
      <c r="U101" s="56"/>
      <c r="V101" s="56"/>
      <c r="W101" s="56"/>
      <c r="X101" s="56"/>
      <c r="Y101" s="56"/>
      <c r="Z101" s="56"/>
      <c r="AA101" s="56"/>
    </row>
    <row r="102" spans="1:27" ht="30" hidden="1" customHeight="1" x14ac:dyDescent="0.25">
      <c r="A102" s="60"/>
      <c r="B102" s="51"/>
      <c r="C102" s="51"/>
      <c r="D102" s="51"/>
      <c r="E102" s="63" t="s">
        <v>454</v>
      </c>
      <c r="F102" s="422">
        <v>2021</v>
      </c>
      <c r="G102" s="135" t="s">
        <v>1208</v>
      </c>
      <c r="H102" s="422"/>
      <c r="I102" s="135" t="s">
        <v>460</v>
      </c>
      <c r="J102" s="135" t="s">
        <v>963</v>
      </c>
      <c r="K102" s="135" t="s">
        <v>461</v>
      </c>
      <c r="L102" s="135" t="s">
        <v>253</v>
      </c>
      <c r="M102" s="135" t="s">
        <v>531</v>
      </c>
      <c r="N102" s="135" t="s">
        <v>965</v>
      </c>
      <c r="O102" s="135" t="s">
        <v>532</v>
      </c>
      <c r="P102" s="135" t="s">
        <v>464</v>
      </c>
      <c r="Q102" s="135">
        <v>1869.38</v>
      </c>
      <c r="R102" s="187">
        <v>579</v>
      </c>
      <c r="S102" s="56"/>
      <c r="T102" s="56"/>
      <c r="U102" s="56"/>
      <c r="V102" s="56"/>
      <c r="W102" s="56"/>
      <c r="X102" s="56"/>
      <c r="Y102" s="56"/>
      <c r="Z102" s="56"/>
      <c r="AA102" s="56"/>
    </row>
    <row r="103" spans="1:27" ht="30" hidden="1" customHeight="1" x14ac:dyDescent="0.25">
      <c r="A103" s="60"/>
      <c r="B103" s="51"/>
      <c r="C103" s="51"/>
      <c r="D103" s="51"/>
      <c r="E103" s="63" t="s">
        <v>454</v>
      </c>
      <c r="F103" s="422">
        <v>2021</v>
      </c>
      <c r="G103" s="135" t="s">
        <v>1208</v>
      </c>
      <c r="H103" s="422"/>
      <c r="I103" s="135" t="s">
        <v>460</v>
      </c>
      <c r="J103" s="135" t="s">
        <v>971</v>
      </c>
      <c r="K103" s="135" t="s">
        <v>530</v>
      </c>
      <c r="L103" s="135" t="s">
        <v>122</v>
      </c>
      <c r="M103" s="135" t="s">
        <v>123</v>
      </c>
      <c r="N103" s="135" t="s">
        <v>964</v>
      </c>
      <c r="O103" s="135" t="s">
        <v>125</v>
      </c>
      <c r="P103" s="135" t="s">
        <v>459</v>
      </c>
      <c r="Q103" s="135">
        <v>1980.82</v>
      </c>
      <c r="R103" s="187">
        <v>579</v>
      </c>
      <c r="S103" s="56"/>
      <c r="T103" s="56"/>
      <c r="U103" s="56"/>
      <c r="V103" s="56"/>
      <c r="W103" s="56"/>
      <c r="X103" s="56"/>
      <c r="Y103" s="56"/>
      <c r="Z103" s="56"/>
      <c r="AA103" s="56"/>
    </row>
    <row r="104" spans="1:27" ht="30" hidden="1" customHeight="1" x14ac:dyDescent="0.25">
      <c r="A104" s="60"/>
      <c r="B104" s="51"/>
      <c r="C104" s="51"/>
      <c r="D104" s="51"/>
      <c r="E104" s="63" t="s">
        <v>454</v>
      </c>
      <c r="F104" s="422">
        <v>2021</v>
      </c>
      <c r="G104" s="135" t="s">
        <v>1208</v>
      </c>
      <c r="H104" s="422"/>
      <c r="I104" s="135" t="s">
        <v>460</v>
      </c>
      <c r="J104" s="135" t="s">
        <v>966</v>
      </c>
      <c r="K104" s="135" t="s">
        <v>469</v>
      </c>
      <c r="L104" s="135" t="s">
        <v>85</v>
      </c>
      <c r="M104" s="135" t="s">
        <v>304</v>
      </c>
      <c r="N104" s="135" t="s">
        <v>965</v>
      </c>
      <c r="O104" s="135" t="s">
        <v>305</v>
      </c>
      <c r="P104" s="135" t="s">
        <v>459</v>
      </c>
      <c r="Q104" s="135">
        <v>1609.4999999999998</v>
      </c>
      <c r="R104" s="187">
        <v>577</v>
      </c>
      <c r="S104" s="56"/>
      <c r="T104" s="56"/>
      <c r="U104" s="56"/>
      <c r="V104" s="56"/>
      <c r="W104" s="56"/>
      <c r="X104" s="56"/>
      <c r="Y104" s="56"/>
      <c r="Z104" s="56"/>
      <c r="AA104" s="56"/>
    </row>
    <row r="105" spans="1:27" ht="30" hidden="1" customHeight="1" x14ac:dyDescent="0.25">
      <c r="A105" s="60"/>
      <c r="B105" s="51"/>
      <c r="C105" s="51"/>
      <c r="D105" s="51"/>
      <c r="E105" s="63" t="s">
        <v>451</v>
      </c>
      <c r="F105" s="422">
        <v>2021</v>
      </c>
      <c r="G105" s="135" t="s">
        <v>1208</v>
      </c>
      <c r="H105" s="422"/>
      <c r="I105" s="135" t="s">
        <v>460</v>
      </c>
      <c r="J105" s="135" t="s">
        <v>966</v>
      </c>
      <c r="K105" s="135" t="s">
        <v>469</v>
      </c>
      <c r="L105" s="135" t="s">
        <v>85</v>
      </c>
      <c r="M105" s="135" t="s">
        <v>85</v>
      </c>
      <c r="N105" s="135" t="s">
        <v>964</v>
      </c>
      <c r="O105" s="135" t="s">
        <v>533</v>
      </c>
      <c r="P105" s="135" t="s">
        <v>459</v>
      </c>
      <c r="Q105" s="135">
        <v>622.29999999999995</v>
      </c>
      <c r="R105" s="187">
        <v>576</v>
      </c>
      <c r="S105" s="56"/>
      <c r="T105" s="56"/>
      <c r="U105" s="56"/>
      <c r="V105" s="56"/>
      <c r="W105" s="56"/>
      <c r="X105" s="56"/>
      <c r="Y105" s="56"/>
      <c r="Z105" s="56"/>
      <c r="AA105" s="56"/>
    </row>
    <row r="106" spans="1:27" ht="30" hidden="1" customHeight="1" x14ac:dyDescent="0.25">
      <c r="A106" s="60"/>
      <c r="B106" s="51"/>
      <c r="C106" s="51"/>
      <c r="D106" s="51"/>
      <c r="E106" s="63" t="s">
        <v>452</v>
      </c>
      <c r="F106" s="422">
        <v>2021</v>
      </c>
      <c r="G106" s="135" t="s">
        <v>1208</v>
      </c>
      <c r="H106" s="422"/>
      <c r="I106" s="135" t="s">
        <v>460</v>
      </c>
      <c r="J106" s="135" t="s">
        <v>963</v>
      </c>
      <c r="K106" s="135" t="s">
        <v>474</v>
      </c>
      <c r="L106" s="135" t="s">
        <v>95</v>
      </c>
      <c r="M106" s="135" t="s">
        <v>96</v>
      </c>
      <c r="N106" s="135" t="s">
        <v>964</v>
      </c>
      <c r="O106" s="135" t="s">
        <v>534</v>
      </c>
      <c r="P106" s="135" t="s">
        <v>459</v>
      </c>
      <c r="Q106" s="135">
        <v>309.95</v>
      </c>
      <c r="R106" s="187">
        <v>576</v>
      </c>
      <c r="S106" s="56"/>
      <c r="T106" s="56"/>
      <c r="U106" s="56"/>
      <c r="V106" s="56"/>
      <c r="W106" s="56"/>
      <c r="X106" s="56"/>
      <c r="Y106" s="56"/>
      <c r="Z106" s="56"/>
      <c r="AA106" s="56"/>
    </row>
    <row r="107" spans="1:27" ht="30" hidden="1" customHeight="1" x14ac:dyDescent="0.25">
      <c r="A107" s="60"/>
      <c r="B107" s="51"/>
      <c r="C107" s="51"/>
      <c r="D107" s="51"/>
      <c r="E107" s="63" t="s">
        <v>452</v>
      </c>
      <c r="F107" s="422">
        <v>2021</v>
      </c>
      <c r="G107" s="135" t="s">
        <v>1208</v>
      </c>
      <c r="H107" s="422"/>
      <c r="I107" s="135" t="s">
        <v>460</v>
      </c>
      <c r="J107" s="135" t="s">
        <v>966</v>
      </c>
      <c r="K107" s="135" t="s">
        <v>499</v>
      </c>
      <c r="L107" s="135" t="s">
        <v>88</v>
      </c>
      <c r="M107" s="135" t="s">
        <v>88</v>
      </c>
      <c r="N107" s="135" t="s">
        <v>964</v>
      </c>
      <c r="O107" s="135" t="s">
        <v>533</v>
      </c>
      <c r="P107" s="135" t="s">
        <v>459</v>
      </c>
      <c r="Q107" s="135">
        <v>254.51</v>
      </c>
      <c r="R107" s="187">
        <v>576</v>
      </c>
      <c r="S107" s="56"/>
      <c r="T107" s="56"/>
      <c r="U107" s="56"/>
      <c r="V107" s="56"/>
      <c r="W107" s="56"/>
      <c r="X107" s="56"/>
      <c r="Y107" s="56"/>
      <c r="Z107" s="56"/>
      <c r="AA107" s="56"/>
    </row>
    <row r="108" spans="1:27" ht="30" hidden="1" customHeight="1" x14ac:dyDescent="0.25">
      <c r="A108" s="60"/>
      <c r="B108" s="51"/>
      <c r="C108" s="51"/>
      <c r="D108" s="51"/>
      <c r="E108" s="63" t="s">
        <v>477</v>
      </c>
      <c r="F108" s="422">
        <v>2021</v>
      </c>
      <c r="G108" s="135" t="s">
        <v>1208</v>
      </c>
      <c r="H108" s="422"/>
      <c r="I108" s="135" t="s">
        <v>460</v>
      </c>
      <c r="J108" s="135" t="s">
        <v>966</v>
      </c>
      <c r="K108" s="135" t="s">
        <v>469</v>
      </c>
      <c r="L108" s="135" t="s">
        <v>85</v>
      </c>
      <c r="M108" s="135" t="s">
        <v>85</v>
      </c>
      <c r="N108" s="135" t="s">
        <v>964</v>
      </c>
      <c r="O108" s="135" t="s">
        <v>86</v>
      </c>
      <c r="P108" s="135" t="s">
        <v>459</v>
      </c>
      <c r="Q108" s="135">
        <v>187.2</v>
      </c>
      <c r="R108" s="187">
        <v>573</v>
      </c>
      <c r="S108" s="56"/>
      <c r="T108" s="56"/>
      <c r="U108" s="56"/>
      <c r="V108" s="56"/>
      <c r="W108" s="56"/>
      <c r="X108" s="56"/>
      <c r="Y108" s="56"/>
      <c r="Z108" s="56"/>
      <c r="AA108" s="56"/>
    </row>
    <row r="109" spans="1:27" ht="30" hidden="1" customHeight="1" x14ac:dyDescent="0.25">
      <c r="A109" s="60"/>
      <c r="B109" s="51"/>
      <c r="C109" s="51"/>
      <c r="D109" s="51"/>
      <c r="E109" s="63" t="s">
        <v>451</v>
      </c>
      <c r="F109" s="422">
        <v>2021</v>
      </c>
      <c r="G109" s="135" t="s">
        <v>1208</v>
      </c>
      <c r="H109" s="422"/>
      <c r="I109" s="135" t="s">
        <v>460</v>
      </c>
      <c r="J109" s="135" t="s">
        <v>966</v>
      </c>
      <c r="K109" s="135" t="s">
        <v>469</v>
      </c>
      <c r="L109" s="135" t="s">
        <v>85</v>
      </c>
      <c r="M109" s="135" t="s">
        <v>85</v>
      </c>
      <c r="N109" s="135" t="s">
        <v>964</v>
      </c>
      <c r="O109" s="135" t="s">
        <v>535</v>
      </c>
      <c r="P109" s="135" t="s">
        <v>459</v>
      </c>
      <c r="Q109" s="135">
        <v>444</v>
      </c>
      <c r="R109" s="187">
        <v>572</v>
      </c>
      <c r="S109" s="56"/>
      <c r="T109" s="56"/>
      <c r="U109" s="56"/>
      <c r="V109" s="56"/>
      <c r="W109" s="56"/>
      <c r="X109" s="56"/>
      <c r="Y109" s="56"/>
      <c r="Z109" s="56"/>
      <c r="AA109" s="56"/>
    </row>
    <row r="110" spans="1:27" ht="30" hidden="1" customHeight="1" x14ac:dyDescent="0.25">
      <c r="A110" s="60"/>
      <c r="B110" s="51"/>
      <c r="C110" s="51"/>
      <c r="D110" s="51"/>
      <c r="E110" s="63" t="s">
        <v>451</v>
      </c>
      <c r="F110" s="422">
        <v>2021</v>
      </c>
      <c r="G110" s="135" t="s">
        <v>1208</v>
      </c>
      <c r="H110" s="422"/>
      <c r="I110" s="135" t="s">
        <v>460</v>
      </c>
      <c r="J110" s="135" t="s">
        <v>966</v>
      </c>
      <c r="K110" s="135" t="s">
        <v>469</v>
      </c>
      <c r="L110" s="135" t="s">
        <v>85</v>
      </c>
      <c r="M110" s="135" t="s">
        <v>85</v>
      </c>
      <c r="N110" s="135" t="s">
        <v>964</v>
      </c>
      <c r="O110" s="135" t="s">
        <v>484</v>
      </c>
      <c r="P110" s="135" t="s">
        <v>459</v>
      </c>
      <c r="Q110" s="135">
        <v>339</v>
      </c>
      <c r="R110" s="187">
        <v>571</v>
      </c>
      <c r="S110" s="56"/>
      <c r="T110" s="56"/>
      <c r="U110" s="56"/>
      <c r="V110" s="56"/>
      <c r="W110" s="56"/>
      <c r="X110" s="56"/>
      <c r="Y110" s="56"/>
      <c r="Z110" s="56"/>
      <c r="AA110" s="56"/>
    </row>
    <row r="111" spans="1:27" ht="30" hidden="1" customHeight="1" x14ac:dyDescent="0.25">
      <c r="A111" s="60"/>
      <c r="B111" s="51"/>
      <c r="C111" s="51"/>
      <c r="D111" s="51"/>
      <c r="E111" s="63" t="s">
        <v>452</v>
      </c>
      <c r="F111" s="422">
        <v>2021</v>
      </c>
      <c r="G111" s="135" t="s">
        <v>1208</v>
      </c>
      <c r="H111" s="422"/>
      <c r="I111" s="135" t="s">
        <v>460</v>
      </c>
      <c r="J111" s="135" t="s">
        <v>966</v>
      </c>
      <c r="K111" s="135" t="s">
        <v>469</v>
      </c>
      <c r="L111" s="135" t="s">
        <v>85</v>
      </c>
      <c r="M111" s="135" t="s">
        <v>85</v>
      </c>
      <c r="N111" s="135" t="s">
        <v>964</v>
      </c>
      <c r="O111" s="135" t="s">
        <v>87</v>
      </c>
      <c r="P111" s="135" t="s">
        <v>459</v>
      </c>
      <c r="Q111" s="135">
        <v>331.3</v>
      </c>
      <c r="R111" s="187">
        <v>571</v>
      </c>
      <c r="S111" s="56"/>
      <c r="T111" s="56"/>
      <c r="U111" s="56"/>
      <c r="V111" s="56"/>
      <c r="W111" s="56"/>
      <c r="X111" s="56"/>
      <c r="Y111" s="56"/>
      <c r="Z111" s="56"/>
      <c r="AA111" s="56"/>
    </row>
    <row r="112" spans="1:27" ht="30" customHeight="1" x14ac:dyDescent="0.25">
      <c r="A112" s="60"/>
      <c r="B112" s="51"/>
      <c r="C112" s="51"/>
      <c r="D112" s="51"/>
      <c r="E112" s="63" t="s">
        <v>454</v>
      </c>
      <c r="F112" s="422">
        <v>2021</v>
      </c>
      <c r="G112" s="135" t="s">
        <v>1208</v>
      </c>
      <c r="H112" s="422">
        <v>2023</v>
      </c>
      <c r="I112" s="135" t="s">
        <v>460</v>
      </c>
      <c r="J112" s="135" t="s">
        <v>963</v>
      </c>
      <c r="K112" s="135" t="s">
        <v>461</v>
      </c>
      <c r="L112" s="135" t="s">
        <v>253</v>
      </c>
      <c r="M112" s="135" t="s">
        <v>536</v>
      </c>
      <c r="N112" s="135" t="s">
        <v>965</v>
      </c>
      <c r="O112" s="135" t="s">
        <v>1336</v>
      </c>
      <c r="P112" s="135" t="s">
        <v>459</v>
      </c>
      <c r="Q112" s="135">
        <v>402.46</v>
      </c>
      <c r="R112" s="187">
        <v>569</v>
      </c>
      <c r="S112" s="56"/>
      <c r="T112" s="56"/>
      <c r="U112" s="56"/>
      <c r="V112" s="56"/>
      <c r="W112" s="56"/>
      <c r="X112" s="56"/>
      <c r="Y112" s="56"/>
      <c r="Z112" s="56"/>
      <c r="AA112" s="56"/>
    </row>
    <row r="113" spans="1:27" ht="30" hidden="1" customHeight="1" x14ac:dyDescent="0.25">
      <c r="A113" s="60"/>
      <c r="B113" s="51"/>
      <c r="C113" s="51"/>
      <c r="D113" s="51"/>
      <c r="E113" s="63" t="s">
        <v>454</v>
      </c>
      <c r="F113" s="422">
        <v>2021</v>
      </c>
      <c r="G113" s="135" t="s">
        <v>1208</v>
      </c>
      <c r="H113" s="422"/>
      <c r="I113" s="135" t="s">
        <v>460</v>
      </c>
      <c r="J113" s="135" t="s">
        <v>967</v>
      </c>
      <c r="K113" s="135" t="s">
        <v>488</v>
      </c>
      <c r="L113" s="135" t="s">
        <v>135</v>
      </c>
      <c r="M113" s="135" t="s">
        <v>140</v>
      </c>
      <c r="N113" s="135" t="s">
        <v>965</v>
      </c>
      <c r="O113" s="135" t="s">
        <v>537</v>
      </c>
      <c r="P113" s="135" t="s">
        <v>459</v>
      </c>
      <c r="Q113" s="135">
        <v>2556.77</v>
      </c>
      <c r="R113" s="187">
        <v>569</v>
      </c>
      <c r="S113" s="56"/>
      <c r="T113" s="56"/>
      <c r="U113" s="56"/>
      <c r="V113" s="56"/>
      <c r="W113" s="56"/>
      <c r="X113" s="56"/>
      <c r="Y113" s="56"/>
      <c r="Z113" s="56"/>
      <c r="AA113" s="56"/>
    </row>
    <row r="114" spans="1:27" ht="30" hidden="1" customHeight="1" x14ac:dyDescent="0.25">
      <c r="A114" s="60"/>
      <c r="B114" s="51"/>
      <c r="C114" s="51"/>
      <c r="D114" s="51"/>
      <c r="E114" s="63" t="s">
        <v>451</v>
      </c>
      <c r="F114" s="422">
        <v>2021</v>
      </c>
      <c r="G114" s="135" t="s">
        <v>1208</v>
      </c>
      <c r="H114" s="422"/>
      <c r="I114" s="135" t="s">
        <v>460</v>
      </c>
      <c r="J114" s="135" t="s">
        <v>966</v>
      </c>
      <c r="K114" s="135" t="s">
        <v>499</v>
      </c>
      <c r="L114" s="135" t="s">
        <v>88</v>
      </c>
      <c r="M114" s="135" t="s">
        <v>88</v>
      </c>
      <c r="N114" s="135" t="s">
        <v>964</v>
      </c>
      <c r="O114" s="135" t="s">
        <v>538</v>
      </c>
      <c r="P114" s="135" t="s">
        <v>459</v>
      </c>
      <c r="Q114" s="135">
        <v>417</v>
      </c>
      <c r="R114" s="187">
        <v>568</v>
      </c>
      <c r="S114" s="56"/>
      <c r="T114" s="56"/>
      <c r="U114" s="56"/>
      <c r="V114" s="56"/>
      <c r="W114" s="56"/>
      <c r="X114" s="56"/>
      <c r="Y114" s="56"/>
      <c r="Z114" s="56"/>
      <c r="AA114" s="56"/>
    </row>
    <row r="115" spans="1:27" ht="30" hidden="1" customHeight="1" x14ac:dyDescent="0.25">
      <c r="A115" s="60"/>
      <c r="B115" s="51"/>
      <c r="C115" s="51"/>
      <c r="D115" s="51"/>
      <c r="E115" s="63" t="s">
        <v>454</v>
      </c>
      <c r="F115" s="422">
        <v>2021</v>
      </c>
      <c r="G115" s="135" t="s">
        <v>1208</v>
      </c>
      <c r="H115" s="422"/>
      <c r="I115" s="135" t="s">
        <v>460</v>
      </c>
      <c r="J115" s="135" t="s">
        <v>971</v>
      </c>
      <c r="K115" s="135" t="s">
        <v>539</v>
      </c>
      <c r="L115" s="135" t="s">
        <v>247</v>
      </c>
      <c r="M115" s="135" t="s">
        <v>540</v>
      </c>
      <c r="N115" s="135" t="s">
        <v>965</v>
      </c>
      <c r="O115" s="135" t="s">
        <v>541</v>
      </c>
      <c r="P115" s="135" t="s">
        <v>459</v>
      </c>
      <c r="Q115" s="135">
        <v>1718.11</v>
      </c>
      <c r="R115" s="187">
        <v>567</v>
      </c>
      <c r="S115" s="56"/>
      <c r="T115" s="56"/>
      <c r="U115" s="56"/>
      <c r="V115" s="56"/>
      <c r="W115" s="56"/>
      <c r="X115" s="56"/>
      <c r="Y115" s="56"/>
      <c r="Z115" s="56"/>
      <c r="AA115" s="56"/>
    </row>
    <row r="116" spans="1:27" ht="30" hidden="1" customHeight="1" x14ac:dyDescent="0.25">
      <c r="A116" s="60"/>
      <c r="B116" s="51"/>
      <c r="C116" s="51"/>
      <c r="D116" s="51"/>
      <c r="E116" s="63" t="s">
        <v>454</v>
      </c>
      <c r="F116" s="422">
        <v>2021</v>
      </c>
      <c r="G116" s="135" t="s">
        <v>1209</v>
      </c>
      <c r="H116" s="422"/>
      <c r="I116" s="135" t="s">
        <v>460</v>
      </c>
      <c r="J116" s="135" t="s">
        <v>966</v>
      </c>
      <c r="K116" s="135" t="s">
        <v>469</v>
      </c>
      <c r="L116" s="135" t="s">
        <v>85</v>
      </c>
      <c r="M116" s="135" t="s">
        <v>331</v>
      </c>
      <c r="N116" s="135" t="s">
        <v>965</v>
      </c>
      <c r="O116" s="135" t="s">
        <v>542</v>
      </c>
      <c r="P116" s="135" t="s">
        <v>459</v>
      </c>
      <c r="Q116" s="135">
        <v>2689.76</v>
      </c>
      <c r="R116" s="187">
        <v>566</v>
      </c>
      <c r="S116" s="56"/>
      <c r="T116" s="56"/>
      <c r="U116" s="56"/>
      <c r="V116" s="56"/>
      <c r="W116" s="56"/>
      <c r="X116" s="56"/>
      <c r="Y116" s="56"/>
      <c r="Z116" s="56"/>
      <c r="AA116" s="56"/>
    </row>
    <row r="117" spans="1:27" ht="30" hidden="1" customHeight="1" x14ac:dyDescent="0.25">
      <c r="A117" s="60"/>
      <c r="B117" s="51"/>
      <c r="C117" s="51"/>
      <c r="D117" s="51"/>
      <c r="E117" s="63" t="s">
        <v>454</v>
      </c>
      <c r="F117" s="422">
        <v>2020</v>
      </c>
      <c r="G117" s="135" t="s">
        <v>1210</v>
      </c>
      <c r="H117" s="422"/>
      <c r="I117" s="135" t="s">
        <v>460</v>
      </c>
      <c r="J117" s="135" t="s">
        <v>966</v>
      </c>
      <c r="K117" s="135" t="s">
        <v>469</v>
      </c>
      <c r="L117" s="135" t="s">
        <v>85</v>
      </c>
      <c r="M117" s="135" t="s">
        <v>85</v>
      </c>
      <c r="N117" s="135" t="s">
        <v>964</v>
      </c>
      <c r="O117" s="135" t="s">
        <v>86</v>
      </c>
      <c r="P117" s="135" t="s">
        <v>459</v>
      </c>
      <c r="Q117" s="135">
        <v>3489.02</v>
      </c>
      <c r="R117" s="187">
        <v>565</v>
      </c>
      <c r="S117" s="56"/>
      <c r="T117" s="56"/>
      <c r="U117" s="56"/>
      <c r="V117" s="56"/>
      <c r="W117" s="56"/>
      <c r="X117" s="56"/>
      <c r="Y117" s="56"/>
      <c r="Z117" s="56"/>
      <c r="AA117" s="56"/>
    </row>
    <row r="118" spans="1:27" ht="30" hidden="1" customHeight="1" x14ac:dyDescent="0.25">
      <c r="A118" s="60"/>
      <c r="B118" s="51"/>
      <c r="C118" s="51"/>
      <c r="D118" s="51"/>
      <c r="E118" s="63" t="s">
        <v>454</v>
      </c>
      <c r="F118" s="422">
        <v>2020</v>
      </c>
      <c r="G118" s="135" t="s">
        <v>1210</v>
      </c>
      <c r="H118" s="422"/>
      <c r="I118" s="135" t="s">
        <v>460</v>
      </c>
      <c r="J118" s="135" t="s">
        <v>966</v>
      </c>
      <c r="K118" s="135" t="s">
        <v>499</v>
      </c>
      <c r="L118" s="135" t="s">
        <v>88</v>
      </c>
      <c r="M118" s="135" t="s">
        <v>88</v>
      </c>
      <c r="N118" s="135" t="s">
        <v>964</v>
      </c>
      <c r="O118" s="135" t="s">
        <v>543</v>
      </c>
      <c r="P118" s="135" t="s">
        <v>459</v>
      </c>
      <c r="Q118" s="135">
        <v>1435.19</v>
      </c>
      <c r="R118" s="187">
        <v>564</v>
      </c>
      <c r="S118" s="56"/>
      <c r="T118" s="56"/>
      <c r="U118" s="56"/>
      <c r="V118" s="56"/>
      <c r="W118" s="56"/>
      <c r="X118" s="56"/>
      <c r="Y118" s="56"/>
      <c r="Z118" s="56"/>
      <c r="AA118" s="56"/>
    </row>
    <row r="119" spans="1:27" ht="30" hidden="1" customHeight="1" x14ac:dyDescent="0.25">
      <c r="A119" s="60"/>
      <c r="B119" s="51"/>
      <c r="C119" s="51"/>
      <c r="D119" s="51"/>
      <c r="E119" s="63" t="s">
        <v>454</v>
      </c>
      <c r="F119" s="422">
        <v>2020</v>
      </c>
      <c r="G119" s="135" t="s">
        <v>1211</v>
      </c>
      <c r="H119" s="422"/>
      <c r="I119" s="135" t="s">
        <v>460</v>
      </c>
      <c r="J119" s="135" t="s">
        <v>966</v>
      </c>
      <c r="K119" s="135" t="s">
        <v>469</v>
      </c>
      <c r="L119" s="135" t="s">
        <v>85</v>
      </c>
      <c r="M119" s="135" t="s">
        <v>311</v>
      </c>
      <c r="N119" s="135" t="s">
        <v>965</v>
      </c>
      <c r="O119" s="135" t="s">
        <v>544</v>
      </c>
      <c r="P119" s="135" t="s">
        <v>459</v>
      </c>
      <c r="Q119" s="135">
        <v>1075.71</v>
      </c>
      <c r="R119" s="187">
        <v>563</v>
      </c>
      <c r="S119" s="56"/>
      <c r="T119" s="56"/>
      <c r="U119" s="56"/>
      <c r="V119" s="56"/>
      <c r="W119" s="56"/>
      <c r="X119" s="56"/>
      <c r="Y119" s="56"/>
      <c r="Z119" s="56"/>
      <c r="AA119" s="56"/>
    </row>
    <row r="120" spans="1:27" ht="30" hidden="1" customHeight="1" x14ac:dyDescent="0.25">
      <c r="A120" s="60"/>
      <c r="B120" s="51"/>
      <c r="C120" s="51"/>
      <c r="D120" s="51"/>
      <c r="E120" s="63" t="s">
        <v>454</v>
      </c>
      <c r="F120" s="422">
        <v>2020</v>
      </c>
      <c r="G120" s="135" t="s">
        <v>1211</v>
      </c>
      <c r="H120" s="422"/>
      <c r="I120" s="135" t="s">
        <v>460</v>
      </c>
      <c r="J120" s="135" t="s">
        <v>969</v>
      </c>
      <c r="K120" s="135" t="s">
        <v>503</v>
      </c>
      <c r="L120" s="135" t="s">
        <v>970</v>
      </c>
      <c r="M120" s="135" t="s">
        <v>545</v>
      </c>
      <c r="N120" s="135" t="s">
        <v>965</v>
      </c>
      <c r="O120" s="135" t="s">
        <v>546</v>
      </c>
      <c r="P120" s="135" t="s">
        <v>459</v>
      </c>
      <c r="Q120" s="135">
        <v>1710.44</v>
      </c>
      <c r="R120" s="187">
        <v>562</v>
      </c>
      <c r="S120" s="56"/>
      <c r="T120" s="56"/>
      <c r="U120" s="56"/>
      <c r="V120" s="56"/>
      <c r="W120" s="56"/>
      <c r="X120" s="56"/>
      <c r="Y120" s="56"/>
      <c r="Z120" s="56"/>
      <c r="AA120" s="56"/>
    </row>
    <row r="121" spans="1:27" ht="30" hidden="1" customHeight="1" x14ac:dyDescent="0.25">
      <c r="A121" s="60"/>
      <c r="B121" s="51"/>
      <c r="C121" s="51"/>
      <c r="D121" s="51"/>
      <c r="E121" s="63" t="s">
        <v>452</v>
      </c>
      <c r="F121" s="422">
        <v>2020</v>
      </c>
      <c r="G121" s="135" t="s">
        <v>1211</v>
      </c>
      <c r="H121" s="422"/>
      <c r="I121" s="135" t="s">
        <v>460</v>
      </c>
      <c r="J121" s="135" t="s">
        <v>966</v>
      </c>
      <c r="K121" s="135" t="s">
        <v>499</v>
      </c>
      <c r="L121" s="135" t="s">
        <v>88</v>
      </c>
      <c r="M121" s="135" t="s">
        <v>88</v>
      </c>
      <c r="N121" s="135" t="s">
        <v>964</v>
      </c>
      <c r="O121" s="135" t="s">
        <v>547</v>
      </c>
      <c r="P121" s="135" t="s">
        <v>459</v>
      </c>
      <c r="Q121" s="135">
        <v>278.05</v>
      </c>
      <c r="R121" s="187">
        <v>561</v>
      </c>
      <c r="S121" s="56"/>
      <c r="T121" s="56"/>
      <c r="U121" s="56"/>
      <c r="V121" s="56"/>
      <c r="W121" s="56"/>
      <c r="X121" s="56"/>
      <c r="Y121" s="56"/>
      <c r="Z121" s="56"/>
      <c r="AA121" s="56"/>
    </row>
    <row r="122" spans="1:27" ht="30" hidden="1" customHeight="1" x14ac:dyDescent="0.25">
      <c r="A122" s="60"/>
      <c r="B122" s="51"/>
      <c r="C122" s="51"/>
      <c r="D122" s="51"/>
      <c r="E122" s="63" t="s">
        <v>452</v>
      </c>
      <c r="F122" s="422">
        <v>2020</v>
      </c>
      <c r="G122" s="135" t="s">
        <v>1211</v>
      </c>
      <c r="H122" s="422"/>
      <c r="I122" s="135" t="s">
        <v>460</v>
      </c>
      <c r="J122" s="135" t="s">
        <v>967</v>
      </c>
      <c r="K122" s="135" t="s">
        <v>478</v>
      </c>
      <c r="L122" s="135" t="s">
        <v>207</v>
      </c>
      <c r="M122" s="135" t="s">
        <v>211</v>
      </c>
      <c r="N122" s="135" t="s">
        <v>964</v>
      </c>
      <c r="O122" s="135" t="s">
        <v>548</v>
      </c>
      <c r="P122" s="135" t="s">
        <v>459</v>
      </c>
      <c r="Q122" s="135">
        <v>219.23</v>
      </c>
      <c r="R122" s="187">
        <v>560</v>
      </c>
      <c r="S122" s="56"/>
      <c r="T122" s="56"/>
      <c r="U122" s="56"/>
      <c r="V122" s="56"/>
      <c r="W122" s="56"/>
      <c r="X122" s="56"/>
      <c r="Y122" s="56"/>
      <c r="Z122" s="56"/>
      <c r="AA122" s="56"/>
    </row>
    <row r="123" spans="1:27" ht="30" hidden="1" customHeight="1" x14ac:dyDescent="0.25">
      <c r="A123" s="60"/>
      <c r="B123" s="51"/>
      <c r="C123" s="51"/>
      <c r="D123" s="51"/>
      <c r="E123" s="63" t="s">
        <v>454</v>
      </c>
      <c r="F123" s="422">
        <v>2020</v>
      </c>
      <c r="G123" s="135" t="s">
        <v>1211</v>
      </c>
      <c r="H123" s="422"/>
      <c r="I123" s="135" t="s">
        <v>460</v>
      </c>
      <c r="J123" s="135" t="s">
        <v>969</v>
      </c>
      <c r="K123" s="135" t="s">
        <v>503</v>
      </c>
      <c r="L123" s="135" t="s">
        <v>970</v>
      </c>
      <c r="M123" s="135" t="s">
        <v>549</v>
      </c>
      <c r="N123" s="135" t="s">
        <v>965</v>
      </c>
      <c r="O123" s="135" t="s">
        <v>550</v>
      </c>
      <c r="P123" s="135" t="s">
        <v>459</v>
      </c>
      <c r="Q123" s="135">
        <v>1507.76</v>
      </c>
      <c r="R123" s="187">
        <v>559</v>
      </c>
      <c r="S123" s="56"/>
      <c r="T123" s="56"/>
      <c r="U123" s="56"/>
      <c r="V123" s="56"/>
      <c r="W123" s="56"/>
      <c r="X123" s="56"/>
      <c r="Y123" s="56"/>
      <c r="Z123" s="56"/>
      <c r="AA123" s="56"/>
    </row>
    <row r="124" spans="1:27" ht="30" hidden="1" customHeight="1" x14ac:dyDescent="0.25">
      <c r="A124" s="60"/>
      <c r="B124" s="51"/>
      <c r="C124" s="51"/>
      <c r="D124" s="51"/>
      <c r="E124" s="63" t="s">
        <v>451</v>
      </c>
      <c r="F124" s="422">
        <v>2020</v>
      </c>
      <c r="G124" s="135" t="s">
        <v>1211</v>
      </c>
      <c r="H124" s="422"/>
      <c r="I124" s="135" t="s">
        <v>460</v>
      </c>
      <c r="J124" s="135" t="s">
        <v>966</v>
      </c>
      <c r="K124" s="135" t="s">
        <v>469</v>
      </c>
      <c r="L124" s="135" t="s">
        <v>85</v>
      </c>
      <c r="M124" s="135" t="s">
        <v>328</v>
      </c>
      <c r="N124" s="135" t="s">
        <v>965</v>
      </c>
      <c r="O124" s="135" t="s">
        <v>329</v>
      </c>
      <c r="P124" s="135" t="s">
        <v>459</v>
      </c>
      <c r="Q124" s="135">
        <v>490</v>
      </c>
      <c r="R124" s="187">
        <v>558</v>
      </c>
      <c r="S124" s="56"/>
      <c r="T124" s="56"/>
      <c r="U124" s="56"/>
      <c r="V124" s="56"/>
      <c r="W124" s="56"/>
      <c r="X124" s="56"/>
      <c r="Y124" s="56"/>
      <c r="Z124" s="56"/>
      <c r="AA124" s="56"/>
    </row>
    <row r="125" spans="1:27" ht="30" hidden="1" customHeight="1" x14ac:dyDescent="0.25">
      <c r="A125" s="60"/>
      <c r="B125" s="51"/>
      <c r="C125" s="51"/>
      <c r="D125" s="51"/>
      <c r="E125" s="63" t="s">
        <v>454</v>
      </c>
      <c r="F125" s="422">
        <v>2020</v>
      </c>
      <c r="G125" s="135" t="s">
        <v>1211</v>
      </c>
      <c r="H125" s="422"/>
      <c r="I125" s="135" t="s">
        <v>460</v>
      </c>
      <c r="J125" s="135" t="s">
        <v>969</v>
      </c>
      <c r="K125" s="135" t="s">
        <v>509</v>
      </c>
      <c r="L125" s="135" t="s">
        <v>157</v>
      </c>
      <c r="M125" s="135" t="s">
        <v>551</v>
      </c>
      <c r="N125" s="135" t="s">
        <v>965</v>
      </c>
      <c r="O125" s="135" t="s">
        <v>552</v>
      </c>
      <c r="P125" s="135" t="s">
        <v>459</v>
      </c>
      <c r="Q125" s="135">
        <v>2039.1000000000001</v>
      </c>
      <c r="R125" s="187">
        <v>557</v>
      </c>
      <c r="S125" s="56"/>
      <c r="T125" s="56"/>
      <c r="U125" s="56"/>
      <c r="V125" s="56"/>
      <c r="W125" s="56"/>
      <c r="X125" s="56"/>
      <c r="Y125" s="56"/>
      <c r="Z125" s="56"/>
      <c r="AA125" s="56"/>
    </row>
    <row r="126" spans="1:27" ht="30" hidden="1" customHeight="1" x14ac:dyDescent="0.25">
      <c r="A126" s="60"/>
      <c r="B126" s="51"/>
      <c r="C126" s="51"/>
      <c r="D126" s="51"/>
      <c r="E126" s="63" t="s">
        <v>454</v>
      </c>
      <c r="F126" s="422">
        <v>2020</v>
      </c>
      <c r="G126" s="135" t="s">
        <v>1211</v>
      </c>
      <c r="H126" s="422"/>
      <c r="I126" s="135" t="s">
        <v>460</v>
      </c>
      <c r="J126" s="135" t="s">
        <v>967</v>
      </c>
      <c r="K126" s="135" t="s">
        <v>553</v>
      </c>
      <c r="L126" s="135" t="s">
        <v>82</v>
      </c>
      <c r="M126" s="135" t="s">
        <v>83</v>
      </c>
      <c r="N126" s="135" t="s">
        <v>965</v>
      </c>
      <c r="O126" s="135" t="s">
        <v>84</v>
      </c>
      <c r="P126" s="135" t="s">
        <v>459</v>
      </c>
      <c r="Q126" s="135">
        <v>2902.17</v>
      </c>
      <c r="R126" s="187">
        <v>556</v>
      </c>
      <c r="S126" s="56"/>
      <c r="T126" s="56"/>
      <c r="U126" s="56"/>
      <c r="V126" s="56"/>
      <c r="W126" s="56"/>
      <c r="X126" s="56"/>
      <c r="Y126" s="56"/>
      <c r="Z126" s="56"/>
      <c r="AA126" s="56"/>
    </row>
    <row r="127" spans="1:27" ht="30" hidden="1" customHeight="1" x14ac:dyDescent="0.25">
      <c r="A127" s="60"/>
      <c r="B127" s="51"/>
      <c r="C127" s="51"/>
      <c r="D127" s="51"/>
      <c r="E127" s="63" t="s">
        <v>451</v>
      </c>
      <c r="F127" s="422">
        <v>2020</v>
      </c>
      <c r="G127" s="135" t="s">
        <v>1212</v>
      </c>
      <c r="H127" s="422"/>
      <c r="I127" s="135" t="s">
        <v>460</v>
      </c>
      <c r="J127" s="135" t="s">
        <v>967</v>
      </c>
      <c r="K127" s="135" t="s">
        <v>553</v>
      </c>
      <c r="L127" s="135" t="s">
        <v>82</v>
      </c>
      <c r="M127" s="135" t="s">
        <v>83</v>
      </c>
      <c r="N127" s="135" t="s">
        <v>965</v>
      </c>
      <c r="O127" s="135" t="s">
        <v>554</v>
      </c>
      <c r="P127" s="135" t="s">
        <v>459</v>
      </c>
      <c r="Q127" s="135">
        <v>478.58</v>
      </c>
      <c r="R127" s="187">
        <v>555</v>
      </c>
      <c r="S127" s="56"/>
      <c r="T127" s="56"/>
      <c r="U127" s="56"/>
      <c r="V127" s="56"/>
      <c r="W127" s="56"/>
      <c r="X127" s="56"/>
      <c r="Y127" s="56"/>
      <c r="Z127" s="56"/>
      <c r="AA127" s="56"/>
    </row>
    <row r="128" spans="1:27" ht="30" hidden="1" customHeight="1" x14ac:dyDescent="0.25">
      <c r="A128" s="60"/>
      <c r="B128" s="51"/>
      <c r="C128" s="51"/>
      <c r="D128" s="51"/>
      <c r="E128" s="63" t="s">
        <v>454</v>
      </c>
      <c r="F128" s="422">
        <v>2019</v>
      </c>
      <c r="G128" s="135" t="s">
        <v>1213</v>
      </c>
      <c r="H128" s="422"/>
      <c r="I128" s="135" t="s">
        <v>555</v>
      </c>
      <c r="J128" s="135" t="s">
        <v>555</v>
      </c>
      <c r="K128" s="135" t="s">
        <v>556</v>
      </c>
      <c r="L128" s="135" t="s">
        <v>555</v>
      </c>
      <c r="M128" s="135" t="s">
        <v>557</v>
      </c>
      <c r="N128" s="135" t="s">
        <v>965</v>
      </c>
      <c r="O128" s="135" t="s">
        <v>558</v>
      </c>
      <c r="P128" s="135" t="s">
        <v>464</v>
      </c>
      <c r="Q128" s="135">
        <v>5601.6</v>
      </c>
      <c r="R128" s="187">
        <v>554</v>
      </c>
      <c r="S128" s="56"/>
      <c r="T128" s="56"/>
      <c r="U128" s="56"/>
      <c r="V128" s="56"/>
      <c r="W128" s="56"/>
      <c r="X128" s="56"/>
      <c r="Y128" s="56"/>
      <c r="Z128" s="56"/>
      <c r="AA128" s="56"/>
    </row>
    <row r="129" spans="1:27" ht="30" hidden="1" customHeight="1" x14ac:dyDescent="0.25">
      <c r="A129" s="60"/>
      <c r="B129" s="51"/>
      <c r="C129" s="51"/>
      <c r="D129" s="51"/>
      <c r="E129" s="63" t="s">
        <v>454</v>
      </c>
      <c r="F129" s="422">
        <v>2019</v>
      </c>
      <c r="G129" s="135" t="s">
        <v>1213</v>
      </c>
      <c r="H129" s="422"/>
      <c r="I129" s="135" t="s">
        <v>555</v>
      </c>
      <c r="J129" s="135" t="s">
        <v>555</v>
      </c>
      <c r="K129" s="135" t="s">
        <v>556</v>
      </c>
      <c r="L129" s="135" t="s">
        <v>555</v>
      </c>
      <c r="M129" s="135" t="s">
        <v>557</v>
      </c>
      <c r="N129" s="135" t="s">
        <v>965</v>
      </c>
      <c r="O129" s="135" t="s">
        <v>559</v>
      </c>
      <c r="P129" s="135" t="s">
        <v>464</v>
      </c>
      <c r="Q129" s="135">
        <v>3419.89</v>
      </c>
      <c r="R129" s="187">
        <v>553</v>
      </c>
      <c r="S129" s="56"/>
      <c r="T129" s="56"/>
      <c r="U129" s="56"/>
      <c r="V129" s="56"/>
      <c r="W129" s="56"/>
      <c r="X129" s="56"/>
      <c r="Y129" s="56"/>
      <c r="Z129" s="56"/>
      <c r="AA129" s="56"/>
    </row>
    <row r="130" spans="1:27" ht="30" hidden="1" customHeight="1" x14ac:dyDescent="0.25">
      <c r="A130" s="60"/>
      <c r="B130" s="51"/>
      <c r="C130" s="51"/>
      <c r="D130" s="51"/>
      <c r="E130" s="63" t="s">
        <v>454</v>
      </c>
      <c r="F130" s="422">
        <v>2019</v>
      </c>
      <c r="G130" s="135" t="s">
        <v>1213</v>
      </c>
      <c r="H130" s="422"/>
      <c r="I130" s="135" t="s">
        <v>555</v>
      </c>
      <c r="J130" s="135" t="s">
        <v>555</v>
      </c>
      <c r="K130" s="135" t="s">
        <v>556</v>
      </c>
      <c r="L130" s="135" t="s">
        <v>555</v>
      </c>
      <c r="M130" s="135" t="s">
        <v>560</v>
      </c>
      <c r="N130" s="135" t="s">
        <v>965</v>
      </c>
      <c r="O130" s="135" t="s">
        <v>561</v>
      </c>
      <c r="P130" s="135" t="s">
        <v>459</v>
      </c>
      <c r="Q130" s="135">
        <v>4092.3099999999995</v>
      </c>
      <c r="R130" s="187">
        <v>552</v>
      </c>
      <c r="S130" s="56"/>
      <c r="T130" s="56"/>
      <c r="U130" s="56"/>
      <c r="V130" s="56"/>
      <c r="W130" s="56"/>
      <c r="X130" s="56"/>
      <c r="Y130" s="56"/>
      <c r="Z130" s="56"/>
      <c r="AA130" s="56"/>
    </row>
    <row r="131" spans="1:27" ht="30" hidden="1" customHeight="1" x14ac:dyDescent="0.25">
      <c r="A131" s="60"/>
      <c r="B131" s="51"/>
      <c r="C131" s="51"/>
      <c r="D131" s="51"/>
      <c r="E131" s="63" t="s">
        <v>454</v>
      </c>
      <c r="F131" s="422">
        <v>2019</v>
      </c>
      <c r="G131" s="135" t="s">
        <v>1213</v>
      </c>
      <c r="H131" s="422"/>
      <c r="I131" s="135" t="s">
        <v>460</v>
      </c>
      <c r="J131" s="135" t="s">
        <v>969</v>
      </c>
      <c r="K131" s="135" t="s">
        <v>519</v>
      </c>
      <c r="L131" s="135" t="s">
        <v>186</v>
      </c>
      <c r="M131" s="135" t="s">
        <v>375</v>
      </c>
      <c r="N131" s="135" t="s">
        <v>965</v>
      </c>
      <c r="O131" s="135" t="s">
        <v>564</v>
      </c>
      <c r="P131" s="135" t="s">
        <v>459</v>
      </c>
      <c r="Q131" s="135">
        <v>2089.48</v>
      </c>
      <c r="R131" s="187">
        <v>551</v>
      </c>
      <c r="S131" s="56"/>
      <c r="T131" s="56"/>
      <c r="U131" s="56"/>
      <c r="V131" s="56"/>
      <c r="W131" s="56"/>
      <c r="X131" s="56"/>
      <c r="Y131" s="56"/>
      <c r="Z131" s="56"/>
      <c r="AA131" s="56"/>
    </row>
    <row r="132" spans="1:27" ht="30" hidden="1" customHeight="1" x14ac:dyDescent="0.25">
      <c r="A132" s="60"/>
      <c r="B132" s="51"/>
      <c r="C132" s="51"/>
      <c r="D132" s="51"/>
      <c r="E132" s="63" t="s">
        <v>454</v>
      </c>
      <c r="F132" s="422">
        <v>2019</v>
      </c>
      <c r="G132" s="135" t="s">
        <v>1213</v>
      </c>
      <c r="H132" s="422"/>
      <c r="I132" s="135" t="s">
        <v>460</v>
      </c>
      <c r="J132" s="135" t="s">
        <v>966</v>
      </c>
      <c r="K132" s="135" t="s">
        <v>562</v>
      </c>
      <c r="L132" s="135" t="s">
        <v>108</v>
      </c>
      <c r="M132" s="135" t="s">
        <v>109</v>
      </c>
      <c r="N132" s="135" t="s">
        <v>964</v>
      </c>
      <c r="O132" s="135" t="s">
        <v>563</v>
      </c>
      <c r="P132" s="135" t="s">
        <v>459</v>
      </c>
      <c r="Q132" s="135">
        <v>1330.7</v>
      </c>
      <c r="R132" s="187">
        <v>551</v>
      </c>
      <c r="S132" s="56"/>
      <c r="T132" s="56"/>
      <c r="U132" s="56"/>
      <c r="V132" s="56"/>
      <c r="W132" s="56"/>
      <c r="X132" s="56"/>
      <c r="Y132" s="56"/>
      <c r="Z132" s="56"/>
      <c r="AA132" s="56"/>
    </row>
    <row r="133" spans="1:27" ht="30" hidden="1" customHeight="1" x14ac:dyDescent="0.25">
      <c r="A133" s="60"/>
      <c r="B133" s="51"/>
      <c r="C133" s="51"/>
      <c r="D133" s="51"/>
      <c r="E133" s="63" t="s">
        <v>454</v>
      </c>
      <c r="F133" s="422">
        <v>2019</v>
      </c>
      <c r="G133" s="135" t="s">
        <v>1213</v>
      </c>
      <c r="H133" s="422"/>
      <c r="I133" s="135" t="s">
        <v>455</v>
      </c>
      <c r="J133" s="135" t="s">
        <v>455</v>
      </c>
      <c r="K133" s="135" t="s">
        <v>456</v>
      </c>
      <c r="L133" s="135" t="s">
        <v>455</v>
      </c>
      <c r="M133" s="135" t="s">
        <v>457</v>
      </c>
      <c r="N133" s="135" t="s">
        <v>965</v>
      </c>
      <c r="O133" s="135" t="s">
        <v>566</v>
      </c>
      <c r="P133" s="135" t="s">
        <v>459</v>
      </c>
      <c r="Q133" s="135">
        <v>2502.58</v>
      </c>
      <c r="R133" s="187">
        <v>549</v>
      </c>
      <c r="S133" s="56"/>
      <c r="T133" s="56"/>
      <c r="U133" s="56"/>
      <c r="V133" s="56"/>
      <c r="W133" s="56"/>
      <c r="X133" s="56"/>
      <c r="Y133" s="56"/>
      <c r="Z133" s="56"/>
      <c r="AA133" s="56"/>
    </row>
    <row r="134" spans="1:27" ht="30" hidden="1" customHeight="1" x14ac:dyDescent="0.25">
      <c r="A134" s="60"/>
      <c r="B134" s="51"/>
      <c r="C134" s="51"/>
      <c r="D134" s="51"/>
      <c r="E134" s="63" t="s">
        <v>454</v>
      </c>
      <c r="F134" s="422">
        <v>2019</v>
      </c>
      <c r="G134" s="135" t="s">
        <v>1213</v>
      </c>
      <c r="H134" s="422"/>
      <c r="I134" s="135" t="s">
        <v>555</v>
      </c>
      <c r="J134" s="135" t="s">
        <v>555</v>
      </c>
      <c r="K134" s="135" t="s">
        <v>556</v>
      </c>
      <c r="L134" s="135" t="s">
        <v>555</v>
      </c>
      <c r="M134" s="135" t="s">
        <v>560</v>
      </c>
      <c r="N134" s="135" t="s">
        <v>965</v>
      </c>
      <c r="O134" s="135" t="s">
        <v>567</v>
      </c>
      <c r="P134" s="135" t="s">
        <v>459</v>
      </c>
      <c r="Q134" s="135">
        <v>2531.7600000000002</v>
      </c>
      <c r="R134" s="187">
        <v>549</v>
      </c>
      <c r="S134" s="56"/>
      <c r="T134" s="56"/>
      <c r="U134" s="56"/>
      <c r="V134" s="56"/>
      <c r="W134" s="56"/>
      <c r="X134" s="56"/>
      <c r="Y134" s="56"/>
      <c r="Z134" s="56"/>
      <c r="AA134" s="56"/>
    </row>
    <row r="135" spans="1:27" ht="30" hidden="1" customHeight="1" x14ac:dyDescent="0.25">
      <c r="A135" s="60"/>
      <c r="B135" s="51"/>
      <c r="C135" s="51"/>
      <c r="D135" s="51"/>
      <c r="E135" s="63" t="s">
        <v>454</v>
      </c>
      <c r="F135" s="422">
        <v>2019</v>
      </c>
      <c r="G135" s="135" t="s">
        <v>1213</v>
      </c>
      <c r="H135" s="422"/>
      <c r="I135" s="135" t="s">
        <v>460</v>
      </c>
      <c r="J135" s="135" t="s">
        <v>963</v>
      </c>
      <c r="K135" s="135" t="s">
        <v>461</v>
      </c>
      <c r="L135" s="135" t="s">
        <v>253</v>
      </c>
      <c r="M135" s="135" t="s">
        <v>258</v>
      </c>
      <c r="N135" s="135" t="s">
        <v>964</v>
      </c>
      <c r="O135" s="135" t="s">
        <v>565</v>
      </c>
      <c r="P135" s="135" t="s">
        <v>459</v>
      </c>
      <c r="Q135" s="135">
        <v>818.3</v>
      </c>
      <c r="R135" s="187">
        <v>549</v>
      </c>
      <c r="S135" s="56"/>
      <c r="T135" s="56"/>
      <c r="U135" s="56"/>
      <c r="V135" s="56"/>
      <c r="W135" s="56"/>
      <c r="X135" s="56"/>
      <c r="Y135" s="56"/>
      <c r="Z135" s="56"/>
      <c r="AA135" s="56"/>
    </row>
    <row r="136" spans="1:27" ht="30" hidden="1" customHeight="1" x14ac:dyDescent="0.25">
      <c r="A136" s="60"/>
      <c r="B136" s="51"/>
      <c r="C136" s="51"/>
      <c r="D136" s="51"/>
      <c r="E136" s="63" t="s">
        <v>477</v>
      </c>
      <c r="F136" s="422">
        <v>2019</v>
      </c>
      <c r="G136" s="135" t="s">
        <v>1213</v>
      </c>
      <c r="H136" s="422"/>
      <c r="I136" s="135" t="s">
        <v>460</v>
      </c>
      <c r="J136" s="135" t="s">
        <v>966</v>
      </c>
      <c r="K136" s="135" t="s">
        <v>469</v>
      </c>
      <c r="L136" s="135" t="s">
        <v>85</v>
      </c>
      <c r="M136" s="135" t="s">
        <v>568</v>
      </c>
      <c r="N136" s="135" t="s">
        <v>965</v>
      </c>
      <c r="O136" s="135" t="s">
        <v>346</v>
      </c>
      <c r="P136" s="135" t="s">
        <v>459</v>
      </c>
      <c r="Q136" s="135">
        <v>241.96</v>
      </c>
      <c r="R136" s="186">
        <v>546</v>
      </c>
      <c r="S136" s="56"/>
      <c r="T136" s="56"/>
      <c r="U136" s="56"/>
      <c r="V136" s="56"/>
      <c r="W136" s="56"/>
      <c r="X136" s="56"/>
      <c r="Y136" s="56"/>
      <c r="Z136" s="56"/>
      <c r="AA136" s="56"/>
    </row>
    <row r="137" spans="1:27" ht="30" hidden="1" customHeight="1" x14ac:dyDescent="0.25">
      <c r="A137" s="60"/>
      <c r="B137" s="51"/>
      <c r="C137" s="51"/>
      <c r="D137" s="51"/>
      <c r="E137" s="63" t="s">
        <v>454</v>
      </c>
      <c r="F137" s="422">
        <v>2019</v>
      </c>
      <c r="G137" s="135" t="s">
        <v>1213</v>
      </c>
      <c r="H137" s="422"/>
      <c r="I137" s="135" t="s">
        <v>455</v>
      </c>
      <c r="J137" s="135" t="s">
        <v>455</v>
      </c>
      <c r="K137" s="135" t="s">
        <v>456</v>
      </c>
      <c r="L137" s="135" t="s">
        <v>455</v>
      </c>
      <c r="M137" s="135" t="s">
        <v>457</v>
      </c>
      <c r="N137" s="135" t="s">
        <v>965</v>
      </c>
      <c r="O137" s="135" t="s">
        <v>569</v>
      </c>
      <c r="P137" s="135" t="s">
        <v>459</v>
      </c>
      <c r="Q137" s="135">
        <v>2407.65</v>
      </c>
      <c r="R137" s="187">
        <v>546</v>
      </c>
      <c r="S137" s="56"/>
      <c r="T137" s="56"/>
      <c r="U137" s="56"/>
      <c r="V137" s="56"/>
      <c r="W137" s="56"/>
      <c r="X137" s="56"/>
      <c r="Y137" s="56"/>
      <c r="Z137" s="56"/>
      <c r="AA137" s="56"/>
    </row>
    <row r="138" spans="1:27" ht="30" hidden="1" customHeight="1" x14ac:dyDescent="0.25">
      <c r="A138" s="60"/>
      <c r="B138" s="51"/>
      <c r="C138" s="51"/>
      <c r="D138" s="51"/>
      <c r="E138" s="63" t="s">
        <v>454</v>
      </c>
      <c r="F138" s="422">
        <v>2019</v>
      </c>
      <c r="G138" s="135" t="s">
        <v>1213</v>
      </c>
      <c r="H138" s="422"/>
      <c r="I138" s="135" t="s">
        <v>460</v>
      </c>
      <c r="J138" s="135" t="s">
        <v>963</v>
      </c>
      <c r="K138" s="135" t="s">
        <v>461</v>
      </c>
      <c r="L138" s="135" t="s">
        <v>253</v>
      </c>
      <c r="M138" s="135" t="s">
        <v>570</v>
      </c>
      <c r="N138" s="135" t="s">
        <v>965</v>
      </c>
      <c r="O138" s="135" t="s">
        <v>571</v>
      </c>
      <c r="P138" s="135" t="s">
        <v>464</v>
      </c>
      <c r="Q138" s="135">
        <v>2021.65</v>
      </c>
      <c r="R138" s="187">
        <v>544</v>
      </c>
      <c r="S138" s="56"/>
      <c r="T138" s="56"/>
      <c r="U138" s="56"/>
      <c r="V138" s="56"/>
      <c r="W138" s="56"/>
      <c r="X138" s="56"/>
      <c r="Y138" s="56"/>
      <c r="Z138" s="56"/>
      <c r="AA138" s="56"/>
    </row>
    <row r="139" spans="1:27" ht="30" hidden="1" customHeight="1" x14ac:dyDescent="0.25">
      <c r="A139" s="60"/>
      <c r="B139" s="51"/>
      <c r="C139" s="51"/>
      <c r="D139" s="51"/>
      <c r="E139" s="63" t="s">
        <v>454</v>
      </c>
      <c r="F139" s="422">
        <v>2019</v>
      </c>
      <c r="G139" s="135" t="s">
        <v>1213</v>
      </c>
      <c r="H139" s="422"/>
      <c r="I139" s="135" t="s">
        <v>460</v>
      </c>
      <c r="J139" s="135" t="s">
        <v>966</v>
      </c>
      <c r="K139" s="135" t="s">
        <v>469</v>
      </c>
      <c r="L139" s="135" t="s">
        <v>85</v>
      </c>
      <c r="M139" s="135" t="s">
        <v>85</v>
      </c>
      <c r="N139" s="135" t="s">
        <v>964</v>
      </c>
      <c r="O139" s="135" t="s">
        <v>572</v>
      </c>
      <c r="P139" s="135" t="s">
        <v>459</v>
      </c>
      <c r="Q139" s="135">
        <v>1538.72</v>
      </c>
      <c r="R139" s="187">
        <v>543</v>
      </c>
      <c r="S139" s="56"/>
      <c r="T139" s="56"/>
      <c r="U139" s="56"/>
      <c r="V139" s="56"/>
      <c r="W139" s="56"/>
      <c r="X139" s="56"/>
      <c r="Y139" s="56"/>
      <c r="Z139" s="56"/>
      <c r="AA139" s="56"/>
    </row>
    <row r="140" spans="1:27" ht="30" hidden="1" customHeight="1" x14ac:dyDescent="0.25">
      <c r="A140" s="60"/>
      <c r="B140" s="51"/>
      <c r="C140" s="51"/>
      <c r="D140" s="51"/>
      <c r="E140" s="63" t="s">
        <v>454</v>
      </c>
      <c r="F140" s="422">
        <v>2019</v>
      </c>
      <c r="G140" s="135" t="s">
        <v>1213</v>
      </c>
      <c r="H140" s="422"/>
      <c r="I140" s="135" t="s">
        <v>460</v>
      </c>
      <c r="J140" s="135" t="s">
        <v>963</v>
      </c>
      <c r="K140" s="135" t="s">
        <v>461</v>
      </c>
      <c r="L140" s="135" t="s">
        <v>253</v>
      </c>
      <c r="M140" s="135" t="s">
        <v>573</v>
      </c>
      <c r="N140" s="135" t="s">
        <v>965</v>
      </c>
      <c r="O140" s="135" t="s">
        <v>574</v>
      </c>
      <c r="P140" s="135" t="s">
        <v>464</v>
      </c>
      <c r="Q140" s="135">
        <v>2148.2200000000003</v>
      </c>
      <c r="R140" s="187">
        <v>542</v>
      </c>
      <c r="S140" s="56"/>
      <c r="T140" s="56"/>
      <c r="U140" s="56"/>
      <c r="V140" s="56"/>
      <c r="W140" s="56"/>
      <c r="X140" s="56"/>
      <c r="Y140" s="56"/>
      <c r="Z140" s="56"/>
      <c r="AA140" s="56"/>
    </row>
    <row r="141" spans="1:27" ht="30" hidden="1" customHeight="1" x14ac:dyDescent="0.25">
      <c r="A141" s="60"/>
      <c r="B141" s="51"/>
      <c r="C141" s="51"/>
      <c r="D141" s="51"/>
      <c r="E141" s="63" t="s">
        <v>452</v>
      </c>
      <c r="F141" s="422">
        <v>2019</v>
      </c>
      <c r="G141" s="135" t="s">
        <v>1213</v>
      </c>
      <c r="H141" s="422"/>
      <c r="I141" s="135" t="s">
        <v>460</v>
      </c>
      <c r="J141" s="135" t="s">
        <v>967</v>
      </c>
      <c r="K141" s="135" t="s">
        <v>478</v>
      </c>
      <c r="L141" s="135" t="s">
        <v>207</v>
      </c>
      <c r="M141" s="135" t="s">
        <v>211</v>
      </c>
      <c r="N141" s="135" t="s">
        <v>964</v>
      </c>
      <c r="O141" s="135" t="s">
        <v>479</v>
      </c>
      <c r="P141" s="135" t="s">
        <v>459</v>
      </c>
      <c r="Q141" s="135">
        <v>315.69</v>
      </c>
      <c r="R141" s="187">
        <v>542</v>
      </c>
      <c r="S141" s="56"/>
      <c r="T141" s="56"/>
      <c r="U141" s="56"/>
      <c r="V141" s="56"/>
      <c r="W141" s="56"/>
      <c r="X141" s="56"/>
      <c r="Y141" s="56"/>
      <c r="Z141" s="56"/>
      <c r="AA141" s="56"/>
    </row>
    <row r="142" spans="1:27" ht="30" hidden="1" customHeight="1" x14ac:dyDescent="0.25">
      <c r="A142" s="60"/>
      <c r="B142" s="51"/>
      <c r="C142" s="51"/>
      <c r="D142" s="51"/>
      <c r="E142" s="63" t="s">
        <v>452</v>
      </c>
      <c r="F142" s="422">
        <v>2019</v>
      </c>
      <c r="G142" s="135" t="s">
        <v>1213</v>
      </c>
      <c r="H142" s="422"/>
      <c r="I142" s="135" t="s">
        <v>460</v>
      </c>
      <c r="J142" s="135" t="s">
        <v>969</v>
      </c>
      <c r="K142" s="135" t="s">
        <v>575</v>
      </c>
      <c r="L142" s="135" t="s">
        <v>143</v>
      </c>
      <c r="M142" s="135" t="s">
        <v>144</v>
      </c>
      <c r="N142" s="135" t="s">
        <v>964</v>
      </c>
      <c r="O142" s="135" t="s">
        <v>576</v>
      </c>
      <c r="P142" s="135" t="s">
        <v>459</v>
      </c>
      <c r="Q142" s="135">
        <v>284.23</v>
      </c>
      <c r="R142" s="187">
        <v>540</v>
      </c>
      <c r="S142" s="56"/>
      <c r="T142" s="56"/>
      <c r="U142" s="56"/>
      <c r="V142" s="56"/>
      <c r="W142" s="56"/>
      <c r="X142" s="56"/>
      <c r="Y142" s="56"/>
      <c r="Z142" s="56"/>
      <c r="AA142" s="56"/>
    </row>
    <row r="143" spans="1:27" ht="30" hidden="1" customHeight="1" x14ac:dyDescent="0.25">
      <c r="A143" s="60"/>
      <c r="B143" s="51"/>
      <c r="C143" s="51"/>
      <c r="D143" s="51"/>
      <c r="E143" s="63" t="s">
        <v>454</v>
      </c>
      <c r="F143" s="422">
        <v>2019</v>
      </c>
      <c r="G143" s="135" t="s">
        <v>1213</v>
      </c>
      <c r="H143" s="422"/>
      <c r="I143" s="135" t="s">
        <v>460</v>
      </c>
      <c r="J143" s="135" t="s">
        <v>966</v>
      </c>
      <c r="K143" s="135" t="s">
        <v>499</v>
      </c>
      <c r="L143" s="135" t="s">
        <v>88</v>
      </c>
      <c r="M143" s="135" t="s">
        <v>577</v>
      </c>
      <c r="N143" s="135" t="s">
        <v>965</v>
      </c>
      <c r="O143" s="135" t="s">
        <v>578</v>
      </c>
      <c r="P143" s="135" t="s">
        <v>459</v>
      </c>
      <c r="Q143" s="135">
        <v>1818.26</v>
      </c>
      <c r="R143" s="187">
        <v>539</v>
      </c>
      <c r="S143" s="56"/>
      <c r="T143" s="56"/>
      <c r="U143" s="56"/>
      <c r="V143" s="56"/>
      <c r="W143" s="56"/>
      <c r="X143" s="56"/>
      <c r="Y143" s="56"/>
      <c r="Z143" s="56"/>
      <c r="AA143" s="56"/>
    </row>
    <row r="144" spans="1:27" ht="30" hidden="1" customHeight="1" x14ac:dyDescent="0.25">
      <c r="A144" s="60"/>
      <c r="B144" s="51"/>
      <c r="C144" s="51"/>
      <c r="D144" s="51"/>
      <c r="E144" s="63" t="s">
        <v>454</v>
      </c>
      <c r="F144" s="422">
        <v>2019</v>
      </c>
      <c r="G144" s="135" t="s">
        <v>1213</v>
      </c>
      <c r="H144" s="422"/>
      <c r="I144" s="135" t="s">
        <v>460</v>
      </c>
      <c r="J144" s="135" t="s">
        <v>966</v>
      </c>
      <c r="K144" s="135" t="s">
        <v>469</v>
      </c>
      <c r="L144" s="135" t="s">
        <v>85</v>
      </c>
      <c r="M144" s="135" t="s">
        <v>85</v>
      </c>
      <c r="N144" s="135" t="s">
        <v>964</v>
      </c>
      <c r="O144" s="135" t="s">
        <v>579</v>
      </c>
      <c r="P144" s="135" t="s">
        <v>459</v>
      </c>
      <c r="Q144" s="135">
        <v>1979.15</v>
      </c>
      <c r="R144" s="187">
        <v>538</v>
      </c>
      <c r="S144" s="56"/>
      <c r="T144" s="56"/>
      <c r="U144" s="56"/>
      <c r="V144" s="56"/>
      <c r="W144" s="56"/>
      <c r="X144" s="56"/>
      <c r="Y144" s="56"/>
      <c r="Z144" s="56"/>
      <c r="AA144" s="56"/>
    </row>
    <row r="145" spans="1:27" ht="30" hidden="1" customHeight="1" x14ac:dyDescent="0.25">
      <c r="A145" s="60"/>
      <c r="B145" s="51"/>
      <c r="C145" s="51"/>
      <c r="D145" s="51"/>
      <c r="E145" s="63" t="s">
        <v>452</v>
      </c>
      <c r="F145" s="422">
        <v>2019</v>
      </c>
      <c r="G145" s="135" t="s">
        <v>1213</v>
      </c>
      <c r="H145" s="422"/>
      <c r="I145" s="135" t="s">
        <v>460</v>
      </c>
      <c r="J145" s="135" t="s">
        <v>963</v>
      </c>
      <c r="K145" s="135" t="s">
        <v>461</v>
      </c>
      <c r="L145" s="135" t="s">
        <v>253</v>
      </c>
      <c r="M145" s="135" t="s">
        <v>258</v>
      </c>
      <c r="N145" s="135" t="s">
        <v>964</v>
      </c>
      <c r="O145" s="135" t="s">
        <v>259</v>
      </c>
      <c r="P145" s="135" t="s">
        <v>459</v>
      </c>
      <c r="Q145" s="135">
        <v>219.88</v>
      </c>
      <c r="R145" s="187">
        <v>538</v>
      </c>
      <c r="S145" s="56"/>
      <c r="T145" s="56"/>
      <c r="U145" s="56"/>
      <c r="V145" s="56"/>
      <c r="W145" s="56"/>
      <c r="X145" s="56"/>
      <c r="Y145" s="56"/>
      <c r="Z145" s="56"/>
      <c r="AA145" s="56"/>
    </row>
    <row r="146" spans="1:27" ht="30" hidden="1" customHeight="1" x14ac:dyDescent="0.25">
      <c r="A146" s="60"/>
      <c r="B146" s="51"/>
      <c r="C146" s="51"/>
      <c r="D146" s="51"/>
      <c r="E146" s="63" t="s">
        <v>454</v>
      </c>
      <c r="F146" s="422">
        <v>2019</v>
      </c>
      <c r="G146" s="135" t="s">
        <v>1213</v>
      </c>
      <c r="H146" s="422"/>
      <c r="I146" s="135" t="s">
        <v>460</v>
      </c>
      <c r="J146" s="135" t="s">
        <v>966</v>
      </c>
      <c r="K146" s="135" t="s">
        <v>469</v>
      </c>
      <c r="L146" s="135" t="s">
        <v>85</v>
      </c>
      <c r="M146" s="135" t="s">
        <v>580</v>
      </c>
      <c r="N146" s="135" t="s">
        <v>965</v>
      </c>
      <c r="O146" s="135" t="s">
        <v>581</v>
      </c>
      <c r="P146" s="135" t="s">
        <v>459</v>
      </c>
      <c r="Q146" s="135">
        <v>1805.53</v>
      </c>
      <c r="R146" s="187">
        <v>536</v>
      </c>
      <c r="S146" s="56"/>
      <c r="T146" s="56"/>
      <c r="U146" s="56"/>
      <c r="V146" s="56"/>
      <c r="W146" s="56"/>
      <c r="X146" s="56"/>
      <c r="Y146" s="56"/>
      <c r="Z146" s="56"/>
      <c r="AA146" s="56"/>
    </row>
    <row r="147" spans="1:27" ht="30" hidden="1" customHeight="1" x14ac:dyDescent="0.25">
      <c r="A147" s="60"/>
      <c r="B147" s="51"/>
      <c r="C147" s="51"/>
      <c r="D147" s="51"/>
      <c r="E147" s="63" t="s">
        <v>454</v>
      </c>
      <c r="F147" s="422">
        <v>2019</v>
      </c>
      <c r="G147" s="135" t="s">
        <v>1213</v>
      </c>
      <c r="H147" s="422"/>
      <c r="I147" s="135" t="s">
        <v>460</v>
      </c>
      <c r="J147" s="135" t="s">
        <v>966</v>
      </c>
      <c r="K147" s="135" t="s">
        <v>562</v>
      </c>
      <c r="L147" s="135" t="s">
        <v>108</v>
      </c>
      <c r="M147" s="135" t="s">
        <v>582</v>
      </c>
      <c r="N147" s="135" t="s">
        <v>965</v>
      </c>
      <c r="O147" s="135" t="s">
        <v>583</v>
      </c>
      <c r="P147" s="135" t="s">
        <v>459</v>
      </c>
      <c r="Q147" s="135">
        <v>1599.1</v>
      </c>
      <c r="R147" s="187">
        <v>535</v>
      </c>
      <c r="S147" s="56"/>
      <c r="T147" s="56"/>
      <c r="U147" s="56"/>
      <c r="V147" s="56"/>
      <c r="W147" s="56"/>
      <c r="X147" s="56"/>
      <c r="Y147" s="56"/>
      <c r="Z147" s="56"/>
      <c r="AA147" s="56"/>
    </row>
    <row r="148" spans="1:27" ht="30" hidden="1" customHeight="1" x14ac:dyDescent="0.25">
      <c r="A148" s="60"/>
      <c r="B148" s="51"/>
      <c r="C148" s="51"/>
      <c r="D148" s="51"/>
      <c r="E148" s="63" t="s">
        <v>454</v>
      </c>
      <c r="F148" s="422">
        <v>2019</v>
      </c>
      <c r="G148" s="135" t="s">
        <v>1213</v>
      </c>
      <c r="H148" s="422"/>
      <c r="I148" s="135" t="s">
        <v>460</v>
      </c>
      <c r="J148" s="135" t="s">
        <v>966</v>
      </c>
      <c r="K148" s="135" t="s">
        <v>499</v>
      </c>
      <c r="L148" s="135" t="s">
        <v>88</v>
      </c>
      <c r="M148" s="135" t="s">
        <v>360</v>
      </c>
      <c r="N148" s="135" t="s">
        <v>965</v>
      </c>
      <c r="O148" s="135" t="s">
        <v>361</v>
      </c>
      <c r="P148" s="135" t="s">
        <v>459</v>
      </c>
      <c r="Q148" s="135">
        <v>2425.8900000000003</v>
      </c>
      <c r="R148" s="187">
        <v>534</v>
      </c>
      <c r="S148" s="56"/>
      <c r="T148" s="56"/>
      <c r="U148" s="56"/>
      <c r="V148" s="56"/>
      <c r="W148" s="56"/>
      <c r="X148" s="56"/>
      <c r="Y148" s="56"/>
      <c r="Z148" s="56"/>
      <c r="AA148" s="56"/>
    </row>
    <row r="149" spans="1:27" ht="30" hidden="1" customHeight="1" x14ac:dyDescent="0.25">
      <c r="A149" s="60"/>
      <c r="B149" s="51"/>
      <c r="C149" s="51"/>
      <c r="D149" s="51"/>
      <c r="E149" s="63" t="s">
        <v>452</v>
      </c>
      <c r="F149" s="422">
        <v>2019</v>
      </c>
      <c r="G149" s="135" t="s">
        <v>1213</v>
      </c>
      <c r="H149" s="422"/>
      <c r="I149" s="135" t="s">
        <v>460</v>
      </c>
      <c r="J149" s="135" t="s">
        <v>963</v>
      </c>
      <c r="K149" s="135" t="s">
        <v>465</v>
      </c>
      <c r="L149" s="135" t="s">
        <v>106</v>
      </c>
      <c r="M149" s="135" t="s">
        <v>268</v>
      </c>
      <c r="N149" s="135" t="s">
        <v>964</v>
      </c>
      <c r="O149" s="135" t="s">
        <v>584</v>
      </c>
      <c r="P149" s="135" t="s">
        <v>459</v>
      </c>
      <c r="Q149" s="135">
        <v>246.38</v>
      </c>
      <c r="R149" s="187">
        <v>533</v>
      </c>
      <c r="S149" s="56"/>
      <c r="T149" s="56"/>
      <c r="U149" s="56"/>
      <c r="V149" s="56"/>
      <c r="W149" s="56"/>
      <c r="X149" s="56"/>
      <c r="Y149" s="56"/>
      <c r="Z149" s="56"/>
      <c r="AA149" s="56"/>
    </row>
    <row r="150" spans="1:27" ht="30" hidden="1" customHeight="1" x14ac:dyDescent="0.25">
      <c r="A150" s="60"/>
      <c r="B150" s="51"/>
      <c r="C150" s="51"/>
      <c r="D150" s="51"/>
      <c r="E150" s="63" t="s">
        <v>477</v>
      </c>
      <c r="F150" s="422">
        <v>2019</v>
      </c>
      <c r="G150" s="135" t="s">
        <v>1213</v>
      </c>
      <c r="H150" s="422"/>
      <c r="I150" s="135" t="s">
        <v>460</v>
      </c>
      <c r="J150" s="135" t="s">
        <v>966</v>
      </c>
      <c r="K150" s="135" t="s">
        <v>499</v>
      </c>
      <c r="L150" s="135" t="s">
        <v>88</v>
      </c>
      <c r="M150" s="135" t="s">
        <v>88</v>
      </c>
      <c r="N150" s="135" t="s">
        <v>964</v>
      </c>
      <c r="O150" s="135" t="s">
        <v>547</v>
      </c>
      <c r="P150" s="135" t="s">
        <v>459</v>
      </c>
      <c r="Q150" s="135">
        <v>166.7</v>
      </c>
      <c r="R150" s="187">
        <v>532</v>
      </c>
      <c r="S150" s="56"/>
      <c r="T150" s="56"/>
      <c r="U150" s="56"/>
      <c r="V150" s="56"/>
      <c r="W150" s="56"/>
      <c r="X150" s="56"/>
      <c r="Y150" s="56"/>
      <c r="Z150" s="56"/>
      <c r="AA150" s="56"/>
    </row>
    <row r="151" spans="1:27" ht="30" hidden="1" customHeight="1" x14ac:dyDescent="0.25">
      <c r="A151" s="60"/>
      <c r="B151" s="51"/>
      <c r="C151" s="51"/>
      <c r="D151" s="51"/>
      <c r="E151" s="63" t="s">
        <v>477</v>
      </c>
      <c r="F151" s="422">
        <v>2019</v>
      </c>
      <c r="G151" s="135" t="s">
        <v>1213</v>
      </c>
      <c r="H151" s="422"/>
      <c r="I151" s="135" t="s">
        <v>460</v>
      </c>
      <c r="J151" s="135" t="s">
        <v>963</v>
      </c>
      <c r="K151" s="135" t="s">
        <v>461</v>
      </c>
      <c r="L151" s="135" t="s">
        <v>253</v>
      </c>
      <c r="M151" s="135" t="s">
        <v>258</v>
      </c>
      <c r="N151" s="135" t="s">
        <v>964</v>
      </c>
      <c r="O151" s="135" t="s">
        <v>585</v>
      </c>
      <c r="P151" s="135" t="s">
        <v>459</v>
      </c>
      <c r="Q151" s="135">
        <v>277.02999999999997</v>
      </c>
      <c r="R151" s="187">
        <v>531</v>
      </c>
      <c r="S151" s="56"/>
      <c r="T151" s="56"/>
      <c r="U151" s="56"/>
      <c r="V151" s="56"/>
      <c r="W151" s="56"/>
      <c r="X151" s="56"/>
      <c r="Y151" s="56"/>
      <c r="Z151" s="56"/>
      <c r="AA151" s="56"/>
    </row>
    <row r="152" spans="1:27" ht="30" hidden="1" customHeight="1" x14ac:dyDescent="0.25">
      <c r="A152" s="60"/>
      <c r="B152" s="51"/>
      <c r="C152" s="51"/>
      <c r="D152" s="51"/>
      <c r="E152" s="63" t="s">
        <v>452</v>
      </c>
      <c r="F152" s="422">
        <v>2019</v>
      </c>
      <c r="G152" s="135" t="s">
        <v>1213</v>
      </c>
      <c r="H152" s="422"/>
      <c r="I152" s="135" t="s">
        <v>460</v>
      </c>
      <c r="J152" s="135" t="s">
        <v>969</v>
      </c>
      <c r="K152" s="135" t="s">
        <v>503</v>
      </c>
      <c r="L152" s="135" t="s">
        <v>970</v>
      </c>
      <c r="M152" s="135" t="s">
        <v>190</v>
      </c>
      <c r="N152" s="135" t="s">
        <v>964</v>
      </c>
      <c r="O152" s="135" t="s">
        <v>191</v>
      </c>
      <c r="P152" s="135" t="s">
        <v>459</v>
      </c>
      <c r="Q152" s="135">
        <v>202.09</v>
      </c>
      <c r="R152" s="187">
        <v>531</v>
      </c>
      <c r="S152" s="56"/>
      <c r="T152" s="56"/>
      <c r="U152" s="56"/>
      <c r="V152" s="56"/>
      <c r="W152" s="56"/>
      <c r="X152" s="56"/>
      <c r="Y152" s="56"/>
      <c r="Z152" s="56"/>
      <c r="AA152" s="56"/>
    </row>
    <row r="153" spans="1:27" ht="30" hidden="1" customHeight="1" x14ac:dyDescent="0.25">
      <c r="A153" s="60"/>
      <c r="B153" s="51"/>
      <c r="C153" s="51"/>
      <c r="D153" s="51"/>
      <c r="E153" s="63" t="s">
        <v>452</v>
      </c>
      <c r="F153" s="422">
        <v>2019</v>
      </c>
      <c r="G153" s="135" t="s">
        <v>1213</v>
      </c>
      <c r="H153" s="422"/>
      <c r="I153" s="135" t="s">
        <v>460</v>
      </c>
      <c r="J153" s="135" t="s">
        <v>963</v>
      </c>
      <c r="K153" s="135" t="s">
        <v>474</v>
      </c>
      <c r="L153" s="135" t="s">
        <v>95</v>
      </c>
      <c r="M153" s="135" t="s">
        <v>96</v>
      </c>
      <c r="N153" s="135" t="s">
        <v>964</v>
      </c>
      <c r="O153" s="135" t="s">
        <v>586</v>
      </c>
      <c r="P153" s="135" t="s">
        <v>459</v>
      </c>
      <c r="Q153" s="135">
        <v>222.98</v>
      </c>
      <c r="R153" s="187">
        <v>529</v>
      </c>
      <c r="S153" s="56"/>
      <c r="T153" s="56"/>
      <c r="U153" s="56"/>
      <c r="V153" s="56"/>
      <c r="W153" s="56"/>
      <c r="X153" s="56"/>
      <c r="Y153" s="56"/>
      <c r="Z153" s="56"/>
      <c r="AA153" s="56"/>
    </row>
    <row r="154" spans="1:27" ht="30" hidden="1" customHeight="1" x14ac:dyDescent="0.25">
      <c r="A154" s="60"/>
      <c r="B154" s="51"/>
      <c r="C154" s="51"/>
      <c r="D154" s="51"/>
      <c r="E154" s="63" t="s">
        <v>451</v>
      </c>
      <c r="F154" s="422">
        <v>2019</v>
      </c>
      <c r="G154" s="135" t="s">
        <v>1213</v>
      </c>
      <c r="H154" s="422"/>
      <c r="I154" s="135" t="s">
        <v>460</v>
      </c>
      <c r="J154" s="135" t="s">
        <v>966</v>
      </c>
      <c r="K154" s="135" t="s">
        <v>469</v>
      </c>
      <c r="L154" s="135" t="s">
        <v>85</v>
      </c>
      <c r="M154" s="135" t="s">
        <v>85</v>
      </c>
      <c r="N154" s="135" t="s">
        <v>964</v>
      </c>
      <c r="O154" s="135" t="s">
        <v>287</v>
      </c>
      <c r="P154" s="135" t="s">
        <v>459</v>
      </c>
      <c r="Q154" s="135">
        <v>429</v>
      </c>
      <c r="R154" s="187">
        <v>528</v>
      </c>
      <c r="S154" s="56"/>
      <c r="T154" s="56"/>
      <c r="U154" s="56"/>
      <c r="V154" s="56"/>
      <c r="W154" s="56"/>
      <c r="X154" s="56"/>
      <c r="Y154" s="56"/>
      <c r="Z154" s="56"/>
      <c r="AA154" s="56"/>
    </row>
    <row r="155" spans="1:27" ht="30" customHeight="1" x14ac:dyDescent="0.25">
      <c r="A155" s="60"/>
      <c r="B155" s="51"/>
      <c r="C155" s="51"/>
      <c r="D155" s="51"/>
      <c r="E155" s="63" t="s">
        <v>454</v>
      </c>
      <c r="F155" s="422">
        <v>2019</v>
      </c>
      <c r="G155" s="135" t="s">
        <v>1214</v>
      </c>
      <c r="H155" s="422">
        <v>2023</v>
      </c>
      <c r="I155" s="135" t="s">
        <v>460</v>
      </c>
      <c r="J155" s="135" t="s">
        <v>967</v>
      </c>
      <c r="K155" s="135" t="s">
        <v>486</v>
      </c>
      <c r="L155" s="135" t="s">
        <v>283</v>
      </c>
      <c r="M155" s="135" t="s">
        <v>587</v>
      </c>
      <c r="N155" s="135" t="s">
        <v>964</v>
      </c>
      <c r="O155" s="135" t="s">
        <v>1168</v>
      </c>
      <c r="P155" s="135" t="s">
        <v>459</v>
      </c>
      <c r="Q155" s="135">
        <v>1985.33</v>
      </c>
      <c r="R155" s="186">
        <v>527</v>
      </c>
      <c r="S155" s="56"/>
      <c r="T155" s="56"/>
      <c r="U155" s="56"/>
      <c r="V155" s="56"/>
      <c r="W155" s="56"/>
      <c r="X155" s="56"/>
      <c r="Y155" s="56"/>
      <c r="Z155" s="56"/>
      <c r="AA155" s="56"/>
    </row>
    <row r="156" spans="1:27" ht="30" hidden="1" customHeight="1" x14ac:dyDescent="0.25">
      <c r="A156" s="60"/>
      <c r="B156" s="51"/>
      <c r="C156" s="51"/>
      <c r="D156" s="51"/>
      <c r="E156" s="63" t="s">
        <v>454</v>
      </c>
      <c r="F156" s="422">
        <v>2019</v>
      </c>
      <c r="G156" s="135" t="s">
        <v>1214</v>
      </c>
      <c r="H156" s="422"/>
      <c r="I156" s="135" t="s">
        <v>460</v>
      </c>
      <c r="J156" s="135" t="s">
        <v>966</v>
      </c>
      <c r="K156" s="135" t="s">
        <v>492</v>
      </c>
      <c r="L156" s="135" t="s">
        <v>968</v>
      </c>
      <c r="M156" s="135" t="s">
        <v>588</v>
      </c>
      <c r="N156" s="135" t="s">
        <v>965</v>
      </c>
      <c r="O156" s="135" t="s">
        <v>166</v>
      </c>
      <c r="P156" s="135" t="s">
        <v>459</v>
      </c>
      <c r="Q156" s="135">
        <v>2121.91</v>
      </c>
      <c r="R156" s="187">
        <v>527</v>
      </c>
      <c r="S156" s="56"/>
      <c r="T156" s="56"/>
      <c r="U156" s="56"/>
      <c r="V156" s="56"/>
      <c r="W156" s="56"/>
      <c r="X156" s="56"/>
      <c r="Y156" s="56"/>
      <c r="Z156" s="56"/>
      <c r="AA156" s="56"/>
    </row>
    <row r="157" spans="1:27" ht="30" hidden="1" customHeight="1" x14ac:dyDescent="0.25">
      <c r="A157" s="60"/>
      <c r="B157" s="51"/>
      <c r="C157" s="51"/>
      <c r="D157" s="51"/>
      <c r="E157" s="63" t="s">
        <v>454</v>
      </c>
      <c r="F157" s="422">
        <v>2019</v>
      </c>
      <c r="G157" s="135" t="s">
        <v>1214</v>
      </c>
      <c r="H157" s="422"/>
      <c r="I157" s="135" t="s">
        <v>460</v>
      </c>
      <c r="J157" s="135" t="s">
        <v>967</v>
      </c>
      <c r="K157" s="135" t="s">
        <v>485</v>
      </c>
      <c r="L157" s="135" t="s">
        <v>167</v>
      </c>
      <c r="M157" s="135" t="s">
        <v>589</v>
      </c>
      <c r="N157" s="135" t="s">
        <v>965</v>
      </c>
      <c r="O157" s="135" t="s">
        <v>590</v>
      </c>
      <c r="P157" s="135" t="s">
        <v>459</v>
      </c>
      <c r="Q157" s="135">
        <v>1816.6899999999998</v>
      </c>
      <c r="R157" s="187">
        <v>526</v>
      </c>
      <c r="S157" s="56"/>
      <c r="T157" s="56"/>
      <c r="U157" s="56"/>
      <c r="V157" s="56"/>
      <c r="W157" s="56"/>
      <c r="X157" s="56"/>
      <c r="Y157" s="56"/>
      <c r="Z157" s="56"/>
      <c r="AA157" s="56"/>
    </row>
    <row r="158" spans="1:27" ht="30" hidden="1" customHeight="1" x14ac:dyDescent="0.25">
      <c r="A158" s="60"/>
      <c r="B158" s="51"/>
      <c r="C158" s="51"/>
      <c r="D158" s="51"/>
      <c r="E158" s="63" t="s">
        <v>477</v>
      </c>
      <c r="F158" s="422">
        <v>2019</v>
      </c>
      <c r="G158" s="135" t="s">
        <v>1214</v>
      </c>
      <c r="H158" s="422"/>
      <c r="I158" s="135" t="s">
        <v>460</v>
      </c>
      <c r="J158" s="135" t="s">
        <v>966</v>
      </c>
      <c r="K158" s="135" t="s">
        <v>469</v>
      </c>
      <c r="L158" s="135" t="s">
        <v>85</v>
      </c>
      <c r="M158" s="135" t="s">
        <v>85</v>
      </c>
      <c r="N158" s="135" t="s">
        <v>964</v>
      </c>
      <c r="O158" s="135" t="s">
        <v>290</v>
      </c>
      <c r="P158" s="135" t="s">
        <v>459</v>
      </c>
      <c r="Q158" s="135">
        <v>228.27</v>
      </c>
      <c r="R158" s="187">
        <v>525</v>
      </c>
      <c r="S158" s="56"/>
      <c r="T158" s="56"/>
      <c r="U158" s="56"/>
      <c r="V158" s="56"/>
      <c r="W158" s="56"/>
      <c r="X158" s="56"/>
      <c r="Y158" s="56"/>
      <c r="Z158" s="56"/>
      <c r="AA158" s="56"/>
    </row>
    <row r="159" spans="1:27" ht="30" hidden="1" customHeight="1" x14ac:dyDescent="0.25">
      <c r="A159" s="60"/>
      <c r="B159" s="51"/>
      <c r="C159" s="51"/>
      <c r="D159" s="51"/>
      <c r="E159" s="63" t="s">
        <v>477</v>
      </c>
      <c r="F159" s="422">
        <v>2019</v>
      </c>
      <c r="G159" s="135" t="s">
        <v>1214</v>
      </c>
      <c r="H159" s="422"/>
      <c r="I159" s="135" t="s">
        <v>460</v>
      </c>
      <c r="J159" s="135" t="s">
        <v>963</v>
      </c>
      <c r="K159" s="135" t="s">
        <v>461</v>
      </c>
      <c r="L159" s="135" t="s">
        <v>253</v>
      </c>
      <c r="M159" s="135" t="s">
        <v>255</v>
      </c>
      <c r="N159" s="135" t="s">
        <v>965</v>
      </c>
      <c r="O159" s="135" t="s">
        <v>591</v>
      </c>
      <c r="P159" s="135" t="s">
        <v>459</v>
      </c>
      <c r="Q159" s="135">
        <v>233.09</v>
      </c>
      <c r="R159" s="187">
        <v>524</v>
      </c>
      <c r="S159" s="56"/>
      <c r="T159" s="56"/>
      <c r="U159" s="56"/>
      <c r="V159" s="56"/>
      <c r="W159" s="56"/>
      <c r="X159" s="56"/>
      <c r="Y159" s="56"/>
      <c r="Z159" s="56"/>
      <c r="AA159" s="56"/>
    </row>
    <row r="160" spans="1:27" ht="30" hidden="1" customHeight="1" x14ac:dyDescent="0.25">
      <c r="A160" s="60"/>
      <c r="B160" s="51"/>
      <c r="C160" s="51"/>
      <c r="D160" s="51"/>
      <c r="E160" s="63" t="s">
        <v>454</v>
      </c>
      <c r="F160" s="422">
        <v>2019</v>
      </c>
      <c r="G160" s="135" t="s">
        <v>1214</v>
      </c>
      <c r="H160" s="422"/>
      <c r="I160" s="135" t="s">
        <v>460</v>
      </c>
      <c r="J160" s="135" t="s">
        <v>966</v>
      </c>
      <c r="K160" s="135" t="s">
        <v>469</v>
      </c>
      <c r="L160" s="135" t="s">
        <v>85</v>
      </c>
      <c r="M160" s="135" t="s">
        <v>85</v>
      </c>
      <c r="N160" s="135" t="s">
        <v>964</v>
      </c>
      <c r="O160" s="135" t="s">
        <v>592</v>
      </c>
      <c r="P160" s="135" t="s">
        <v>464</v>
      </c>
      <c r="Q160" s="135">
        <v>1927.0100000000002</v>
      </c>
      <c r="R160" s="187">
        <v>524</v>
      </c>
      <c r="S160" s="56"/>
      <c r="T160" s="56"/>
      <c r="U160" s="56"/>
      <c r="V160" s="56"/>
      <c r="W160" s="56"/>
      <c r="X160" s="56"/>
      <c r="Y160" s="56"/>
      <c r="Z160" s="56"/>
      <c r="AA160" s="56"/>
    </row>
    <row r="161" spans="1:27" ht="30" hidden="1" customHeight="1" x14ac:dyDescent="0.25">
      <c r="A161" s="60"/>
      <c r="B161" s="51"/>
      <c r="C161" s="51"/>
      <c r="D161" s="51"/>
      <c r="E161" s="63" t="s">
        <v>454</v>
      </c>
      <c r="F161" s="422">
        <v>2019</v>
      </c>
      <c r="G161" s="135" t="s">
        <v>1214</v>
      </c>
      <c r="H161" s="422"/>
      <c r="I161" s="135" t="s">
        <v>460</v>
      </c>
      <c r="J161" s="135" t="s">
        <v>966</v>
      </c>
      <c r="K161" s="135" t="s">
        <v>469</v>
      </c>
      <c r="L161" s="135" t="s">
        <v>85</v>
      </c>
      <c r="M161" s="135" t="s">
        <v>91</v>
      </c>
      <c r="N161" s="135" t="s">
        <v>965</v>
      </c>
      <c r="O161" s="135" t="s">
        <v>593</v>
      </c>
      <c r="P161" s="135" t="s">
        <v>459</v>
      </c>
      <c r="Q161" s="135">
        <v>2101.16</v>
      </c>
      <c r="R161" s="187">
        <v>522</v>
      </c>
      <c r="S161" s="56"/>
      <c r="T161" s="56"/>
      <c r="U161" s="56"/>
      <c r="V161" s="56"/>
      <c r="W161" s="56"/>
      <c r="X161" s="56"/>
      <c r="Y161" s="56"/>
      <c r="Z161" s="56"/>
      <c r="AA161" s="56"/>
    </row>
    <row r="162" spans="1:27" ht="30" hidden="1" customHeight="1" x14ac:dyDescent="0.25">
      <c r="A162" s="60"/>
      <c r="B162" s="51"/>
      <c r="C162" s="51"/>
      <c r="D162" s="51"/>
      <c r="E162" s="63" t="s">
        <v>454</v>
      </c>
      <c r="F162" s="422">
        <v>2019</v>
      </c>
      <c r="G162" s="135" t="s">
        <v>1214</v>
      </c>
      <c r="H162" s="422"/>
      <c r="I162" s="135" t="s">
        <v>460</v>
      </c>
      <c r="J162" s="135" t="s">
        <v>963</v>
      </c>
      <c r="K162" s="135" t="s">
        <v>461</v>
      </c>
      <c r="L162" s="135" t="s">
        <v>253</v>
      </c>
      <c r="M162" s="135" t="s">
        <v>594</v>
      </c>
      <c r="N162" s="135" t="s">
        <v>965</v>
      </c>
      <c r="O162" s="135" t="s">
        <v>595</v>
      </c>
      <c r="P162" s="135" t="s">
        <v>464</v>
      </c>
      <c r="Q162" s="135">
        <v>2011.31</v>
      </c>
      <c r="R162" s="187">
        <v>521</v>
      </c>
      <c r="S162" s="56"/>
      <c r="T162" s="56"/>
      <c r="U162" s="56"/>
      <c r="V162" s="56"/>
      <c r="W162" s="56"/>
      <c r="X162" s="56"/>
      <c r="Y162" s="56"/>
      <c r="Z162" s="56"/>
      <c r="AA162" s="56"/>
    </row>
    <row r="163" spans="1:27" ht="30" hidden="1" customHeight="1" x14ac:dyDescent="0.25">
      <c r="A163" s="60"/>
      <c r="B163" s="51"/>
      <c r="C163" s="51"/>
      <c r="D163" s="51"/>
      <c r="E163" s="63" t="s">
        <v>454</v>
      </c>
      <c r="F163" s="422">
        <v>2019</v>
      </c>
      <c r="G163" s="135" t="s">
        <v>1215</v>
      </c>
      <c r="H163" s="422"/>
      <c r="I163" s="135" t="s">
        <v>460</v>
      </c>
      <c r="J163" s="135" t="s">
        <v>963</v>
      </c>
      <c r="K163" s="135" t="s">
        <v>474</v>
      </c>
      <c r="L163" s="135" t="s">
        <v>95</v>
      </c>
      <c r="M163" s="135" t="s">
        <v>96</v>
      </c>
      <c r="N163" s="135" t="s">
        <v>964</v>
      </c>
      <c r="O163" s="135" t="s">
        <v>586</v>
      </c>
      <c r="P163" s="135" t="s">
        <v>459</v>
      </c>
      <c r="Q163" s="135">
        <v>3393.14</v>
      </c>
      <c r="R163" s="187">
        <v>520</v>
      </c>
      <c r="S163" s="56"/>
      <c r="T163" s="56"/>
      <c r="U163" s="56"/>
      <c r="V163" s="56"/>
      <c r="W163" s="56"/>
      <c r="X163" s="56"/>
      <c r="Y163" s="56"/>
      <c r="Z163" s="56"/>
      <c r="AA163" s="56"/>
    </row>
    <row r="164" spans="1:27" ht="30" hidden="1" customHeight="1" x14ac:dyDescent="0.25">
      <c r="A164" s="60"/>
      <c r="B164" s="51"/>
      <c r="C164" s="51"/>
      <c r="D164" s="51"/>
      <c r="E164" s="63" t="s">
        <v>454</v>
      </c>
      <c r="F164" s="422">
        <v>2019</v>
      </c>
      <c r="G164" s="135" t="s">
        <v>1215</v>
      </c>
      <c r="H164" s="422"/>
      <c r="I164" s="135" t="s">
        <v>460</v>
      </c>
      <c r="J164" s="135" t="s">
        <v>963</v>
      </c>
      <c r="K164" s="135" t="s">
        <v>474</v>
      </c>
      <c r="L164" s="135" t="s">
        <v>95</v>
      </c>
      <c r="M164" s="135" t="s">
        <v>226</v>
      </c>
      <c r="N164" s="135" t="s">
        <v>965</v>
      </c>
      <c r="O164" s="135" t="s">
        <v>596</v>
      </c>
      <c r="P164" s="135" t="s">
        <v>459</v>
      </c>
      <c r="Q164" s="135">
        <v>2011.58</v>
      </c>
      <c r="R164" s="187">
        <v>520</v>
      </c>
      <c r="S164" s="56"/>
      <c r="T164" s="56"/>
      <c r="U164" s="56"/>
      <c r="V164" s="56"/>
      <c r="W164" s="56"/>
      <c r="X164" s="56"/>
      <c r="Y164" s="56"/>
      <c r="Z164" s="56"/>
      <c r="AA164" s="56"/>
    </row>
    <row r="165" spans="1:27" ht="30" hidden="1" customHeight="1" x14ac:dyDescent="0.25">
      <c r="A165" s="60"/>
      <c r="B165" s="51"/>
      <c r="C165" s="51"/>
      <c r="D165" s="51"/>
      <c r="E165" s="63" t="s">
        <v>454</v>
      </c>
      <c r="F165" s="422">
        <v>2019</v>
      </c>
      <c r="G165" s="135" t="s">
        <v>1215</v>
      </c>
      <c r="H165" s="422"/>
      <c r="I165" s="135" t="s">
        <v>460</v>
      </c>
      <c r="J165" s="135" t="s">
        <v>967</v>
      </c>
      <c r="K165" s="135" t="s">
        <v>488</v>
      </c>
      <c r="L165" s="135" t="s">
        <v>135</v>
      </c>
      <c r="M165" s="135" t="s">
        <v>141</v>
      </c>
      <c r="N165" s="135" t="s">
        <v>965</v>
      </c>
      <c r="O165" s="135" t="s">
        <v>142</v>
      </c>
      <c r="P165" s="135" t="s">
        <v>459</v>
      </c>
      <c r="Q165" s="135">
        <v>1853.93</v>
      </c>
      <c r="R165" s="187">
        <v>518</v>
      </c>
      <c r="S165" s="56"/>
      <c r="T165" s="56"/>
      <c r="U165" s="56"/>
      <c r="V165" s="56"/>
      <c r="W165" s="56"/>
      <c r="X165" s="56"/>
      <c r="Y165" s="56"/>
      <c r="Z165" s="56"/>
      <c r="AA165" s="56"/>
    </row>
    <row r="166" spans="1:27" ht="30" hidden="1" customHeight="1" x14ac:dyDescent="0.25">
      <c r="A166" s="60"/>
      <c r="B166" s="51"/>
      <c r="C166" s="51"/>
      <c r="D166" s="51"/>
      <c r="E166" s="63" t="s">
        <v>452</v>
      </c>
      <c r="F166" s="422">
        <v>2019</v>
      </c>
      <c r="G166" s="135" t="s">
        <v>1215</v>
      </c>
      <c r="H166" s="422"/>
      <c r="I166" s="135" t="s">
        <v>460</v>
      </c>
      <c r="J166" s="135" t="s">
        <v>969</v>
      </c>
      <c r="K166" s="135" t="s">
        <v>509</v>
      </c>
      <c r="L166" s="135" t="s">
        <v>157</v>
      </c>
      <c r="M166" s="135" t="s">
        <v>159</v>
      </c>
      <c r="N166" s="135" t="s">
        <v>964</v>
      </c>
      <c r="O166" s="135" t="s">
        <v>597</v>
      </c>
      <c r="P166" s="135" t="s">
        <v>459</v>
      </c>
      <c r="Q166" s="135">
        <v>265.79000000000002</v>
      </c>
      <c r="R166" s="187">
        <v>517</v>
      </c>
      <c r="S166" s="56"/>
      <c r="T166" s="56"/>
      <c r="U166" s="56"/>
      <c r="V166" s="56"/>
      <c r="W166" s="56"/>
      <c r="X166" s="56"/>
      <c r="Y166" s="56"/>
      <c r="Z166" s="56"/>
      <c r="AA166" s="56"/>
    </row>
    <row r="167" spans="1:27" ht="30" hidden="1" customHeight="1" x14ac:dyDescent="0.25">
      <c r="A167" s="60"/>
      <c r="B167" s="51"/>
      <c r="C167" s="51"/>
      <c r="D167" s="51"/>
      <c r="E167" s="63" t="s">
        <v>454</v>
      </c>
      <c r="F167" s="422">
        <v>2019</v>
      </c>
      <c r="G167" s="135" t="s">
        <v>1215</v>
      </c>
      <c r="H167" s="422"/>
      <c r="I167" s="135" t="s">
        <v>460</v>
      </c>
      <c r="J167" s="135" t="s">
        <v>966</v>
      </c>
      <c r="K167" s="135" t="s">
        <v>469</v>
      </c>
      <c r="L167" s="135" t="s">
        <v>85</v>
      </c>
      <c r="M167" s="135" t="s">
        <v>85</v>
      </c>
      <c r="N167" s="135" t="s">
        <v>964</v>
      </c>
      <c r="O167" s="135" t="s">
        <v>598</v>
      </c>
      <c r="P167" s="135" t="s">
        <v>459</v>
      </c>
      <c r="Q167" s="135">
        <v>1528.33</v>
      </c>
      <c r="R167" s="187">
        <v>516</v>
      </c>
      <c r="S167" s="56"/>
      <c r="T167" s="56"/>
      <c r="U167" s="56"/>
      <c r="V167" s="56"/>
      <c r="W167" s="56"/>
      <c r="X167" s="56"/>
      <c r="Y167" s="56"/>
      <c r="Z167" s="56"/>
      <c r="AA167" s="56"/>
    </row>
    <row r="168" spans="1:27" ht="30" hidden="1" customHeight="1" x14ac:dyDescent="0.25">
      <c r="A168" s="60"/>
      <c r="B168" s="51"/>
      <c r="C168" s="51"/>
      <c r="D168" s="51"/>
      <c r="E168" s="63" t="s">
        <v>454</v>
      </c>
      <c r="F168" s="422">
        <v>2019</v>
      </c>
      <c r="G168" s="135" t="s">
        <v>1215</v>
      </c>
      <c r="H168" s="422"/>
      <c r="I168" s="135" t="s">
        <v>460</v>
      </c>
      <c r="J168" s="135" t="s">
        <v>966</v>
      </c>
      <c r="K168" s="135" t="s">
        <v>499</v>
      </c>
      <c r="L168" s="135" t="s">
        <v>88</v>
      </c>
      <c r="M168" s="135" t="s">
        <v>88</v>
      </c>
      <c r="N168" s="135" t="s">
        <v>964</v>
      </c>
      <c r="O168" s="135" t="s">
        <v>231</v>
      </c>
      <c r="P168" s="135" t="s">
        <v>459</v>
      </c>
      <c r="Q168" s="135">
        <v>1712.6</v>
      </c>
      <c r="R168" s="187">
        <v>516</v>
      </c>
      <c r="S168" s="56"/>
      <c r="T168" s="56"/>
      <c r="U168" s="56"/>
      <c r="V168" s="56"/>
      <c r="W168" s="56"/>
      <c r="X168" s="56"/>
      <c r="Y168" s="56"/>
      <c r="Z168" s="56"/>
      <c r="AA168" s="56"/>
    </row>
    <row r="169" spans="1:27" ht="30" hidden="1" customHeight="1" x14ac:dyDescent="0.25">
      <c r="A169" s="60"/>
      <c r="B169" s="51"/>
      <c r="C169" s="51"/>
      <c r="D169" s="51"/>
      <c r="E169" s="63" t="s">
        <v>452</v>
      </c>
      <c r="F169" s="422">
        <v>2019</v>
      </c>
      <c r="G169" s="135" t="s">
        <v>1215</v>
      </c>
      <c r="H169" s="422"/>
      <c r="I169" s="135" t="s">
        <v>460</v>
      </c>
      <c r="J169" s="135" t="s">
        <v>966</v>
      </c>
      <c r="K169" s="135" t="s">
        <v>469</v>
      </c>
      <c r="L169" s="135" t="s">
        <v>85</v>
      </c>
      <c r="M169" s="135" t="s">
        <v>331</v>
      </c>
      <c r="N169" s="135" t="s">
        <v>965</v>
      </c>
      <c r="O169" s="135" t="s">
        <v>599</v>
      </c>
      <c r="P169" s="135" t="s">
        <v>459</v>
      </c>
      <c r="Q169" s="135">
        <v>240.06</v>
      </c>
      <c r="R169" s="187">
        <v>516</v>
      </c>
      <c r="S169" s="56"/>
      <c r="T169" s="56"/>
      <c r="U169" s="56"/>
      <c r="V169" s="56"/>
      <c r="W169" s="56"/>
      <c r="X169" s="56"/>
      <c r="Y169" s="56"/>
      <c r="Z169" s="56"/>
      <c r="AA169" s="56"/>
    </row>
    <row r="170" spans="1:27" ht="30" hidden="1" customHeight="1" x14ac:dyDescent="0.25">
      <c r="A170" s="60"/>
      <c r="B170" s="51"/>
      <c r="C170" s="51"/>
      <c r="D170" s="51"/>
      <c r="E170" s="63" t="s">
        <v>451</v>
      </c>
      <c r="F170" s="422">
        <v>2019</v>
      </c>
      <c r="G170" s="135" t="s">
        <v>1215</v>
      </c>
      <c r="H170" s="422"/>
      <c r="I170" s="135" t="s">
        <v>460</v>
      </c>
      <c r="J170" s="135" t="s">
        <v>971</v>
      </c>
      <c r="K170" s="135" t="s">
        <v>600</v>
      </c>
      <c r="L170" s="135" t="s">
        <v>357</v>
      </c>
      <c r="M170" s="135" t="s">
        <v>358</v>
      </c>
      <c r="N170" s="135" t="s">
        <v>964</v>
      </c>
      <c r="O170" s="135" t="s">
        <v>601</v>
      </c>
      <c r="P170" s="135" t="s">
        <v>459</v>
      </c>
      <c r="Q170" s="135">
        <v>493.25</v>
      </c>
      <c r="R170" s="187">
        <v>513</v>
      </c>
      <c r="S170" s="56"/>
      <c r="T170" s="56"/>
      <c r="U170" s="56"/>
      <c r="V170" s="56"/>
      <c r="W170" s="56"/>
      <c r="X170" s="56"/>
      <c r="Y170" s="56"/>
      <c r="Z170" s="56"/>
      <c r="AA170" s="56"/>
    </row>
    <row r="171" spans="1:27" ht="30" hidden="1" customHeight="1" x14ac:dyDescent="0.25">
      <c r="A171" s="60"/>
      <c r="B171" s="51"/>
      <c r="C171" s="51"/>
      <c r="D171" s="51"/>
      <c r="E171" s="63" t="s">
        <v>451</v>
      </c>
      <c r="F171" s="422">
        <v>2019</v>
      </c>
      <c r="G171" s="135" t="s">
        <v>1215</v>
      </c>
      <c r="H171" s="422"/>
      <c r="I171" s="135" t="s">
        <v>460</v>
      </c>
      <c r="J171" s="135" t="s">
        <v>966</v>
      </c>
      <c r="K171" s="135" t="s">
        <v>469</v>
      </c>
      <c r="L171" s="135" t="s">
        <v>85</v>
      </c>
      <c r="M171" s="135" t="s">
        <v>85</v>
      </c>
      <c r="N171" s="135" t="s">
        <v>964</v>
      </c>
      <c r="O171" s="135" t="s">
        <v>602</v>
      </c>
      <c r="P171" s="135" t="s">
        <v>459</v>
      </c>
      <c r="Q171" s="135">
        <v>375.68</v>
      </c>
      <c r="R171" s="187">
        <v>512</v>
      </c>
      <c r="S171" s="56"/>
      <c r="T171" s="56"/>
      <c r="U171" s="56"/>
      <c r="V171" s="56"/>
      <c r="W171" s="56"/>
      <c r="X171" s="56"/>
      <c r="Y171" s="56"/>
      <c r="Z171" s="56"/>
      <c r="AA171" s="56"/>
    </row>
    <row r="172" spans="1:27" ht="30" hidden="1" customHeight="1" x14ac:dyDescent="0.25">
      <c r="A172" s="60"/>
      <c r="B172" s="51"/>
      <c r="C172" s="51"/>
      <c r="D172" s="51"/>
      <c r="E172" s="63" t="s">
        <v>451</v>
      </c>
      <c r="F172" s="422">
        <v>2019</v>
      </c>
      <c r="G172" s="135" t="s">
        <v>1215</v>
      </c>
      <c r="H172" s="422"/>
      <c r="I172" s="135" t="s">
        <v>460</v>
      </c>
      <c r="J172" s="135" t="s">
        <v>966</v>
      </c>
      <c r="K172" s="135" t="s">
        <v>469</v>
      </c>
      <c r="L172" s="135" t="s">
        <v>85</v>
      </c>
      <c r="M172" s="135" t="s">
        <v>85</v>
      </c>
      <c r="N172" s="135" t="s">
        <v>964</v>
      </c>
      <c r="O172" s="135" t="s">
        <v>290</v>
      </c>
      <c r="P172" s="135" t="s">
        <v>459</v>
      </c>
      <c r="Q172" s="135">
        <v>544.19000000000005</v>
      </c>
      <c r="R172" s="187">
        <v>511</v>
      </c>
      <c r="S172" s="56"/>
      <c r="T172" s="56"/>
      <c r="U172" s="56"/>
      <c r="V172" s="56"/>
      <c r="W172" s="56"/>
      <c r="X172" s="56"/>
      <c r="Y172" s="56"/>
      <c r="Z172" s="56"/>
      <c r="AA172" s="56"/>
    </row>
    <row r="173" spans="1:27" ht="30" hidden="1" customHeight="1" x14ac:dyDescent="0.25">
      <c r="A173" s="60"/>
      <c r="B173" s="51"/>
      <c r="C173" s="51"/>
      <c r="D173" s="51"/>
      <c r="E173" s="63" t="s">
        <v>454</v>
      </c>
      <c r="F173" s="422">
        <v>2019</v>
      </c>
      <c r="G173" s="135" t="s">
        <v>1215</v>
      </c>
      <c r="H173" s="422"/>
      <c r="I173" s="135" t="s">
        <v>460</v>
      </c>
      <c r="J173" s="135" t="s">
        <v>966</v>
      </c>
      <c r="K173" s="135" t="s">
        <v>469</v>
      </c>
      <c r="L173" s="135" t="s">
        <v>85</v>
      </c>
      <c r="M173" s="135" t="s">
        <v>603</v>
      </c>
      <c r="N173" s="135" t="s">
        <v>965</v>
      </c>
      <c r="O173" s="135" t="s">
        <v>604</v>
      </c>
      <c r="P173" s="135" t="s">
        <v>459</v>
      </c>
      <c r="Q173" s="135">
        <v>1945.05</v>
      </c>
      <c r="R173" s="186">
        <v>510</v>
      </c>
      <c r="S173" s="56"/>
      <c r="T173" s="56"/>
      <c r="U173" s="56"/>
      <c r="V173" s="56"/>
      <c r="W173" s="56"/>
      <c r="X173" s="56"/>
      <c r="Y173" s="56"/>
      <c r="Z173" s="56"/>
      <c r="AA173" s="56"/>
    </row>
    <row r="174" spans="1:27" ht="30" hidden="1" customHeight="1" x14ac:dyDescent="0.25">
      <c r="A174" s="60"/>
      <c r="B174" s="51"/>
      <c r="C174" s="51"/>
      <c r="D174" s="51"/>
      <c r="E174" s="63" t="s">
        <v>452</v>
      </c>
      <c r="F174" s="422">
        <v>2019</v>
      </c>
      <c r="G174" s="135" t="s">
        <v>1215</v>
      </c>
      <c r="H174" s="422"/>
      <c r="I174" s="135" t="s">
        <v>460</v>
      </c>
      <c r="J174" s="135" t="s">
        <v>971</v>
      </c>
      <c r="K174" s="135" t="s">
        <v>539</v>
      </c>
      <c r="L174" s="135" t="s">
        <v>247</v>
      </c>
      <c r="M174" s="135" t="s">
        <v>248</v>
      </c>
      <c r="N174" s="135" t="s">
        <v>964</v>
      </c>
      <c r="O174" s="135" t="s">
        <v>249</v>
      </c>
      <c r="P174" s="135" t="s">
        <v>459</v>
      </c>
      <c r="Q174" s="135">
        <v>211.12</v>
      </c>
      <c r="R174" s="187">
        <v>509</v>
      </c>
      <c r="S174" s="56"/>
      <c r="T174" s="56"/>
      <c r="U174" s="56"/>
      <c r="V174" s="56"/>
      <c r="W174" s="56"/>
      <c r="X174" s="56"/>
      <c r="Y174" s="56"/>
      <c r="Z174" s="56"/>
      <c r="AA174" s="56"/>
    </row>
    <row r="175" spans="1:27" ht="30" hidden="1" customHeight="1" x14ac:dyDescent="0.25">
      <c r="A175" s="60"/>
      <c r="B175" s="51"/>
      <c r="C175" s="51"/>
      <c r="D175" s="51"/>
      <c r="E175" s="63" t="s">
        <v>451</v>
      </c>
      <c r="F175" s="422">
        <v>2019</v>
      </c>
      <c r="G175" s="135" t="s">
        <v>1215</v>
      </c>
      <c r="H175" s="422"/>
      <c r="I175" s="135" t="s">
        <v>460</v>
      </c>
      <c r="J175" s="135" t="s">
        <v>966</v>
      </c>
      <c r="K175" s="135" t="s">
        <v>469</v>
      </c>
      <c r="L175" s="135" t="s">
        <v>85</v>
      </c>
      <c r="M175" s="135" t="s">
        <v>368</v>
      </c>
      <c r="N175" s="135" t="s">
        <v>965</v>
      </c>
      <c r="O175" s="135" t="s">
        <v>369</v>
      </c>
      <c r="P175" s="135" t="s">
        <v>459</v>
      </c>
      <c r="Q175" s="135">
        <v>627.08000000000004</v>
      </c>
      <c r="R175" s="187">
        <v>508</v>
      </c>
      <c r="S175" s="56"/>
      <c r="T175" s="56"/>
      <c r="U175" s="56"/>
      <c r="V175" s="56"/>
      <c r="W175" s="56"/>
      <c r="X175" s="56"/>
      <c r="Y175" s="56"/>
      <c r="Z175" s="56"/>
      <c r="AA175" s="56"/>
    </row>
    <row r="176" spans="1:27" ht="30" hidden="1" customHeight="1" x14ac:dyDescent="0.25">
      <c r="A176" s="60"/>
      <c r="B176" s="51"/>
      <c r="C176" s="51"/>
      <c r="D176" s="51"/>
      <c r="E176" s="63" t="s">
        <v>452</v>
      </c>
      <c r="F176" s="422">
        <v>2019</v>
      </c>
      <c r="G176" s="135" t="s">
        <v>1215</v>
      </c>
      <c r="H176" s="422"/>
      <c r="I176" s="135" t="s">
        <v>460</v>
      </c>
      <c r="J176" s="135" t="s">
        <v>969</v>
      </c>
      <c r="K176" s="135" t="s">
        <v>575</v>
      </c>
      <c r="L176" s="135" t="s">
        <v>143</v>
      </c>
      <c r="M176" s="135" t="s">
        <v>144</v>
      </c>
      <c r="N176" s="135" t="s">
        <v>964</v>
      </c>
      <c r="O176" s="135" t="s">
        <v>605</v>
      </c>
      <c r="P176" s="135" t="s">
        <v>459</v>
      </c>
      <c r="Q176" s="135">
        <v>231.76</v>
      </c>
      <c r="R176" s="187">
        <v>507</v>
      </c>
      <c r="S176" s="56"/>
      <c r="T176" s="56"/>
      <c r="U176" s="56"/>
      <c r="V176" s="56"/>
      <c r="W176" s="56"/>
      <c r="X176" s="56"/>
      <c r="Y176" s="56"/>
      <c r="Z176" s="56"/>
      <c r="AA176" s="56"/>
    </row>
    <row r="177" spans="1:27" ht="30" hidden="1" customHeight="1" x14ac:dyDescent="0.25">
      <c r="A177" s="60"/>
      <c r="B177" s="51"/>
      <c r="C177" s="51"/>
      <c r="D177" s="51"/>
      <c r="E177" s="63" t="s">
        <v>451</v>
      </c>
      <c r="F177" s="422">
        <v>2019</v>
      </c>
      <c r="G177" s="135" t="s">
        <v>1216</v>
      </c>
      <c r="H177" s="422"/>
      <c r="I177" s="135" t="s">
        <v>460</v>
      </c>
      <c r="J177" s="135" t="s">
        <v>966</v>
      </c>
      <c r="K177" s="135" t="s">
        <v>492</v>
      </c>
      <c r="L177" s="135" t="s">
        <v>968</v>
      </c>
      <c r="M177" s="135" t="s">
        <v>153</v>
      </c>
      <c r="N177" s="135" t="s">
        <v>965</v>
      </c>
      <c r="O177" s="135" t="s">
        <v>606</v>
      </c>
      <c r="P177" s="135" t="s">
        <v>459</v>
      </c>
      <c r="Q177" s="135">
        <v>454.58</v>
      </c>
      <c r="R177" s="187">
        <v>506</v>
      </c>
      <c r="S177" s="56"/>
      <c r="T177" s="56"/>
      <c r="U177" s="56"/>
      <c r="V177" s="56"/>
      <c r="W177" s="56"/>
      <c r="X177" s="56"/>
      <c r="Y177" s="56"/>
      <c r="Z177" s="56"/>
      <c r="AA177" s="56"/>
    </row>
    <row r="178" spans="1:27" ht="30" hidden="1" customHeight="1" x14ac:dyDescent="0.25">
      <c r="A178" s="60"/>
      <c r="B178" s="51"/>
      <c r="C178" s="51"/>
      <c r="D178" s="51"/>
      <c r="E178" s="63" t="s">
        <v>451</v>
      </c>
      <c r="F178" s="422">
        <v>2019</v>
      </c>
      <c r="G178" s="135" t="s">
        <v>1216</v>
      </c>
      <c r="H178" s="422"/>
      <c r="I178" s="135" t="s">
        <v>460</v>
      </c>
      <c r="J178" s="135" t="s">
        <v>963</v>
      </c>
      <c r="K178" s="135" t="s">
        <v>461</v>
      </c>
      <c r="L178" s="135" t="s">
        <v>253</v>
      </c>
      <c r="M178" s="135" t="s">
        <v>363</v>
      </c>
      <c r="N178" s="135" t="s">
        <v>965</v>
      </c>
      <c r="O178" s="135" t="s">
        <v>364</v>
      </c>
      <c r="P178" s="135" t="s">
        <v>459</v>
      </c>
      <c r="Q178" s="135">
        <v>491.65</v>
      </c>
      <c r="R178" s="187">
        <v>505</v>
      </c>
      <c r="S178" s="56"/>
      <c r="T178" s="56"/>
      <c r="U178" s="56"/>
      <c r="V178" s="56"/>
      <c r="W178" s="56"/>
      <c r="X178" s="56"/>
      <c r="Y178" s="56"/>
      <c r="Z178" s="56"/>
      <c r="AA178" s="56"/>
    </row>
    <row r="179" spans="1:27" ht="30" customHeight="1" x14ac:dyDescent="0.25">
      <c r="A179" s="60"/>
      <c r="B179" s="51"/>
      <c r="C179" s="51"/>
      <c r="D179" s="51"/>
      <c r="E179" s="63" t="s">
        <v>451</v>
      </c>
      <c r="F179" s="422">
        <v>2019</v>
      </c>
      <c r="G179" s="135" t="s">
        <v>1216</v>
      </c>
      <c r="H179" s="422">
        <v>2023</v>
      </c>
      <c r="I179" s="135" t="s">
        <v>460</v>
      </c>
      <c r="J179" s="135" t="s">
        <v>967</v>
      </c>
      <c r="K179" s="135" t="s">
        <v>478</v>
      </c>
      <c r="L179" s="135" t="s">
        <v>207</v>
      </c>
      <c r="M179" s="135" t="s">
        <v>211</v>
      </c>
      <c r="N179" s="135" t="s">
        <v>964</v>
      </c>
      <c r="O179" s="135" t="s">
        <v>1337</v>
      </c>
      <c r="P179" s="135" t="s">
        <v>459</v>
      </c>
      <c r="Q179" s="135">
        <v>492.13</v>
      </c>
      <c r="R179" s="187">
        <v>504</v>
      </c>
      <c r="S179" s="56"/>
      <c r="T179" s="56"/>
      <c r="U179" s="56"/>
      <c r="V179" s="56"/>
      <c r="W179" s="56"/>
      <c r="X179" s="56"/>
      <c r="Y179" s="56"/>
      <c r="Z179" s="56"/>
      <c r="AA179" s="56"/>
    </row>
    <row r="180" spans="1:27" ht="30" hidden="1" customHeight="1" x14ac:dyDescent="0.25">
      <c r="A180" s="60"/>
      <c r="B180" s="51"/>
      <c r="C180" s="51"/>
      <c r="D180" s="51"/>
      <c r="E180" s="63" t="s">
        <v>451</v>
      </c>
      <c r="F180" s="422">
        <v>2019</v>
      </c>
      <c r="G180" s="135" t="s">
        <v>1216</v>
      </c>
      <c r="H180" s="422">
        <v>2024</v>
      </c>
      <c r="I180" s="135" t="s">
        <v>460</v>
      </c>
      <c r="J180" s="135" t="s">
        <v>971</v>
      </c>
      <c r="K180" s="135" t="s">
        <v>527</v>
      </c>
      <c r="L180" s="135" t="s">
        <v>194</v>
      </c>
      <c r="M180" s="135" t="s">
        <v>196</v>
      </c>
      <c r="N180" s="135" t="s">
        <v>964</v>
      </c>
      <c r="O180" s="135" t="s">
        <v>198</v>
      </c>
      <c r="P180" s="135" t="s">
        <v>459</v>
      </c>
      <c r="Q180" s="135">
        <v>730.88</v>
      </c>
      <c r="R180" s="187">
        <v>504</v>
      </c>
      <c r="S180" s="56"/>
      <c r="T180" s="56"/>
      <c r="U180" s="56"/>
      <c r="V180" s="56"/>
      <c r="W180" s="56"/>
      <c r="X180" s="56"/>
      <c r="Y180" s="56"/>
      <c r="Z180" s="56"/>
      <c r="AA180" s="56"/>
    </row>
    <row r="181" spans="1:27" ht="30" hidden="1" customHeight="1" x14ac:dyDescent="0.25">
      <c r="A181" s="60"/>
      <c r="B181" s="51"/>
      <c r="C181" s="51"/>
      <c r="D181" s="51"/>
      <c r="E181" s="63" t="s">
        <v>454</v>
      </c>
      <c r="F181" s="422">
        <v>2018</v>
      </c>
      <c r="G181" s="135" t="s">
        <v>1217</v>
      </c>
      <c r="H181" s="422"/>
      <c r="I181" s="135" t="s">
        <v>455</v>
      </c>
      <c r="J181" s="135" t="s">
        <v>455</v>
      </c>
      <c r="K181" s="135" t="s">
        <v>456</v>
      </c>
      <c r="L181" s="135" t="s">
        <v>455</v>
      </c>
      <c r="M181" s="135" t="s">
        <v>457</v>
      </c>
      <c r="N181" s="135" t="s">
        <v>965</v>
      </c>
      <c r="O181" s="135" t="s">
        <v>607</v>
      </c>
      <c r="P181" s="135" t="s">
        <v>459</v>
      </c>
      <c r="Q181" s="135">
        <v>1574.37</v>
      </c>
      <c r="R181" s="187">
        <v>504</v>
      </c>
      <c r="S181" s="56"/>
      <c r="T181" s="56"/>
      <c r="U181" s="56"/>
      <c r="V181" s="56"/>
      <c r="W181" s="56"/>
      <c r="X181" s="56"/>
      <c r="Y181" s="56"/>
      <c r="Z181" s="56"/>
      <c r="AA181" s="56"/>
    </row>
    <row r="182" spans="1:27" ht="30" hidden="1" customHeight="1" x14ac:dyDescent="0.25">
      <c r="A182" s="60"/>
      <c r="B182" s="51"/>
      <c r="C182" s="51"/>
      <c r="D182" s="51"/>
      <c r="E182" s="63" t="s">
        <v>454</v>
      </c>
      <c r="F182" s="422">
        <v>2018</v>
      </c>
      <c r="G182" s="135" t="s">
        <v>1217</v>
      </c>
      <c r="H182" s="422"/>
      <c r="I182" s="135" t="s">
        <v>460</v>
      </c>
      <c r="J182" s="135" t="s">
        <v>971</v>
      </c>
      <c r="K182" s="135" t="s">
        <v>527</v>
      </c>
      <c r="L182" s="135" t="s">
        <v>194</v>
      </c>
      <c r="M182" s="135" t="s">
        <v>201</v>
      </c>
      <c r="N182" s="135" t="s">
        <v>965</v>
      </c>
      <c r="O182" s="135" t="s">
        <v>202</v>
      </c>
      <c r="P182" s="135" t="s">
        <v>459</v>
      </c>
      <c r="Q182" s="135">
        <v>1783</v>
      </c>
      <c r="R182" s="187">
        <v>503</v>
      </c>
      <c r="S182" s="56"/>
      <c r="T182" s="56"/>
      <c r="U182" s="56"/>
      <c r="V182" s="56"/>
      <c r="W182" s="56"/>
      <c r="X182" s="56"/>
      <c r="Y182" s="56"/>
      <c r="Z182" s="56"/>
      <c r="AA182" s="56"/>
    </row>
    <row r="183" spans="1:27" ht="30" hidden="1" customHeight="1" x14ac:dyDescent="0.25">
      <c r="A183" s="60"/>
      <c r="B183" s="51"/>
      <c r="C183" s="51"/>
      <c r="D183" s="51"/>
      <c r="E183" s="63" t="s">
        <v>454</v>
      </c>
      <c r="F183" s="422">
        <v>2018</v>
      </c>
      <c r="G183" s="135" t="s">
        <v>1217</v>
      </c>
      <c r="H183" s="422"/>
      <c r="I183" s="135" t="s">
        <v>460</v>
      </c>
      <c r="J183" s="135" t="s">
        <v>963</v>
      </c>
      <c r="K183" s="135" t="s">
        <v>465</v>
      </c>
      <c r="L183" s="135" t="s">
        <v>106</v>
      </c>
      <c r="M183" s="135" t="s">
        <v>268</v>
      </c>
      <c r="N183" s="135" t="s">
        <v>964</v>
      </c>
      <c r="O183" s="135" t="s">
        <v>608</v>
      </c>
      <c r="P183" s="135" t="s">
        <v>464</v>
      </c>
      <c r="Q183" s="135">
        <v>2265.3200000000002</v>
      </c>
      <c r="R183" s="187">
        <v>502</v>
      </c>
      <c r="S183" s="56"/>
      <c r="T183" s="56"/>
      <c r="U183" s="56"/>
      <c r="V183" s="56"/>
      <c r="W183" s="56"/>
      <c r="X183" s="56"/>
      <c r="Y183" s="56"/>
      <c r="Z183" s="56"/>
      <c r="AA183" s="56"/>
    </row>
    <row r="184" spans="1:27" ht="30" hidden="1" customHeight="1" x14ac:dyDescent="0.25">
      <c r="A184" s="60"/>
      <c r="B184" s="51"/>
      <c r="C184" s="51"/>
      <c r="D184" s="51"/>
      <c r="E184" s="63" t="s">
        <v>454</v>
      </c>
      <c r="F184" s="422">
        <v>2018</v>
      </c>
      <c r="G184" s="135" t="s">
        <v>1217</v>
      </c>
      <c r="H184" s="422"/>
      <c r="I184" s="135" t="s">
        <v>460</v>
      </c>
      <c r="J184" s="135" t="s">
        <v>969</v>
      </c>
      <c r="K184" s="135" t="s">
        <v>575</v>
      </c>
      <c r="L184" s="135" t="s">
        <v>143</v>
      </c>
      <c r="M184" s="135" t="s">
        <v>144</v>
      </c>
      <c r="N184" s="135" t="s">
        <v>964</v>
      </c>
      <c r="O184" s="135" t="s">
        <v>145</v>
      </c>
      <c r="P184" s="135" t="s">
        <v>459</v>
      </c>
      <c r="Q184" s="135">
        <v>1884.3999999999999</v>
      </c>
      <c r="R184" s="187">
        <v>501</v>
      </c>
      <c r="S184" s="56"/>
      <c r="T184" s="56"/>
      <c r="U184" s="56"/>
      <c r="V184" s="56"/>
      <c r="W184" s="56"/>
      <c r="X184" s="56"/>
      <c r="Y184" s="56"/>
      <c r="Z184" s="56"/>
      <c r="AA184" s="56"/>
    </row>
    <row r="185" spans="1:27" ht="30" hidden="1" customHeight="1" x14ac:dyDescent="0.25">
      <c r="A185" s="60"/>
      <c r="B185" s="51"/>
      <c r="C185" s="51"/>
      <c r="D185" s="51"/>
      <c r="E185" s="63" t="s">
        <v>454</v>
      </c>
      <c r="F185" s="422">
        <v>2018</v>
      </c>
      <c r="G185" s="135" t="s">
        <v>1217</v>
      </c>
      <c r="H185" s="422"/>
      <c r="I185" s="135" t="s">
        <v>460</v>
      </c>
      <c r="J185" s="135" t="s">
        <v>966</v>
      </c>
      <c r="K185" s="135" t="s">
        <v>562</v>
      </c>
      <c r="L185" s="135" t="s">
        <v>108</v>
      </c>
      <c r="M185" s="135" t="s">
        <v>609</v>
      </c>
      <c r="N185" s="135" t="s">
        <v>965</v>
      </c>
      <c r="O185" s="135" t="s">
        <v>610</v>
      </c>
      <c r="P185" s="135" t="s">
        <v>459</v>
      </c>
      <c r="Q185" s="135">
        <v>2365.9</v>
      </c>
      <c r="R185" s="187">
        <v>501</v>
      </c>
      <c r="S185" s="56"/>
      <c r="T185" s="56"/>
      <c r="U185" s="56"/>
      <c r="V185" s="56"/>
      <c r="W185" s="56"/>
      <c r="X185" s="56"/>
      <c r="Y185" s="56"/>
      <c r="Z185" s="56"/>
      <c r="AA185" s="56"/>
    </row>
    <row r="186" spans="1:27" ht="30" hidden="1" customHeight="1" x14ac:dyDescent="0.25">
      <c r="A186" s="60"/>
      <c r="B186" s="51"/>
      <c r="C186" s="51"/>
      <c r="D186" s="51"/>
      <c r="E186" s="63" t="s">
        <v>454</v>
      </c>
      <c r="F186" s="422">
        <v>2018</v>
      </c>
      <c r="G186" s="135" t="s">
        <v>1217</v>
      </c>
      <c r="H186" s="422"/>
      <c r="I186" s="135" t="s">
        <v>460</v>
      </c>
      <c r="J186" s="135" t="s">
        <v>966</v>
      </c>
      <c r="K186" s="135" t="s">
        <v>562</v>
      </c>
      <c r="L186" s="135" t="s">
        <v>108</v>
      </c>
      <c r="M186" s="135" t="s">
        <v>611</v>
      </c>
      <c r="N186" s="135" t="s">
        <v>965</v>
      </c>
      <c r="O186" s="135" t="s">
        <v>612</v>
      </c>
      <c r="P186" s="135" t="s">
        <v>459</v>
      </c>
      <c r="Q186" s="135">
        <v>1594.6000000000001</v>
      </c>
      <c r="R186" s="187">
        <v>499</v>
      </c>
      <c r="S186" s="56"/>
      <c r="T186" s="56"/>
      <c r="U186" s="56"/>
      <c r="V186" s="56"/>
      <c r="W186" s="56"/>
      <c r="X186" s="56"/>
      <c r="Y186" s="56"/>
      <c r="Z186" s="56"/>
      <c r="AA186" s="56"/>
    </row>
    <row r="187" spans="1:27" ht="30" hidden="1" customHeight="1" x14ac:dyDescent="0.25">
      <c r="A187" s="60"/>
      <c r="B187" s="51"/>
      <c r="C187" s="51"/>
      <c r="D187" s="51"/>
      <c r="E187" s="63" t="s">
        <v>454</v>
      </c>
      <c r="F187" s="422">
        <v>2018</v>
      </c>
      <c r="G187" s="135" t="s">
        <v>1217</v>
      </c>
      <c r="H187" s="422"/>
      <c r="I187" s="135" t="s">
        <v>460</v>
      </c>
      <c r="J187" s="135" t="s">
        <v>969</v>
      </c>
      <c r="K187" s="135" t="s">
        <v>503</v>
      </c>
      <c r="L187" s="135" t="s">
        <v>970</v>
      </c>
      <c r="M187" s="135" t="s">
        <v>613</v>
      </c>
      <c r="N187" s="135" t="s">
        <v>965</v>
      </c>
      <c r="O187" s="135" t="s">
        <v>614</v>
      </c>
      <c r="P187" s="135" t="s">
        <v>459</v>
      </c>
      <c r="Q187" s="135">
        <v>2290.56</v>
      </c>
      <c r="R187" s="187">
        <v>498</v>
      </c>
      <c r="S187" s="56"/>
      <c r="T187" s="56"/>
      <c r="U187" s="56"/>
      <c r="V187" s="56"/>
      <c r="W187" s="56"/>
      <c r="X187" s="56"/>
      <c r="Y187" s="56"/>
      <c r="Z187" s="56"/>
      <c r="AA187" s="56"/>
    </row>
    <row r="188" spans="1:27" ht="30" hidden="1" customHeight="1" x14ac:dyDescent="0.25">
      <c r="A188" s="60"/>
      <c r="B188" s="51"/>
      <c r="C188" s="51"/>
      <c r="D188" s="51"/>
      <c r="E188" s="63" t="s">
        <v>454</v>
      </c>
      <c r="F188" s="422">
        <v>2018</v>
      </c>
      <c r="G188" s="135" t="s">
        <v>1217</v>
      </c>
      <c r="H188" s="422"/>
      <c r="I188" s="135" t="s">
        <v>455</v>
      </c>
      <c r="J188" s="135" t="s">
        <v>455</v>
      </c>
      <c r="K188" s="135" t="s">
        <v>456</v>
      </c>
      <c r="L188" s="135" t="s">
        <v>455</v>
      </c>
      <c r="M188" s="135" t="s">
        <v>615</v>
      </c>
      <c r="N188" s="135" t="s">
        <v>965</v>
      </c>
      <c r="O188" s="135" t="s">
        <v>616</v>
      </c>
      <c r="P188" s="135" t="s">
        <v>459</v>
      </c>
      <c r="Q188" s="135">
        <v>1622.72</v>
      </c>
      <c r="R188" s="187">
        <v>497</v>
      </c>
      <c r="S188" s="56"/>
      <c r="T188" s="56"/>
      <c r="U188" s="56"/>
      <c r="V188" s="56"/>
      <c r="W188" s="56"/>
      <c r="X188" s="56"/>
      <c r="Y188" s="56"/>
      <c r="Z188" s="56"/>
      <c r="AA188" s="56"/>
    </row>
    <row r="189" spans="1:27" ht="30" hidden="1" customHeight="1" x14ac:dyDescent="0.25">
      <c r="A189" s="60"/>
      <c r="B189" s="51"/>
      <c r="C189" s="51"/>
      <c r="D189" s="51"/>
      <c r="E189" s="63" t="s">
        <v>454</v>
      </c>
      <c r="F189" s="422">
        <v>2018</v>
      </c>
      <c r="G189" s="135" t="s">
        <v>1217</v>
      </c>
      <c r="H189" s="422"/>
      <c r="I189" s="135" t="s">
        <v>460</v>
      </c>
      <c r="J189" s="135" t="s">
        <v>966</v>
      </c>
      <c r="K189" s="135" t="s">
        <v>469</v>
      </c>
      <c r="L189" s="135" t="s">
        <v>85</v>
      </c>
      <c r="M189" s="135" t="s">
        <v>368</v>
      </c>
      <c r="N189" s="135" t="s">
        <v>965</v>
      </c>
      <c r="O189" s="135" t="s">
        <v>369</v>
      </c>
      <c r="P189" s="135" t="s">
        <v>459</v>
      </c>
      <c r="Q189" s="135">
        <v>2878.14</v>
      </c>
      <c r="R189" s="187">
        <v>496</v>
      </c>
      <c r="S189" s="56"/>
      <c r="T189" s="56"/>
      <c r="U189" s="56"/>
      <c r="V189" s="56"/>
      <c r="W189" s="56"/>
      <c r="X189" s="56"/>
      <c r="Y189" s="56"/>
      <c r="Z189" s="56"/>
      <c r="AA189" s="56"/>
    </row>
    <row r="190" spans="1:27" ht="30" hidden="1" customHeight="1" x14ac:dyDescent="0.25">
      <c r="A190" s="60"/>
      <c r="B190" s="51"/>
      <c r="C190" s="51"/>
      <c r="D190" s="51"/>
      <c r="E190" s="63" t="s">
        <v>452</v>
      </c>
      <c r="F190" s="422">
        <v>2018</v>
      </c>
      <c r="G190" s="135" t="s">
        <v>1217</v>
      </c>
      <c r="H190" s="422"/>
      <c r="I190" s="135" t="s">
        <v>460</v>
      </c>
      <c r="J190" s="135" t="s">
        <v>966</v>
      </c>
      <c r="K190" s="135" t="s">
        <v>469</v>
      </c>
      <c r="L190" s="135" t="s">
        <v>85</v>
      </c>
      <c r="M190" s="135" t="s">
        <v>368</v>
      </c>
      <c r="N190" s="135" t="s">
        <v>965</v>
      </c>
      <c r="O190" s="135" t="s">
        <v>617</v>
      </c>
      <c r="P190" s="135" t="s">
        <v>459</v>
      </c>
      <c r="Q190" s="135">
        <v>235.47</v>
      </c>
      <c r="R190" s="187">
        <v>496</v>
      </c>
      <c r="S190" s="56"/>
      <c r="T190" s="56"/>
      <c r="U190" s="56"/>
      <c r="V190" s="56"/>
      <c r="W190" s="56"/>
      <c r="X190" s="56"/>
      <c r="Y190" s="56"/>
      <c r="Z190" s="56"/>
      <c r="AA190" s="56"/>
    </row>
    <row r="191" spans="1:27" ht="30" hidden="1" customHeight="1" x14ac:dyDescent="0.25">
      <c r="A191" s="60"/>
      <c r="B191" s="51"/>
      <c r="C191" s="51"/>
      <c r="D191" s="51"/>
      <c r="E191" s="63" t="s">
        <v>454</v>
      </c>
      <c r="F191" s="422">
        <v>2018</v>
      </c>
      <c r="G191" s="135" t="s">
        <v>1217</v>
      </c>
      <c r="H191" s="422"/>
      <c r="I191" s="135" t="s">
        <v>460</v>
      </c>
      <c r="J191" s="135" t="s">
        <v>963</v>
      </c>
      <c r="K191" s="135" t="s">
        <v>474</v>
      </c>
      <c r="L191" s="135" t="s">
        <v>95</v>
      </c>
      <c r="M191" s="135" t="s">
        <v>618</v>
      </c>
      <c r="N191" s="135" t="s">
        <v>965</v>
      </c>
      <c r="O191" s="135" t="s">
        <v>619</v>
      </c>
      <c r="P191" s="135" t="s">
        <v>459</v>
      </c>
      <c r="Q191" s="135">
        <v>1668.3300000000002</v>
      </c>
      <c r="R191" s="187">
        <v>494</v>
      </c>
      <c r="S191" s="56"/>
      <c r="T191" s="56"/>
      <c r="U191" s="56"/>
      <c r="V191" s="56"/>
      <c r="W191" s="56"/>
      <c r="X191" s="56"/>
      <c r="Y191" s="56"/>
      <c r="Z191" s="56"/>
      <c r="AA191" s="56"/>
    </row>
    <row r="192" spans="1:27" ht="30" hidden="1" customHeight="1" x14ac:dyDescent="0.25">
      <c r="A192" s="60"/>
      <c r="B192" s="51"/>
      <c r="C192" s="51"/>
      <c r="D192" s="51"/>
      <c r="E192" s="63" t="s">
        <v>454</v>
      </c>
      <c r="F192" s="422">
        <v>2018</v>
      </c>
      <c r="G192" s="135" t="s">
        <v>1217</v>
      </c>
      <c r="H192" s="422"/>
      <c r="I192" s="135" t="s">
        <v>460</v>
      </c>
      <c r="J192" s="135" t="s">
        <v>963</v>
      </c>
      <c r="K192" s="135" t="s">
        <v>461</v>
      </c>
      <c r="L192" s="135" t="s">
        <v>253</v>
      </c>
      <c r="M192" s="135" t="s">
        <v>363</v>
      </c>
      <c r="N192" s="135" t="s">
        <v>965</v>
      </c>
      <c r="O192" s="135" t="s">
        <v>364</v>
      </c>
      <c r="P192" s="135" t="s">
        <v>459</v>
      </c>
      <c r="Q192" s="135">
        <v>3090</v>
      </c>
      <c r="R192" s="187">
        <v>493</v>
      </c>
      <c r="S192" s="56"/>
      <c r="T192" s="56"/>
      <c r="U192" s="56"/>
      <c r="V192" s="56"/>
      <c r="W192" s="56"/>
      <c r="X192" s="56"/>
      <c r="Y192" s="56"/>
      <c r="Z192" s="56"/>
      <c r="AA192" s="56"/>
    </row>
    <row r="193" spans="1:27" ht="30" hidden="1" customHeight="1" x14ac:dyDescent="0.25">
      <c r="A193" s="60"/>
      <c r="B193" s="51"/>
      <c r="C193" s="51"/>
      <c r="D193" s="51"/>
      <c r="E193" s="63" t="s">
        <v>454</v>
      </c>
      <c r="F193" s="422">
        <v>2018</v>
      </c>
      <c r="G193" s="135" t="s">
        <v>1217</v>
      </c>
      <c r="H193" s="422"/>
      <c r="I193" s="135" t="s">
        <v>460</v>
      </c>
      <c r="J193" s="135" t="s">
        <v>966</v>
      </c>
      <c r="K193" s="135" t="s">
        <v>469</v>
      </c>
      <c r="L193" s="135" t="s">
        <v>85</v>
      </c>
      <c r="M193" s="135" t="s">
        <v>313</v>
      </c>
      <c r="N193" s="135" t="s">
        <v>965</v>
      </c>
      <c r="O193" s="135" t="s">
        <v>314</v>
      </c>
      <c r="P193" s="135" t="s">
        <v>459</v>
      </c>
      <c r="Q193" s="135">
        <v>1894.1</v>
      </c>
      <c r="R193" s="187">
        <v>492</v>
      </c>
      <c r="S193" s="56"/>
      <c r="T193" s="56"/>
      <c r="U193" s="56"/>
      <c r="V193" s="56"/>
      <c r="W193" s="56"/>
      <c r="X193" s="56"/>
      <c r="Y193" s="56"/>
      <c r="Z193" s="56"/>
      <c r="AA193" s="56"/>
    </row>
    <row r="194" spans="1:27" ht="30" hidden="1" customHeight="1" x14ac:dyDescent="0.25">
      <c r="A194" s="60"/>
      <c r="B194" s="51"/>
      <c r="C194" s="51"/>
      <c r="D194" s="51"/>
      <c r="E194" s="63" t="s">
        <v>451</v>
      </c>
      <c r="F194" s="422">
        <v>2018</v>
      </c>
      <c r="G194" s="135" t="s">
        <v>1217</v>
      </c>
      <c r="H194" s="422"/>
      <c r="I194" s="135" t="s">
        <v>460</v>
      </c>
      <c r="J194" s="135" t="s">
        <v>969</v>
      </c>
      <c r="K194" s="135" t="s">
        <v>503</v>
      </c>
      <c r="L194" s="135" t="s">
        <v>970</v>
      </c>
      <c r="M194" s="135" t="s">
        <v>190</v>
      </c>
      <c r="N194" s="135" t="s">
        <v>964</v>
      </c>
      <c r="O194" s="135" t="s">
        <v>620</v>
      </c>
      <c r="P194" s="135" t="s">
        <v>459</v>
      </c>
      <c r="Q194" s="135">
        <v>532.37</v>
      </c>
      <c r="R194" s="187">
        <v>491</v>
      </c>
      <c r="S194" s="56"/>
      <c r="T194" s="56"/>
      <c r="U194" s="56"/>
      <c r="V194" s="56"/>
      <c r="W194" s="56"/>
      <c r="X194" s="56"/>
      <c r="Y194" s="56"/>
      <c r="Z194" s="56"/>
      <c r="AA194" s="56"/>
    </row>
    <row r="195" spans="1:27" ht="30" hidden="1" customHeight="1" x14ac:dyDescent="0.25">
      <c r="A195" s="60"/>
      <c r="B195" s="51"/>
      <c r="C195" s="51"/>
      <c r="D195" s="51"/>
      <c r="E195" s="63" t="s">
        <v>454</v>
      </c>
      <c r="F195" s="422">
        <v>2018</v>
      </c>
      <c r="G195" s="135" t="s">
        <v>1217</v>
      </c>
      <c r="H195" s="422"/>
      <c r="I195" s="135" t="s">
        <v>460</v>
      </c>
      <c r="J195" s="135" t="s">
        <v>969</v>
      </c>
      <c r="K195" s="135" t="s">
        <v>503</v>
      </c>
      <c r="L195" s="135" t="s">
        <v>970</v>
      </c>
      <c r="M195" s="135" t="s">
        <v>190</v>
      </c>
      <c r="N195" s="135" t="s">
        <v>964</v>
      </c>
      <c r="O195" s="135" t="s">
        <v>620</v>
      </c>
      <c r="P195" s="135" t="s">
        <v>459</v>
      </c>
      <c r="Q195" s="135">
        <v>3022.98</v>
      </c>
      <c r="R195" s="186">
        <v>491</v>
      </c>
      <c r="S195" s="56"/>
      <c r="T195" s="56"/>
      <c r="U195" s="56"/>
      <c r="V195" s="56"/>
      <c r="W195" s="56"/>
      <c r="X195" s="56"/>
      <c r="Y195" s="56"/>
      <c r="Z195" s="56"/>
      <c r="AA195" s="56"/>
    </row>
    <row r="196" spans="1:27" ht="30" hidden="1" customHeight="1" x14ac:dyDescent="0.25">
      <c r="A196" s="60"/>
      <c r="B196" s="51"/>
      <c r="C196" s="51"/>
      <c r="D196" s="51"/>
      <c r="E196" s="63" t="s">
        <v>452</v>
      </c>
      <c r="F196" s="422">
        <v>2018</v>
      </c>
      <c r="G196" s="135" t="s">
        <v>1217</v>
      </c>
      <c r="H196" s="422"/>
      <c r="I196" s="135" t="s">
        <v>460</v>
      </c>
      <c r="J196" s="135" t="s">
        <v>969</v>
      </c>
      <c r="K196" s="135" t="s">
        <v>503</v>
      </c>
      <c r="L196" s="135" t="s">
        <v>970</v>
      </c>
      <c r="M196" s="135" t="s">
        <v>190</v>
      </c>
      <c r="N196" s="135" t="s">
        <v>964</v>
      </c>
      <c r="O196" s="135" t="s">
        <v>620</v>
      </c>
      <c r="P196" s="135" t="s">
        <v>459</v>
      </c>
      <c r="Q196" s="135">
        <v>213.18</v>
      </c>
      <c r="R196" s="187">
        <v>491</v>
      </c>
      <c r="S196" s="56"/>
      <c r="T196" s="56"/>
      <c r="U196" s="56"/>
      <c r="V196" s="56"/>
      <c r="W196" s="56"/>
      <c r="X196" s="56"/>
      <c r="Y196" s="56"/>
      <c r="Z196" s="56"/>
      <c r="AA196" s="56"/>
    </row>
    <row r="197" spans="1:27" ht="30" hidden="1" customHeight="1" x14ac:dyDescent="0.25">
      <c r="A197" s="60"/>
      <c r="B197" s="51"/>
      <c r="C197" s="51"/>
      <c r="D197" s="51"/>
      <c r="E197" s="63" t="s">
        <v>452</v>
      </c>
      <c r="F197" s="422">
        <v>2018</v>
      </c>
      <c r="G197" s="135" t="s">
        <v>1217</v>
      </c>
      <c r="H197" s="422"/>
      <c r="I197" s="135" t="s">
        <v>460</v>
      </c>
      <c r="J197" s="135" t="s">
        <v>963</v>
      </c>
      <c r="K197" s="135" t="s">
        <v>474</v>
      </c>
      <c r="L197" s="135" t="s">
        <v>95</v>
      </c>
      <c r="M197" s="135" t="s">
        <v>227</v>
      </c>
      <c r="N197" s="135" t="s">
        <v>965</v>
      </c>
      <c r="O197" s="135" t="s">
        <v>621</v>
      </c>
      <c r="P197" s="135" t="s">
        <v>459</v>
      </c>
      <c r="Q197" s="135">
        <v>216.81</v>
      </c>
      <c r="R197" s="187">
        <v>488</v>
      </c>
      <c r="S197" s="56"/>
      <c r="T197" s="56"/>
      <c r="U197" s="56"/>
      <c r="V197" s="56"/>
      <c r="W197" s="56"/>
      <c r="X197" s="56"/>
      <c r="Y197" s="56"/>
      <c r="Z197" s="56"/>
      <c r="AA197" s="56"/>
    </row>
    <row r="198" spans="1:27" ht="30" hidden="1" customHeight="1" x14ac:dyDescent="0.25">
      <c r="A198" s="60"/>
      <c r="B198" s="51"/>
      <c r="C198" s="51"/>
      <c r="D198" s="51"/>
      <c r="E198" s="63" t="s">
        <v>452</v>
      </c>
      <c r="F198" s="422">
        <v>2018</v>
      </c>
      <c r="G198" s="135" t="s">
        <v>1217</v>
      </c>
      <c r="H198" s="422"/>
      <c r="I198" s="135" t="s">
        <v>460</v>
      </c>
      <c r="J198" s="135" t="s">
        <v>971</v>
      </c>
      <c r="K198" s="135" t="s">
        <v>622</v>
      </c>
      <c r="L198" s="135" t="s">
        <v>119</v>
      </c>
      <c r="M198" s="135" t="s">
        <v>120</v>
      </c>
      <c r="N198" s="135" t="s">
        <v>964</v>
      </c>
      <c r="O198" s="135" t="s">
        <v>623</v>
      </c>
      <c r="P198" s="135" t="s">
        <v>459</v>
      </c>
      <c r="Q198" s="135">
        <v>384.92</v>
      </c>
      <c r="R198" s="187">
        <v>487</v>
      </c>
      <c r="S198" s="56"/>
      <c r="T198" s="56"/>
      <c r="U198" s="56"/>
      <c r="V198" s="56"/>
      <c r="W198" s="56"/>
      <c r="X198" s="56"/>
      <c r="Y198" s="56"/>
      <c r="Z198" s="56"/>
      <c r="AA198" s="56"/>
    </row>
    <row r="199" spans="1:27" ht="30" hidden="1" customHeight="1" x14ac:dyDescent="0.25">
      <c r="A199" s="60"/>
      <c r="B199" s="51"/>
      <c r="C199" s="51"/>
      <c r="D199" s="51"/>
      <c r="E199" s="63" t="s">
        <v>454</v>
      </c>
      <c r="F199" s="422">
        <v>2018</v>
      </c>
      <c r="G199" s="135" t="s">
        <v>1217</v>
      </c>
      <c r="H199" s="422"/>
      <c r="I199" s="135" t="s">
        <v>460</v>
      </c>
      <c r="J199" s="135" t="s">
        <v>966</v>
      </c>
      <c r="K199" s="135" t="s">
        <v>469</v>
      </c>
      <c r="L199" s="135" t="s">
        <v>85</v>
      </c>
      <c r="M199" s="135" t="s">
        <v>624</v>
      </c>
      <c r="N199" s="135" t="s">
        <v>965</v>
      </c>
      <c r="O199" s="135" t="s">
        <v>625</v>
      </c>
      <c r="P199" s="135" t="s">
        <v>459</v>
      </c>
      <c r="Q199" s="135">
        <v>1795.7299999999998</v>
      </c>
      <c r="R199" s="187">
        <v>486</v>
      </c>
      <c r="S199" s="56"/>
      <c r="T199" s="56"/>
      <c r="U199" s="56"/>
      <c r="V199" s="56"/>
      <c r="W199" s="56"/>
      <c r="X199" s="56"/>
      <c r="Y199" s="56"/>
      <c r="Z199" s="56"/>
      <c r="AA199" s="56"/>
    </row>
    <row r="200" spans="1:27" ht="30" hidden="1" customHeight="1" x14ac:dyDescent="0.25">
      <c r="A200" s="60"/>
      <c r="B200" s="51"/>
      <c r="C200" s="51"/>
      <c r="D200" s="51"/>
      <c r="E200" s="63" t="s">
        <v>477</v>
      </c>
      <c r="F200" s="422">
        <v>2018</v>
      </c>
      <c r="G200" s="135" t="s">
        <v>1218</v>
      </c>
      <c r="H200" s="422"/>
      <c r="I200" s="135" t="s">
        <v>460</v>
      </c>
      <c r="J200" s="135" t="s">
        <v>966</v>
      </c>
      <c r="K200" s="135" t="s">
        <v>469</v>
      </c>
      <c r="L200" s="135" t="s">
        <v>85</v>
      </c>
      <c r="M200" s="135" t="s">
        <v>85</v>
      </c>
      <c r="N200" s="135" t="s">
        <v>964</v>
      </c>
      <c r="O200" s="135" t="s">
        <v>293</v>
      </c>
      <c r="P200" s="135" t="s">
        <v>459</v>
      </c>
      <c r="Q200" s="135">
        <v>192.84</v>
      </c>
      <c r="R200" s="187">
        <v>485</v>
      </c>
      <c r="S200" s="56"/>
      <c r="T200" s="56"/>
      <c r="U200" s="56"/>
      <c r="V200" s="56"/>
      <c r="W200" s="56"/>
      <c r="X200" s="56"/>
      <c r="Y200" s="56"/>
      <c r="Z200" s="56"/>
      <c r="AA200" s="56"/>
    </row>
    <row r="201" spans="1:27" ht="30" hidden="1" customHeight="1" x14ac:dyDescent="0.25">
      <c r="A201" s="60"/>
      <c r="B201" s="51"/>
      <c r="C201" s="51"/>
      <c r="D201" s="51"/>
      <c r="E201" s="63" t="s">
        <v>451</v>
      </c>
      <c r="F201" s="422">
        <v>2018</v>
      </c>
      <c r="G201" s="135" t="s">
        <v>1218</v>
      </c>
      <c r="H201" s="422"/>
      <c r="I201" s="135" t="s">
        <v>460</v>
      </c>
      <c r="J201" s="135" t="s">
        <v>966</v>
      </c>
      <c r="K201" s="135" t="s">
        <v>562</v>
      </c>
      <c r="L201" s="135" t="s">
        <v>108</v>
      </c>
      <c r="M201" s="135" t="s">
        <v>182</v>
      </c>
      <c r="N201" s="135" t="s">
        <v>965</v>
      </c>
      <c r="O201" s="135" t="s">
        <v>626</v>
      </c>
      <c r="P201" s="135" t="s">
        <v>459</v>
      </c>
      <c r="Q201" s="135">
        <v>566.14</v>
      </c>
      <c r="R201" s="187">
        <v>484</v>
      </c>
      <c r="S201" s="56"/>
      <c r="T201" s="56"/>
      <c r="U201" s="56"/>
      <c r="V201" s="56"/>
      <c r="W201" s="56"/>
      <c r="X201" s="56"/>
      <c r="Y201" s="56"/>
      <c r="Z201" s="56"/>
      <c r="AA201" s="56"/>
    </row>
    <row r="202" spans="1:27" ht="30" hidden="1" customHeight="1" x14ac:dyDescent="0.25">
      <c r="A202" s="60"/>
      <c r="B202" s="51"/>
      <c r="C202" s="51"/>
      <c r="D202" s="51"/>
      <c r="E202" s="63" t="s">
        <v>477</v>
      </c>
      <c r="F202" s="422">
        <v>2018</v>
      </c>
      <c r="G202" s="135" t="s">
        <v>1218</v>
      </c>
      <c r="H202" s="422"/>
      <c r="I202" s="135" t="s">
        <v>460</v>
      </c>
      <c r="J202" s="135" t="s">
        <v>966</v>
      </c>
      <c r="K202" s="135" t="s">
        <v>469</v>
      </c>
      <c r="L202" s="135" t="s">
        <v>85</v>
      </c>
      <c r="M202" s="135" t="s">
        <v>85</v>
      </c>
      <c r="N202" s="135" t="s">
        <v>964</v>
      </c>
      <c r="O202" s="135" t="s">
        <v>90</v>
      </c>
      <c r="P202" s="135" t="s">
        <v>459</v>
      </c>
      <c r="Q202" s="135">
        <v>241</v>
      </c>
      <c r="R202" s="187">
        <v>483</v>
      </c>
      <c r="S202" s="56"/>
      <c r="T202" s="56"/>
      <c r="U202" s="56"/>
      <c r="V202" s="56"/>
      <c r="W202" s="56"/>
      <c r="X202" s="56"/>
      <c r="Y202" s="56"/>
      <c r="Z202" s="56"/>
      <c r="AA202" s="56"/>
    </row>
    <row r="203" spans="1:27" ht="30" hidden="1" customHeight="1" x14ac:dyDescent="0.25">
      <c r="A203" s="60"/>
      <c r="B203" s="51"/>
      <c r="C203" s="51"/>
      <c r="D203" s="51"/>
      <c r="E203" s="63" t="s">
        <v>454</v>
      </c>
      <c r="F203" s="422">
        <v>2018</v>
      </c>
      <c r="G203" s="135" t="s">
        <v>1218</v>
      </c>
      <c r="H203" s="422"/>
      <c r="I203" s="135" t="s">
        <v>460</v>
      </c>
      <c r="J203" s="135" t="s">
        <v>967</v>
      </c>
      <c r="K203" s="135" t="s">
        <v>485</v>
      </c>
      <c r="L203" s="135" t="s">
        <v>167</v>
      </c>
      <c r="M203" s="135" t="s">
        <v>168</v>
      </c>
      <c r="N203" s="135" t="s">
        <v>965</v>
      </c>
      <c r="O203" s="135" t="s">
        <v>627</v>
      </c>
      <c r="P203" s="135" t="s">
        <v>459</v>
      </c>
      <c r="Q203" s="135">
        <v>2027.31</v>
      </c>
      <c r="R203" s="187">
        <v>483</v>
      </c>
      <c r="S203" s="56"/>
      <c r="T203" s="56"/>
      <c r="U203" s="56"/>
      <c r="V203" s="56"/>
      <c r="W203" s="56"/>
      <c r="X203" s="56"/>
      <c r="Y203" s="56"/>
      <c r="Z203" s="56"/>
      <c r="AA203" s="56"/>
    </row>
    <row r="204" spans="1:27" ht="30" hidden="1" customHeight="1" x14ac:dyDescent="0.25">
      <c r="A204" s="60"/>
      <c r="B204" s="51"/>
      <c r="C204" s="51"/>
      <c r="D204" s="51"/>
      <c r="E204" s="63" t="s">
        <v>454</v>
      </c>
      <c r="F204" s="422">
        <v>2018</v>
      </c>
      <c r="G204" s="135" t="s">
        <v>1218</v>
      </c>
      <c r="H204" s="422"/>
      <c r="I204" s="135" t="s">
        <v>460</v>
      </c>
      <c r="J204" s="135" t="s">
        <v>966</v>
      </c>
      <c r="K204" s="135" t="s">
        <v>499</v>
      </c>
      <c r="L204" s="135" t="s">
        <v>88</v>
      </c>
      <c r="M204" s="135" t="s">
        <v>88</v>
      </c>
      <c r="N204" s="135" t="s">
        <v>964</v>
      </c>
      <c r="O204" s="135" t="s">
        <v>628</v>
      </c>
      <c r="P204" s="135" t="s">
        <v>459</v>
      </c>
      <c r="Q204" s="135">
        <v>1825.28</v>
      </c>
      <c r="R204" s="187">
        <v>481</v>
      </c>
      <c r="S204" s="56"/>
      <c r="T204" s="56"/>
      <c r="U204" s="56"/>
      <c r="V204" s="56"/>
      <c r="W204" s="56"/>
      <c r="X204" s="56"/>
      <c r="Y204" s="56"/>
      <c r="Z204" s="56"/>
      <c r="AA204" s="56"/>
    </row>
    <row r="205" spans="1:27" ht="30" hidden="1" customHeight="1" x14ac:dyDescent="0.25">
      <c r="A205" s="60"/>
      <c r="B205" s="51"/>
      <c r="C205" s="51"/>
      <c r="D205" s="51"/>
      <c r="E205" s="63" t="s">
        <v>477</v>
      </c>
      <c r="F205" s="422">
        <v>2018</v>
      </c>
      <c r="G205" s="135" t="s">
        <v>1218</v>
      </c>
      <c r="H205" s="422"/>
      <c r="I205" s="135" t="s">
        <v>460</v>
      </c>
      <c r="J205" s="135" t="s">
        <v>963</v>
      </c>
      <c r="K205" s="135" t="s">
        <v>461</v>
      </c>
      <c r="L205" s="135" t="s">
        <v>253</v>
      </c>
      <c r="M205" s="135" t="s">
        <v>258</v>
      </c>
      <c r="N205" s="135" t="s">
        <v>964</v>
      </c>
      <c r="O205" s="135" t="s">
        <v>629</v>
      </c>
      <c r="P205" s="135" t="s">
        <v>459</v>
      </c>
      <c r="Q205" s="135">
        <v>248.67</v>
      </c>
      <c r="R205" s="187">
        <v>480</v>
      </c>
      <c r="S205" s="56"/>
      <c r="T205" s="56"/>
      <c r="U205" s="56"/>
      <c r="V205" s="56"/>
      <c r="W205" s="56"/>
      <c r="X205" s="56"/>
      <c r="Y205" s="56"/>
      <c r="Z205" s="56"/>
      <c r="AA205" s="56"/>
    </row>
    <row r="206" spans="1:27" ht="30" hidden="1" customHeight="1" x14ac:dyDescent="0.25">
      <c r="A206" s="60"/>
      <c r="B206" s="51"/>
      <c r="C206" s="51"/>
      <c r="D206" s="51"/>
      <c r="E206" s="63" t="s">
        <v>454</v>
      </c>
      <c r="F206" s="422">
        <v>2018</v>
      </c>
      <c r="G206" s="135" t="s">
        <v>1218</v>
      </c>
      <c r="H206" s="422"/>
      <c r="I206" s="135" t="s">
        <v>460</v>
      </c>
      <c r="J206" s="135" t="s">
        <v>966</v>
      </c>
      <c r="K206" s="135" t="s">
        <v>562</v>
      </c>
      <c r="L206" s="135" t="s">
        <v>108</v>
      </c>
      <c r="M206" s="135" t="s">
        <v>630</v>
      </c>
      <c r="N206" s="135" t="s">
        <v>965</v>
      </c>
      <c r="O206" s="135" t="s">
        <v>631</v>
      </c>
      <c r="P206" s="135" t="s">
        <v>459</v>
      </c>
      <c r="Q206" s="135">
        <v>1509.29</v>
      </c>
      <c r="R206" s="187">
        <v>479</v>
      </c>
      <c r="S206" s="56"/>
      <c r="T206" s="56"/>
      <c r="U206" s="56"/>
      <c r="V206" s="56"/>
      <c r="W206" s="56"/>
      <c r="X206" s="56"/>
      <c r="Y206" s="56"/>
      <c r="Z206" s="56"/>
      <c r="AA206" s="56"/>
    </row>
    <row r="207" spans="1:27" ht="30" hidden="1" customHeight="1" x14ac:dyDescent="0.25">
      <c r="A207" s="60"/>
      <c r="B207" s="51"/>
      <c r="C207" s="51"/>
      <c r="D207" s="51"/>
      <c r="E207" s="63" t="s">
        <v>451</v>
      </c>
      <c r="F207" s="422">
        <v>2018</v>
      </c>
      <c r="G207" s="135" t="s">
        <v>1218</v>
      </c>
      <c r="H207" s="422">
        <v>2024</v>
      </c>
      <c r="I207" s="135" t="s">
        <v>460</v>
      </c>
      <c r="J207" s="135" t="s">
        <v>967</v>
      </c>
      <c r="K207" s="135" t="s">
        <v>632</v>
      </c>
      <c r="L207" s="135" t="s">
        <v>92</v>
      </c>
      <c r="M207" s="135" t="s">
        <v>203</v>
      </c>
      <c r="N207" s="135" t="s">
        <v>965</v>
      </c>
      <c r="O207" s="135" t="s">
        <v>1338</v>
      </c>
      <c r="P207" s="135" t="s">
        <v>459</v>
      </c>
      <c r="Q207" s="135">
        <v>549.4</v>
      </c>
      <c r="R207" s="187">
        <v>478</v>
      </c>
      <c r="S207" s="56"/>
      <c r="T207" s="56"/>
      <c r="U207" s="56"/>
      <c r="V207" s="56"/>
      <c r="W207" s="56"/>
      <c r="X207" s="56"/>
      <c r="Y207" s="56"/>
      <c r="Z207" s="56"/>
      <c r="AA207" s="56"/>
    </row>
    <row r="208" spans="1:27" ht="30" hidden="1" customHeight="1" x14ac:dyDescent="0.25">
      <c r="A208" s="60"/>
      <c r="B208" s="51"/>
      <c r="C208" s="51"/>
      <c r="D208" s="51"/>
      <c r="E208" s="63" t="s">
        <v>452</v>
      </c>
      <c r="F208" s="422">
        <v>2018</v>
      </c>
      <c r="G208" s="135" t="s">
        <v>1218</v>
      </c>
      <c r="H208" s="422"/>
      <c r="I208" s="135" t="s">
        <v>460</v>
      </c>
      <c r="J208" s="135" t="s">
        <v>963</v>
      </c>
      <c r="K208" s="135" t="s">
        <v>465</v>
      </c>
      <c r="L208" s="135" t="s">
        <v>106</v>
      </c>
      <c r="M208" s="135" t="s">
        <v>272</v>
      </c>
      <c r="N208" s="135" t="s">
        <v>965</v>
      </c>
      <c r="O208" s="135" t="s">
        <v>633</v>
      </c>
      <c r="P208" s="135" t="s">
        <v>459</v>
      </c>
      <c r="Q208" s="135">
        <v>204.51</v>
      </c>
      <c r="R208" s="187">
        <v>478</v>
      </c>
      <c r="S208" s="56"/>
      <c r="T208" s="56"/>
      <c r="U208" s="56"/>
      <c r="V208" s="56"/>
      <c r="W208" s="56"/>
      <c r="X208" s="56"/>
      <c r="Y208" s="56"/>
      <c r="Z208" s="56"/>
      <c r="AA208" s="56"/>
    </row>
    <row r="209" spans="1:27" ht="30" hidden="1" customHeight="1" x14ac:dyDescent="0.25">
      <c r="A209" s="60"/>
      <c r="B209" s="51"/>
      <c r="C209" s="51"/>
      <c r="D209" s="51"/>
      <c r="E209" s="63" t="s">
        <v>451</v>
      </c>
      <c r="F209" s="422">
        <v>2018</v>
      </c>
      <c r="G209" s="135" t="s">
        <v>1218</v>
      </c>
      <c r="H209" s="422"/>
      <c r="I209" s="135" t="s">
        <v>460</v>
      </c>
      <c r="J209" s="135" t="s">
        <v>967</v>
      </c>
      <c r="K209" s="135" t="s">
        <v>486</v>
      </c>
      <c r="L209" s="135" t="s">
        <v>283</v>
      </c>
      <c r="M209" s="135" t="s">
        <v>587</v>
      </c>
      <c r="N209" s="135" t="s">
        <v>964</v>
      </c>
      <c r="O209" s="135" t="s">
        <v>634</v>
      </c>
      <c r="P209" s="135" t="s">
        <v>459</v>
      </c>
      <c r="Q209" s="135">
        <v>689.06</v>
      </c>
      <c r="R209" s="187">
        <v>477</v>
      </c>
      <c r="S209" s="56"/>
      <c r="T209" s="56"/>
      <c r="U209" s="56"/>
      <c r="V209" s="56"/>
      <c r="W209" s="56"/>
      <c r="X209" s="56"/>
      <c r="Y209" s="56"/>
      <c r="Z209" s="56"/>
      <c r="AA209" s="56"/>
    </row>
    <row r="210" spans="1:27" ht="30" hidden="1" customHeight="1" x14ac:dyDescent="0.25">
      <c r="A210" s="60"/>
      <c r="B210" s="51"/>
      <c r="C210" s="51"/>
      <c r="D210" s="51"/>
      <c r="E210" s="63" t="s">
        <v>451</v>
      </c>
      <c r="F210" s="422">
        <v>2018</v>
      </c>
      <c r="G210" s="135" t="s">
        <v>1218</v>
      </c>
      <c r="H210" s="422"/>
      <c r="I210" s="135" t="s">
        <v>460</v>
      </c>
      <c r="J210" s="135" t="s">
        <v>966</v>
      </c>
      <c r="K210" s="135" t="s">
        <v>562</v>
      </c>
      <c r="L210" s="135" t="s">
        <v>108</v>
      </c>
      <c r="M210" s="135" t="s">
        <v>109</v>
      </c>
      <c r="N210" s="135" t="s">
        <v>964</v>
      </c>
      <c r="O210" s="135" t="s">
        <v>174</v>
      </c>
      <c r="P210" s="135" t="s">
        <v>459</v>
      </c>
      <c r="Q210" s="135">
        <v>485.37</v>
      </c>
      <c r="R210" s="187">
        <v>476</v>
      </c>
      <c r="S210" s="56"/>
      <c r="T210" s="56"/>
      <c r="U210" s="56"/>
      <c r="V210" s="56"/>
      <c r="W210" s="56"/>
      <c r="X210" s="56"/>
      <c r="Y210" s="56"/>
      <c r="Z210" s="56"/>
      <c r="AA210" s="56"/>
    </row>
    <row r="211" spans="1:27" ht="30" hidden="1" customHeight="1" x14ac:dyDescent="0.25">
      <c r="A211" s="60"/>
      <c r="B211" s="51"/>
      <c r="C211" s="51"/>
      <c r="D211" s="51"/>
      <c r="E211" s="63" t="s">
        <v>451</v>
      </c>
      <c r="F211" s="422">
        <v>2018</v>
      </c>
      <c r="G211" s="135" t="s">
        <v>1218</v>
      </c>
      <c r="H211" s="422"/>
      <c r="I211" s="135" t="s">
        <v>460</v>
      </c>
      <c r="J211" s="135" t="s">
        <v>971</v>
      </c>
      <c r="K211" s="135" t="s">
        <v>622</v>
      </c>
      <c r="L211" s="135" t="s">
        <v>119</v>
      </c>
      <c r="M211" s="135" t="s">
        <v>120</v>
      </c>
      <c r="N211" s="135" t="s">
        <v>964</v>
      </c>
      <c r="O211" s="135" t="s">
        <v>623</v>
      </c>
      <c r="P211" s="135" t="s">
        <v>459</v>
      </c>
      <c r="Q211" s="135">
        <v>1054.71</v>
      </c>
      <c r="R211" s="187">
        <v>475</v>
      </c>
      <c r="S211" s="56"/>
      <c r="T211" s="56"/>
      <c r="U211" s="56"/>
      <c r="V211" s="56"/>
      <c r="W211" s="56"/>
      <c r="X211" s="56"/>
      <c r="Y211" s="56"/>
      <c r="Z211" s="56"/>
      <c r="AA211" s="56"/>
    </row>
    <row r="212" spans="1:27" ht="30" hidden="1" customHeight="1" x14ac:dyDescent="0.25">
      <c r="A212" s="60"/>
      <c r="B212" s="51"/>
      <c r="C212" s="51"/>
      <c r="D212" s="51"/>
      <c r="E212" s="63" t="s">
        <v>451</v>
      </c>
      <c r="F212" s="422">
        <v>2018</v>
      </c>
      <c r="G212" s="135" t="s">
        <v>1218</v>
      </c>
      <c r="H212" s="422"/>
      <c r="I212" s="135" t="s">
        <v>460</v>
      </c>
      <c r="J212" s="135" t="s">
        <v>963</v>
      </c>
      <c r="K212" s="135" t="s">
        <v>465</v>
      </c>
      <c r="L212" s="135" t="s">
        <v>106</v>
      </c>
      <c r="M212" s="135" t="s">
        <v>107</v>
      </c>
      <c r="N212" s="135" t="s">
        <v>965</v>
      </c>
      <c r="O212" s="135" t="s">
        <v>635</v>
      </c>
      <c r="P212" s="135" t="s">
        <v>459</v>
      </c>
      <c r="Q212" s="135">
        <v>661.32</v>
      </c>
      <c r="R212" s="187">
        <v>474</v>
      </c>
      <c r="S212" s="56"/>
      <c r="T212" s="56"/>
      <c r="U212" s="56"/>
      <c r="V212" s="56"/>
      <c r="W212" s="56"/>
      <c r="X212" s="56"/>
      <c r="Y212" s="56"/>
      <c r="Z212" s="56"/>
      <c r="AA212" s="56"/>
    </row>
    <row r="213" spans="1:27" ht="30" hidden="1" customHeight="1" x14ac:dyDescent="0.25">
      <c r="A213" s="60"/>
      <c r="B213" s="51"/>
      <c r="C213" s="51"/>
      <c r="D213" s="51"/>
      <c r="E213" s="63" t="s">
        <v>452</v>
      </c>
      <c r="F213" s="422">
        <v>2018</v>
      </c>
      <c r="G213" s="135" t="s">
        <v>1218</v>
      </c>
      <c r="H213" s="422"/>
      <c r="I213" s="135" t="s">
        <v>460</v>
      </c>
      <c r="J213" s="135" t="s">
        <v>969</v>
      </c>
      <c r="K213" s="135" t="s">
        <v>575</v>
      </c>
      <c r="L213" s="135" t="s">
        <v>143</v>
      </c>
      <c r="M213" s="135" t="s">
        <v>144</v>
      </c>
      <c r="N213" s="135" t="s">
        <v>964</v>
      </c>
      <c r="O213" s="135" t="s">
        <v>636</v>
      </c>
      <c r="P213" s="135" t="s">
        <v>459</v>
      </c>
      <c r="Q213" s="135">
        <v>154.38</v>
      </c>
      <c r="R213" s="187">
        <v>473</v>
      </c>
      <c r="S213" s="56"/>
      <c r="T213" s="56"/>
      <c r="U213" s="56"/>
      <c r="V213" s="56"/>
      <c r="W213" s="56"/>
      <c r="X213" s="56"/>
      <c r="Y213" s="56"/>
      <c r="Z213" s="56"/>
      <c r="AA213" s="56"/>
    </row>
    <row r="214" spans="1:27" ht="30" hidden="1" customHeight="1" x14ac:dyDescent="0.25">
      <c r="A214" s="60"/>
      <c r="B214" s="51"/>
      <c r="C214" s="51"/>
      <c r="D214" s="51"/>
      <c r="E214" s="63" t="s">
        <v>452</v>
      </c>
      <c r="F214" s="422">
        <v>2018</v>
      </c>
      <c r="G214" s="135" t="s">
        <v>1219</v>
      </c>
      <c r="H214" s="422"/>
      <c r="I214" s="135" t="s">
        <v>460</v>
      </c>
      <c r="J214" s="135" t="s">
        <v>966</v>
      </c>
      <c r="K214" s="135" t="s">
        <v>469</v>
      </c>
      <c r="L214" s="135" t="s">
        <v>85</v>
      </c>
      <c r="M214" s="135" t="s">
        <v>85</v>
      </c>
      <c r="N214" s="135" t="s">
        <v>964</v>
      </c>
      <c r="O214" s="135" t="s">
        <v>289</v>
      </c>
      <c r="P214" s="135" t="s">
        <v>459</v>
      </c>
      <c r="Q214" s="135">
        <v>273.17</v>
      </c>
      <c r="R214" s="187">
        <v>472</v>
      </c>
      <c r="S214" s="56"/>
      <c r="T214" s="56"/>
      <c r="U214" s="56"/>
      <c r="V214" s="56"/>
      <c r="W214" s="56"/>
      <c r="X214" s="56"/>
      <c r="Y214" s="56"/>
      <c r="Z214" s="56"/>
      <c r="AA214" s="56"/>
    </row>
    <row r="215" spans="1:27" ht="30" hidden="1" customHeight="1" x14ac:dyDescent="0.25">
      <c r="A215" s="60"/>
      <c r="B215" s="51"/>
      <c r="C215" s="51"/>
      <c r="D215" s="51"/>
      <c r="E215" s="63" t="s">
        <v>452</v>
      </c>
      <c r="F215" s="422">
        <v>2018</v>
      </c>
      <c r="G215" s="135" t="s">
        <v>1219</v>
      </c>
      <c r="H215" s="422"/>
      <c r="I215" s="135" t="s">
        <v>460</v>
      </c>
      <c r="J215" s="135" t="s">
        <v>966</v>
      </c>
      <c r="K215" s="135" t="s">
        <v>469</v>
      </c>
      <c r="L215" s="135" t="s">
        <v>85</v>
      </c>
      <c r="M215" s="135" t="s">
        <v>637</v>
      </c>
      <c r="N215" s="135" t="s">
        <v>965</v>
      </c>
      <c r="O215" s="135" t="s">
        <v>638</v>
      </c>
      <c r="P215" s="135" t="s">
        <v>459</v>
      </c>
      <c r="Q215" s="135">
        <v>222.93</v>
      </c>
      <c r="R215" s="187">
        <v>471</v>
      </c>
      <c r="S215" s="56"/>
      <c r="T215" s="56"/>
      <c r="U215" s="56"/>
      <c r="V215" s="56"/>
      <c r="W215" s="56"/>
      <c r="X215" s="56"/>
      <c r="Y215" s="56"/>
      <c r="Z215" s="56"/>
      <c r="AA215" s="56"/>
    </row>
    <row r="216" spans="1:27" ht="30" hidden="1" customHeight="1" x14ac:dyDescent="0.25">
      <c r="A216" s="60"/>
      <c r="B216" s="51"/>
      <c r="C216" s="51"/>
      <c r="D216" s="51"/>
      <c r="E216" s="63" t="s">
        <v>451</v>
      </c>
      <c r="F216" s="422">
        <v>2018</v>
      </c>
      <c r="G216" s="135" t="s">
        <v>1219</v>
      </c>
      <c r="H216" s="422"/>
      <c r="I216" s="135" t="s">
        <v>460</v>
      </c>
      <c r="J216" s="135" t="s">
        <v>971</v>
      </c>
      <c r="K216" s="135" t="s">
        <v>622</v>
      </c>
      <c r="L216" s="135" t="s">
        <v>119</v>
      </c>
      <c r="M216" s="135" t="s">
        <v>120</v>
      </c>
      <c r="N216" s="135" t="s">
        <v>964</v>
      </c>
      <c r="O216" s="135" t="s">
        <v>639</v>
      </c>
      <c r="P216" s="135" t="s">
        <v>459</v>
      </c>
      <c r="Q216" s="135">
        <v>453.08</v>
      </c>
      <c r="R216" s="187">
        <v>470</v>
      </c>
      <c r="S216" s="56"/>
      <c r="T216" s="56"/>
      <c r="U216" s="56"/>
      <c r="V216" s="56"/>
      <c r="W216" s="56"/>
      <c r="X216" s="56"/>
      <c r="Y216" s="56"/>
      <c r="Z216" s="56"/>
      <c r="AA216" s="56"/>
    </row>
    <row r="217" spans="1:27" ht="30" hidden="1" customHeight="1" x14ac:dyDescent="0.25">
      <c r="A217" s="60"/>
      <c r="B217" s="51"/>
      <c r="C217" s="51"/>
      <c r="D217" s="51"/>
      <c r="E217" s="63" t="s">
        <v>454</v>
      </c>
      <c r="F217" s="422">
        <v>2018</v>
      </c>
      <c r="G217" s="135" t="s">
        <v>1219</v>
      </c>
      <c r="H217" s="422"/>
      <c r="I217" s="135" t="s">
        <v>460</v>
      </c>
      <c r="J217" s="135" t="s">
        <v>967</v>
      </c>
      <c r="K217" s="135" t="s">
        <v>478</v>
      </c>
      <c r="L217" s="135" t="s">
        <v>207</v>
      </c>
      <c r="M217" s="135" t="s">
        <v>210</v>
      </c>
      <c r="N217" s="135" t="s">
        <v>965</v>
      </c>
      <c r="O217" s="135" t="s">
        <v>640</v>
      </c>
      <c r="P217" s="135" t="s">
        <v>459</v>
      </c>
      <c r="Q217" s="135">
        <v>3253.34</v>
      </c>
      <c r="R217" s="187">
        <v>469</v>
      </c>
      <c r="S217" s="56"/>
      <c r="T217" s="56"/>
      <c r="U217" s="56"/>
      <c r="V217" s="56"/>
      <c r="W217" s="56"/>
      <c r="X217" s="56"/>
      <c r="Y217" s="56"/>
      <c r="Z217" s="56"/>
      <c r="AA217" s="56"/>
    </row>
    <row r="218" spans="1:27" ht="30" hidden="1" customHeight="1" x14ac:dyDescent="0.25">
      <c r="A218" s="60"/>
      <c r="B218" s="51"/>
      <c r="C218" s="51"/>
      <c r="D218" s="51"/>
      <c r="E218" s="63" t="s">
        <v>454</v>
      </c>
      <c r="F218" s="422">
        <v>2018</v>
      </c>
      <c r="G218" s="135" t="s">
        <v>1219</v>
      </c>
      <c r="H218" s="422"/>
      <c r="I218" s="135" t="s">
        <v>455</v>
      </c>
      <c r="J218" s="135" t="s">
        <v>455</v>
      </c>
      <c r="K218" s="135" t="s">
        <v>456</v>
      </c>
      <c r="L218" s="135" t="s">
        <v>455</v>
      </c>
      <c r="M218" s="135" t="s">
        <v>457</v>
      </c>
      <c r="N218" s="135" t="s">
        <v>965</v>
      </c>
      <c r="O218" s="135" t="s">
        <v>641</v>
      </c>
      <c r="P218" s="135" t="s">
        <v>459</v>
      </c>
      <c r="Q218" s="135">
        <v>1974.0099999999998</v>
      </c>
      <c r="R218" s="187">
        <v>468</v>
      </c>
      <c r="S218" s="56"/>
      <c r="T218" s="56"/>
      <c r="U218" s="56"/>
      <c r="V218" s="56"/>
      <c r="W218" s="56"/>
      <c r="X218" s="56"/>
      <c r="Y218" s="56"/>
      <c r="Z218" s="56"/>
      <c r="AA218" s="56"/>
    </row>
    <row r="219" spans="1:27" ht="30" hidden="1" customHeight="1" x14ac:dyDescent="0.25">
      <c r="A219" s="60"/>
      <c r="B219" s="51"/>
      <c r="C219" s="51"/>
      <c r="D219" s="51"/>
      <c r="E219" s="63" t="s">
        <v>454</v>
      </c>
      <c r="F219" s="422">
        <v>2018</v>
      </c>
      <c r="G219" s="135" t="s">
        <v>1219</v>
      </c>
      <c r="H219" s="422">
        <v>2020</v>
      </c>
      <c r="I219" s="135" t="s">
        <v>455</v>
      </c>
      <c r="J219" s="135" t="s">
        <v>455</v>
      </c>
      <c r="K219" s="135" t="s">
        <v>456</v>
      </c>
      <c r="L219" s="135" t="s">
        <v>455</v>
      </c>
      <c r="M219" s="135" t="s">
        <v>642</v>
      </c>
      <c r="N219" s="135" t="s">
        <v>965</v>
      </c>
      <c r="O219" s="135" t="s">
        <v>643</v>
      </c>
      <c r="P219" s="135" t="s">
        <v>459</v>
      </c>
      <c r="Q219" s="135">
        <v>5163.93</v>
      </c>
      <c r="R219" s="186">
        <v>467</v>
      </c>
      <c r="S219" s="56"/>
      <c r="T219" s="56"/>
      <c r="U219" s="56"/>
      <c r="V219" s="56"/>
      <c r="W219" s="56"/>
      <c r="X219" s="56"/>
      <c r="Y219" s="56"/>
      <c r="Z219" s="56"/>
      <c r="AA219" s="56"/>
    </row>
    <row r="220" spans="1:27" ht="30" hidden="1" customHeight="1" x14ac:dyDescent="0.25">
      <c r="A220" s="60"/>
      <c r="B220" s="51"/>
      <c r="C220" s="51"/>
      <c r="D220" s="51"/>
      <c r="E220" s="63" t="s">
        <v>454</v>
      </c>
      <c r="F220" s="422">
        <v>2018</v>
      </c>
      <c r="G220" s="135" t="s">
        <v>1219</v>
      </c>
      <c r="H220" s="422"/>
      <c r="I220" s="135" t="s">
        <v>460</v>
      </c>
      <c r="J220" s="135" t="s">
        <v>969</v>
      </c>
      <c r="K220" s="135" t="s">
        <v>519</v>
      </c>
      <c r="L220" s="135" t="s">
        <v>186</v>
      </c>
      <c r="M220" s="135" t="s">
        <v>189</v>
      </c>
      <c r="N220" s="135" t="s">
        <v>965</v>
      </c>
      <c r="O220" s="135" t="s">
        <v>646</v>
      </c>
      <c r="P220" s="135" t="s">
        <v>459</v>
      </c>
      <c r="Q220" s="135">
        <v>1558</v>
      </c>
      <c r="R220" s="187">
        <v>467</v>
      </c>
      <c r="S220" s="56"/>
      <c r="T220" s="56"/>
      <c r="U220" s="56"/>
      <c r="V220" s="56"/>
      <c r="W220" s="56"/>
      <c r="X220" s="56"/>
      <c r="Y220" s="56"/>
      <c r="Z220" s="56"/>
      <c r="AA220" s="56"/>
    </row>
    <row r="221" spans="1:27" ht="30" hidden="1" customHeight="1" x14ac:dyDescent="0.25">
      <c r="A221" s="60"/>
      <c r="B221" s="51"/>
      <c r="C221" s="51"/>
      <c r="D221" s="51"/>
      <c r="E221" s="63" t="s">
        <v>454</v>
      </c>
      <c r="F221" s="422">
        <v>2018</v>
      </c>
      <c r="G221" s="135" t="s">
        <v>1219</v>
      </c>
      <c r="H221" s="422"/>
      <c r="I221" s="135" t="s">
        <v>460</v>
      </c>
      <c r="J221" s="135" t="s">
        <v>966</v>
      </c>
      <c r="K221" s="135" t="s">
        <v>469</v>
      </c>
      <c r="L221" s="135" t="s">
        <v>85</v>
      </c>
      <c r="M221" s="135" t="s">
        <v>644</v>
      </c>
      <c r="N221" s="135" t="s">
        <v>965</v>
      </c>
      <c r="O221" s="135" t="s">
        <v>645</v>
      </c>
      <c r="P221" s="135" t="s">
        <v>459</v>
      </c>
      <c r="Q221" s="135">
        <v>2345.3200000000002</v>
      </c>
      <c r="R221" s="187">
        <v>467</v>
      </c>
      <c r="S221" s="56"/>
      <c r="T221" s="56"/>
      <c r="U221" s="56"/>
      <c r="V221" s="56"/>
      <c r="W221" s="56"/>
      <c r="X221" s="56"/>
      <c r="Y221" s="56"/>
      <c r="Z221" s="56"/>
      <c r="AA221" s="56"/>
    </row>
    <row r="222" spans="1:27" ht="30" hidden="1" customHeight="1" x14ac:dyDescent="0.25">
      <c r="A222" s="60"/>
      <c r="B222" s="51"/>
      <c r="C222" s="51"/>
      <c r="D222" s="51"/>
      <c r="E222" s="63" t="s">
        <v>454</v>
      </c>
      <c r="F222" s="422">
        <v>2018</v>
      </c>
      <c r="G222" s="135" t="s">
        <v>1219</v>
      </c>
      <c r="H222" s="422"/>
      <c r="I222" s="135" t="s">
        <v>460</v>
      </c>
      <c r="J222" s="135" t="s">
        <v>967</v>
      </c>
      <c r="K222" s="135" t="s">
        <v>478</v>
      </c>
      <c r="L222" s="135" t="s">
        <v>207</v>
      </c>
      <c r="M222" s="135" t="s">
        <v>208</v>
      </c>
      <c r="N222" s="135" t="s">
        <v>965</v>
      </c>
      <c r="O222" s="135" t="s">
        <v>647</v>
      </c>
      <c r="P222" s="135" t="s">
        <v>459</v>
      </c>
      <c r="Q222" s="135">
        <v>2538.7199999999998</v>
      </c>
      <c r="R222" s="187">
        <v>465</v>
      </c>
      <c r="S222" s="56"/>
      <c r="T222" s="56"/>
      <c r="U222" s="56"/>
      <c r="V222" s="56"/>
      <c r="W222" s="56"/>
      <c r="X222" s="56"/>
      <c r="Y222" s="56"/>
      <c r="Z222" s="56"/>
      <c r="AA222" s="56"/>
    </row>
    <row r="223" spans="1:27" ht="30" hidden="1" customHeight="1" x14ac:dyDescent="0.25">
      <c r="A223" s="60"/>
      <c r="B223" s="51"/>
      <c r="C223" s="51"/>
      <c r="D223" s="51"/>
      <c r="E223" s="63" t="s">
        <v>451</v>
      </c>
      <c r="F223" s="422">
        <v>2018</v>
      </c>
      <c r="G223" s="135" t="s">
        <v>1219</v>
      </c>
      <c r="H223" s="422"/>
      <c r="I223" s="135" t="s">
        <v>460</v>
      </c>
      <c r="J223" s="135" t="s">
        <v>971</v>
      </c>
      <c r="K223" s="135" t="s">
        <v>539</v>
      </c>
      <c r="L223" s="135" t="s">
        <v>247</v>
      </c>
      <c r="M223" s="135" t="s">
        <v>248</v>
      </c>
      <c r="N223" s="135" t="s">
        <v>964</v>
      </c>
      <c r="O223" s="135" t="s">
        <v>249</v>
      </c>
      <c r="P223" s="135" t="s">
        <v>459</v>
      </c>
      <c r="Q223" s="135">
        <v>812.2</v>
      </c>
      <c r="R223" s="187">
        <v>464</v>
      </c>
      <c r="S223" s="56"/>
      <c r="T223" s="56"/>
      <c r="U223" s="56"/>
      <c r="V223" s="56"/>
      <c r="W223" s="56"/>
      <c r="X223" s="56"/>
      <c r="Y223" s="56"/>
      <c r="Z223" s="56"/>
      <c r="AA223" s="56"/>
    </row>
    <row r="224" spans="1:27" ht="30" hidden="1" customHeight="1" x14ac:dyDescent="0.25">
      <c r="A224" s="60"/>
      <c r="B224" s="51"/>
      <c r="C224" s="51"/>
      <c r="D224" s="51"/>
      <c r="E224" s="63" t="s">
        <v>454</v>
      </c>
      <c r="F224" s="422">
        <v>2018</v>
      </c>
      <c r="G224" s="135" t="s">
        <v>1219</v>
      </c>
      <c r="H224" s="422"/>
      <c r="I224" s="135" t="s">
        <v>460</v>
      </c>
      <c r="J224" s="135" t="s">
        <v>963</v>
      </c>
      <c r="K224" s="135" t="s">
        <v>474</v>
      </c>
      <c r="L224" s="135" t="s">
        <v>95</v>
      </c>
      <c r="M224" s="135" t="s">
        <v>362</v>
      </c>
      <c r="N224" s="135" t="s">
        <v>965</v>
      </c>
      <c r="O224" s="135" t="s">
        <v>649</v>
      </c>
      <c r="P224" s="135" t="s">
        <v>459</v>
      </c>
      <c r="Q224" s="135">
        <v>2084.77</v>
      </c>
      <c r="R224" s="187">
        <v>464</v>
      </c>
      <c r="S224" s="56"/>
      <c r="T224" s="56"/>
      <c r="U224" s="56"/>
      <c r="V224" s="56"/>
      <c r="W224" s="56"/>
      <c r="X224" s="56"/>
      <c r="Y224" s="56"/>
      <c r="Z224" s="56"/>
      <c r="AA224" s="56"/>
    </row>
    <row r="225" spans="1:27" ht="30" hidden="1" customHeight="1" x14ac:dyDescent="0.25">
      <c r="A225" s="60"/>
      <c r="B225" s="51"/>
      <c r="C225" s="51"/>
      <c r="D225" s="51"/>
      <c r="E225" s="63" t="s">
        <v>454</v>
      </c>
      <c r="F225" s="422">
        <v>2018</v>
      </c>
      <c r="G225" s="135" t="s">
        <v>1219</v>
      </c>
      <c r="H225" s="422"/>
      <c r="I225" s="135" t="s">
        <v>460</v>
      </c>
      <c r="J225" s="135" t="s">
        <v>967</v>
      </c>
      <c r="K225" s="135" t="s">
        <v>553</v>
      </c>
      <c r="L225" s="135" t="s">
        <v>82</v>
      </c>
      <c r="M225" s="135" t="s">
        <v>133</v>
      </c>
      <c r="N225" s="135" t="s">
        <v>965</v>
      </c>
      <c r="O225" s="135" t="s">
        <v>648</v>
      </c>
      <c r="P225" s="135" t="s">
        <v>459</v>
      </c>
      <c r="Q225" s="135">
        <v>1565.2</v>
      </c>
      <c r="R225" s="187">
        <v>464</v>
      </c>
      <c r="S225" s="56"/>
      <c r="T225" s="56"/>
      <c r="U225" s="56"/>
      <c r="V225" s="56"/>
      <c r="W225" s="56"/>
      <c r="X225" s="56"/>
      <c r="Y225" s="56"/>
      <c r="Z225" s="56"/>
      <c r="AA225" s="56"/>
    </row>
    <row r="226" spans="1:27" ht="30" hidden="1" customHeight="1" x14ac:dyDescent="0.25">
      <c r="A226" s="60"/>
      <c r="B226" s="51"/>
      <c r="C226" s="51"/>
      <c r="D226" s="51"/>
      <c r="E226" s="63" t="s">
        <v>452</v>
      </c>
      <c r="F226" s="422">
        <v>2018</v>
      </c>
      <c r="G226" s="135" t="s">
        <v>1219</v>
      </c>
      <c r="H226" s="422"/>
      <c r="I226" s="135" t="s">
        <v>460</v>
      </c>
      <c r="J226" s="135" t="s">
        <v>969</v>
      </c>
      <c r="K226" s="135" t="s">
        <v>575</v>
      </c>
      <c r="L226" s="135" t="s">
        <v>143</v>
      </c>
      <c r="M226" s="135" t="s">
        <v>144</v>
      </c>
      <c r="N226" s="135" t="s">
        <v>964</v>
      </c>
      <c r="O226" s="135" t="s">
        <v>650</v>
      </c>
      <c r="P226" s="135" t="s">
        <v>459</v>
      </c>
      <c r="Q226" s="135">
        <v>162.69999999999999</v>
      </c>
      <c r="R226" s="187">
        <v>464</v>
      </c>
      <c r="S226" s="56"/>
      <c r="T226" s="56"/>
      <c r="U226" s="56"/>
      <c r="V226" s="56"/>
      <c r="W226" s="56"/>
      <c r="X226" s="56"/>
      <c r="Y226" s="56"/>
      <c r="Z226" s="56"/>
      <c r="AA226" s="56"/>
    </row>
    <row r="227" spans="1:27" ht="30" hidden="1" customHeight="1" x14ac:dyDescent="0.25">
      <c r="A227" s="60"/>
      <c r="B227" s="51"/>
      <c r="C227" s="51"/>
      <c r="D227" s="51"/>
      <c r="E227" s="63" t="s">
        <v>452</v>
      </c>
      <c r="F227" s="422">
        <v>2018</v>
      </c>
      <c r="G227" s="135" t="s">
        <v>1219</v>
      </c>
      <c r="H227" s="422"/>
      <c r="I227" s="135" t="s">
        <v>460</v>
      </c>
      <c r="J227" s="135" t="s">
        <v>966</v>
      </c>
      <c r="K227" s="135" t="s">
        <v>469</v>
      </c>
      <c r="L227" s="135" t="s">
        <v>85</v>
      </c>
      <c r="M227" s="135" t="s">
        <v>651</v>
      </c>
      <c r="N227" s="135" t="s">
        <v>965</v>
      </c>
      <c r="O227" s="135" t="s">
        <v>384</v>
      </c>
      <c r="P227" s="135" t="s">
        <v>459</v>
      </c>
      <c r="Q227" s="135">
        <v>244.97</v>
      </c>
      <c r="R227" s="187">
        <v>460</v>
      </c>
      <c r="S227" s="56"/>
      <c r="T227" s="56"/>
      <c r="U227" s="56"/>
      <c r="V227" s="56"/>
      <c r="W227" s="56"/>
      <c r="X227" s="56"/>
      <c r="Y227" s="56"/>
      <c r="Z227" s="56"/>
      <c r="AA227" s="56"/>
    </row>
    <row r="228" spans="1:27" ht="30" hidden="1" customHeight="1" x14ac:dyDescent="0.25">
      <c r="A228" s="60"/>
      <c r="B228" s="51"/>
      <c r="C228" s="51"/>
      <c r="D228" s="51"/>
      <c r="E228" s="63" t="s">
        <v>451</v>
      </c>
      <c r="F228" s="422">
        <v>2018</v>
      </c>
      <c r="G228" s="135" t="s">
        <v>1219</v>
      </c>
      <c r="H228" s="422"/>
      <c r="I228" s="135" t="s">
        <v>460</v>
      </c>
      <c r="J228" s="135" t="s">
        <v>966</v>
      </c>
      <c r="K228" s="135" t="s">
        <v>499</v>
      </c>
      <c r="L228" s="135" t="s">
        <v>88</v>
      </c>
      <c r="M228" s="135" t="s">
        <v>88</v>
      </c>
      <c r="N228" s="135" t="s">
        <v>964</v>
      </c>
      <c r="O228" s="135" t="s">
        <v>652</v>
      </c>
      <c r="P228" s="135" t="s">
        <v>459</v>
      </c>
      <c r="Q228" s="135">
        <v>559.85</v>
      </c>
      <c r="R228" s="187">
        <v>459</v>
      </c>
      <c r="S228" s="56"/>
      <c r="T228" s="56"/>
      <c r="U228" s="56"/>
      <c r="V228" s="56"/>
      <c r="W228" s="56"/>
      <c r="X228" s="56"/>
      <c r="Y228" s="56"/>
      <c r="Z228" s="56"/>
      <c r="AA228" s="56"/>
    </row>
    <row r="229" spans="1:27" ht="30" hidden="1" customHeight="1" x14ac:dyDescent="0.25">
      <c r="A229" s="60"/>
      <c r="B229" s="51"/>
      <c r="C229" s="51"/>
      <c r="D229" s="51"/>
      <c r="E229" s="63" t="s">
        <v>452</v>
      </c>
      <c r="F229" s="422">
        <v>2018</v>
      </c>
      <c r="G229" s="135" t="s">
        <v>1219</v>
      </c>
      <c r="H229" s="422"/>
      <c r="I229" s="135" t="s">
        <v>460</v>
      </c>
      <c r="J229" s="135" t="s">
        <v>963</v>
      </c>
      <c r="K229" s="135" t="s">
        <v>465</v>
      </c>
      <c r="L229" s="135" t="s">
        <v>106</v>
      </c>
      <c r="M229" s="135" t="s">
        <v>268</v>
      </c>
      <c r="N229" s="135" t="s">
        <v>964</v>
      </c>
      <c r="O229" s="135" t="s">
        <v>653</v>
      </c>
      <c r="P229" s="135" t="s">
        <v>459</v>
      </c>
      <c r="Q229" s="135">
        <v>250.77</v>
      </c>
      <c r="R229" s="187">
        <v>458</v>
      </c>
      <c r="S229" s="56"/>
      <c r="T229" s="56"/>
      <c r="U229" s="56"/>
      <c r="V229" s="56"/>
      <c r="W229" s="56"/>
      <c r="X229" s="56"/>
      <c r="Y229" s="56"/>
      <c r="Z229" s="56"/>
      <c r="AA229" s="56"/>
    </row>
    <row r="230" spans="1:27" ht="30" hidden="1" customHeight="1" x14ac:dyDescent="0.25">
      <c r="A230" s="60"/>
      <c r="B230" s="51"/>
      <c r="C230" s="51"/>
      <c r="D230" s="51"/>
      <c r="E230" s="63" t="s">
        <v>452</v>
      </c>
      <c r="F230" s="422">
        <v>2018</v>
      </c>
      <c r="G230" s="135" t="s">
        <v>1219</v>
      </c>
      <c r="H230" s="422"/>
      <c r="I230" s="135" t="s">
        <v>460</v>
      </c>
      <c r="J230" s="135" t="s">
        <v>969</v>
      </c>
      <c r="K230" s="135" t="s">
        <v>509</v>
      </c>
      <c r="L230" s="135" t="s">
        <v>157</v>
      </c>
      <c r="M230" s="135" t="s">
        <v>159</v>
      </c>
      <c r="N230" s="135" t="s">
        <v>964</v>
      </c>
      <c r="O230" s="135" t="s">
        <v>654</v>
      </c>
      <c r="P230" s="135" t="s">
        <v>459</v>
      </c>
      <c r="Q230" s="135">
        <v>237.31</v>
      </c>
      <c r="R230" s="187">
        <v>457</v>
      </c>
      <c r="S230" s="56"/>
      <c r="T230" s="56"/>
      <c r="U230" s="56"/>
      <c r="V230" s="56"/>
      <c r="W230" s="56"/>
      <c r="X230" s="56"/>
      <c r="Y230" s="56"/>
      <c r="Z230" s="56"/>
      <c r="AA230" s="56"/>
    </row>
    <row r="231" spans="1:27" ht="30" hidden="1" customHeight="1" x14ac:dyDescent="0.25">
      <c r="A231" s="60"/>
      <c r="B231" s="51"/>
      <c r="C231" s="51"/>
      <c r="D231" s="51"/>
      <c r="E231" s="63" t="s">
        <v>452</v>
      </c>
      <c r="F231" s="422">
        <v>2018</v>
      </c>
      <c r="G231" s="135" t="s">
        <v>1219</v>
      </c>
      <c r="H231" s="422"/>
      <c r="I231" s="135" t="s">
        <v>460</v>
      </c>
      <c r="J231" s="135" t="s">
        <v>967</v>
      </c>
      <c r="K231" s="135" t="s">
        <v>553</v>
      </c>
      <c r="L231" s="135" t="s">
        <v>82</v>
      </c>
      <c r="M231" s="135" t="s">
        <v>130</v>
      </c>
      <c r="N231" s="135" t="s">
        <v>964</v>
      </c>
      <c r="O231" s="135" t="s">
        <v>132</v>
      </c>
      <c r="P231" s="135" t="s">
        <v>459</v>
      </c>
      <c r="Q231" s="135">
        <v>206.9</v>
      </c>
      <c r="R231" s="187">
        <v>457</v>
      </c>
      <c r="S231" s="56"/>
      <c r="T231" s="56"/>
      <c r="U231" s="56"/>
      <c r="V231" s="56"/>
      <c r="W231" s="56"/>
      <c r="X231" s="56"/>
      <c r="Y231" s="56"/>
      <c r="Z231" s="56"/>
      <c r="AA231" s="56"/>
    </row>
    <row r="232" spans="1:27" ht="30" hidden="1" customHeight="1" x14ac:dyDescent="0.25">
      <c r="A232" s="60"/>
      <c r="B232" s="51"/>
      <c r="C232" s="51"/>
      <c r="D232" s="51"/>
      <c r="E232" s="63" t="s">
        <v>454</v>
      </c>
      <c r="F232" s="422">
        <v>2018</v>
      </c>
      <c r="G232" s="135" t="s">
        <v>1220</v>
      </c>
      <c r="H232" s="422"/>
      <c r="I232" s="135" t="s">
        <v>460</v>
      </c>
      <c r="J232" s="135" t="s">
        <v>967</v>
      </c>
      <c r="K232" s="135" t="s">
        <v>655</v>
      </c>
      <c r="L232" s="135" t="s">
        <v>216</v>
      </c>
      <c r="M232" s="135" t="s">
        <v>217</v>
      </c>
      <c r="N232" s="135" t="s">
        <v>965</v>
      </c>
      <c r="O232" s="135" t="s">
        <v>218</v>
      </c>
      <c r="P232" s="135" t="s">
        <v>459</v>
      </c>
      <c r="Q232" s="135">
        <v>1970.9</v>
      </c>
      <c r="R232" s="187">
        <v>455</v>
      </c>
      <c r="S232" s="56"/>
      <c r="T232" s="56"/>
      <c r="U232" s="56"/>
      <c r="V232" s="56"/>
      <c r="W232" s="56"/>
      <c r="X232" s="56"/>
      <c r="Y232" s="56"/>
      <c r="Z232" s="56"/>
      <c r="AA232" s="56"/>
    </row>
    <row r="233" spans="1:27" ht="30" hidden="1" customHeight="1" x14ac:dyDescent="0.25">
      <c r="A233" s="60"/>
      <c r="B233" s="51"/>
      <c r="C233" s="51"/>
      <c r="D233" s="51"/>
      <c r="E233" s="63" t="s">
        <v>452</v>
      </c>
      <c r="F233" s="422">
        <v>2018</v>
      </c>
      <c r="G233" s="135" t="s">
        <v>1220</v>
      </c>
      <c r="H233" s="422"/>
      <c r="I233" s="135" t="s">
        <v>460</v>
      </c>
      <c r="J233" s="135" t="s">
        <v>969</v>
      </c>
      <c r="K233" s="135" t="s">
        <v>509</v>
      </c>
      <c r="L233" s="135" t="s">
        <v>157</v>
      </c>
      <c r="M233" s="135" t="s">
        <v>159</v>
      </c>
      <c r="N233" s="135" t="s">
        <v>964</v>
      </c>
      <c r="O233" s="135" t="s">
        <v>656</v>
      </c>
      <c r="P233" s="135" t="s">
        <v>459</v>
      </c>
      <c r="Q233" s="135">
        <v>299.42</v>
      </c>
      <c r="R233" s="187">
        <v>454</v>
      </c>
      <c r="S233" s="56"/>
      <c r="T233" s="56"/>
      <c r="U233" s="56"/>
      <c r="V233" s="56"/>
      <c r="W233" s="56"/>
      <c r="X233" s="56"/>
      <c r="Y233" s="56"/>
      <c r="Z233" s="56"/>
      <c r="AA233" s="56"/>
    </row>
    <row r="234" spans="1:27" ht="30" hidden="1" customHeight="1" x14ac:dyDescent="0.25">
      <c r="A234" s="60"/>
      <c r="B234" s="51"/>
      <c r="C234" s="51"/>
      <c r="D234" s="51"/>
      <c r="E234" s="63" t="s">
        <v>452</v>
      </c>
      <c r="F234" s="422">
        <v>2018</v>
      </c>
      <c r="G234" s="135" t="s">
        <v>1220</v>
      </c>
      <c r="H234" s="422"/>
      <c r="I234" s="135" t="s">
        <v>460</v>
      </c>
      <c r="J234" s="135" t="s">
        <v>966</v>
      </c>
      <c r="K234" s="135" t="s">
        <v>562</v>
      </c>
      <c r="L234" s="135" t="s">
        <v>108</v>
      </c>
      <c r="M234" s="135" t="s">
        <v>657</v>
      </c>
      <c r="N234" s="135" t="s">
        <v>965</v>
      </c>
      <c r="O234" s="135" t="s">
        <v>658</v>
      </c>
      <c r="P234" s="135" t="s">
        <v>459</v>
      </c>
      <c r="Q234" s="135">
        <v>183.96</v>
      </c>
      <c r="R234" s="187">
        <v>453</v>
      </c>
      <c r="S234" s="56"/>
      <c r="T234" s="56"/>
      <c r="U234" s="56"/>
      <c r="V234" s="56"/>
      <c r="W234" s="56"/>
      <c r="X234" s="56"/>
      <c r="Y234" s="56"/>
      <c r="Z234" s="56"/>
      <c r="AA234" s="56"/>
    </row>
    <row r="235" spans="1:27" ht="30" hidden="1" customHeight="1" x14ac:dyDescent="0.25">
      <c r="A235" s="60"/>
      <c r="B235" s="51"/>
      <c r="C235" s="51"/>
      <c r="D235" s="51"/>
      <c r="E235" s="63" t="s">
        <v>452</v>
      </c>
      <c r="F235" s="422">
        <v>2018</v>
      </c>
      <c r="G235" s="135" t="s">
        <v>1220</v>
      </c>
      <c r="H235" s="422"/>
      <c r="I235" s="135" t="s">
        <v>460</v>
      </c>
      <c r="J235" s="135" t="s">
        <v>963</v>
      </c>
      <c r="K235" s="135" t="s">
        <v>465</v>
      </c>
      <c r="L235" s="135" t="s">
        <v>106</v>
      </c>
      <c r="M235" s="135" t="s">
        <v>273</v>
      </c>
      <c r="N235" s="135" t="s">
        <v>965</v>
      </c>
      <c r="O235" s="135" t="s">
        <v>274</v>
      </c>
      <c r="P235" s="135" t="s">
        <v>459</v>
      </c>
      <c r="Q235" s="135">
        <v>303.43</v>
      </c>
      <c r="R235" s="187">
        <v>452</v>
      </c>
      <c r="S235" s="56"/>
      <c r="T235" s="56"/>
      <c r="U235" s="56"/>
      <c r="V235" s="56"/>
      <c r="W235" s="56"/>
      <c r="X235" s="56"/>
      <c r="Y235" s="56"/>
      <c r="Z235" s="56"/>
      <c r="AA235" s="56"/>
    </row>
    <row r="236" spans="1:27" ht="30" hidden="1" customHeight="1" x14ac:dyDescent="0.25">
      <c r="A236" s="60"/>
      <c r="B236" s="51"/>
      <c r="C236" s="51"/>
      <c r="D236" s="51"/>
      <c r="E236" s="63" t="s">
        <v>454</v>
      </c>
      <c r="F236" s="422">
        <v>2017</v>
      </c>
      <c r="G236" s="135" t="s">
        <v>1221</v>
      </c>
      <c r="H236" s="422"/>
      <c r="I236" s="135" t="s">
        <v>460</v>
      </c>
      <c r="J236" s="135" t="s">
        <v>971</v>
      </c>
      <c r="K236" s="135" t="s">
        <v>527</v>
      </c>
      <c r="L236" s="135" t="s">
        <v>194</v>
      </c>
      <c r="M236" s="135" t="s">
        <v>195</v>
      </c>
      <c r="N236" s="135" t="s">
        <v>965</v>
      </c>
      <c r="O236" s="135" t="s">
        <v>659</v>
      </c>
      <c r="P236" s="135" t="s">
        <v>459</v>
      </c>
      <c r="Q236" s="135">
        <v>3137.57</v>
      </c>
      <c r="R236" s="187">
        <v>451</v>
      </c>
      <c r="S236" s="56"/>
      <c r="T236" s="56"/>
      <c r="U236" s="56"/>
      <c r="V236" s="56"/>
      <c r="W236" s="56"/>
      <c r="X236" s="56"/>
      <c r="Y236" s="56"/>
      <c r="Z236" s="56"/>
      <c r="AA236" s="56"/>
    </row>
    <row r="237" spans="1:27" ht="30" hidden="1" customHeight="1" x14ac:dyDescent="0.25">
      <c r="A237" s="60"/>
      <c r="B237" s="51"/>
      <c r="C237" s="51"/>
      <c r="D237" s="51"/>
      <c r="E237" s="63" t="s">
        <v>454</v>
      </c>
      <c r="F237" s="422">
        <v>2017</v>
      </c>
      <c r="G237" s="135" t="s">
        <v>1221</v>
      </c>
      <c r="H237" s="422"/>
      <c r="I237" s="135" t="s">
        <v>455</v>
      </c>
      <c r="J237" s="135" t="s">
        <v>455</v>
      </c>
      <c r="K237" s="135" t="s">
        <v>456</v>
      </c>
      <c r="L237" s="135" t="s">
        <v>455</v>
      </c>
      <c r="M237" s="135" t="s">
        <v>457</v>
      </c>
      <c r="N237" s="135" t="s">
        <v>965</v>
      </c>
      <c r="O237" s="135" t="s">
        <v>660</v>
      </c>
      <c r="P237" s="135" t="s">
        <v>459</v>
      </c>
      <c r="Q237" s="135">
        <v>2036</v>
      </c>
      <c r="R237" s="187">
        <v>450</v>
      </c>
      <c r="S237" s="56"/>
      <c r="T237" s="56"/>
      <c r="U237" s="56"/>
      <c r="V237" s="56"/>
      <c r="W237" s="56"/>
      <c r="X237" s="56"/>
      <c r="Y237" s="56"/>
      <c r="Z237" s="56"/>
      <c r="AA237" s="56"/>
    </row>
    <row r="238" spans="1:27" ht="30" hidden="1" customHeight="1" x14ac:dyDescent="0.25">
      <c r="A238" s="60"/>
      <c r="B238" s="51"/>
      <c r="C238" s="51"/>
      <c r="D238" s="51"/>
      <c r="E238" s="63" t="s">
        <v>452</v>
      </c>
      <c r="F238" s="422">
        <v>2017</v>
      </c>
      <c r="G238" s="135" t="s">
        <v>1221</v>
      </c>
      <c r="H238" s="422"/>
      <c r="I238" s="135" t="s">
        <v>460</v>
      </c>
      <c r="J238" s="135" t="s">
        <v>963</v>
      </c>
      <c r="K238" s="135" t="s">
        <v>474</v>
      </c>
      <c r="L238" s="135" t="s">
        <v>95</v>
      </c>
      <c r="M238" s="135" t="s">
        <v>96</v>
      </c>
      <c r="N238" s="135" t="s">
        <v>964</v>
      </c>
      <c r="O238" s="135" t="s">
        <v>661</v>
      </c>
      <c r="P238" s="135" t="s">
        <v>459</v>
      </c>
      <c r="Q238" s="135">
        <v>257.51</v>
      </c>
      <c r="R238" s="187">
        <v>449</v>
      </c>
      <c r="S238" s="56"/>
      <c r="T238" s="56"/>
      <c r="U238" s="56"/>
      <c r="V238" s="56"/>
      <c r="W238" s="56"/>
      <c r="X238" s="56"/>
      <c r="Y238" s="56"/>
      <c r="Z238" s="56"/>
      <c r="AA238" s="56"/>
    </row>
    <row r="239" spans="1:27" ht="30" hidden="1" customHeight="1" x14ac:dyDescent="0.25">
      <c r="A239" s="60"/>
      <c r="B239" s="51"/>
      <c r="C239" s="51"/>
      <c r="D239" s="51"/>
      <c r="E239" s="63" t="s">
        <v>454</v>
      </c>
      <c r="F239" s="422">
        <v>2017</v>
      </c>
      <c r="G239" s="135" t="s">
        <v>1221</v>
      </c>
      <c r="H239" s="422"/>
      <c r="I239" s="135" t="s">
        <v>460</v>
      </c>
      <c r="J239" s="135" t="s">
        <v>969</v>
      </c>
      <c r="K239" s="135" t="s">
        <v>575</v>
      </c>
      <c r="L239" s="135" t="s">
        <v>143</v>
      </c>
      <c r="M239" s="135" t="s">
        <v>144</v>
      </c>
      <c r="N239" s="135" t="s">
        <v>964</v>
      </c>
      <c r="O239" s="135" t="s">
        <v>662</v>
      </c>
      <c r="P239" s="135" t="s">
        <v>459</v>
      </c>
      <c r="Q239" s="135">
        <v>1808.24</v>
      </c>
      <c r="R239" s="187">
        <v>448</v>
      </c>
      <c r="S239" s="56"/>
      <c r="T239" s="56"/>
      <c r="U239" s="56"/>
      <c r="V239" s="56"/>
      <c r="W239" s="56"/>
      <c r="X239" s="56"/>
      <c r="Y239" s="56"/>
      <c r="Z239" s="56"/>
      <c r="AA239" s="56"/>
    </row>
    <row r="240" spans="1:27" ht="30" hidden="1" customHeight="1" x14ac:dyDescent="0.25">
      <c r="A240" s="60"/>
      <c r="B240" s="51"/>
      <c r="C240" s="51"/>
      <c r="D240" s="51"/>
      <c r="E240" s="63" t="s">
        <v>451</v>
      </c>
      <c r="F240" s="422">
        <v>2017</v>
      </c>
      <c r="G240" s="135" t="s">
        <v>1221</v>
      </c>
      <c r="H240" s="422"/>
      <c r="I240" s="135" t="s">
        <v>460</v>
      </c>
      <c r="J240" s="135" t="s">
        <v>963</v>
      </c>
      <c r="K240" s="135" t="s">
        <v>461</v>
      </c>
      <c r="L240" s="135" t="s">
        <v>253</v>
      </c>
      <c r="M240" s="135" t="s">
        <v>254</v>
      </c>
      <c r="N240" s="135" t="s">
        <v>965</v>
      </c>
      <c r="O240" s="135" t="s">
        <v>663</v>
      </c>
      <c r="P240" s="135" t="s">
        <v>459</v>
      </c>
      <c r="Q240" s="135">
        <v>454.18</v>
      </c>
      <c r="R240" s="187">
        <v>447</v>
      </c>
      <c r="S240" s="56"/>
      <c r="T240" s="56"/>
      <c r="U240" s="56"/>
      <c r="V240" s="56"/>
      <c r="W240" s="56"/>
      <c r="X240" s="56"/>
      <c r="Y240" s="56"/>
      <c r="Z240" s="56"/>
      <c r="AA240" s="56"/>
    </row>
    <row r="241" spans="1:27" ht="30" hidden="1" customHeight="1" x14ac:dyDescent="0.25">
      <c r="A241" s="60"/>
      <c r="B241" s="51"/>
      <c r="C241" s="51"/>
      <c r="D241" s="51"/>
      <c r="E241" s="63" t="s">
        <v>454</v>
      </c>
      <c r="F241" s="422">
        <v>2017</v>
      </c>
      <c r="G241" s="135" t="s">
        <v>1221</v>
      </c>
      <c r="H241" s="422"/>
      <c r="I241" s="135" t="s">
        <v>455</v>
      </c>
      <c r="J241" s="135" t="s">
        <v>455</v>
      </c>
      <c r="K241" s="135" t="s">
        <v>456</v>
      </c>
      <c r="L241" s="135" t="s">
        <v>455</v>
      </c>
      <c r="M241" s="135" t="s">
        <v>457</v>
      </c>
      <c r="N241" s="135" t="s">
        <v>965</v>
      </c>
      <c r="O241" s="135" t="s">
        <v>664</v>
      </c>
      <c r="P241" s="135" t="s">
        <v>459</v>
      </c>
      <c r="Q241" s="135">
        <v>2176</v>
      </c>
      <c r="R241" s="187">
        <v>447</v>
      </c>
      <c r="S241" s="56"/>
      <c r="T241" s="56"/>
      <c r="U241" s="56"/>
      <c r="V241" s="56"/>
      <c r="W241" s="56"/>
      <c r="X241" s="56"/>
      <c r="Y241" s="56"/>
      <c r="Z241" s="56"/>
      <c r="AA241" s="56"/>
    </row>
    <row r="242" spans="1:27" ht="30" hidden="1" customHeight="1" x14ac:dyDescent="0.25">
      <c r="A242" s="60"/>
      <c r="B242" s="51"/>
      <c r="C242" s="51"/>
      <c r="D242" s="51"/>
      <c r="E242" s="63" t="s">
        <v>454</v>
      </c>
      <c r="F242" s="422">
        <v>2017</v>
      </c>
      <c r="G242" s="135" t="s">
        <v>1221</v>
      </c>
      <c r="H242" s="422"/>
      <c r="I242" s="135" t="s">
        <v>460</v>
      </c>
      <c r="J242" s="135" t="s">
        <v>963</v>
      </c>
      <c r="K242" s="135" t="s">
        <v>461</v>
      </c>
      <c r="L242" s="135" t="s">
        <v>253</v>
      </c>
      <c r="M242" s="135" t="s">
        <v>254</v>
      </c>
      <c r="N242" s="135" t="s">
        <v>965</v>
      </c>
      <c r="O242" s="135" t="s">
        <v>663</v>
      </c>
      <c r="P242" s="135" t="s">
        <v>459</v>
      </c>
      <c r="Q242" s="135">
        <v>3977</v>
      </c>
      <c r="R242" s="187">
        <v>447</v>
      </c>
      <c r="S242" s="56"/>
      <c r="T242" s="56"/>
      <c r="U242" s="56"/>
      <c r="V242" s="56"/>
      <c r="W242" s="56"/>
      <c r="X242" s="56"/>
      <c r="Y242" s="56"/>
      <c r="Z242" s="56"/>
      <c r="AA242" s="56"/>
    </row>
    <row r="243" spans="1:27" ht="30" hidden="1" customHeight="1" x14ac:dyDescent="0.25">
      <c r="A243" s="60"/>
      <c r="B243" s="51"/>
      <c r="C243" s="51"/>
      <c r="D243" s="51"/>
      <c r="E243" s="63" t="s">
        <v>452</v>
      </c>
      <c r="F243" s="422">
        <v>2017</v>
      </c>
      <c r="G243" s="135" t="s">
        <v>1221</v>
      </c>
      <c r="H243" s="422"/>
      <c r="I243" s="135" t="s">
        <v>460</v>
      </c>
      <c r="J243" s="135" t="s">
        <v>963</v>
      </c>
      <c r="K243" s="135" t="s">
        <v>461</v>
      </c>
      <c r="L243" s="135" t="s">
        <v>253</v>
      </c>
      <c r="M243" s="135" t="s">
        <v>254</v>
      </c>
      <c r="N243" s="135" t="s">
        <v>965</v>
      </c>
      <c r="O243" s="135" t="s">
        <v>663</v>
      </c>
      <c r="P243" s="135" t="s">
        <v>459</v>
      </c>
      <c r="Q243" s="135">
        <v>233.7</v>
      </c>
      <c r="R243" s="187">
        <v>447</v>
      </c>
      <c r="S243" s="56"/>
      <c r="T243" s="56"/>
      <c r="U243" s="56"/>
      <c r="V243" s="56"/>
      <c r="W243" s="56"/>
      <c r="X243" s="56"/>
      <c r="Y243" s="56"/>
      <c r="Z243" s="56"/>
      <c r="AA243" s="56"/>
    </row>
    <row r="244" spans="1:27" ht="30" hidden="1" customHeight="1" x14ac:dyDescent="0.25">
      <c r="A244" s="60"/>
      <c r="B244" s="51"/>
      <c r="C244" s="51"/>
      <c r="D244" s="51"/>
      <c r="E244" s="63" t="s">
        <v>452</v>
      </c>
      <c r="F244" s="422">
        <v>2017</v>
      </c>
      <c r="G244" s="135" t="s">
        <v>1221</v>
      </c>
      <c r="H244" s="422"/>
      <c r="I244" s="135" t="s">
        <v>460</v>
      </c>
      <c r="J244" s="135" t="s">
        <v>966</v>
      </c>
      <c r="K244" s="135" t="s">
        <v>469</v>
      </c>
      <c r="L244" s="135" t="s">
        <v>85</v>
      </c>
      <c r="M244" s="135" t="s">
        <v>665</v>
      </c>
      <c r="N244" s="135" t="s">
        <v>965</v>
      </c>
      <c r="O244" s="135" t="s">
        <v>666</v>
      </c>
      <c r="P244" s="135" t="s">
        <v>459</v>
      </c>
      <c r="Q244" s="135">
        <v>250.77</v>
      </c>
      <c r="R244" s="187">
        <v>447</v>
      </c>
      <c r="S244" s="56"/>
      <c r="T244" s="56"/>
      <c r="U244" s="56"/>
      <c r="V244" s="56"/>
      <c r="W244" s="56"/>
      <c r="X244" s="56"/>
      <c r="Y244" s="56"/>
      <c r="Z244" s="56"/>
      <c r="AA244" s="56"/>
    </row>
    <row r="245" spans="1:27" ht="30" hidden="1" customHeight="1" x14ac:dyDescent="0.25">
      <c r="A245" s="60"/>
      <c r="B245" s="51"/>
      <c r="C245" s="51"/>
      <c r="D245" s="51"/>
      <c r="E245" s="63" t="s">
        <v>454</v>
      </c>
      <c r="F245" s="422">
        <v>2017</v>
      </c>
      <c r="G245" s="135" t="s">
        <v>1221</v>
      </c>
      <c r="H245" s="422"/>
      <c r="I245" s="135" t="s">
        <v>460</v>
      </c>
      <c r="J245" s="135" t="s">
        <v>966</v>
      </c>
      <c r="K245" s="135" t="s">
        <v>469</v>
      </c>
      <c r="L245" s="135" t="s">
        <v>85</v>
      </c>
      <c r="M245" s="135" t="s">
        <v>85</v>
      </c>
      <c r="N245" s="135" t="s">
        <v>964</v>
      </c>
      <c r="O245" s="135" t="s">
        <v>667</v>
      </c>
      <c r="P245" s="135" t="s">
        <v>459</v>
      </c>
      <c r="Q245" s="135">
        <v>1273.27</v>
      </c>
      <c r="R245" s="187">
        <v>442</v>
      </c>
      <c r="S245" s="56"/>
      <c r="T245" s="56"/>
      <c r="U245" s="56"/>
      <c r="V245" s="56"/>
      <c r="W245" s="56"/>
      <c r="X245" s="56"/>
      <c r="Y245" s="56"/>
      <c r="Z245" s="56"/>
      <c r="AA245" s="56"/>
    </row>
    <row r="246" spans="1:27" ht="30" hidden="1" customHeight="1" x14ac:dyDescent="0.25">
      <c r="A246" s="60"/>
      <c r="B246" s="51"/>
      <c r="C246" s="51"/>
      <c r="D246" s="51"/>
      <c r="E246" s="63" t="s">
        <v>452</v>
      </c>
      <c r="F246" s="422">
        <v>2017</v>
      </c>
      <c r="G246" s="135" t="s">
        <v>1221</v>
      </c>
      <c r="H246" s="422"/>
      <c r="I246" s="135" t="s">
        <v>460</v>
      </c>
      <c r="J246" s="135" t="s">
        <v>966</v>
      </c>
      <c r="K246" s="135" t="s">
        <v>469</v>
      </c>
      <c r="L246" s="135" t="s">
        <v>85</v>
      </c>
      <c r="M246" s="135" t="s">
        <v>311</v>
      </c>
      <c r="N246" s="135" t="s">
        <v>965</v>
      </c>
      <c r="O246" s="135" t="s">
        <v>668</v>
      </c>
      <c r="P246" s="135" t="s">
        <v>459</v>
      </c>
      <c r="Q246" s="135">
        <v>236.56</v>
      </c>
      <c r="R246" s="187">
        <v>442</v>
      </c>
      <c r="S246" s="56"/>
      <c r="T246" s="56"/>
      <c r="U246" s="56"/>
      <c r="V246" s="56"/>
      <c r="W246" s="56"/>
      <c r="X246" s="56"/>
      <c r="Y246" s="56"/>
      <c r="Z246" s="56"/>
      <c r="AA246" s="56"/>
    </row>
    <row r="247" spans="1:27" ht="30" hidden="1" customHeight="1" x14ac:dyDescent="0.25">
      <c r="A247" s="60"/>
      <c r="B247" s="51"/>
      <c r="C247" s="51"/>
      <c r="D247" s="51"/>
      <c r="E247" s="63" t="s">
        <v>452</v>
      </c>
      <c r="F247" s="422">
        <v>2017</v>
      </c>
      <c r="G247" s="135" t="s">
        <v>1221</v>
      </c>
      <c r="H247" s="422"/>
      <c r="I247" s="135" t="s">
        <v>460</v>
      </c>
      <c r="J247" s="135" t="s">
        <v>966</v>
      </c>
      <c r="K247" s="135" t="s">
        <v>469</v>
      </c>
      <c r="L247" s="135" t="s">
        <v>85</v>
      </c>
      <c r="M247" s="135" t="s">
        <v>356</v>
      </c>
      <c r="N247" s="135" t="s">
        <v>965</v>
      </c>
      <c r="O247" s="135" t="s">
        <v>669</v>
      </c>
      <c r="P247" s="135" t="s">
        <v>459</v>
      </c>
      <c r="Q247" s="135">
        <v>213.89</v>
      </c>
      <c r="R247" s="187">
        <v>440</v>
      </c>
      <c r="S247" s="56"/>
      <c r="T247" s="56"/>
      <c r="U247" s="56"/>
      <c r="V247" s="56"/>
      <c r="W247" s="56"/>
      <c r="X247" s="56"/>
      <c r="Y247" s="56"/>
      <c r="Z247" s="56"/>
      <c r="AA247" s="56"/>
    </row>
    <row r="248" spans="1:27" ht="30" hidden="1" customHeight="1" x14ac:dyDescent="0.25">
      <c r="A248" s="60"/>
      <c r="B248" s="51"/>
      <c r="C248" s="51"/>
      <c r="D248" s="51"/>
      <c r="E248" s="63" t="s">
        <v>454</v>
      </c>
      <c r="F248" s="422">
        <v>2017</v>
      </c>
      <c r="G248" s="135" t="s">
        <v>1221</v>
      </c>
      <c r="H248" s="422"/>
      <c r="I248" s="135" t="s">
        <v>460</v>
      </c>
      <c r="J248" s="135" t="s">
        <v>966</v>
      </c>
      <c r="K248" s="135" t="s">
        <v>469</v>
      </c>
      <c r="L248" s="135" t="s">
        <v>85</v>
      </c>
      <c r="M248" s="135" t="s">
        <v>85</v>
      </c>
      <c r="N248" s="135" t="s">
        <v>964</v>
      </c>
      <c r="O248" s="135" t="s">
        <v>670</v>
      </c>
      <c r="P248" s="135" t="s">
        <v>459</v>
      </c>
      <c r="Q248" s="135">
        <v>1986.17</v>
      </c>
      <c r="R248" s="187">
        <v>439</v>
      </c>
      <c r="S248" s="56"/>
      <c r="T248" s="56"/>
      <c r="U248" s="56"/>
      <c r="V248" s="56"/>
      <c r="W248" s="56"/>
      <c r="X248" s="56"/>
      <c r="Y248" s="56"/>
      <c r="Z248" s="56"/>
      <c r="AA248" s="56"/>
    </row>
    <row r="249" spans="1:27" ht="30" hidden="1" customHeight="1" x14ac:dyDescent="0.25">
      <c r="A249" s="60"/>
      <c r="B249" s="51"/>
      <c r="C249" s="51"/>
      <c r="D249" s="51"/>
      <c r="E249" s="63" t="s">
        <v>454</v>
      </c>
      <c r="F249" s="422">
        <v>2017</v>
      </c>
      <c r="G249" s="135" t="s">
        <v>1221</v>
      </c>
      <c r="H249" s="422"/>
      <c r="I249" s="135" t="s">
        <v>460</v>
      </c>
      <c r="J249" s="135" t="s">
        <v>971</v>
      </c>
      <c r="K249" s="135" t="s">
        <v>527</v>
      </c>
      <c r="L249" s="135" t="s">
        <v>194</v>
      </c>
      <c r="M249" s="135" t="s">
        <v>196</v>
      </c>
      <c r="N249" s="135" t="s">
        <v>964</v>
      </c>
      <c r="O249" s="135" t="s">
        <v>671</v>
      </c>
      <c r="P249" s="135" t="s">
        <v>459</v>
      </c>
      <c r="Q249" s="135">
        <v>2899.65</v>
      </c>
      <c r="R249" s="187">
        <v>438</v>
      </c>
      <c r="S249" s="56"/>
      <c r="T249" s="56"/>
      <c r="U249" s="56"/>
      <c r="V249" s="56"/>
      <c r="W249" s="56"/>
      <c r="X249" s="56"/>
      <c r="Y249" s="56"/>
      <c r="Z249" s="56"/>
      <c r="AA249" s="56"/>
    </row>
    <row r="250" spans="1:27" ht="30" hidden="1" customHeight="1" x14ac:dyDescent="0.25">
      <c r="A250" s="60"/>
      <c r="B250" s="51"/>
      <c r="C250" s="51"/>
      <c r="D250" s="51"/>
      <c r="E250" s="63" t="s">
        <v>454</v>
      </c>
      <c r="F250" s="422">
        <v>2017</v>
      </c>
      <c r="G250" s="135" t="s">
        <v>1221</v>
      </c>
      <c r="H250" s="422"/>
      <c r="I250" s="135" t="s">
        <v>460</v>
      </c>
      <c r="J250" s="135" t="s">
        <v>963</v>
      </c>
      <c r="K250" s="135" t="s">
        <v>461</v>
      </c>
      <c r="L250" s="135" t="s">
        <v>253</v>
      </c>
      <c r="M250" s="135" t="s">
        <v>258</v>
      </c>
      <c r="N250" s="135" t="s">
        <v>964</v>
      </c>
      <c r="O250" s="135" t="s">
        <v>672</v>
      </c>
      <c r="P250" s="135" t="s">
        <v>459</v>
      </c>
      <c r="Q250" s="135">
        <v>1776.54</v>
      </c>
      <c r="R250" s="187">
        <v>437</v>
      </c>
      <c r="S250" s="56"/>
      <c r="T250" s="56"/>
      <c r="U250" s="56"/>
      <c r="V250" s="56"/>
      <c r="W250" s="56"/>
      <c r="X250" s="56"/>
      <c r="Y250" s="56"/>
      <c r="Z250" s="56"/>
      <c r="AA250" s="56"/>
    </row>
    <row r="251" spans="1:27" ht="30" hidden="1" customHeight="1" x14ac:dyDescent="0.25">
      <c r="A251" s="60"/>
      <c r="B251" s="51"/>
      <c r="C251" s="51"/>
      <c r="D251" s="51"/>
      <c r="E251" s="63" t="s">
        <v>454</v>
      </c>
      <c r="F251" s="422">
        <v>2017</v>
      </c>
      <c r="G251" s="135" t="s">
        <v>1221</v>
      </c>
      <c r="H251" s="422"/>
      <c r="I251" s="135" t="s">
        <v>460</v>
      </c>
      <c r="J251" s="135" t="s">
        <v>966</v>
      </c>
      <c r="K251" s="135" t="s">
        <v>469</v>
      </c>
      <c r="L251" s="135" t="s">
        <v>85</v>
      </c>
      <c r="M251" s="135" t="s">
        <v>85</v>
      </c>
      <c r="N251" s="135" t="s">
        <v>964</v>
      </c>
      <c r="O251" s="135" t="s">
        <v>289</v>
      </c>
      <c r="P251" s="135" t="s">
        <v>459</v>
      </c>
      <c r="Q251" s="135">
        <v>3497.48</v>
      </c>
      <c r="R251" s="187">
        <v>436</v>
      </c>
      <c r="S251" s="56"/>
      <c r="T251" s="56"/>
      <c r="U251" s="56"/>
      <c r="V251" s="56"/>
      <c r="W251" s="56"/>
      <c r="X251" s="56"/>
      <c r="Y251" s="56"/>
      <c r="Z251" s="56"/>
      <c r="AA251" s="56"/>
    </row>
    <row r="252" spans="1:27" ht="30" hidden="1" customHeight="1" x14ac:dyDescent="0.25">
      <c r="A252" s="60"/>
      <c r="B252" s="51"/>
      <c r="C252" s="51"/>
      <c r="D252" s="51"/>
      <c r="E252" s="63" t="s">
        <v>454</v>
      </c>
      <c r="F252" s="422">
        <v>2017</v>
      </c>
      <c r="G252" s="135" t="s">
        <v>1221</v>
      </c>
      <c r="H252" s="422"/>
      <c r="I252" s="135" t="s">
        <v>460</v>
      </c>
      <c r="J252" s="135" t="s">
        <v>966</v>
      </c>
      <c r="K252" s="135" t="s">
        <v>562</v>
      </c>
      <c r="L252" s="135" t="s">
        <v>108</v>
      </c>
      <c r="M252" s="135" t="s">
        <v>109</v>
      </c>
      <c r="N252" s="135" t="s">
        <v>964</v>
      </c>
      <c r="O252" s="135" t="s">
        <v>673</v>
      </c>
      <c r="P252" s="135" t="s">
        <v>459</v>
      </c>
      <c r="Q252" s="135">
        <v>1353.67</v>
      </c>
      <c r="R252" s="187">
        <v>435</v>
      </c>
      <c r="S252" s="56"/>
      <c r="T252" s="56"/>
      <c r="U252" s="56"/>
      <c r="V252" s="56"/>
      <c r="W252" s="56"/>
      <c r="X252" s="56"/>
      <c r="Y252" s="56"/>
      <c r="Z252" s="56"/>
      <c r="AA252" s="56"/>
    </row>
    <row r="253" spans="1:27" ht="30" hidden="1" customHeight="1" x14ac:dyDescent="0.25">
      <c r="A253" s="60"/>
      <c r="B253" s="51"/>
      <c r="C253" s="51"/>
      <c r="D253" s="51"/>
      <c r="E253" s="63" t="s">
        <v>452</v>
      </c>
      <c r="F253" s="422">
        <v>2017</v>
      </c>
      <c r="G253" s="135" t="s">
        <v>1221</v>
      </c>
      <c r="H253" s="422"/>
      <c r="I253" s="135" t="s">
        <v>460</v>
      </c>
      <c r="J253" s="135" t="s">
        <v>963</v>
      </c>
      <c r="K253" s="135" t="s">
        <v>474</v>
      </c>
      <c r="L253" s="135" t="s">
        <v>95</v>
      </c>
      <c r="M253" s="135" t="s">
        <v>226</v>
      </c>
      <c r="N253" s="135" t="s">
        <v>965</v>
      </c>
      <c r="O253" s="135" t="s">
        <v>596</v>
      </c>
      <c r="P253" s="135" t="s">
        <v>459</v>
      </c>
      <c r="Q253" s="135">
        <v>238.61</v>
      </c>
      <c r="R253" s="187">
        <v>435</v>
      </c>
      <c r="S253" s="56"/>
      <c r="T253" s="56"/>
      <c r="U253" s="56"/>
      <c r="V253" s="56"/>
      <c r="W253" s="56"/>
      <c r="X253" s="56"/>
      <c r="Y253" s="56"/>
      <c r="Z253" s="56"/>
      <c r="AA253" s="56"/>
    </row>
    <row r="254" spans="1:27" ht="30" hidden="1" customHeight="1" x14ac:dyDescent="0.25">
      <c r="A254" s="60"/>
      <c r="B254" s="51"/>
      <c r="C254" s="51"/>
      <c r="D254" s="51"/>
      <c r="E254" s="63" t="s">
        <v>451</v>
      </c>
      <c r="F254" s="422">
        <v>2017</v>
      </c>
      <c r="G254" s="135" t="s">
        <v>1221</v>
      </c>
      <c r="H254" s="422"/>
      <c r="I254" s="135" t="s">
        <v>460</v>
      </c>
      <c r="J254" s="135" t="s">
        <v>966</v>
      </c>
      <c r="K254" s="135" t="s">
        <v>562</v>
      </c>
      <c r="L254" s="135" t="s">
        <v>108</v>
      </c>
      <c r="M254" s="135" t="s">
        <v>109</v>
      </c>
      <c r="N254" s="135" t="s">
        <v>964</v>
      </c>
      <c r="O254" s="135" t="s">
        <v>563</v>
      </c>
      <c r="P254" s="135" t="s">
        <v>459</v>
      </c>
      <c r="Q254" s="135">
        <v>489.77</v>
      </c>
      <c r="R254" s="187">
        <v>433</v>
      </c>
      <c r="S254" s="56"/>
      <c r="T254" s="56"/>
      <c r="U254" s="56"/>
      <c r="V254" s="56"/>
      <c r="W254" s="56"/>
      <c r="X254" s="56"/>
      <c r="Y254" s="56"/>
      <c r="Z254" s="56"/>
      <c r="AA254" s="56"/>
    </row>
    <row r="255" spans="1:27" ht="30" hidden="1" customHeight="1" x14ac:dyDescent="0.25">
      <c r="A255" s="60"/>
      <c r="B255" s="51"/>
      <c r="C255" s="51"/>
      <c r="D255" s="51"/>
      <c r="E255" s="63" t="s">
        <v>452</v>
      </c>
      <c r="F255" s="422">
        <v>2017</v>
      </c>
      <c r="G255" s="135" t="s">
        <v>1221</v>
      </c>
      <c r="H255" s="422"/>
      <c r="I255" s="135" t="s">
        <v>460</v>
      </c>
      <c r="J255" s="135" t="s">
        <v>966</v>
      </c>
      <c r="K255" s="135" t="s">
        <v>469</v>
      </c>
      <c r="L255" s="135" t="s">
        <v>85</v>
      </c>
      <c r="M255" s="135" t="s">
        <v>674</v>
      </c>
      <c r="N255" s="135" t="s">
        <v>965</v>
      </c>
      <c r="O255" s="135" t="s">
        <v>675</v>
      </c>
      <c r="P255" s="135" t="s">
        <v>459</v>
      </c>
      <c r="Q255" s="135">
        <v>262.24</v>
      </c>
      <c r="R255" s="187">
        <v>433</v>
      </c>
      <c r="S255" s="56"/>
      <c r="T255" s="56"/>
      <c r="U255" s="56"/>
      <c r="V255" s="56"/>
      <c r="W255" s="56"/>
      <c r="X255" s="56"/>
      <c r="Y255" s="56"/>
      <c r="Z255" s="56"/>
      <c r="AA255" s="56"/>
    </row>
    <row r="256" spans="1:27" ht="30" hidden="1" customHeight="1" x14ac:dyDescent="0.25">
      <c r="A256" s="60"/>
      <c r="B256" s="51"/>
      <c r="C256" s="51"/>
      <c r="D256" s="51"/>
      <c r="E256" s="63" t="s">
        <v>452</v>
      </c>
      <c r="F256" s="422">
        <v>2017</v>
      </c>
      <c r="G256" s="135" t="s">
        <v>1221</v>
      </c>
      <c r="H256" s="422"/>
      <c r="I256" s="135" t="s">
        <v>460</v>
      </c>
      <c r="J256" s="135" t="s">
        <v>963</v>
      </c>
      <c r="K256" s="135" t="s">
        <v>465</v>
      </c>
      <c r="L256" s="135" t="s">
        <v>106</v>
      </c>
      <c r="M256" s="135" t="s">
        <v>276</v>
      </c>
      <c r="N256" s="135" t="s">
        <v>965</v>
      </c>
      <c r="O256" s="135" t="s">
        <v>277</v>
      </c>
      <c r="P256" s="135" t="s">
        <v>459</v>
      </c>
      <c r="Q256" s="135">
        <v>197.68</v>
      </c>
      <c r="R256" s="187">
        <v>431</v>
      </c>
      <c r="S256" s="56"/>
      <c r="T256" s="56"/>
      <c r="U256" s="56"/>
      <c r="V256" s="56"/>
      <c r="W256" s="56"/>
      <c r="X256" s="56"/>
      <c r="Y256" s="56"/>
      <c r="Z256" s="56"/>
      <c r="AA256" s="56"/>
    </row>
    <row r="257" spans="1:27" ht="30" hidden="1" customHeight="1" x14ac:dyDescent="0.25">
      <c r="A257" s="60"/>
      <c r="B257" s="51"/>
      <c r="C257" s="51"/>
      <c r="D257" s="51"/>
      <c r="E257" s="63" t="s">
        <v>454</v>
      </c>
      <c r="F257" s="422">
        <v>2017</v>
      </c>
      <c r="G257" s="135" t="s">
        <v>1221</v>
      </c>
      <c r="H257" s="422"/>
      <c r="I257" s="135" t="s">
        <v>460</v>
      </c>
      <c r="J257" s="135" t="s">
        <v>967</v>
      </c>
      <c r="K257" s="135" t="s">
        <v>488</v>
      </c>
      <c r="L257" s="135" t="s">
        <v>135</v>
      </c>
      <c r="M257" s="135" t="s">
        <v>136</v>
      </c>
      <c r="N257" s="135" t="s">
        <v>964</v>
      </c>
      <c r="O257" s="135" t="s">
        <v>676</v>
      </c>
      <c r="P257" s="135" t="s">
        <v>459</v>
      </c>
      <c r="Q257" s="135">
        <v>1621.71</v>
      </c>
      <c r="R257" s="187">
        <v>430</v>
      </c>
      <c r="S257" s="56"/>
      <c r="T257" s="56"/>
      <c r="U257" s="56"/>
      <c r="V257" s="56"/>
      <c r="W257" s="56"/>
      <c r="X257" s="56"/>
      <c r="Y257" s="56"/>
      <c r="Z257" s="56"/>
      <c r="AA257" s="56"/>
    </row>
    <row r="258" spans="1:27" ht="30" hidden="1" customHeight="1" x14ac:dyDescent="0.25">
      <c r="A258" s="60"/>
      <c r="B258" s="51"/>
      <c r="C258" s="51"/>
      <c r="D258" s="51"/>
      <c r="E258" s="63" t="s">
        <v>452</v>
      </c>
      <c r="F258" s="422">
        <v>2017</v>
      </c>
      <c r="G258" s="135" t="s">
        <v>1222</v>
      </c>
      <c r="H258" s="422"/>
      <c r="I258" s="135" t="s">
        <v>460</v>
      </c>
      <c r="J258" s="135" t="s">
        <v>966</v>
      </c>
      <c r="K258" s="135" t="s">
        <v>469</v>
      </c>
      <c r="L258" s="135" t="s">
        <v>85</v>
      </c>
      <c r="M258" s="135" t="s">
        <v>85</v>
      </c>
      <c r="N258" s="135" t="s">
        <v>964</v>
      </c>
      <c r="O258" s="135" t="s">
        <v>677</v>
      </c>
      <c r="P258" s="135" t="s">
        <v>459</v>
      </c>
      <c r="Q258" s="135">
        <v>206.93</v>
      </c>
      <c r="R258" s="187">
        <v>429</v>
      </c>
      <c r="S258" s="56"/>
      <c r="T258" s="56"/>
      <c r="U258" s="56"/>
      <c r="V258" s="56"/>
      <c r="W258" s="56"/>
      <c r="X258" s="56"/>
      <c r="Y258" s="56"/>
      <c r="Z258" s="56"/>
      <c r="AA258" s="56"/>
    </row>
    <row r="259" spans="1:27" ht="30" hidden="1" customHeight="1" x14ac:dyDescent="0.25">
      <c r="A259" s="60"/>
      <c r="B259" s="51"/>
      <c r="C259" s="51"/>
      <c r="D259" s="51"/>
      <c r="E259" s="63" t="s">
        <v>454</v>
      </c>
      <c r="F259" s="422">
        <v>2017</v>
      </c>
      <c r="G259" s="135" t="s">
        <v>1222</v>
      </c>
      <c r="H259" s="422"/>
      <c r="I259" s="135" t="s">
        <v>460</v>
      </c>
      <c r="J259" s="135" t="s">
        <v>967</v>
      </c>
      <c r="K259" s="135" t="s">
        <v>485</v>
      </c>
      <c r="L259" s="135" t="s">
        <v>167</v>
      </c>
      <c r="M259" s="135" t="s">
        <v>169</v>
      </c>
      <c r="N259" s="135" t="s">
        <v>964</v>
      </c>
      <c r="O259" s="135" t="s">
        <v>678</v>
      </c>
      <c r="P259" s="135" t="s">
        <v>459</v>
      </c>
      <c r="Q259" s="135">
        <v>1812.08</v>
      </c>
      <c r="R259" s="187">
        <v>428</v>
      </c>
      <c r="S259" s="56"/>
      <c r="T259" s="56"/>
      <c r="U259" s="56"/>
      <c r="V259" s="56"/>
      <c r="W259" s="56"/>
      <c r="X259" s="56"/>
      <c r="Y259" s="56"/>
      <c r="Z259" s="56"/>
      <c r="AA259" s="56"/>
    </row>
    <row r="260" spans="1:27" ht="30" hidden="1" customHeight="1" x14ac:dyDescent="0.25">
      <c r="A260" s="60"/>
      <c r="B260" s="51"/>
      <c r="C260" s="51"/>
      <c r="D260" s="51"/>
      <c r="E260" s="63" t="s">
        <v>454</v>
      </c>
      <c r="F260" s="422">
        <v>2017</v>
      </c>
      <c r="G260" s="135" t="s">
        <v>1222</v>
      </c>
      <c r="H260" s="422"/>
      <c r="I260" s="135" t="s">
        <v>460</v>
      </c>
      <c r="J260" s="135" t="s">
        <v>966</v>
      </c>
      <c r="K260" s="135" t="s">
        <v>562</v>
      </c>
      <c r="L260" s="135" t="s">
        <v>108</v>
      </c>
      <c r="M260" s="135" t="s">
        <v>109</v>
      </c>
      <c r="N260" s="135" t="s">
        <v>964</v>
      </c>
      <c r="O260" s="135" t="s">
        <v>679</v>
      </c>
      <c r="P260" s="135" t="s">
        <v>459</v>
      </c>
      <c r="Q260" s="135">
        <v>2338.12</v>
      </c>
      <c r="R260" s="187">
        <v>428</v>
      </c>
      <c r="S260" s="56"/>
      <c r="T260" s="56"/>
      <c r="U260" s="56"/>
      <c r="V260" s="56"/>
      <c r="W260" s="56"/>
      <c r="X260" s="56"/>
      <c r="Y260" s="56"/>
      <c r="Z260" s="56"/>
      <c r="AA260" s="56"/>
    </row>
    <row r="261" spans="1:27" ht="30" hidden="1" customHeight="1" x14ac:dyDescent="0.25">
      <c r="A261" s="60"/>
      <c r="B261" s="51"/>
      <c r="C261" s="51"/>
      <c r="D261" s="51"/>
      <c r="E261" s="63" t="s">
        <v>452</v>
      </c>
      <c r="F261" s="422">
        <v>2017</v>
      </c>
      <c r="G261" s="135" t="s">
        <v>1222</v>
      </c>
      <c r="H261" s="422"/>
      <c r="I261" s="135" t="s">
        <v>460</v>
      </c>
      <c r="J261" s="135" t="s">
        <v>963</v>
      </c>
      <c r="K261" s="135" t="s">
        <v>461</v>
      </c>
      <c r="L261" s="135" t="s">
        <v>253</v>
      </c>
      <c r="M261" s="135" t="s">
        <v>262</v>
      </c>
      <c r="N261" s="135" t="s">
        <v>965</v>
      </c>
      <c r="O261" s="135" t="s">
        <v>263</v>
      </c>
      <c r="P261" s="135" t="s">
        <v>459</v>
      </c>
      <c r="Q261" s="135">
        <v>182.27</v>
      </c>
      <c r="R261" s="187">
        <v>428</v>
      </c>
      <c r="S261" s="56"/>
      <c r="T261" s="56"/>
      <c r="U261" s="56"/>
      <c r="V261" s="56"/>
      <c r="W261" s="56"/>
      <c r="X261" s="56"/>
      <c r="Y261" s="56"/>
      <c r="Z261" s="56"/>
      <c r="AA261" s="56"/>
    </row>
    <row r="262" spans="1:27" ht="30" hidden="1" customHeight="1" x14ac:dyDescent="0.25">
      <c r="A262" s="60"/>
      <c r="B262" s="51"/>
      <c r="C262" s="51"/>
      <c r="D262" s="51"/>
      <c r="E262" s="63" t="s">
        <v>452</v>
      </c>
      <c r="F262" s="422">
        <v>2017</v>
      </c>
      <c r="G262" s="135" t="s">
        <v>1222</v>
      </c>
      <c r="H262" s="422"/>
      <c r="I262" s="135" t="s">
        <v>460</v>
      </c>
      <c r="J262" s="135" t="s">
        <v>966</v>
      </c>
      <c r="K262" s="135" t="s">
        <v>469</v>
      </c>
      <c r="L262" s="135" t="s">
        <v>85</v>
      </c>
      <c r="M262" s="135" t="s">
        <v>85</v>
      </c>
      <c r="N262" s="135" t="s">
        <v>964</v>
      </c>
      <c r="O262" s="135" t="s">
        <v>680</v>
      </c>
      <c r="P262" s="135" t="s">
        <v>459</v>
      </c>
      <c r="Q262" s="135">
        <v>267.13</v>
      </c>
      <c r="R262" s="187">
        <v>425</v>
      </c>
      <c r="S262" s="56"/>
      <c r="T262" s="56"/>
      <c r="U262" s="56"/>
      <c r="V262" s="56"/>
      <c r="W262" s="56"/>
      <c r="X262" s="56"/>
      <c r="Y262" s="56"/>
      <c r="Z262" s="56"/>
      <c r="AA262" s="56"/>
    </row>
    <row r="263" spans="1:27" ht="30" hidden="1" customHeight="1" x14ac:dyDescent="0.25">
      <c r="A263" s="60"/>
      <c r="B263" s="51"/>
      <c r="C263" s="51"/>
      <c r="D263" s="51"/>
      <c r="E263" s="63" t="s">
        <v>454</v>
      </c>
      <c r="F263" s="422">
        <v>2017</v>
      </c>
      <c r="G263" s="135" t="s">
        <v>1222</v>
      </c>
      <c r="H263" s="422"/>
      <c r="I263" s="135" t="s">
        <v>460</v>
      </c>
      <c r="J263" s="135" t="s">
        <v>963</v>
      </c>
      <c r="K263" s="135" t="s">
        <v>461</v>
      </c>
      <c r="L263" s="135" t="s">
        <v>253</v>
      </c>
      <c r="M263" s="135" t="s">
        <v>681</v>
      </c>
      <c r="N263" s="135" t="s">
        <v>965</v>
      </c>
      <c r="O263" s="135" t="s">
        <v>682</v>
      </c>
      <c r="P263" s="135" t="s">
        <v>464</v>
      </c>
      <c r="Q263" s="135">
        <v>1834</v>
      </c>
      <c r="R263" s="187">
        <v>424</v>
      </c>
      <c r="S263" s="56"/>
      <c r="T263" s="56"/>
      <c r="U263" s="56"/>
      <c r="V263" s="56"/>
      <c r="W263" s="56"/>
      <c r="X263" s="56"/>
      <c r="Y263" s="56"/>
      <c r="Z263" s="56"/>
      <c r="AA263" s="56"/>
    </row>
    <row r="264" spans="1:27" ht="30" hidden="1" customHeight="1" x14ac:dyDescent="0.25">
      <c r="A264" s="60"/>
      <c r="B264" s="51"/>
      <c r="C264" s="51"/>
      <c r="D264" s="51"/>
      <c r="E264" s="63" t="s">
        <v>454</v>
      </c>
      <c r="F264" s="422">
        <v>2017</v>
      </c>
      <c r="G264" s="135" t="s">
        <v>1222</v>
      </c>
      <c r="H264" s="422"/>
      <c r="I264" s="135" t="s">
        <v>455</v>
      </c>
      <c r="J264" s="135" t="s">
        <v>455</v>
      </c>
      <c r="K264" s="135" t="s">
        <v>456</v>
      </c>
      <c r="L264" s="135" t="s">
        <v>455</v>
      </c>
      <c r="M264" s="135" t="s">
        <v>457</v>
      </c>
      <c r="N264" s="135" t="s">
        <v>965</v>
      </c>
      <c r="O264" s="135" t="s">
        <v>683</v>
      </c>
      <c r="P264" s="135" t="s">
        <v>464</v>
      </c>
      <c r="Q264" s="135">
        <v>4288</v>
      </c>
      <c r="R264" s="187">
        <v>423</v>
      </c>
      <c r="S264" s="56"/>
      <c r="T264" s="56"/>
      <c r="U264" s="56"/>
      <c r="V264" s="56"/>
      <c r="W264" s="56"/>
      <c r="X264" s="56"/>
      <c r="Y264" s="56"/>
      <c r="Z264" s="56"/>
      <c r="AA264" s="56"/>
    </row>
    <row r="265" spans="1:27" ht="30" hidden="1" customHeight="1" x14ac:dyDescent="0.25">
      <c r="A265" s="60"/>
      <c r="B265" s="51"/>
      <c r="C265" s="51"/>
      <c r="D265" s="51"/>
      <c r="E265" s="63" t="s">
        <v>452</v>
      </c>
      <c r="F265" s="422">
        <v>2017</v>
      </c>
      <c r="G265" s="135" t="s">
        <v>1222</v>
      </c>
      <c r="H265" s="422"/>
      <c r="I265" s="135" t="s">
        <v>460</v>
      </c>
      <c r="J265" s="135" t="s">
        <v>963</v>
      </c>
      <c r="K265" s="135" t="s">
        <v>474</v>
      </c>
      <c r="L265" s="135" t="s">
        <v>95</v>
      </c>
      <c r="M265" s="135" t="s">
        <v>224</v>
      </c>
      <c r="N265" s="135" t="s">
        <v>965</v>
      </c>
      <c r="O265" s="135" t="s">
        <v>684</v>
      </c>
      <c r="P265" s="135" t="s">
        <v>459</v>
      </c>
      <c r="Q265" s="135">
        <v>277.17</v>
      </c>
      <c r="R265" s="187">
        <v>422</v>
      </c>
      <c r="S265" s="56"/>
      <c r="T265" s="56"/>
      <c r="U265" s="56"/>
      <c r="V265" s="56"/>
      <c r="W265" s="56"/>
      <c r="X265" s="56"/>
      <c r="Y265" s="56"/>
      <c r="Z265" s="56"/>
      <c r="AA265" s="56"/>
    </row>
    <row r="266" spans="1:27" ht="30" hidden="1" customHeight="1" x14ac:dyDescent="0.25">
      <c r="A266" s="60"/>
      <c r="B266" s="51"/>
      <c r="C266" s="51"/>
      <c r="D266" s="51"/>
      <c r="E266" s="63" t="s">
        <v>454</v>
      </c>
      <c r="F266" s="422">
        <v>2017</v>
      </c>
      <c r="G266" s="135" t="s">
        <v>1222</v>
      </c>
      <c r="H266" s="422"/>
      <c r="I266" s="135" t="s">
        <v>460</v>
      </c>
      <c r="J266" s="135" t="s">
        <v>963</v>
      </c>
      <c r="K266" s="135" t="s">
        <v>461</v>
      </c>
      <c r="L266" s="135" t="s">
        <v>253</v>
      </c>
      <c r="M266" s="135" t="s">
        <v>262</v>
      </c>
      <c r="N266" s="135" t="s">
        <v>965</v>
      </c>
      <c r="O266" s="135" t="s">
        <v>685</v>
      </c>
      <c r="P266" s="135" t="s">
        <v>459</v>
      </c>
      <c r="Q266" s="135">
        <v>2500.2599999999998</v>
      </c>
      <c r="R266" s="187">
        <v>421</v>
      </c>
      <c r="S266" s="56"/>
      <c r="T266" s="56"/>
      <c r="U266" s="56"/>
      <c r="V266" s="56"/>
      <c r="W266" s="56"/>
      <c r="X266" s="56"/>
      <c r="Y266" s="56"/>
      <c r="Z266" s="56"/>
      <c r="AA266" s="56"/>
    </row>
    <row r="267" spans="1:27" ht="30" hidden="1" customHeight="1" x14ac:dyDescent="0.25">
      <c r="A267" s="60"/>
      <c r="B267" s="51"/>
      <c r="C267" s="51"/>
      <c r="D267" s="51"/>
      <c r="E267" s="63" t="s">
        <v>452</v>
      </c>
      <c r="F267" s="422">
        <v>2017</v>
      </c>
      <c r="G267" s="135" t="s">
        <v>1222</v>
      </c>
      <c r="H267" s="422"/>
      <c r="I267" s="135" t="s">
        <v>460</v>
      </c>
      <c r="J267" s="135" t="s">
        <v>963</v>
      </c>
      <c r="K267" s="135" t="s">
        <v>461</v>
      </c>
      <c r="L267" s="135" t="s">
        <v>253</v>
      </c>
      <c r="M267" s="135" t="s">
        <v>686</v>
      </c>
      <c r="N267" s="135" t="s">
        <v>965</v>
      </c>
      <c r="O267" s="135" t="s">
        <v>687</v>
      </c>
      <c r="P267" s="135" t="s">
        <v>459</v>
      </c>
      <c r="Q267" s="135">
        <v>192.76</v>
      </c>
      <c r="R267" s="187">
        <v>420</v>
      </c>
      <c r="S267" s="56"/>
      <c r="T267" s="56"/>
      <c r="U267" s="56"/>
      <c r="V267" s="56"/>
      <c r="W267" s="56"/>
      <c r="X267" s="56"/>
      <c r="Y267" s="56"/>
      <c r="Z267" s="56"/>
      <c r="AA267" s="56"/>
    </row>
    <row r="268" spans="1:27" ht="30" hidden="1" customHeight="1" x14ac:dyDescent="0.25">
      <c r="A268" s="60"/>
      <c r="B268" s="51"/>
      <c r="C268" s="51"/>
      <c r="D268" s="51"/>
      <c r="E268" s="63" t="s">
        <v>454</v>
      </c>
      <c r="F268" s="422">
        <v>2017</v>
      </c>
      <c r="G268" s="135" t="s">
        <v>1222</v>
      </c>
      <c r="H268" s="422"/>
      <c r="I268" s="135" t="s">
        <v>460</v>
      </c>
      <c r="J268" s="135" t="s">
        <v>966</v>
      </c>
      <c r="K268" s="135" t="s">
        <v>469</v>
      </c>
      <c r="L268" s="135" t="s">
        <v>85</v>
      </c>
      <c r="M268" s="135" t="s">
        <v>85</v>
      </c>
      <c r="N268" s="135" t="s">
        <v>964</v>
      </c>
      <c r="O268" s="135" t="s">
        <v>688</v>
      </c>
      <c r="P268" s="135" t="s">
        <v>464</v>
      </c>
      <c r="Q268" s="135">
        <v>4587.5</v>
      </c>
      <c r="R268" s="187">
        <v>419</v>
      </c>
      <c r="S268" s="56"/>
      <c r="T268" s="56"/>
      <c r="U268" s="56"/>
      <c r="V268" s="56"/>
      <c r="W268" s="56"/>
      <c r="X268" s="56"/>
      <c r="Y268" s="56"/>
      <c r="Z268" s="56"/>
      <c r="AA268" s="56"/>
    </row>
    <row r="269" spans="1:27" ht="30" hidden="1" customHeight="1" x14ac:dyDescent="0.25">
      <c r="A269" s="60"/>
      <c r="B269" s="51"/>
      <c r="C269" s="51"/>
      <c r="D269" s="51"/>
      <c r="E269" s="63" t="s">
        <v>451</v>
      </c>
      <c r="F269" s="422">
        <v>2017</v>
      </c>
      <c r="G269" s="135" t="s">
        <v>1222</v>
      </c>
      <c r="H269" s="422"/>
      <c r="I269" s="135" t="s">
        <v>460</v>
      </c>
      <c r="J269" s="135" t="s">
        <v>966</v>
      </c>
      <c r="K269" s="135" t="s">
        <v>499</v>
      </c>
      <c r="L269" s="135" t="s">
        <v>88</v>
      </c>
      <c r="M269" s="135" t="s">
        <v>88</v>
      </c>
      <c r="N269" s="135" t="s">
        <v>964</v>
      </c>
      <c r="O269" s="135" t="s">
        <v>689</v>
      </c>
      <c r="P269" s="135" t="s">
        <v>459</v>
      </c>
      <c r="Q269" s="135">
        <v>558.96</v>
      </c>
      <c r="R269" s="187">
        <v>418</v>
      </c>
      <c r="S269" s="56"/>
      <c r="T269" s="56"/>
      <c r="U269" s="56"/>
      <c r="V269" s="56"/>
      <c r="W269" s="56"/>
      <c r="X269" s="56"/>
      <c r="Y269" s="56"/>
      <c r="Z269" s="56"/>
      <c r="AA269" s="56"/>
    </row>
    <row r="270" spans="1:27" ht="30" hidden="1" customHeight="1" x14ac:dyDescent="0.25">
      <c r="A270" s="60"/>
      <c r="B270" s="51"/>
      <c r="C270" s="51"/>
      <c r="D270" s="51"/>
      <c r="E270" s="63" t="s">
        <v>452</v>
      </c>
      <c r="F270" s="422">
        <v>2017</v>
      </c>
      <c r="G270" s="135" t="s">
        <v>1222</v>
      </c>
      <c r="H270" s="422"/>
      <c r="I270" s="135" t="s">
        <v>460</v>
      </c>
      <c r="J270" s="135" t="s">
        <v>966</v>
      </c>
      <c r="K270" s="135" t="s">
        <v>469</v>
      </c>
      <c r="L270" s="135" t="s">
        <v>85</v>
      </c>
      <c r="M270" s="135" t="s">
        <v>348</v>
      </c>
      <c r="N270" s="135" t="s">
        <v>965</v>
      </c>
      <c r="O270" s="135" t="s">
        <v>690</v>
      </c>
      <c r="P270" s="135" t="s">
        <v>459</v>
      </c>
      <c r="Q270" s="135">
        <v>251.72</v>
      </c>
      <c r="R270" s="187">
        <v>417</v>
      </c>
      <c r="S270" s="56"/>
      <c r="T270" s="56"/>
      <c r="U270" s="56"/>
      <c r="V270" s="56"/>
      <c r="W270" s="56"/>
      <c r="X270" s="56"/>
      <c r="Y270" s="56"/>
      <c r="Z270" s="56"/>
      <c r="AA270" s="56"/>
    </row>
    <row r="271" spans="1:27" ht="30" hidden="1" customHeight="1" x14ac:dyDescent="0.25">
      <c r="A271" s="60"/>
      <c r="B271" s="51"/>
      <c r="C271" s="51"/>
      <c r="D271" s="51"/>
      <c r="E271" s="63" t="s">
        <v>454</v>
      </c>
      <c r="F271" s="422">
        <v>2017</v>
      </c>
      <c r="G271" s="135" t="s">
        <v>1222</v>
      </c>
      <c r="H271" s="422"/>
      <c r="I271" s="135" t="s">
        <v>460</v>
      </c>
      <c r="J271" s="135" t="s">
        <v>971</v>
      </c>
      <c r="K271" s="135" t="s">
        <v>527</v>
      </c>
      <c r="L271" s="135" t="s">
        <v>194</v>
      </c>
      <c r="M271" s="135" t="s">
        <v>196</v>
      </c>
      <c r="N271" s="135" t="s">
        <v>964</v>
      </c>
      <c r="O271" s="135" t="s">
        <v>198</v>
      </c>
      <c r="P271" s="135" t="s">
        <v>459</v>
      </c>
      <c r="Q271" s="135">
        <v>2648.15</v>
      </c>
      <c r="R271" s="187">
        <v>416</v>
      </c>
      <c r="S271" s="56"/>
      <c r="T271" s="56"/>
      <c r="U271" s="56"/>
      <c r="V271" s="56"/>
      <c r="W271" s="56"/>
      <c r="X271" s="56"/>
      <c r="Y271" s="56"/>
      <c r="Z271" s="56"/>
      <c r="AA271" s="56"/>
    </row>
    <row r="272" spans="1:27" ht="30" hidden="1" customHeight="1" x14ac:dyDescent="0.25">
      <c r="A272" s="60"/>
      <c r="B272" s="51"/>
      <c r="C272" s="51"/>
      <c r="D272" s="51"/>
      <c r="E272" s="63" t="s">
        <v>451</v>
      </c>
      <c r="F272" s="422">
        <v>2017</v>
      </c>
      <c r="G272" s="135" t="s">
        <v>1222</v>
      </c>
      <c r="H272" s="422"/>
      <c r="I272" s="135" t="s">
        <v>460</v>
      </c>
      <c r="J272" s="135" t="s">
        <v>966</v>
      </c>
      <c r="K272" s="135" t="s">
        <v>469</v>
      </c>
      <c r="L272" s="135" t="s">
        <v>85</v>
      </c>
      <c r="M272" s="135" t="s">
        <v>85</v>
      </c>
      <c r="N272" s="135" t="s">
        <v>964</v>
      </c>
      <c r="O272" s="135" t="s">
        <v>691</v>
      </c>
      <c r="P272" s="135" t="s">
        <v>459</v>
      </c>
      <c r="Q272" s="135">
        <v>394.82</v>
      </c>
      <c r="R272" s="187">
        <v>415</v>
      </c>
      <c r="S272" s="56"/>
      <c r="T272" s="56"/>
      <c r="U272" s="56"/>
      <c r="V272" s="56"/>
      <c r="W272" s="56"/>
      <c r="X272" s="56"/>
      <c r="Y272" s="56"/>
      <c r="Z272" s="56"/>
      <c r="AA272" s="56"/>
    </row>
    <row r="273" spans="1:27" ht="30" hidden="1" customHeight="1" x14ac:dyDescent="0.25">
      <c r="A273" s="60"/>
      <c r="B273" s="51"/>
      <c r="C273" s="51"/>
      <c r="D273" s="51"/>
      <c r="E273" s="63" t="s">
        <v>454</v>
      </c>
      <c r="F273" s="422">
        <v>2017</v>
      </c>
      <c r="G273" s="135" t="s">
        <v>1222</v>
      </c>
      <c r="H273" s="422"/>
      <c r="I273" s="135" t="s">
        <v>460</v>
      </c>
      <c r="J273" s="135" t="s">
        <v>963</v>
      </c>
      <c r="K273" s="135" t="s">
        <v>461</v>
      </c>
      <c r="L273" s="135" t="s">
        <v>253</v>
      </c>
      <c r="M273" s="135" t="s">
        <v>692</v>
      </c>
      <c r="N273" s="135" t="s">
        <v>965</v>
      </c>
      <c r="O273" s="135" t="s">
        <v>693</v>
      </c>
      <c r="P273" s="135" t="s">
        <v>464</v>
      </c>
      <c r="Q273" s="135">
        <v>1756</v>
      </c>
      <c r="R273" s="187">
        <v>414</v>
      </c>
      <c r="S273" s="56"/>
      <c r="T273" s="56"/>
      <c r="U273" s="56"/>
      <c r="V273" s="56"/>
      <c r="W273" s="56"/>
      <c r="X273" s="56"/>
      <c r="Y273" s="56"/>
      <c r="Z273" s="56"/>
      <c r="AA273" s="56"/>
    </row>
    <row r="274" spans="1:27" ht="30" hidden="1" customHeight="1" x14ac:dyDescent="0.25">
      <c r="A274" s="60"/>
      <c r="B274" s="51"/>
      <c r="C274" s="51"/>
      <c r="D274" s="51"/>
      <c r="E274" s="63" t="s">
        <v>451</v>
      </c>
      <c r="F274" s="422">
        <v>2017</v>
      </c>
      <c r="G274" s="135" t="s">
        <v>1222</v>
      </c>
      <c r="H274" s="422"/>
      <c r="I274" s="135" t="s">
        <v>460</v>
      </c>
      <c r="J274" s="135" t="s">
        <v>967</v>
      </c>
      <c r="K274" s="135" t="s">
        <v>482</v>
      </c>
      <c r="L274" s="135" t="s">
        <v>114</v>
      </c>
      <c r="M274" s="135" t="s">
        <v>115</v>
      </c>
      <c r="N274" s="135" t="s">
        <v>964</v>
      </c>
      <c r="O274" s="135" t="s">
        <v>116</v>
      </c>
      <c r="P274" s="135" t="s">
        <v>459</v>
      </c>
      <c r="Q274" s="135">
        <v>602.69000000000005</v>
      </c>
      <c r="R274" s="187">
        <v>413</v>
      </c>
      <c r="S274" s="56"/>
      <c r="T274" s="56"/>
      <c r="U274" s="56"/>
      <c r="V274" s="56"/>
      <c r="W274" s="56"/>
      <c r="X274" s="56"/>
      <c r="Y274" s="56"/>
      <c r="Z274" s="56"/>
      <c r="AA274" s="56"/>
    </row>
    <row r="275" spans="1:27" ht="30" hidden="1" customHeight="1" x14ac:dyDescent="0.25">
      <c r="A275" s="60"/>
      <c r="B275" s="51"/>
      <c r="C275" s="51"/>
      <c r="D275" s="51"/>
      <c r="E275" s="63" t="s">
        <v>454</v>
      </c>
      <c r="F275" s="422">
        <v>2017</v>
      </c>
      <c r="G275" s="135" t="s">
        <v>1223</v>
      </c>
      <c r="H275" s="422"/>
      <c r="I275" s="135" t="s">
        <v>460</v>
      </c>
      <c r="J275" s="135" t="s">
        <v>967</v>
      </c>
      <c r="K275" s="135" t="s">
        <v>655</v>
      </c>
      <c r="L275" s="135" t="s">
        <v>216</v>
      </c>
      <c r="M275" s="135" t="s">
        <v>219</v>
      </c>
      <c r="N275" s="135" t="s">
        <v>964</v>
      </c>
      <c r="O275" s="135" t="s">
        <v>694</v>
      </c>
      <c r="P275" s="135" t="s">
        <v>464</v>
      </c>
      <c r="Q275" s="135">
        <v>3313.2799999999997</v>
      </c>
      <c r="R275" s="187">
        <v>412</v>
      </c>
      <c r="S275" s="56"/>
      <c r="T275" s="56"/>
      <c r="U275" s="56"/>
      <c r="V275" s="56"/>
      <c r="W275" s="56"/>
      <c r="X275" s="56"/>
      <c r="Y275" s="56"/>
      <c r="Z275" s="56"/>
      <c r="AA275" s="56"/>
    </row>
    <row r="276" spans="1:27" ht="30" hidden="1" customHeight="1" x14ac:dyDescent="0.25">
      <c r="A276" s="60"/>
      <c r="B276" s="51"/>
      <c r="C276" s="51"/>
      <c r="D276" s="51"/>
      <c r="E276" s="63" t="s">
        <v>454</v>
      </c>
      <c r="F276" s="422">
        <v>2017</v>
      </c>
      <c r="G276" s="135" t="s">
        <v>1223</v>
      </c>
      <c r="H276" s="422"/>
      <c r="I276" s="135" t="s">
        <v>460</v>
      </c>
      <c r="J276" s="135" t="s">
        <v>966</v>
      </c>
      <c r="K276" s="135" t="s">
        <v>469</v>
      </c>
      <c r="L276" s="135" t="s">
        <v>85</v>
      </c>
      <c r="M276" s="135" t="s">
        <v>85</v>
      </c>
      <c r="N276" s="135" t="s">
        <v>964</v>
      </c>
      <c r="O276" s="135" t="s">
        <v>695</v>
      </c>
      <c r="P276" s="135" t="s">
        <v>459</v>
      </c>
      <c r="Q276" s="135">
        <v>1767.52</v>
      </c>
      <c r="R276" s="187">
        <v>412</v>
      </c>
      <c r="S276" s="56"/>
      <c r="T276" s="56"/>
      <c r="U276" s="56"/>
      <c r="V276" s="56"/>
      <c r="W276" s="56"/>
      <c r="X276" s="56"/>
      <c r="Y276" s="56"/>
      <c r="Z276" s="56"/>
      <c r="AA276" s="56"/>
    </row>
    <row r="277" spans="1:27" ht="30" hidden="1" customHeight="1" x14ac:dyDescent="0.25">
      <c r="A277" s="60"/>
      <c r="B277" s="51"/>
      <c r="C277" s="51"/>
      <c r="D277" s="51"/>
      <c r="E277" s="63" t="s">
        <v>452</v>
      </c>
      <c r="F277" s="422">
        <v>2017</v>
      </c>
      <c r="G277" s="135" t="s">
        <v>1223</v>
      </c>
      <c r="H277" s="422"/>
      <c r="I277" s="135" t="s">
        <v>460</v>
      </c>
      <c r="J277" s="135" t="s">
        <v>966</v>
      </c>
      <c r="K277" s="135" t="s">
        <v>562</v>
      </c>
      <c r="L277" s="135" t="s">
        <v>108</v>
      </c>
      <c r="M277" s="135" t="s">
        <v>109</v>
      </c>
      <c r="N277" s="135" t="s">
        <v>964</v>
      </c>
      <c r="O277" s="135" t="s">
        <v>110</v>
      </c>
      <c r="P277" s="135" t="s">
        <v>459</v>
      </c>
      <c r="Q277" s="135">
        <v>275.74</v>
      </c>
      <c r="R277" s="187">
        <v>410</v>
      </c>
      <c r="S277" s="56"/>
      <c r="T277" s="56"/>
      <c r="U277" s="56"/>
      <c r="V277" s="56"/>
      <c r="W277" s="56"/>
      <c r="X277" s="56"/>
      <c r="Y277" s="56"/>
      <c r="Z277" s="56"/>
      <c r="AA277" s="56"/>
    </row>
    <row r="278" spans="1:27" ht="30" hidden="1" customHeight="1" x14ac:dyDescent="0.25">
      <c r="A278" s="60"/>
      <c r="B278" s="51"/>
      <c r="C278" s="51"/>
      <c r="D278" s="51"/>
      <c r="E278" s="63" t="s">
        <v>451</v>
      </c>
      <c r="F278" s="422">
        <v>2017</v>
      </c>
      <c r="G278" s="135" t="s">
        <v>1223</v>
      </c>
      <c r="H278" s="422"/>
      <c r="I278" s="135" t="s">
        <v>460</v>
      </c>
      <c r="J278" s="135" t="s">
        <v>967</v>
      </c>
      <c r="K278" s="135" t="s">
        <v>480</v>
      </c>
      <c r="L278" s="135" t="s">
        <v>102</v>
      </c>
      <c r="M278" s="135" t="s">
        <v>103</v>
      </c>
      <c r="N278" s="135" t="s">
        <v>964</v>
      </c>
      <c r="O278" s="135" t="s">
        <v>696</v>
      </c>
      <c r="P278" s="135" t="s">
        <v>459</v>
      </c>
      <c r="Q278" s="135">
        <v>786.24</v>
      </c>
      <c r="R278" s="187">
        <v>409</v>
      </c>
      <c r="S278" s="56"/>
      <c r="T278" s="56"/>
      <c r="U278" s="56"/>
      <c r="V278" s="56"/>
      <c r="W278" s="56"/>
      <c r="X278" s="56"/>
      <c r="Y278" s="56"/>
      <c r="Z278" s="56"/>
      <c r="AA278" s="56"/>
    </row>
    <row r="279" spans="1:27" ht="30" hidden="1" customHeight="1" x14ac:dyDescent="0.25">
      <c r="A279" s="60"/>
      <c r="B279" s="51"/>
      <c r="C279" s="51"/>
      <c r="D279" s="51"/>
      <c r="E279" s="63" t="s">
        <v>454</v>
      </c>
      <c r="F279" s="422">
        <v>2017</v>
      </c>
      <c r="G279" s="135" t="s">
        <v>1223</v>
      </c>
      <c r="H279" s="422"/>
      <c r="I279" s="135" t="s">
        <v>460</v>
      </c>
      <c r="J279" s="135" t="s">
        <v>967</v>
      </c>
      <c r="K279" s="135" t="s">
        <v>553</v>
      </c>
      <c r="L279" s="135" t="s">
        <v>82</v>
      </c>
      <c r="M279" s="135" t="s">
        <v>129</v>
      </c>
      <c r="N279" s="135" t="s">
        <v>965</v>
      </c>
      <c r="O279" s="135" t="s">
        <v>697</v>
      </c>
      <c r="P279" s="135" t="s">
        <v>459</v>
      </c>
      <c r="Q279" s="135">
        <v>2431.88</v>
      </c>
      <c r="R279" s="187">
        <v>408</v>
      </c>
      <c r="S279" s="56"/>
      <c r="T279" s="56"/>
      <c r="U279" s="56"/>
      <c r="V279" s="56"/>
      <c r="W279" s="56"/>
      <c r="X279" s="56"/>
      <c r="Y279" s="56"/>
      <c r="Z279" s="56"/>
      <c r="AA279" s="56"/>
    </row>
    <row r="280" spans="1:27" ht="30" hidden="1" customHeight="1" x14ac:dyDescent="0.25">
      <c r="A280" s="60"/>
      <c r="B280" s="51"/>
      <c r="C280" s="51"/>
      <c r="D280" s="51"/>
      <c r="E280" s="63" t="s">
        <v>454</v>
      </c>
      <c r="F280" s="422">
        <v>2017</v>
      </c>
      <c r="G280" s="135" t="s">
        <v>1223</v>
      </c>
      <c r="H280" s="422"/>
      <c r="I280" s="135" t="s">
        <v>460</v>
      </c>
      <c r="J280" s="135" t="s">
        <v>963</v>
      </c>
      <c r="K280" s="135" t="s">
        <v>461</v>
      </c>
      <c r="L280" s="135" t="s">
        <v>253</v>
      </c>
      <c r="M280" s="135" t="s">
        <v>698</v>
      </c>
      <c r="N280" s="135" t="s">
        <v>965</v>
      </c>
      <c r="O280" s="135" t="s">
        <v>699</v>
      </c>
      <c r="P280" s="135" t="s">
        <v>464</v>
      </c>
      <c r="Q280" s="135">
        <v>2010</v>
      </c>
      <c r="R280" s="187">
        <v>407</v>
      </c>
      <c r="S280" s="56"/>
      <c r="T280" s="56"/>
      <c r="U280" s="56"/>
      <c r="V280" s="56"/>
      <c r="W280" s="56"/>
      <c r="X280" s="56"/>
      <c r="Y280" s="56"/>
      <c r="Z280" s="56"/>
      <c r="AA280" s="56"/>
    </row>
    <row r="281" spans="1:27" ht="30" hidden="1" customHeight="1" x14ac:dyDescent="0.25">
      <c r="A281" s="60"/>
      <c r="B281" s="51"/>
      <c r="C281" s="51"/>
      <c r="D281" s="51"/>
      <c r="E281" s="63" t="s">
        <v>452</v>
      </c>
      <c r="F281" s="422">
        <v>2017</v>
      </c>
      <c r="G281" s="135" t="s">
        <v>1223</v>
      </c>
      <c r="H281" s="422"/>
      <c r="I281" s="135" t="s">
        <v>460</v>
      </c>
      <c r="J281" s="135" t="s">
        <v>963</v>
      </c>
      <c r="K281" s="135" t="s">
        <v>461</v>
      </c>
      <c r="L281" s="135" t="s">
        <v>253</v>
      </c>
      <c r="M281" s="135" t="s">
        <v>258</v>
      </c>
      <c r="N281" s="135" t="s">
        <v>964</v>
      </c>
      <c r="O281" s="135" t="s">
        <v>700</v>
      </c>
      <c r="P281" s="135" t="s">
        <v>459</v>
      </c>
      <c r="Q281" s="135">
        <v>233</v>
      </c>
      <c r="R281" s="187">
        <v>407</v>
      </c>
      <c r="S281" s="56"/>
      <c r="T281" s="56"/>
      <c r="U281" s="56"/>
      <c r="V281" s="56"/>
      <c r="W281" s="56"/>
      <c r="X281" s="56"/>
      <c r="Y281" s="56"/>
      <c r="Z281" s="56"/>
      <c r="AA281" s="56"/>
    </row>
    <row r="282" spans="1:27" ht="30" customHeight="1" x14ac:dyDescent="0.25">
      <c r="A282" s="60"/>
      <c r="B282" s="51"/>
      <c r="C282" s="51"/>
      <c r="D282" s="51"/>
      <c r="E282" s="63" t="s">
        <v>451</v>
      </c>
      <c r="F282" s="422">
        <v>2017</v>
      </c>
      <c r="G282" s="135" t="s">
        <v>1223</v>
      </c>
      <c r="H282" s="422">
        <v>2023</v>
      </c>
      <c r="I282" s="135" t="s">
        <v>460</v>
      </c>
      <c r="J282" s="135" t="s">
        <v>967</v>
      </c>
      <c r="K282" s="135" t="s">
        <v>486</v>
      </c>
      <c r="L282" s="135" t="s">
        <v>283</v>
      </c>
      <c r="M282" s="135" t="s">
        <v>587</v>
      </c>
      <c r="N282" s="135" t="s">
        <v>964</v>
      </c>
      <c r="O282" s="135" t="s">
        <v>1169</v>
      </c>
      <c r="P282" s="135" t="s">
        <v>459</v>
      </c>
      <c r="Q282" s="135">
        <v>547.05999999999995</v>
      </c>
      <c r="R282" s="187">
        <v>405</v>
      </c>
      <c r="S282" s="56"/>
      <c r="T282" s="56"/>
      <c r="U282" s="56"/>
      <c r="V282" s="56"/>
      <c r="W282" s="56"/>
      <c r="X282" s="56"/>
      <c r="Y282" s="56"/>
      <c r="Z282" s="56"/>
      <c r="AA282" s="56"/>
    </row>
    <row r="283" spans="1:27" ht="30" hidden="1" customHeight="1" x14ac:dyDescent="0.25">
      <c r="A283" s="60"/>
      <c r="B283" s="51"/>
      <c r="C283" s="51"/>
      <c r="D283" s="51"/>
      <c r="E283" s="63" t="s">
        <v>452</v>
      </c>
      <c r="F283" s="422">
        <v>2017</v>
      </c>
      <c r="G283" s="135" t="s">
        <v>1223</v>
      </c>
      <c r="H283" s="422"/>
      <c r="I283" s="135" t="s">
        <v>460</v>
      </c>
      <c r="J283" s="135" t="s">
        <v>966</v>
      </c>
      <c r="K283" s="135" t="s">
        <v>562</v>
      </c>
      <c r="L283" s="135" t="s">
        <v>108</v>
      </c>
      <c r="M283" s="135" t="s">
        <v>178</v>
      </c>
      <c r="N283" s="135" t="s">
        <v>965</v>
      </c>
      <c r="O283" s="135" t="s">
        <v>701</v>
      </c>
      <c r="P283" s="135" t="s">
        <v>459</v>
      </c>
      <c r="Q283" s="135">
        <v>179.72</v>
      </c>
      <c r="R283" s="187">
        <v>405</v>
      </c>
      <c r="S283" s="56"/>
      <c r="T283" s="56"/>
      <c r="U283" s="56"/>
      <c r="V283" s="56"/>
      <c r="W283" s="56"/>
      <c r="X283" s="56"/>
      <c r="Y283" s="56"/>
      <c r="Z283" s="56"/>
      <c r="AA283" s="56"/>
    </row>
    <row r="284" spans="1:27" ht="30" hidden="1" customHeight="1" x14ac:dyDescent="0.25">
      <c r="A284" s="60"/>
      <c r="B284" s="51"/>
      <c r="C284" s="51"/>
      <c r="D284" s="51"/>
      <c r="E284" s="63" t="s">
        <v>451</v>
      </c>
      <c r="F284" s="422">
        <v>2017</v>
      </c>
      <c r="G284" s="135" t="s">
        <v>1223</v>
      </c>
      <c r="H284" s="422"/>
      <c r="I284" s="135" t="s">
        <v>460</v>
      </c>
      <c r="J284" s="135" t="s">
        <v>966</v>
      </c>
      <c r="K284" s="135" t="s">
        <v>562</v>
      </c>
      <c r="L284" s="135" t="s">
        <v>108</v>
      </c>
      <c r="M284" s="135" t="s">
        <v>178</v>
      </c>
      <c r="N284" s="135" t="s">
        <v>965</v>
      </c>
      <c r="O284" s="135" t="s">
        <v>702</v>
      </c>
      <c r="P284" s="135" t="s">
        <v>459</v>
      </c>
      <c r="Q284" s="135">
        <v>519</v>
      </c>
      <c r="R284" s="187">
        <v>404</v>
      </c>
      <c r="S284" s="56"/>
      <c r="T284" s="56"/>
      <c r="U284" s="56"/>
      <c r="V284" s="56"/>
      <c r="W284" s="56"/>
      <c r="X284" s="56"/>
      <c r="Y284" s="56"/>
      <c r="Z284" s="56"/>
      <c r="AA284" s="56"/>
    </row>
    <row r="285" spans="1:27" ht="30" hidden="1" customHeight="1" x14ac:dyDescent="0.25">
      <c r="A285" s="60"/>
      <c r="B285" s="51"/>
      <c r="C285" s="51"/>
      <c r="D285" s="51"/>
      <c r="E285" s="63" t="s">
        <v>451</v>
      </c>
      <c r="F285" s="422">
        <v>2017</v>
      </c>
      <c r="G285" s="135" t="s">
        <v>1223</v>
      </c>
      <c r="H285" s="422"/>
      <c r="I285" s="135" t="s">
        <v>460</v>
      </c>
      <c r="J285" s="135" t="s">
        <v>966</v>
      </c>
      <c r="K285" s="135" t="s">
        <v>499</v>
      </c>
      <c r="L285" s="135" t="s">
        <v>88</v>
      </c>
      <c r="M285" s="135" t="s">
        <v>88</v>
      </c>
      <c r="N285" s="135" t="s">
        <v>964</v>
      </c>
      <c r="O285" s="135" t="s">
        <v>703</v>
      </c>
      <c r="P285" s="135" t="s">
        <v>459</v>
      </c>
      <c r="Q285" s="135">
        <v>461.23</v>
      </c>
      <c r="R285" s="187">
        <v>403</v>
      </c>
      <c r="S285" s="56"/>
      <c r="T285" s="56"/>
      <c r="U285" s="56"/>
      <c r="V285" s="56"/>
      <c r="W285" s="56"/>
      <c r="X285" s="56"/>
      <c r="Y285" s="56"/>
      <c r="Z285" s="56"/>
      <c r="AA285" s="56"/>
    </row>
    <row r="286" spans="1:27" ht="30" hidden="1" customHeight="1" x14ac:dyDescent="0.25">
      <c r="A286" s="60"/>
      <c r="B286" s="51"/>
      <c r="C286" s="51"/>
      <c r="D286" s="51"/>
      <c r="E286" s="63" t="s">
        <v>452</v>
      </c>
      <c r="F286" s="422">
        <v>2017</v>
      </c>
      <c r="G286" s="135" t="s">
        <v>1223</v>
      </c>
      <c r="H286" s="422"/>
      <c r="I286" s="135" t="s">
        <v>460</v>
      </c>
      <c r="J286" s="135" t="s">
        <v>963</v>
      </c>
      <c r="K286" s="135" t="s">
        <v>465</v>
      </c>
      <c r="L286" s="135" t="s">
        <v>106</v>
      </c>
      <c r="M286" s="135" t="s">
        <v>278</v>
      </c>
      <c r="N286" s="135" t="s">
        <v>965</v>
      </c>
      <c r="O286" s="135" t="s">
        <v>279</v>
      </c>
      <c r="P286" s="135" t="s">
        <v>459</v>
      </c>
      <c r="Q286" s="135">
        <v>209.16</v>
      </c>
      <c r="R286" s="187">
        <v>402</v>
      </c>
      <c r="S286" s="56"/>
      <c r="T286" s="56"/>
      <c r="U286" s="56"/>
      <c r="V286" s="56"/>
      <c r="W286" s="56"/>
      <c r="X286" s="56"/>
      <c r="Y286" s="56"/>
      <c r="Z286" s="56"/>
      <c r="AA286" s="56"/>
    </row>
    <row r="287" spans="1:27" ht="30" hidden="1" customHeight="1" x14ac:dyDescent="0.25">
      <c r="A287" s="60"/>
      <c r="B287" s="51"/>
      <c r="C287" s="51"/>
      <c r="D287" s="51"/>
      <c r="E287" s="63" t="s">
        <v>451</v>
      </c>
      <c r="F287" s="422">
        <v>2017</v>
      </c>
      <c r="G287" s="135" t="s">
        <v>1223</v>
      </c>
      <c r="H287" s="422"/>
      <c r="I287" s="135" t="s">
        <v>460</v>
      </c>
      <c r="J287" s="135" t="s">
        <v>963</v>
      </c>
      <c r="K287" s="135" t="s">
        <v>474</v>
      </c>
      <c r="L287" s="135" t="s">
        <v>95</v>
      </c>
      <c r="M287" s="135" t="s">
        <v>96</v>
      </c>
      <c r="N287" s="135" t="s">
        <v>964</v>
      </c>
      <c r="O287" s="135" t="s">
        <v>704</v>
      </c>
      <c r="P287" s="135" t="s">
        <v>459</v>
      </c>
      <c r="Q287" s="135">
        <v>451.45</v>
      </c>
      <c r="R287" s="187">
        <v>401</v>
      </c>
      <c r="S287" s="56"/>
      <c r="T287" s="56"/>
      <c r="U287" s="56"/>
      <c r="V287" s="56"/>
      <c r="W287" s="56"/>
      <c r="X287" s="56"/>
      <c r="Y287" s="56"/>
      <c r="Z287" s="56"/>
      <c r="AA287" s="56"/>
    </row>
    <row r="288" spans="1:27" ht="30" hidden="1" customHeight="1" x14ac:dyDescent="0.25">
      <c r="A288" s="60"/>
      <c r="B288" s="51"/>
      <c r="C288" s="51"/>
      <c r="D288" s="51"/>
      <c r="E288" s="63" t="s">
        <v>454</v>
      </c>
      <c r="F288" s="422">
        <v>2017</v>
      </c>
      <c r="G288" s="135" t="s">
        <v>1223</v>
      </c>
      <c r="H288" s="422"/>
      <c r="I288" s="135" t="s">
        <v>460</v>
      </c>
      <c r="J288" s="135" t="s">
        <v>966</v>
      </c>
      <c r="K288" s="135" t="s">
        <v>499</v>
      </c>
      <c r="L288" s="135" t="s">
        <v>88</v>
      </c>
      <c r="M288" s="135" t="s">
        <v>242</v>
      </c>
      <c r="N288" s="135" t="s">
        <v>965</v>
      </c>
      <c r="O288" s="135" t="s">
        <v>705</v>
      </c>
      <c r="P288" s="135" t="s">
        <v>459</v>
      </c>
      <c r="Q288" s="135">
        <v>1729.55</v>
      </c>
      <c r="R288" s="187">
        <v>400</v>
      </c>
      <c r="S288" s="56"/>
      <c r="T288" s="56"/>
      <c r="U288" s="56"/>
      <c r="V288" s="56"/>
      <c r="W288" s="56"/>
      <c r="X288" s="56"/>
      <c r="Y288" s="56"/>
      <c r="Z288" s="56"/>
      <c r="AA288" s="56"/>
    </row>
    <row r="289" spans="1:27" ht="30" hidden="1" customHeight="1" x14ac:dyDescent="0.25">
      <c r="A289" s="60"/>
      <c r="B289" s="51"/>
      <c r="C289" s="51"/>
      <c r="D289" s="51"/>
      <c r="E289" s="63" t="s">
        <v>451</v>
      </c>
      <c r="F289" s="422">
        <v>2017</v>
      </c>
      <c r="G289" s="135" t="s">
        <v>1223</v>
      </c>
      <c r="H289" s="422"/>
      <c r="I289" s="135" t="s">
        <v>460</v>
      </c>
      <c r="J289" s="135" t="s">
        <v>967</v>
      </c>
      <c r="K289" s="135" t="s">
        <v>553</v>
      </c>
      <c r="L289" s="135" t="s">
        <v>82</v>
      </c>
      <c r="M289" s="135" t="s">
        <v>130</v>
      </c>
      <c r="N289" s="135" t="s">
        <v>964</v>
      </c>
      <c r="O289" s="135" t="s">
        <v>706</v>
      </c>
      <c r="P289" s="135" t="s">
        <v>459</v>
      </c>
      <c r="Q289" s="135">
        <v>370.39</v>
      </c>
      <c r="R289" s="187">
        <v>399</v>
      </c>
      <c r="S289" s="56"/>
      <c r="T289" s="56"/>
      <c r="U289" s="56"/>
      <c r="V289" s="56"/>
      <c r="W289" s="56"/>
      <c r="X289" s="56"/>
      <c r="Y289" s="56"/>
      <c r="Z289" s="56"/>
      <c r="AA289" s="56"/>
    </row>
    <row r="290" spans="1:27" ht="30" hidden="1" customHeight="1" x14ac:dyDescent="0.25">
      <c r="A290" s="60"/>
      <c r="B290" s="51"/>
      <c r="C290" s="51"/>
      <c r="D290" s="51"/>
      <c r="E290" s="63" t="s">
        <v>451</v>
      </c>
      <c r="F290" s="422">
        <v>2017</v>
      </c>
      <c r="G290" s="135" t="s">
        <v>1223</v>
      </c>
      <c r="H290" s="422"/>
      <c r="I290" s="135" t="s">
        <v>460</v>
      </c>
      <c r="J290" s="135" t="s">
        <v>967</v>
      </c>
      <c r="K290" s="135" t="s">
        <v>553</v>
      </c>
      <c r="L290" s="135" t="s">
        <v>82</v>
      </c>
      <c r="M290" s="135" t="s">
        <v>130</v>
      </c>
      <c r="N290" s="135" t="s">
        <v>964</v>
      </c>
      <c r="O290" s="135" t="s">
        <v>707</v>
      </c>
      <c r="P290" s="135" t="s">
        <v>459</v>
      </c>
      <c r="Q290" s="135">
        <v>574.36</v>
      </c>
      <c r="R290" s="187">
        <v>398</v>
      </c>
      <c r="S290" s="56"/>
      <c r="T290" s="56"/>
      <c r="U290" s="56"/>
      <c r="V290" s="56"/>
      <c r="W290" s="56"/>
      <c r="X290" s="56"/>
      <c r="Y290" s="56"/>
      <c r="Z290" s="56"/>
      <c r="AA290" s="56"/>
    </row>
    <row r="291" spans="1:27" ht="30" hidden="1" customHeight="1" x14ac:dyDescent="0.25">
      <c r="A291" s="60"/>
      <c r="B291" s="51"/>
      <c r="C291" s="51"/>
      <c r="D291" s="51"/>
      <c r="E291" s="63" t="s">
        <v>452</v>
      </c>
      <c r="F291" s="422">
        <v>2017</v>
      </c>
      <c r="G291" s="135" t="s">
        <v>1223</v>
      </c>
      <c r="H291" s="422">
        <v>2022</v>
      </c>
      <c r="I291" s="135" t="s">
        <v>460</v>
      </c>
      <c r="J291" s="135" t="s">
        <v>963</v>
      </c>
      <c r="K291" s="135" t="s">
        <v>461</v>
      </c>
      <c r="L291" s="135" t="s">
        <v>253</v>
      </c>
      <c r="M291" s="135" t="s">
        <v>708</v>
      </c>
      <c r="N291" s="135" t="s">
        <v>965</v>
      </c>
      <c r="O291" s="135" t="s">
        <v>1150</v>
      </c>
      <c r="P291" s="135" t="s">
        <v>459</v>
      </c>
      <c r="Q291" s="135">
        <v>270.12</v>
      </c>
      <c r="R291" s="187">
        <v>398</v>
      </c>
      <c r="S291" s="56"/>
      <c r="T291" s="56"/>
      <c r="U291" s="56"/>
      <c r="V291" s="56"/>
      <c r="W291" s="56"/>
      <c r="X291" s="56"/>
      <c r="Y291" s="56"/>
      <c r="Z291" s="56"/>
      <c r="AA291" s="56"/>
    </row>
    <row r="292" spans="1:27" ht="30" hidden="1" customHeight="1" x14ac:dyDescent="0.25">
      <c r="A292" s="60"/>
      <c r="B292" s="51"/>
      <c r="C292" s="51"/>
      <c r="D292" s="51"/>
      <c r="E292" s="63" t="s">
        <v>454</v>
      </c>
      <c r="F292" s="422">
        <v>2017</v>
      </c>
      <c r="G292" s="135" t="s">
        <v>1223</v>
      </c>
      <c r="H292" s="422"/>
      <c r="I292" s="135" t="s">
        <v>460</v>
      </c>
      <c r="J292" s="135" t="s">
        <v>966</v>
      </c>
      <c r="K292" s="135" t="s">
        <v>469</v>
      </c>
      <c r="L292" s="135" t="s">
        <v>85</v>
      </c>
      <c r="M292" s="135" t="s">
        <v>709</v>
      </c>
      <c r="N292" s="135" t="s">
        <v>965</v>
      </c>
      <c r="O292" s="135" t="s">
        <v>710</v>
      </c>
      <c r="P292" s="135" t="s">
        <v>459</v>
      </c>
      <c r="Q292" s="135">
        <v>1980.88</v>
      </c>
      <c r="R292" s="187">
        <v>397</v>
      </c>
      <c r="S292" s="56"/>
      <c r="T292" s="56"/>
      <c r="U292" s="56"/>
      <c r="V292" s="56"/>
      <c r="W292" s="56"/>
      <c r="X292" s="56"/>
      <c r="Y292" s="56"/>
      <c r="Z292" s="56"/>
      <c r="AA292" s="56"/>
    </row>
    <row r="293" spans="1:27" ht="30" customHeight="1" x14ac:dyDescent="0.25">
      <c r="A293" s="60"/>
      <c r="B293" s="51"/>
      <c r="C293" s="51"/>
      <c r="D293" s="51"/>
      <c r="E293" s="63" t="s">
        <v>451</v>
      </c>
      <c r="F293" s="422">
        <v>2017</v>
      </c>
      <c r="G293" s="135" t="s">
        <v>1223</v>
      </c>
      <c r="H293" s="422">
        <v>2023</v>
      </c>
      <c r="I293" s="135" t="s">
        <v>460</v>
      </c>
      <c r="J293" s="135" t="s">
        <v>967</v>
      </c>
      <c r="K293" s="135" t="s">
        <v>655</v>
      </c>
      <c r="L293" s="135" t="s">
        <v>216</v>
      </c>
      <c r="M293" s="135" t="s">
        <v>219</v>
      </c>
      <c r="N293" s="135" t="s">
        <v>964</v>
      </c>
      <c r="O293" s="135" t="s">
        <v>1170</v>
      </c>
      <c r="P293" s="135" t="s">
        <v>459</v>
      </c>
      <c r="Q293" s="135">
        <v>537.91999999999996</v>
      </c>
      <c r="R293" s="187">
        <v>396</v>
      </c>
      <c r="S293" s="56"/>
      <c r="T293" s="56"/>
      <c r="U293" s="56"/>
      <c r="V293" s="56"/>
      <c r="W293" s="56"/>
      <c r="X293" s="56"/>
      <c r="Y293" s="56"/>
      <c r="Z293" s="56"/>
      <c r="AA293" s="56"/>
    </row>
    <row r="294" spans="1:27" ht="30" hidden="1" customHeight="1" x14ac:dyDescent="0.25">
      <c r="A294" s="60"/>
      <c r="B294" s="51"/>
      <c r="C294" s="51"/>
      <c r="D294" s="51"/>
      <c r="E294" s="63" t="s">
        <v>451</v>
      </c>
      <c r="F294" s="422">
        <v>2017</v>
      </c>
      <c r="G294" s="135" t="s">
        <v>1223</v>
      </c>
      <c r="H294" s="422"/>
      <c r="I294" s="135" t="s">
        <v>460</v>
      </c>
      <c r="J294" s="135" t="s">
        <v>966</v>
      </c>
      <c r="K294" s="135" t="s">
        <v>469</v>
      </c>
      <c r="L294" s="135" t="s">
        <v>85</v>
      </c>
      <c r="M294" s="135" t="s">
        <v>299</v>
      </c>
      <c r="N294" s="135" t="s">
        <v>965</v>
      </c>
      <c r="O294" s="135" t="s">
        <v>711</v>
      </c>
      <c r="P294" s="135" t="s">
        <v>459</v>
      </c>
      <c r="Q294" s="135">
        <v>431.43</v>
      </c>
      <c r="R294" s="187">
        <v>396</v>
      </c>
      <c r="S294" s="56"/>
      <c r="T294" s="56"/>
      <c r="U294" s="56"/>
      <c r="V294" s="56"/>
      <c r="W294" s="56"/>
      <c r="X294" s="56"/>
      <c r="Y294" s="56"/>
      <c r="Z294" s="56"/>
      <c r="AA294" s="56"/>
    </row>
    <row r="295" spans="1:27" ht="30" hidden="1" customHeight="1" x14ac:dyDescent="0.25">
      <c r="A295" s="60"/>
      <c r="B295" s="51"/>
      <c r="C295" s="51"/>
      <c r="D295" s="51"/>
      <c r="E295" s="63" t="s">
        <v>454</v>
      </c>
      <c r="F295" s="422">
        <v>2017</v>
      </c>
      <c r="G295" s="135" t="s">
        <v>1223</v>
      </c>
      <c r="H295" s="422"/>
      <c r="I295" s="135" t="s">
        <v>460</v>
      </c>
      <c r="J295" s="135" t="s">
        <v>966</v>
      </c>
      <c r="K295" s="135" t="s">
        <v>469</v>
      </c>
      <c r="L295" s="135" t="s">
        <v>85</v>
      </c>
      <c r="M295" s="135" t="s">
        <v>299</v>
      </c>
      <c r="N295" s="135" t="s">
        <v>965</v>
      </c>
      <c r="O295" s="135" t="s">
        <v>712</v>
      </c>
      <c r="P295" s="135" t="s">
        <v>459</v>
      </c>
      <c r="Q295" s="135">
        <v>1873.86</v>
      </c>
      <c r="R295" s="187">
        <v>395</v>
      </c>
      <c r="S295" s="56"/>
      <c r="T295" s="56"/>
      <c r="U295" s="56"/>
      <c r="V295" s="56"/>
      <c r="W295" s="56"/>
      <c r="X295" s="56"/>
      <c r="Y295" s="56"/>
      <c r="Z295" s="56"/>
      <c r="AA295" s="56"/>
    </row>
    <row r="296" spans="1:27" ht="30" hidden="1" customHeight="1" x14ac:dyDescent="0.25">
      <c r="A296" s="60"/>
      <c r="B296" s="51"/>
      <c r="C296" s="51"/>
      <c r="D296" s="51"/>
      <c r="E296" s="63" t="s">
        <v>452</v>
      </c>
      <c r="F296" s="422">
        <v>2017</v>
      </c>
      <c r="G296" s="135" t="s">
        <v>1223</v>
      </c>
      <c r="H296" s="422"/>
      <c r="I296" s="135" t="s">
        <v>460</v>
      </c>
      <c r="J296" s="135" t="s">
        <v>966</v>
      </c>
      <c r="K296" s="135" t="s">
        <v>562</v>
      </c>
      <c r="L296" s="135" t="s">
        <v>108</v>
      </c>
      <c r="M296" s="135" t="s">
        <v>183</v>
      </c>
      <c r="N296" s="135" t="s">
        <v>965</v>
      </c>
      <c r="O296" s="135" t="s">
        <v>184</v>
      </c>
      <c r="P296" s="135" t="s">
        <v>459</v>
      </c>
      <c r="Q296" s="135">
        <v>167.64</v>
      </c>
      <c r="R296" s="187">
        <v>395</v>
      </c>
      <c r="S296" s="56"/>
      <c r="T296" s="56"/>
      <c r="U296" s="56"/>
      <c r="V296" s="56"/>
      <c r="W296" s="56"/>
      <c r="X296" s="56"/>
      <c r="Y296" s="56"/>
      <c r="Z296" s="56"/>
      <c r="AA296" s="56"/>
    </row>
    <row r="297" spans="1:27" ht="30" hidden="1" customHeight="1" x14ac:dyDescent="0.25">
      <c r="A297" s="60"/>
      <c r="B297" s="51"/>
      <c r="C297" s="51"/>
      <c r="D297" s="51"/>
      <c r="E297" s="63" t="s">
        <v>451</v>
      </c>
      <c r="F297" s="422">
        <v>2017</v>
      </c>
      <c r="G297" s="135" t="s">
        <v>1224</v>
      </c>
      <c r="H297" s="422"/>
      <c r="I297" s="135" t="s">
        <v>460</v>
      </c>
      <c r="J297" s="135" t="s">
        <v>963</v>
      </c>
      <c r="K297" s="135" t="s">
        <v>461</v>
      </c>
      <c r="L297" s="135" t="s">
        <v>253</v>
      </c>
      <c r="M297" s="135" t="s">
        <v>255</v>
      </c>
      <c r="N297" s="135" t="s">
        <v>965</v>
      </c>
      <c r="O297" s="135" t="s">
        <v>713</v>
      </c>
      <c r="P297" s="135" t="s">
        <v>459</v>
      </c>
      <c r="Q297" s="135">
        <v>448.51</v>
      </c>
      <c r="R297" s="187">
        <v>393</v>
      </c>
      <c r="S297" s="56"/>
      <c r="T297" s="56"/>
      <c r="U297" s="56"/>
      <c r="V297" s="56"/>
      <c r="W297" s="56"/>
      <c r="X297" s="56"/>
      <c r="Y297" s="56"/>
      <c r="Z297" s="56"/>
      <c r="AA297" s="56"/>
    </row>
    <row r="298" spans="1:27" ht="30" hidden="1" customHeight="1" x14ac:dyDescent="0.25">
      <c r="A298" s="60"/>
      <c r="B298" s="51"/>
      <c r="C298" s="51"/>
      <c r="D298" s="51"/>
      <c r="E298" s="63" t="s">
        <v>452</v>
      </c>
      <c r="F298" s="422">
        <v>2017</v>
      </c>
      <c r="G298" s="135" t="s">
        <v>1224</v>
      </c>
      <c r="H298" s="422"/>
      <c r="I298" s="135" t="s">
        <v>460</v>
      </c>
      <c r="J298" s="135" t="s">
        <v>963</v>
      </c>
      <c r="K298" s="135" t="s">
        <v>465</v>
      </c>
      <c r="L298" s="135" t="s">
        <v>106</v>
      </c>
      <c r="M298" s="135" t="s">
        <v>365</v>
      </c>
      <c r="N298" s="135" t="s">
        <v>965</v>
      </c>
      <c r="O298" s="135" t="s">
        <v>714</v>
      </c>
      <c r="P298" s="135" t="s">
        <v>459</v>
      </c>
      <c r="Q298" s="135">
        <v>225.35</v>
      </c>
      <c r="R298" s="187">
        <v>393</v>
      </c>
      <c r="S298" s="56"/>
      <c r="T298" s="56"/>
      <c r="U298" s="56"/>
      <c r="V298" s="56"/>
      <c r="W298" s="56"/>
      <c r="X298" s="56"/>
      <c r="Y298" s="56"/>
      <c r="Z298" s="56"/>
      <c r="AA298" s="56"/>
    </row>
    <row r="299" spans="1:27" ht="30" hidden="1" customHeight="1" x14ac:dyDescent="0.25">
      <c r="A299" s="60"/>
      <c r="B299" s="51"/>
      <c r="C299" s="51"/>
      <c r="D299" s="51"/>
      <c r="E299" s="63" t="s">
        <v>454</v>
      </c>
      <c r="F299" s="422">
        <v>2017</v>
      </c>
      <c r="G299" s="135" t="s">
        <v>1224</v>
      </c>
      <c r="H299" s="422"/>
      <c r="I299" s="135" t="s">
        <v>460</v>
      </c>
      <c r="J299" s="135" t="s">
        <v>966</v>
      </c>
      <c r="K299" s="135" t="s">
        <v>492</v>
      </c>
      <c r="L299" s="135" t="s">
        <v>968</v>
      </c>
      <c r="M299" s="135" t="s">
        <v>150</v>
      </c>
      <c r="N299" s="135" t="s">
        <v>965</v>
      </c>
      <c r="O299" s="135" t="s">
        <v>715</v>
      </c>
      <c r="P299" s="135" t="s">
        <v>459</v>
      </c>
      <c r="Q299" s="135">
        <v>1531</v>
      </c>
      <c r="R299" s="187">
        <v>391</v>
      </c>
      <c r="S299" s="56"/>
      <c r="T299" s="56"/>
      <c r="U299" s="56"/>
      <c r="V299" s="56"/>
      <c r="W299" s="56"/>
      <c r="X299" s="56"/>
      <c r="Y299" s="56"/>
      <c r="Z299" s="56"/>
      <c r="AA299" s="56"/>
    </row>
    <row r="300" spans="1:27" ht="30" hidden="1" customHeight="1" x14ac:dyDescent="0.25">
      <c r="A300" s="60"/>
      <c r="B300" s="51"/>
      <c r="C300" s="51"/>
      <c r="D300" s="51"/>
      <c r="E300" s="63" t="s">
        <v>454</v>
      </c>
      <c r="F300" s="422">
        <v>2017</v>
      </c>
      <c r="G300" s="135" t="s">
        <v>1224</v>
      </c>
      <c r="H300" s="422"/>
      <c r="I300" s="135" t="s">
        <v>460</v>
      </c>
      <c r="J300" s="135" t="s">
        <v>966</v>
      </c>
      <c r="K300" s="135" t="s">
        <v>562</v>
      </c>
      <c r="L300" s="135" t="s">
        <v>108</v>
      </c>
      <c r="M300" s="135" t="s">
        <v>716</v>
      </c>
      <c r="N300" s="135" t="s">
        <v>965</v>
      </c>
      <c r="O300" s="135" t="s">
        <v>717</v>
      </c>
      <c r="P300" s="135" t="s">
        <v>459</v>
      </c>
      <c r="Q300" s="135">
        <v>2179.12</v>
      </c>
      <c r="R300" s="187">
        <v>390</v>
      </c>
      <c r="S300" s="56"/>
      <c r="T300" s="56"/>
      <c r="U300" s="56"/>
      <c r="V300" s="56"/>
      <c r="W300" s="56"/>
      <c r="X300" s="56"/>
      <c r="Y300" s="56"/>
      <c r="Z300" s="56"/>
      <c r="AA300" s="56"/>
    </row>
    <row r="301" spans="1:27" ht="30" hidden="1" customHeight="1" x14ac:dyDescent="0.25">
      <c r="A301" s="60"/>
      <c r="B301" s="51"/>
      <c r="C301" s="51"/>
      <c r="D301" s="51"/>
      <c r="E301" s="63" t="s">
        <v>454</v>
      </c>
      <c r="F301" s="422">
        <v>2017</v>
      </c>
      <c r="G301" s="135" t="s">
        <v>1224</v>
      </c>
      <c r="H301" s="422"/>
      <c r="I301" s="135" t="s">
        <v>460</v>
      </c>
      <c r="J301" s="135" t="s">
        <v>971</v>
      </c>
      <c r="K301" s="135" t="s">
        <v>527</v>
      </c>
      <c r="L301" s="135" t="s">
        <v>194</v>
      </c>
      <c r="M301" s="135" t="s">
        <v>370</v>
      </c>
      <c r="N301" s="135" t="s">
        <v>965</v>
      </c>
      <c r="O301" s="135" t="s">
        <v>371</v>
      </c>
      <c r="P301" s="135" t="s">
        <v>459</v>
      </c>
      <c r="Q301" s="135">
        <v>1774.43</v>
      </c>
      <c r="R301" s="187">
        <v>390</v>
      </c>
      <c r="S301" s="56"/>
      <c r="T301" s="56"/>
      <c r="U301" s="56"/>
      <c r="V301" s="56"/>
      <c r="W301" s="56"/>
      <c r="X301" s="56"/>
      <c r="Y301" s="56"/>
      <c r="Z301" s="56"/>
      <c r="AA301" s="56"/>
    </row>
    <row r="302" spans="1:27" ht="30" hidden="1" customHeight="1" x14ac:dyDescent="0.25">
      <c r="A302" s="60"/>
      <c r="B302" s="51"/>
      <c r="C302" s="51"/>
      <c r="D302" s="51"/>
      <c r="E302" s="63" t="s">
        <v>452</v>
      </c>
      <c r="F302" s="422">
        <v>2017</v>
      </c>
      <c r="G302" s="135" t="s">
        <v>1224</v>
      </c>
      <c r="H302" s="422"/>
      <c r="I302" s="135" t="s">
        <v>460</v>
      </c>
      <c r="J302" s="135" t="s">
        <v>963</v>
      </c>
      <c r="K302" s="135" t="s">
        <v>465</v>
      </c>
      <c r="L302" s="135" t="s">
        <v>106</v>
      </c>
      <c r="M302" s="135" t="s">
        <v>107</v>
      </c>
      <c r="N302" s="135" t="s">
        <v>965</v>
      </c>
      <c r="O302" s="135" t="s">
        <v>718</v>
      </c>
      <c r="P302" s="135" t="s">
        <v>459</v>
      </c>
      <c r="Q302" s="135">
        <v>215</v>
      </c>
      <c r="R302" s="187">
        <v>388</v>
      </c>
      <c r="S302" s="56"/>
      <c r="T302" s="56"/>
      <c r="U302" s="56"/>
      <c r="V302" s="56"/>
      <c r="W302" s="56"/>
      <c r="X302" s="56"/>
      <c r="Y302" s="56"/>
      <c r="Z302" s="56"/>
      <c r="AA302" s="56"/>
    </row>
    <row r="303" spans="1:27" ht="30" hidden="1" customHeight="1" x14ac:dyDescent="0.25">
      <c r="A303" s="60"/>
      <c r="B303" s="51"/>
      <c r="C303" s="51"/>
      <c r="D303" s="51"/>
      <c r="E303" s="63" t="s">
        <v>452</v>
      </c>
      <c r="F303" s="422">
        <v>2017</v>
      </c>
      <c r="G303" s="135" t="s">
        <v>1224</v>
      </c>
      <c r="H303" s="422">
        <v>2020</v>
      </c>
      <c r="I303" s="135" t="s">
        <v>460</v>
      </c>
      <c r="J303" s="135" t="s">
        <v>966</v>
      </c>
      <c r="K303" s="135" t="s">
        <v>469</v>
      </c>
      <c r="L303" s="135" t="s">
        <v>85</v>
      </c>
      <c r="M303" s="135" t="s">
        <v>85</v>
      </c>
      <c r="N303" s="135" t="s">
        <v>964</v>
      </c>
      <c r="O303" s="135" t="s">
        <v>719</v>
      </c>
      <c r="P303" s="135" t="s">
        <v>459</v>
      </c>
      <c r="Q303" s="135">
        <v>200</v>
      </c>
      <c r="R303" s="187">
        <v>388</v>
      </c>
      <c r="S303" s="56"/>
      <c r="T303" s="56"/>
      <c r="U303" s="56"/>
      <c r="V303" s="56"/>
      <c r="W303" s="56"/>
      <c r="X303" s="56"/>
      <c r="Y303" s="56"/>
      <c r="Z303" s="56"/>
      <c r="AA303" s="56"/>
    </row>
    <row r="304" spans="1:27" ht="30" hidden="1" customHeight="1" x14ac:dyDescent="0.25">
      <c r="A304" s="60"/>
      <c r="B304" s="51"/>
      <c r="C304" s="51"/>
      <c r="D304" s="51"/>
      <c r="E304" s="63" t="s">
        <v>452</v>
      </c>
      <c r="F304" s="422">
        <v>2017</v>
      </c>
      <c r="G304" s="135" t="s">
        <v>1224</v>
      </c>
      <c r="H304" s="422"/>
      <c r="I304" s="135" t="s">
        <v>460</v>
      </c>
      <c r="J304" s="135" t="s">
        <v>963</v>
      </c>
      <c r="K304" s="135" t="s">
        <v>465</v>
      </c>
      <c r="L304" s="135" t="s">
        <v>106</v>
      </c>
      <c r="M304" s="135" t="s">
        <v>275</v>
      </c>
      <c r="N304" s="135" t="s">
        <v>965</v>
      </c>
      <c r="O304" s="135" t="s">
        <v>720</v>
      </c>
      <c r="P304" s="135" t="s">
        <v>459</v>
      </c>
      <c r="Q304" s="135">
        <v>224</v>
      </c>
      <c r="R304" s="187">
        <v>387</v>
      </c>
      <c r="S304" s="56"/>
      <c r="T304" s="56"/>
      <c r="U304" s="56"/>
      <c r="V304" s="56"/>
      <c r="W304" s="56"/>
      <c r="X304" s="56"/>
      <c r="Y304" s="56"/>
      <c r="Z304" s="56"/>
      <c r="AA304" s="56"/>
    </row>
    <row r="305" spans="1:27" ht="30" hidden="1" customHeight="1" x14ac:dyDescent="0.25">
      <c r="A305" s="60"/>
      <c r="B305" s="51"/>
      <c r="C305" s="51"/>
      <c r="D305" s="51"/>
      <c r="E305" s="63" t="s">
        <v>452</v>
      </c>
      <c r="F305" s="422">
        <v>2017</v>
      </c>
      <c r="G305" s="135" t="s">
        <v>1224</v>
      </c>
      <c r="H305" s="422"/>
      <c r="I305" s="135" t="s">
        <v>460</v>
      </c>
      <c r="J305" s="135" t="s">
        <v>966</v>
      </c>
      <c r="K305" s="135" t="s">
        <v>469</v>
      </c>
      <c r="L305" s="135" t="s">
        <v>85</v>
      </c>
      <c r="M305" s="135" t="s">
        <v>334</v>
      </c>
      <c r="N305" s="135" t="s">
        <v>965</v>
      </c>
      <c r="O305" s="135" t="s">
        <v>721</v>
      </c>
      <c r="P305" s="135" t="s">
        <v>459</v>
      </c>
      <c r="Q305" s="135">
        <v>198.08</v>
      </c>
      <c r="R305" s="187">
        <v>386</v>
      </c>
      <c r="S305" s="56"/>
      <c r="T305" s="56"/>
      <c r="U305" s="56"/>
      <c r="V305" s="56"/>
      <c r="W305" s="56"/>
      <c r="X305" s="56"/>
      <c r="Y305" s="56"/>
      <c r="Z305" s="56"/>
      <c r="AA305" s="56"/>
    </row>
    <row r="306" spans="1:27" ht="30" hidden="1" customHeight="1" x14ac:dyDescent="0.25">
      <c r="A306" s="60"/>
      <c r="B306" s="51"/>
      <c r="C306" s="51"/>
      <c r="D306" s="51"/>
      <c r="E306" s="63" t="s">
        <v>451</v>
      </c>
      <c r="F306" s="422">
        <v>2016</v>
      </c>
      <c r="G306" s="135" t="s">
        <v>1225</v>
      </c>
      <c r="H306" s="422"/>
      <c r="I306" s="135" t="s">
        <v>460</v>
      </c>
      <c r="J306" s="135" t="s">
        <v>967</v>
      </c>
      <c r="K306" s="135" t="s">
        <v>632</v>
      </c>
      <c r="L306" s="135" t="s">
        <v>92</v>
      </c>
      <c r="M306" s="135" t="s">
        <v>205</v>
      </c>
      <c r="N306" s="135" t="s">
        <v>964</v>
      </c>
      <c r="O306" s="135" t="s">
        <v>722</v>
      </c>
      <c r="P306" s="135" t="s">
        <v>459</v>
      </c>
      <c r="Q306" s="135">
        <v>632.38</v>
      </c>
      <c r="R306" s="187">
        <v>385</v>
      </c>
      <c r="S306" s="56"/>
      <c r="T306" s="56"/>
      <c r="U306" s="56"/>
      <c r="V306" s="56"/>
      <c r="W306" s="56"/>
      <c r="X306" s="56"/>
      <c r="Y306" s="56"/>
      <c r="Z306" s="56"/>
      <c r="AA306" s="56"/>
    </row>
    <row r="307" spans="1:27" ht="30" hidden="1" customHeight="1" x14ac:dyDescent="0.25">
      <c r="A307" s="60"/>
      <c r="B307" s="51"/>
      <c r="C307" s="51"/>
      <c r="D307" s="51"/>
      <c r="E307" s="63" t="s">
        <v>452</v>
      </c>
      <c r="F307" s="422">
        <v>2016</v>
      </c>
      <c r="G307" s="135" t="s">
        <v>1225</v>
      </c>
      <c r="H307" s="422"/>
      <c r="I307" s="135" t="s">
        <v>460</v>
      </c>
      <c r="J307" s="135" t="s">
        <v>966</v>
      </c>
      <c r="K307" s="135" t="s">
        <v>469</v>
      </c>
      <c r="L307" s="135" t="s">
        <v>85</v>
      </c>
      <c r="M307" s="135" t="s">
        <v>93</v>
      </c>
      <c r="N307" s="135" t="s">
        <v>965</v>
      </c>
      <c r="O307" s="135" t="s">
        <v>723</v>
      </c>
      <c r="P307" s="135" t="s">
        <v>459</v>
      </c>
      <c r="Q307" s="135">
        <v>201.35</v>
      </c>
      <c r="R307" s="187">
        <v>384</v>
      </c>
      <c r="S307" s="56"/>
      <c r="T307" s="56"/>
      <c r="U307" s="56"/>
      <c r="V307" s="56"/>
      <c r="W307" s="56"/>
      <c r="X307" s="56"/>
      <c r="Y307" s="56"/>
      <c r="Z307" s="56"/>
      <c r="AA307" s="56"/>
    </row>
    <row r="308" spans="1:27" ht="30" hidden="1" customHeight="1" x14ac:dyDescent="0.25">
      <c r="A308" s="60"/>
      <c r="B308" s="51"/>
      <c r="C308" s="51"/>
      <c r="D308" s="51"/>
      <c r="E308" s="63" t="s">
        <v>454</v>
      </c>
      <c r="F308" s="422">
        <v>2016</v>
      </c>
      <c r="G308" s="135" t="s">
        <v>1225</v>
      </c>
      <c r="H308" s="422"/>
      <c r="I308" s="135" t="s">
        <v>460</v>
      </c>
      <c r="J308" s="135" t="s">
        <v>967</v>
      </c>
      <c r="K308" s="135" t="s">
        <v>488</v>
      </c>
      <c r="L308" s="135" t="s">
        <v>135</v>
      </c>
      <c r="M308" s="135" t="s">
        <v>136</v>
      </c>
      <c r="N308" s="135" t="s">
        <v>964</v>
      </c>
      <c r="O308" s="135" t="s">
        <v>724</v>
      </c>
      <c r="P308" s="135" t="s">
        <v>459</v>
      </c>
      <c r="Q308" s="135">
        <v>2064.13</v>
      </c>
      <c r="R308" s="187">
        <v>383</v>
      </c>
      <c r="S308" s="56"/>
      <c r="T308" s="56"/>
      <c r="U308" s="56"/>
      <c r="V308" s="56"/>
      <c r="W308" s="56"/>
      <c r="X308" s="56"/>
      <c r="Y308" s="56"/>
      <c r="Z308" s="56"/>
      <c r="AA308" s="56"/>
    </row>
    <row r="309" spans="1:27" ht="30" hidden="1" customHeight="1" x14ac:dyDescent="0.25">
      <c r="A309" s="60"/>
      <c r="B309" s="51"/>
      <c r="C309" s="51"/>
      <c r="D309" s="51"/>
      <c r="E309" s="63" t="s">
        <v>451</v>
      </c>
      <c r="F309" s="422">
        <v>2016</v>
      </c>
      <c r="G309" s="135" t="s">
        <v>1225</v>
      </c>
      <c r="H309" s="422"/>
      <c r="I309" s="135" t="s">
        <v>460</v>
      </c>
      <c r="J309" s="135" t="s">
        <v>963</v>
      </c>
      <c r="K309" s="135" t="s">
        <v>474</v>
      </c>
      <c r="L309" s="135" t="s">
        <v>95</v>
      </c>
      <c r="M309" s="135" t="s">
        <v>226</v>
      </c>
      <c r="N309" s="135" t="s">
        <v>965</v>
      </c>
      <c r="O309" s="135" t="s">
        <v>725</v>
      </c>
      <c r="P309" s="135" t="s">
        <v>459</v>
      </c>
      <c r="Q309" s="135">
        <v>567.80999999999995</v>
      </c>
      <c r="R309" s="187">
        <v>382</v>
      </c>
      <c r="S309" s="56"/>
      <c r="T309" s="56"/>
      <c r="U309" s="56"/>
      <c r="V309" s="56"/>
      <c r="W309" s="56"/>
      <c r="X309" s="56"/>
      <c r="Y309" s="56"/>
      <c r="Z309" s="56"/>
      <c r="AA309" s="56"/>
    </row>
    <row r="310" spans="1:27" ht="30" hidden="1" customHeight="1" x14ac:dyDescent="0.25">
      <c r="A310" s="60"/>
      <c r="B310" s="51"/>
      <c r="C310" s="51"/>
      <c r="D310" s="51"/>
      <c r="E310" s="63" t="s">
        <v>452</v>
      </c>
      <c r="F310" s="422">
        <v>2016</v>
      </c>
      <c r="G310" s="135" t="s">
        <v>1225</v>
      </c>
      <c r="H310" s="422"/>
      <c r="I310" s="135" t="s">
        <v>460</v>
      </c>
      <c r="J310" s="135" t="s">
        <v>963</v>
      </c>
      <c r="K310" s="135" t="s">
        <v>474</v>
      </c>
      <c r="L310" s="135" t="s">
        <v>95</v>
      </c>
      <c r="M310" s="135" t="s">
        <v>228</v>
      </c>
      <c r="N310" s="135" t="s">
        <v>965</v>
      </c>
      <c r="O310" s="135" t="s">
        <v>229</v>
      </c>
      <c r="P310" s="135" t="s">
        <v>459</v>
      </c>
      <c r="Q310" s="135">
        <v>236.7</v>
      </c>
      <c r="R310" s="187">
        <v>382</v>
      </c>
      <c r="S310" s="56"/>
      <c r="T310" s="56"/>
      <c r="U310" s="56"/>
      <c r="V310" s="56"/>
      <c r="W310" s="56"/>
      <c r="X310" s="56"/>
      <c r="Y310" s="56"/>
      <c r="Z310" s="56"/>
      <c r="AA310" s="56"/>
    </row>
    <row r="311" spans="1:27" ht="30" hidden="1" customHeight="1" x14ac:dyDescent="0.25">
      <c r="A311" s="60"/>
      <c r="B311" s="51"/>
      <c r="C311" s="51"/>
      <c r="D311" s="51"/>
      <c r="E311" s="63" t="s">
        <v>451</v>
      </c>
      <c r="F311" s="422">
        <v>2016</v>
      </c>
      <c r="G311" s="135" t="s">
        <v>1225</v>
      </c>
      <c r="H311" s="422"/>
      <c r="I311" s="135" t="s">
        <v>460</v>
      </c>
      <c r="J311" s="135" t="s">
        <v>969</v>
      </c>
      <c r="K311" s="135" t="s">
        <v>509</v>
      </c>
      <c r="L311" s="135" t="s">
        <v>157</v>
      </c>
      <c r="M311" s="135" t="s">
        <v>159</v>
      </c>
      <c r="N311" s="135" t="s">
        <v>964</v>
      </c>
      <c r="O311" s="135" t="s">
        <v>597</v>
      </c>
      <c r="P311" s="135" t="s">
        <v>459</v>
      </c>
      <c r="Q311" s="135">
        <v>481.43</v>
      </c>
      <c r="R311" s="187">
        <v>380</v>
      </c>
      <c r="S311" s="56"/>
      <c r="T311" s="56"/>
      <c r="U311" s="56"/>
      <c r="V311" s="56"/>
      <c r="W311" s="56"/>
      <c r="X311" s="56"/>
      <c r="Y311" s="56"/>
      <c r="Z311" s="56"/>
      <c r="AA311" s="56"/>
    </row>
    <row r="312" spans="1:27" ht="30" hidden="1" customHeight="1" x14ac:dyDescent="0.25">
      <c r="A312" s="60"/>
      <c r="B312" s="51"/>
      <c r="C312" s="51"/>
      <c r="D312" s="51"/>
      <c r="E312" s="63" t="s">
        <v>454</v>
      </c>
      <c r="F312" s="422">
        <v>2016</v>
      </c>
      <c r="G312" s="135" t="s">
        <v>1225</v>
      </c>
      <c r="H312" s="422"/>
      <c r="I312" s="135" t="s">
        <v>460</v>
      </c>
      <c r="J312" s="135" t="s">
        <v>966</v>
      </c>
      <c r="K312" s="135" t="s">
        <v>469</v>
      </c>
      <c r="L312" s="135" t="s">
        <v>85</v>
      </c>
      <c r="M312" s="135" t="s">
        <v>726</v>
      </c>
      <c r="N312" s="135" t="s">
        <v>965</v>
      </c>
      <c r="O312" s="135" t="s">
        <v>727</v>
      </c>
      <c r="P312" s="135" t="s">
        <v>459</v>
      </c>
      <c r="Q312" s="135">
        <v>2501.62</v>
      </c>
      <c r="R312" s="187">
        <v>380</v>
      </c>
      <c r="S312" s="56"/>
      <c r="T312" s="56"/>
      <c r="U312" s="56"/>
      <c r="V312" s="56"/>
      <c r="W312" s="56"/>
      <c r="X312" s="56"/>
      <c r="Y312" s="56"/>
      <c r="Z312" s="56"/>
      <c r="AA312" s="56"/>
    </row>
    <row r="313" spans="1:27" ht="30" hidden="1" customHeight="1" x14ac:dyDescent="0.25">
      <c r="A313" s="60"/>
      <c r="B313" s="51"/>
      <c r="C313" s="51"/>
      <c r="D313" s="51"/>
      <c r="E313" s="63" t="s">
        <v>452</v>
      </c>
      <c r="F313" s="422">
        <v>2016</v>
      </c>
      <c r="G313" s="135" t="s">
        <v>1225</v>
      </c>
      <c r="H313" s="422"/>
      <c r="I313" s="135" t="s">
        <v>460</v>
      </c>
      <c r="J313" s="135" t="s">
        <v>969</v>
      </c>
      <c r="K313" s="135" t="s">
        <v>575</v>
      </c>
      <c r="L313" s="135" t="s">
        <v>143</v>
      </c>
      <c r="M313" s="135" t="s">
        <v>144</v>
      </c>
      <c r="N313" s="135" t="s">
        <v>964</v>
      </c>
      <c r="O313" s="135" t="s">
        <v>728</v>
      </c>
      <c r="P313" s="135" t="s">
        <v>459</v>
      </c>
      <c r="Q313" s="135">
        <v>187</v>
      </c>
      <c r="R313" s="187">
        <v>378</v>
      </c>
      <c r="S313" s="56"/>
      <c r="T313" s="56"/>
      <c r="U313" s="56"/>
      <c r="V313" s="56"/>
      <c r="W313" s="56"/>
      <c r="X313" s="56"/>
      <c r="Y313" s="56"/>
      <c r="Z313" s="56"/>
      <c r="AA313" s="56"/>
    </row>
    <row r="314" spans="1:27" ht="30" hidden="1" customHeight="1" x14ac:dyDescent="0.25">
      <c r="A314" s="60"/>
      <c r="B314" s="51"/>
      <c r="C314" s="51"/>
      <c r="D314" s="51"/>
      <c r="E314" s="63" t="s">
        <v>452</v>
      </c>
      <c r="F314" s="422">
        <v>2016</v>
      </c>
      <c r="G314" s="135" t="s">
        <v>1225</v>
      </c>
      <c r="H314" s="422"/>
      <c r="I314" s="135" t="s">
        <v>460</v>
      </c>
      <c r="J314" s="135" t="s">
        <v>966</v>
      </c>
      <c r="K314" s="135" t="s">
        <v>562</v>
      </c>
      <c r="L314" s="135" t="s">
        <v>108</v>
      </c>
      <c r="M314" s="135" t="s">
        <v>109</v>
      </c>
      <c r="N314" s="135" t="s">
        <v>964</v>
      </c>
      <c r="O314" s="135" t="s">
        <v>174</v>
      </c>
      <c r="P314" s="135" t="s">
        <v>459</v>
      </c>
      <c r="Q314" s="135">
        <v>169.07</v>
      </c>
      <c r="R314" s="187">
        <v>378</v>
      </c>
      <c r="S314" s="56"/>
      <c r="T314" s="56"/>
      <c r="U314" s="56"/>
      <c r="V314" s="56"/>
      <c r="W314" s="56"/>
      <c r="X314" s="56"/>
      <c r="Y314" s="56"/>
      <c r="Z314" s="56"/>
      <c r="AA314" s="56"/>
    </row>
    <row r="315" spans="1:27" ht="30" customHeight="1" x14ac:dyDescent="0.25">
      <c r="A315" s="60"/>
      <c r="B315" s="51"/>
      <c r="C315" s="51"/>
      <c r="D315" s="51"/>
      <c r="E315" s="63" t="s">
        <v>451</v>
      </c>
      <c r="F315" s="422">
        <v>2016</v>
      </c>
      <c r="G315" s="135" t="s">
        <v>1225</v>
      </c>
      <c r="H315" s="422">
        <v>2023</v>
      </c>
      <c r="I315" s="135" t="s">
        <v>460</v>
      </c>
      <c r="J315" s="135" t="s">
        <v>967</v>
      </c>
      <c r="K315" s="135" t="s">
        <v>478</v>
      </c>
      <c r="L315" s="135" t="s">
        <v>207</v>
      </c>
      <c r="M315" s="135" t="s">
        <v>211</v>
      </c>
      <c r="N315" s="135" t="s">
        <v>964</v>
      </c>
      <c r="O315" s="135" t="s">
        <v>1339</v>
      </c>
      <c r="P315" s="135" t="s">
        <v>459</v>
      </c>
      <c r="Q315" s="135">
        <v>251.49</v>
      </c>
      <c r="R315" s="187">
        <v>376</v>
      </c>
      <c r="S315" s="56"/>
      <c r="T315" s="56"/>
      <c r="U315" s="56"/>
      <c r="V315" s="56"/>
      <c r="W315" s="56"/>
      <c r="X315" s="56"/>
      <c r="Y315" s="56"/>
      <c r="Z315" s="56"/>
      <c r="AA315" s="56"/>
    </row>
    <row r="316" spans="1:27" ht="30" hidden="1" customHeight="1" x14ac:dyDescent="0.25">
      <c r="A316" s="60"/>
      <c r="B316" s="51"/>
      <c r="C316" s="51"/>
      <c r="D316" s="51"/>
      <c r="E316" s="63" t="s">
        <v>454</v>
      </c>
      <c r="F316" s="422">
        <v>2016</v>
      </c>
      <c r="G316" s="135" t="s">
        <v>1225</v>
      </c>
      <c r="H316" s="422"/>
      <c r="I316" s="135" t="s">
        <v>460</v>
      </c>
      <c r="J316" s="135" t="s">
        <v>966</v>
      </c>
      <c r="K316" s="135" t="s">
        <v>469</v>
      </c>
      <c r="L316" s="135" t="s">
        <v>85</v>
      </c>
      <c r="M316" s="135" t="s">
        <v>85</v>
      </c>
      <c r="N316" s="135" t="s">
        <v>964</v>
      </c>
      <c r="O316" s="135" t="s">
        <v>99</v>
      </c>
      <c r="P316" s="135" t="s">
        <v>459</v>
      </c>
      <c r="Q316" s="135">
        <v>2336.61</v>
      </c>
      <c r="R316" s="187">
        <v>376</v>
      </c>
      <c r="S316" s="56"/>
      <c r="T316" s="56"/>
      <c r="U316" s="56"/>
      <c r="V316" s="56"/>
      <c r="W316" s="56"/>
      <c r="X316" s="56"/>
      <c r="Y316" s="56"/>
      <c r="Z316" s="56"/>
      <c r="AA316" s="56"/>
    </row>
    <row r="317" spans="1:27" ht="30" hidden="1" customHeight="1" x14ac:dyDescent="0.25">
      <c r="A317" s="60"/>
      <c r="B317" s="51"/>
      <c r="C317" s="51"/>
      <c r="D317" s="51"/>
      <c r="E317" s="63" t="s">
        <v>454</v>
      </c>
      <c r="F317" s="422">
        <v>2016</v>
      </c>
      <c r="G317" s="135" t="s">
        <v>1225</v>
      </c>
      <c r="H317" s="422"/>
      <c r="I317" s="135" t="s">
        <v>460</v>
      </c>
      <c r="J317" s="135" t="s">
        <v>966</v>
      </c>
      <c r="K317" s="135" t="s">
        <v>499</v>
      </c>
      <c r="L317" s="135" t="s">
        <v>88</v>
      </c>
      <c r="M317" s="135" t="s">
        <v>729</v>
      </c>
      <c r="N317" s="135" t="s">
        <v>965</v>
      </c>
      <c r="O317" s="135" t="s">
        <v>730</v>
      </c>
      <c r="P317" s="135" t="s">
        <v>459</v>
      </c>
      <c r="Q317" s="135">
        <v>1506.0900000000001</v>
      </c>
      <c r="R317" s="187">
        <v>375</v>
      </c>
      <c r="S317" s="56"/>
      <c r="T317" s="56"/>
      <c r="U317" s="56"/>
      <c r="V317" s="56"/>
      <c r="W317" s="56"/>
      <c r="X317" s="56"/>
      <c r="Y317" s="56"/>
      <c r="Z317" s="56"/>
      <c r="AA317" s="56"/>
    </row>
    <row r="318" spans="1:27" ht="30" customHeight="1" x14ac:dyDescent="0.25">
      <c r="A318" s="60"/>
      <c r="B318" s="51"/>
      <c r="C318" s="51"/>
      <c r="D318" s="51"/>
      <c r="E318" s="63" t="s">
        <v>454</v>
      </c>
      <c r="F318" s="422">
        <v>2016</v>
      </c>
      <c r="G318" s="135" t="s">
        <v>1225</v>
      </c>
      <c r="H318" s="422">
        <v>2023</v>
      </c>
      <c r="I318" s="135" t="s">
        <v>460</v>
      </c>
      <c r="J318" s="135" t="s">
        <v>966</v>
      </c>
      <c r="K318" s="135" t="s">
        <v>469</v>
      </c>
      <c r="L318" s="135" t="s">
        <v>85</v>
      </c>
      <c r="M318" s="135" t="s">
        <v>94</v>
      </c>
      <c r="N318" s="135" t="s">
        <v>965</v>
      </c>
      <c r="O318" s="135" t="s">
        <v>731</v>
      </c>
      <c r="P318" s="135" t="s">
        <v>459</v>
      </c>
      <c r="Q318" s="135">
        <v>1864.7900000000002</v>
      </c>
      <c r="R318" s="187">
        <v>374</v>
      </c>
      <c r="S318" s="56"/>
      <c r="T318" s="56"/>
      <c r="U318" s="56"/>
      <c r="V318" s="56"/>
      <c r="W318" s="56"/>
      <c r="X318" s="56"/>
      <c r="Y318" s="56"/>
      <c r="Z318" s="56"/>
      <c r="AA318" s="56"/>
    </row>
    <row r="319" spans="1:27" ht="30" hidden="1" customHeight="1" x14ac:dyDescent="0.25">
      <c r="A319" s="60"/>
      <c r="B319" s="51"/>
      <c r="C319" s="51"/>
      <c r="D319" s="51"/>
      <c r="E319" s="63" t="s">
        <v>454</v>
      </c>
      <c r="F319" s="422">
        <v>2016</v>
      </c>
      <c r="G319" s="135" t="s">
        <v>1225</v>
      </c>
      <c r="H319" s="422"/>
      <c r="I319" s="135" t="s">
        <v>460</v>
      </c>
      <c r="J319" s="135" t="s">
        <v>967</v>
      </c>
      <c r="K319" s="135" t="s">
        <v>488</v>
      </c>
      <c r="L319" s="135" t="s">
        <v>135</v>
      </c>
      <c r="M319" s="135" t="s">
        <v>136</v>
      </c>
      <c r="N319" s="135" t="s">
        <v>964</v>
      </c>
      <c r="O319" s="135" t="s">
        <v>732</v>
      </c>
      <c r="P319" s="135" t="s">
        <v>459</v>
      </c>
      <c r="Q319" s="135">
        <v>3160.46</v>
      </c>
      <c r="R319" s="187">
        <v>374</v>
      </c>
      <c r="S319" s="56"/>
      <c r="T319" s="56"/>
      <c r="U319" s="56"/>
      <c r="V319" s="56"/>
      <c r="W319" s="56"/>
      <c r="X319" s="56"/>
      <c r="Y319" s="56"/>
      <c r="Z319" s="56"/>
      <c r="AA319" s="56"/>
    </row>
    <row r="320" spans="1:27" ht="30" hidden="1" customHeight="1" x14ac:dyDescent="0.25">
      <c r="A320" s="60"/>
      <c r="B320" s="51"/>
      <c r="C320" s="51"/>
      <c r="D320" s="51"/>
      <c r="E320" s="63" t="s">
        <v>451</v>
      </c>
      <c r="F320" s="422">
        <v>2016</v>
      </c>
      <c r="G320" s="135" t="s">
        <v>1225</v>
      </c>
      <c r="H320" s="422"/>
      <c r="I320" s="135" t="s">
        <v>460</v>
      </c>
      <c r="J320" s="135" t="s">
        <v>971</v>
      </c>
      <c r="K320" s="135" t="s">
        <v>527</v>
      </c>
      <c r="L320" s="135" t="s">
        <v>194</v>
      </c>
      <c r="M320" s="135" t="s">
        <v>196</v>
      </c>
      <c r="N320" s="135" t="s">
        <v>964</v>
      </c>
      <c r="O320" s="135" t="s">
        <v>733</v>
      </c>
      <c r="P320" s="135" t="s">
        <v>459</v>
      </c>
      <c r="Q320" s="135">
        <v>609.4</v>
      </c>
      <c r="R320" s="187">
        <v>373</v>
      </c>
      <c r="S320" s="56"/>
      <c r="T320" s="56"/>
      <c r="U320" s="56"/>
      <c r="V320" s="56"/>
      <c r="W320" s="56"/>
      <c r="X320" s="56"/>
      <c r="Y320" s="56"/>
      <c r="Z320" s="56"/>
      <c r="AA320" s="56"/>
    </row>
    <row r="321" spans="1:27" ht="30" hidden="1" customHeight="1" x14ac:dyDescent="0.25">
      <c r="A321" s="60"/>
      <c r="B321" s="51"/>
      <c r="C321" s="51"/>
      <c r="D321" s="51"/>
      <c r="E321" s="63" t="s">
        <v>452</v>
      </c>
      <c r="F321" s="422">
        <v>2016</v>
      </c>
      <c r="G321" s="135" t="s">
        <v>1225</v>
      </c>
      <c r="H321" s="422"/>
      <c r="I321" s="135" t="s">
        <v>460</v>
      </c>
      <c r="J321" s="135" t="s">
        <v>966</v>
      </c>
      <c r="K321" s="135" t="s">
        <v>562</v>
      </c>
      <c r="L321" s="135" t="s">
        <v>108</v>
      </c>
      <c r="M321" s="135" t="s">
        <v>109</v>
      </c>
      <c r="N321" s="135" t="s">
        <v>964</v>
      </c>
      <c r="O321" s="135" t="s">
        <v>175</v>
      </c>
      <c r="P321" s="135" t="s">
        <v>459</v>
      </c>
      <c r="Q321" s="135">
        <v>200</v>
      </c>
      <c r="R321" s="187">
        <v>373</v>
      </c>
      <c r="S321" s="56"/>
      <c r="T321" s="56"/>
      <c r="U321" s="56"/>
      <c r="V321" s="56"/>
      <c r="W321" s="56"/>
      <c r="X321" s="56"/>
      <c r="Y321" s="56"/>
      <c r="Z321" s="56"/>
      <c r="AA321" s="56"/>
    </row>
    <row r="322" spans="1:27" ht="30" hidden="1" customHeight="1" x14ac:dyDescent="0.25">
      <c r="A322" s="60"/>
      <c r="B322" s="51"/>
      <c r="C322" s="51"/>
      <c r="D322" s="51"/>
      <c r="E322" s="63" t="s">
        <v>454</v>
      </c>
      <c r="F322" s="422">
        <v>2016</v>
      </c>
      <c r="G322" s="135" t="s">
        <v>1225</v>
      </c>
      <c r="H322" s="422"/>
      <c r="I322" s="135" t="s">
        <v>460</v>
      </c>
      <c r="J322" s="135" t="s">
        <v>966</v>
      </c>
      <c r="K322" s="135" t="s">
        <v>499</v>
      </c>
      <c r="L322" s="135" t="s">
        <v>88</v>
      </c>
      <c r="M322" s="135" t="s">
        <v>88</v>
      </c>
      <c r="N322" s="135" t="s">
        <v>964</v>
      </c>
      <c r="O322" s="135" t="s">
        <v>734</v>
      </c>
      <c r="P322" s="135" t="s">
        <v>459</v>
      </c>
      <c r="Q322" s="135">
        <v>1608.8999999999999</v>
      </c>
      <c r="R322" s="187">
        <v>371</v>
      </c>
      <c r="S322" s="56"/>
      <c r="T322" s="56"/>
      <c r="U322" s="56"/>
      <c r="V322" s="56"/>
      <c r="W322" s="56"/>
      <c r="X322" s="56"/>
      <c r="Y322" s="56"/>
      <c r="Z322" s="56"/>
      <c r="AA322" s="56"/>
    </row>
    <row r="323" spans="1:27" ht="30" hidden="1" customHeight="1" x14ac:dyDescent="0.25">
      <c r="A323" s="60"/>
      <c r="B323" s="51"/>
      <c r="C323" s="51"/>
      <c r="D323" s="51"/>
      <c r="E323" s="63" t="s">
        <v>451</v>
      </c>
      <c r="F323" s="422">
        <v>2016</v>
      </c>
      <c r="G323" s="135" t="s">
        <v>1225</v>
      </c>
      <c r="H323" s="422"/>
      <c r="I323" s="135" t="s">
        <v>460</v>
      </c>
      <c r="J323" s="135" t="s">
        <v>963</v>
      </c>
      <c r="K323" s="135" t="s">
        <v>465</v>
      </c>
      <c r="L323" s="135" t="s">
        <v>106</v>
      </c>
      <c r="M323" s="135" t="s">
        <v>270</v>
      </c>
      <c r="N323" s="135" t="s">
        <v>965</v>
      </c>
      <c r="O323" s="135" t="s">
        <v>735</v>
      </c>
      <c r="P323" s="135" t="s">
        <v>459</v>
      </c>
      <c r="Q323" s="135">
        <v>527.4</v>
      </c>
      <c r="R323" s="187">
        <v>370</v>
      </c>
      <c r="S323" s="56"/>
      <c r="T323" s="56"/>
      <c r="U323" s="56"/>
      <c r="V323" s="56"/>
      <c r="W323" s="56"/>
      <c r="X323" s="56"/>
      <c r="Y323" s="56"/>
      <c r="Z323" s="56"/>
      <c r="AA323" s="56"/>
    </row>
    <row r="324" spans="1:27" ht="30" hidden="1" customHeight="1" x14ac:dyDescent="0.25">
      <c r="A324" s="60"/>
      <c r="B324" s="51"/>
      <c r="C324" s="51"/>
      <c r="D324" s="51"/>
      <c r="E324" s="63" t="s">
        <v>451</v>
      </c>
      <c r="F324" s="422">
        <v>2016</v>
      </c>
      <c r="G324" s="135" t="s">
        <v>1225</v>
      </c>
      <c r="H324" s="422"/>
      <c r="I324" s="135" t="s">
        <v>460</v>
      </c>
      <c r="J324" s="135" t="s">
        <v>967</v>
      </c>
      <c r="K324" s="135" t="s">
        <v>553</v>
      </c>
      <c r="L324" s="135" t="s">
        <v>82</v>
      </c>
      <c r="M324" s="135" t="s">
        <v>130</v>
      </c>
      <c r="N324" s="135" t="s">
        <v>964</v>
      </c>
      <c r="O324" s="135" t="s">
        <v>736</v>
      </c>
      <c r="P324" s="135" t="s">
        <v>459</v>
      </c>
      <c r="Q324" s="135">
        <v>569.03</v>
      </c>
      <c r="R324" s="187">
        <v>369</v>
      </c>
      <c r="S324" s="56"/>
      <c r="T324" s="56"/>
      <c r="U324" s="56"/>
      <c r="V324" s="56"/>
      <c r="W324" s="56"/>
      <c r="X324" s="56"/>
      <c r="Y324" s="56"/>
      <c r="Z324" s="56"/>
      <c r="AA324" s="56"/>
    </row>
    <row r="325" spans="1:27" ht="30" hidden="1" customHeight="1" x14ac:dyDescent="0.25">
      <c r="A325" s="60"/>
      <c r="B325" s="51"/>
      <c r="C325" s="51"/>
      <c r="D325" s="51"/>
      <c r="E325" s="63" t="s">
        <v>454</v>
      </c>
      <c r="F325" s="422">
        <v>2016</v>
      </c>
      <c r="G325" s="135" t="s">
        <v>1225</v>
      </c>
      <c r="H325" s="422"/>
      <c r="I325" s="135" t="s">
        <v>460</v>
      </c>
      <c r="J325" s="135" t="s">
        <v>966</v>
      </c>
      <c r="K325" s="135" t="s">
        <v>469</v>
      </c>
      <c r="L325" s="135" t="s">
        <v>85</v>
      </c>
      <c r="M325" s="135" t="s">
        <v>85</v>
      </c>
      <c r="N325" s="135" t="s">
        <v>964</v>
      </c>
      <c r="O325" s="135" t="s">
        <v>737</v>
      </c>
      <c r="P325" s="135" t="s">
        <v>459</v>
      </c>
      <c r="Q325" s="135">
        <v>2163.5</v>
      </c>
      <c r="R325" s="187">
        <v>369</v>
      </c>
      <c r="S325" s="56"/>
      <c r="T325" s="56"/>
      <c r="U325" s="56"/>
      <c r="V325" s="56"/>
      <c r="W325" s="56"/>
      <c r="X325" s="56"/>
      <c r="Y325" s="56"/>
      <c r="Z325" s="56"/>
      <c r="AA325" s="56"/>
    </row>
    <row r="326" spans="1:27" ht="30" hidden="1" customHeight="1" x14ac:dyDescent="0.25">
      <c r="A326" s="60"/>
      <c r="B326" s="51"/>
      <c r="C326" s="51"/>
      <c r="D326" s="51"/>
      <c r="E326" s="63" t="s">
        <v>452</v>
      </c>
      <c r="F326" s="422">
        <v>2016</v>
      </c>
      <c r="G326" s="135" t="s">
        <v>1225</v>
      </c>
      <c r="H326" s="422"/>
      <c r="I326" s="135" t="s">
        <v>460</v>
      </c>
      <c r="J326" s="135" t="s">
        <v>966</v>
      </c>
      <c r="K326" s="135" t="s">
        <v>469</v>
      </c>
      <c r="L326" s="135" t="s">
        <v>85</v>
      </c>
      <c r="M326" s="135" t="s">
        <v>85</v>
      </c>
      <c r="N326" s="135" t="s">
        <v>964</v>
      </c>
      <c r="O326" s="135" t="s">
        <v>737</v>
      </c>
      <c r="P326" s="135" t="s">
        <v>459</v>
      </c>
      <c r="Q326" s="135">
        <v>177.7</v>
      </c>
      <c r="R326" s="187">
        <v>369</v>
      </c>
      <c r="S326" s="56"/>
      <c r="T326" s="56"/>
      <c r="U326" s="56"/>
      <c r="V326" s="56"/>
      <c r="W326" s="56"/>
      <c r="X326" s="56"/>
      <c r="Y326" s="56"/>
      <c r="Z326" s="56"/>
      <c r="AA326" s="56"/>
    </row>
    <row r="327" spans="1:27" ht="30" hidden="1" customHeight="1" x14ac:dyDescent="0.25">
      <c r="A327" s="60"/>
      <c r="B327" s="51"/>
      <c r="C327" s="51"/>
      <c r="D327" s="51"/>
      <c r="E327" s="63" t="s">
        <v>451</v>
      </c>
      <c r="F327" s="422">
        <v>2016</v>
      </c>
      <c r="G327" s="135" t="s">
        <v>1225</v>
      </c>
      <c r="H327" s="422"/>
      <c r="I327" s="135" t="s">
        <v>460</v>
      </c>
      <c r="J327" s="135" t="s">
        <v>969</v>
      </c>
      <c r="K327" s="135" t="s">
        <v>575</v>
      </c>
      <c r="L327" s="135" t="s">
        <v>143</v>
      </c>
      <c r="M327" s="135" t="s">
        <v>144</v>
      </c>
      <c r="N327" s="135" t="s">
        <v>964</v>
      </c>
      <c r="O327" s="135" t="s">
        <v>738</v>
      </c>
      <c r="P327" s="135" t="s">
        <v>459</v>
      </c>
      <c r="Q327" s="135">
        <v>557.79</v>
      </c>
      <c r="R327" s="187">
        <v>366</v>
      </c>
      <c r="S327" s="56"/>
      <c r="T327" s="56"/>
      <c r="U327" s="56"/>
      <c r="V327" s="56"/>
      <c r="W327" s="56"/>
      <c r="X327" s="56"/>
      <c r="Y327" s="56"/>
      <c r="Z327" s="56"/>
      <c r="AA327" s="56"/>
    </row>
    <row r="328" spans="1:27" ht="30" hidden="1" customHeight="1" x14ac:dyDescent="0.25">
      <c r="A328" s="60"/>
      <c r="B328" s="51"/>
      <c r="C328" s="51"/>
      <c r="D328" s="51"/>
      <c r="E328" s="63" t="s">
        <v>452</v>
      </c>
      <c r="F328" s="422">
        <v>2016</v>
      </c>
      <c r="G328" s="135" t="s">
        <v>1225</v>
      </c>
      <c r="H328" s="422"/>
      <c r="I328" s="135" t="s">
        <v>460</v>
      </c>
      <c r="J328" s="135" t="s">
        <v>969</v>
      </c>
      <c r="K328" s="135" t="s">
        <v>575</v>
      </c>
      <c r="L328" s="135" t="s">
        <v>143</v>
      </c>
      <c r="M328" s="135" t="s">
        <v>144</v>
      </c>
      <c r="N328" s="135" t="s">
        <v>964</v>
      </c>
      <c r="O328" s="135" t="s">
        <v>148</v>
      </c>
      <c r="P328" s="135" t="s">
        <v>459</v>
      </c>
      <c r="Q328" s="135">
        <v>244.86</v>
      </c>
      <c r="R328" s="187">
        <v>366</v>
      </c>
      <c r="S328" s="56"/>
      <c r="T328" s="56"/>
      <c r="U328" s="56"/>
      <c r="V328" s="56"/>
      <c r="W328" s="56"/>
      <c r="X328" s="56"/>
      <c r="Y328" s="56"/>
      <c r="Z328" s="56"/>
      <c r="AA328" s="56"/>
    </row>
    <row r="329" spans="1:27" ht="30" hidden="1" customHeight="1" x14ac:dyDescent="0.25">
      <c r="A329" s="60"/>
      <c r="B329" s="51"/>
      <c r="C329" s="51"/>
      <c r="D329" s="51"/>
      <c r="E329" s="63" t="s">
        <v>454</v>
      </c>
      <c r="F329" s="422">
        <v>2016</v>
      </c>
      <c r="G329" s="135" t="s">
        <v>1225</v>
      </c>
      <c r="H329" s="422"/>
      <c r="I329" s="135" t="s">
        <v>460</v>
      </c>
      <c r="J329" s="135" t="s">
        <v>967</v>
      </c>
      <c r="K329" s="135" t="s">
        <v>632</v>
      </c>
      <c r="L329" s="135" t="s">
        <v>92</v>
      </c>
      <c r="M329" s="135" t="s">
        <v>203</v>
      </c>
      <c r="N329" s="135" t="s">
        <v>965</v>
      </c>
      <c r="O329" s="135" t="s">
        <v>204</v>
      </c>
      <c r="P329" s="135" t="s">
        <v>459</v>
      </c>
      <c r="Q329" s="135">
        <v>2830.44</v>
      </c>
      <c r="R329" s="186">
        <v>364</v>
      </c>
      <c r="S329" s="56"/>
      <c r="T329" s="56"/>
      <c r="U329" s="56"/>
      <c r="V329" s="56"/>
      <c r="W329" s="56"/>
      <c r="X329" s="56"/>
      <c r="Y329" s="56"/>
      <c r="Z329" s="56"/>
      <c r="AA329" s="56"/>
    </row>
    <row r="330" spans="1:27" ht="30" hidden="1" customHeight="1" x14ac:dyDescent="0.25">
      <c r="A330" s="60"/>
      <c r="B330" s="51"/>
      <c r="C330" s="51"/>
      <c r="D330" s="51"/>
      <c r="E330" s="63" t="s">
        <v>454</v>
      </c>
      <c r="F330" s="422">
        <v>2016</v>
      </c>
      <c r="G330" s="135" t="s">
        <v>1225</v>
      </c>
      <c r="H330" s="422"/>
      <c r="I330" s="135" t="s">
        <v>460</v>
      </c>
      <c r="J330" s="135" t="s">
        <v>966</v>
      </c>
      <c r="K330" s="135" t="s">
        <v>469</v>
      </c>
      <c r="L330" s="135" t="s">
        <v>85</v>
      </c>
      <c r="M330" s="135" t="s">
        <v>93</v>
      </c>
      <c r="N330" s="135" t="s">
        <v>965</v>
      </c>
      <c r="O330" s="135" t="s">
        <v>359</v>
      </c>
      <c r="P330" s="135" t="s">
        <v>459</v>
      </c>
      <c r="Q330" s="135">
        <v>1525.67</v>
      </c>
      <c r="R330" s="187">
        <v>363</v>
      </c>
      <c r="S330" s="56"/>
      <c r="T330" s="56"/>
      <c r="U330" s="56"/>
      <c r="V330" s="56"/>
      <c r="W330" s="56"/>
      <c r="X330" s="56"/>
      <c r="Y330" s="56"/>
      <c r="Z330" s="56"/>
      <c r="AA330" s="56"/>
    </row>
    <row r="331" spans="1:27" ht="30" customHeight="1" x14ac:dyDescent="0.25">
      <c r="A331" s="60"/>
      <c r="B331" s="51"/>
      <c r="C331" s="51"/>
      <c r="D331" s="51"/>
      <c r="E331" s="63" t="s">
        <v>451</v>
      </c>
      <c r="F331" s="422">
        <v>2016</v>
      </c>
      <c r="G331" s="135" t="s">
        <v>1225</v>
      </c>
      <c r="H331" s="422">
        <v>2023</v>
      </c>
      <c r="I331" s="135" t="s">
        <v>460</v>
      </c>
      <c r="J331" s="135" t="s">
        <v>966</v>
      </c>
      <c r="K331" s="135" t="s">
        <v>469</v>
      </c>
      <c r="L331" s="135" t="s">
        <v>85</v>
      </c>
      <c r="M331" s="135" t="s">
        <v>334</v>
      </c>
      <c r="N331" s="135" t="s">
        <v>965</v>
      </c>
      <c r="O331" s="135" t="s">
        <v>1171</v>
      </c>
      <c r="P331" s="135" t="s">
        <v>459</v>
      </c>
      <c r="Q331" s="135">
        <v>464.99</v>
      </c>
      <c r="R331" s="187">
        <v>362</v>
      </c>
      <c r="S331" s="56"/>
      <c r="T331" s="56"/>
      <c r="U331" s="56"/>
      <c r="V331" s="56"/>
      <c r="W331" s="56"/>
      <c r="X331" s="56"/>
      <c r="Y331" s="56"/>
      <c r="Z331" s="56"/>
      <c r="AA331" s="56"/>
    </row>
    <row r="332" spans="1:27" ht="30" hidden="1" customHeight="1" x14ac:dyDescent="0.25">
      <c r="A332" s="60"/>
      <c r="B332" s="51"/>
      <c r="C332" s="51"/>
      <c r="D332" s="51"/>
      <c r="E332" s="63" t="s">
        <v>454</v>
      </c>
      <c r="F332" s="422">
        <v>2016</v>
      </c>
      <c r="G332" s="135" t="s">
        <v>1226</v>
      </c>
      <c r="H332" s="422"/>
      <c r="I332" s="135" t="s">
        <v>460</v>
      </c>
      <c r="J332" s="135" t="s">
        <v>963</v>
      </c>
      <c r="K332" s="135" t="s">
        <v>461</v>
      </c>
      <c r="L332" s="135" t="s">
        <v>253</v>
      </c>
      <c r="M332" s="135" t="s">
        <v>739</v>
      </c>
      <c r="N332" s="135" t="s">
        <v>965</v>
      </c>
      <c r="O332" s="135" t="s">
        <v>740</v>
      </c>
      <c r="P332" s="135" t="s">
        <v>464</v>
      </c>
      <c r="Q332" s="135">
        <v>1305</v>
      </c>
      <c r="R332" s="187">
        <v>362</v>
      </c>
      <c r="S332" s="56"/>
      <c r="T332" s="56"/>
      <c r="U332" s="56"/>
      <c r="V332" s="56"/>
      <c r="W332" s="56"/>
      <c r="X332" s="56"/>
      <c r="Y332" s="56"/>
      <c r="Z332" s="56"/>
      <c r="AA332" s="56"/>
    </row>
    <row r="333" spans="1:27" ht="30" customHeight="1" x14ac:dyDescent="0.25">
      <c r="A333" s="60"/>
      <c r="B333" s="51"/>
      <c r="C333" s="51"/>
      <c r="D333" s="51"/>
      <c r="E333" s="63" t="s">
        <v>454</v>
      </c>
      <c r="F333" s="422">
        <v>2016</v>
      </c>
      <c r="G333" s="135" t="s">
        <v>1226</v>
      </c>
      <c r="H333" s="422">
        <v>2023</v>
      </c>
      <c r="I333" s="135" t="s">
        <v>460</v>
      </c>
      <c r="J333" s="135" t="s">
        <v>966</v>
      </c>
      <c r="K333" s="135" t="s">
        <v>469</v>
      </c>
      <c r="L333" s="135" t="s">
        <v>85</v>
      </c>
      <c r="M333" s="135" t="s">
        <v>345</v>
      </c>
      <c r="N333" s="135" t="s">
        <v>965</v>
      </c>
      <c r="O333" s="135" t="s">
        <v>1340</v>
      </c>
      <c r="P333" s="135" t="s">
        <v>459</v>
      </c>
      <c r="Q333" s="135">
        <v>1463</v>
      </c>
      <c r="R333" s="187">
        <v>361</v>
      </c>
      <c r="S333" s="56"/>
      <c r="T333" s="56"/>
      <c r="U333" s="56"/>
      <c r="V333" s="56"/>
      <c r="W333" s="56"/>
      <c r="X333" s="56"/>
      <c r="Y333" s="56"/>
      <c r="Z333" s="56"/>
      <c r="AA333" s="56"/>
    </row>
    <row r="334" spans="1:27" ht="30" hidden="1" customHeight="1" x14ac:dyDescent="0.25">
      <c r="A334" s="60"/>
      <c r="B334" s="51"/>
      <c r="C334" s="51"/>
      <c r="D334" s="51"/>
      <c r="E334" s="63" t="s">
        <v>454</v>
      </c>
      <c r="F334" s="422">
        <v>2016</v>
      </c>
      <c r="G334" s="135" t="s">
        <v>1226</v>
      </c>
      <c r="H334" s="422">
        <v>2022</v>
      </c>
      <c r="I334" s="135" t="s">
        <v>460</v>
      </c>
      <c r="J334" s="135" t="s">
        <v>963</v>
      </c>
      <c r="K334" s="135" t="s">
        <v>461</v>
      </c>
      <c r="L334" s="135" t="s">
        <v>253</v>
      </c>
      <c r="M334" s="135" t="s">
        <v>494</v>
      </c>
      <c r="N334" s="135" t="s">
        <v>965</v>
      </c>
      <c r="O334" s="135" t="s">
        <v>1133</v>
      </c>
      <c r="P334" s="135" t="s">
        <v>464</v>
      </c>
      <c r="Q334" s="135">
        <v>1204.24</v>
      </c>
      <c r="R334" s="187">
        <v>361</v>
      </c>
      <c r="S334" s="56"/>
      <c r="T334" s="56"/>
      <c r="U334" s="56"/>
      <c r="V334" s="56"/>
      <c r="W334" s="56"/>
      <c r="X334" s="56"/>
      <c r="Y334" s="56"/>
      <c r="Z334" s="56"/>
      <c r="AA334" s="56"/>
    </row>
    <row r="335" spans="1:27" ht="30" hidden="1" customHeight="1" x14ac:dyDescent="0.25">
      <c r="A335" s="60"/>
      <c r="B335" s="51"/>
      <c r="C335" s="51"/>
      <c r="D335" s="51"/>
      <c r="E335" s="63" t="s">
        <v>454</v>
      </c>
      <c r="F335" s="422">
        <v>2016</v>
      </c>
      <c r="G335" s="135" t="s">
        <v>1226</v>
      </c>
      <c r="H335" s="422"/>
      <c r="I335" s="135" t="s">
        <v>460</v>
      </c>
      <c r="J335" s="135" t="s">
        <v>966</v>
      </c>
      <c r="K335" s="135" t="s">
        <v>492</v>
      </c>
      <c r="L335" s="135" t="s">
        <v>968</v>
      </c>
      <c r="M335" s="135" t="s">
        <v>153</v>
      </c>
      <c r="N335" s="135" t="s">
        <v>965</v>
      </c>
      <c r="O335" s="135" t="s">
        <v>741</v>
      </c>
      <c r="P335" s="135" t="s">
        <v>459</v>
      </c>
      <c r="Q335" s="135">
        <v>3236.37</v>
      </c>
      <c r="R335" s="187">
        <v>361</v>
      </c>
      <c r="S335" s="56"/>
      <c r="T335" s="56"/>
      <c r="U335" s="56"/>
      <c r="V335" s="56"/>
      <c r="W335" s="56"/>
      <c r="X335" s="56"/>
      <c r="Y335" s="56"/>
      <c r="Z335" s="56"/>
      <c r="AA335" s="56"/>
    </row>
    <row r="336" spans="1:27" ht="30" hidden="1" customHeight="1" x14ac:dyDescent="0.25">
      <c r="A336" s="60"/>
      <c r="B336" s="51"/>
      <c r="C336" s="51"/>
      <c r="D336" s="51"/>
      <c r="E336" s="63" t="s">
        <v>451</v>
      </c>
      <c r="F336" s="422">
        <v>2016</v>
      </c>
      <c r="G336" s="135" t="s">
        <v>1226</v>
      </c>
      <c r="H336" s="422"/>
      <c r="I336" s="135" t="s">
        <v>460</v>
      </c>
      <c r="J336" s="135" t="s">
        <v>966</v>
      </c>
      <c r="K336" s="135" t="s">
        <v>469</v>
      </c>
      <c r="L336" s="135" t="s">
        <v>85</v>
      </c>
      <c r="M336" s="135" t="s">
        <v>85</v>
      </c>
      <c r="N336" s="135" t="s">
        <v>964</v>
      </c>
      <c r="O336" s="135" t="s">
        <v>742</v>
      </c>
      <c r="P336" s="135" t="s">
        <v>459</v>
      </c>
      <c r="Q336" s="135">
        <v>291.75</v>
      </c>
      <c r="R336" s="187">
        <v>360</v>
      </c>
      <c r="S336" s="56"/>
      <c r="T336" s="56"/>
      <c r="U336" s="56"/>
      <c r="V336" s="56"/>
      <c r="W336" s="56"/>
      <c r="X336" s="56"/>
      <c r="Y336" s="56"/>
      <c r="Z336" s="56"/>
      <c r="AA336" s="56"/>
    </row>
    <row r="337" spans="1:27" ht="30" hidden="1" customHeight="1" x14ac:dyDescent="0.25">
      <c r="A337" s="60"/>
      <c r="B337" s="51"/>
      <c r="C337" s="51"/>
      <c r="D337" s="51"/>
      <c r="E337" s="63" t="s">
        <v>451</v>
      </c>
      <c r="F337" s="422">
        <v>2016</v>
      </c>
      <c r="G337" s="135" t="s">
        <v>1226</v>
      </c>
      <c r="H337" s="422"/>
      <c r="I337" s="135" t="s">
        <v>460</v>
      </c>
      <c r="J337" s="135" t="s">
        <v>967</v>
      </c>
      <c r="K337" s="135" t="s">
        <v>485</v>
      </c>
      <c r="L337" s="135" t="s">
        <v>167</v>
      </c>
      <c r="M337" s="135" t="s">
        <v>169</v>
      </c>
      <c r="N337" s="135" t="s">
        <v>964</v>
      </c>
      <c r="O337" s="135" t="s">
        <v>170</v>
      </c>
      <c r="P337" s="135" t="s">
        <v>459</v>
      </c>
      <c r="Q337" s="135">
        <v>611.66999999999996</v>
      </c>
      <c r="R337" s="187">
        <v>359</v>
      </c>
      <c r="S337" s="56"/>
      <c r="T337" s="56"/>
      <c r="U337" s="56"/>
      <c r="V337" s="56"/>
      <c r="W337" s="56"/>
      <c r="X337" s="56"/>
      <c r="Y337" s="56"/>
      <c r="Z337" s="56"/>
      <c r="AA337" s="56"/>
    </row>
    <row r="338" spans="1:27" ht="30" hidden="1" customHeight="1" x14ac:dyDescent="0.25">
      <c r="A338" s="60"/>
      <c r="B338" s="51"/>
      <c r="C338" s="51"/>
      <c r="D338" s="51"/>
      <c r="E338" s="63" t="s">
        <v>451</v>
      </c>
      <c r="F338" s="422">
        <v>2016</v>
      </c>
      <c r="G338" s="135" t="s">
        <v>1226</v>
      </c>
      <c r="H338" s="422"/>
      <c r="I338" s="135" t="s">
        <v>460</v>
      </c>
      <c r="J338" s="135" t="s">
        <v>966</v>
      </c>
      <c r="K338" s="135" t="s">
        <v>499</v>
      </c>
      <c r="L338" s="135" t="s">
        <v>88</v>
      </c>
      <c r="M338" s="135" t="s">
        <v>88</v>
      </c>
      <c r="N338" s="135" t="s">
        <v>964</v>
      </c>
      <c r="O338" s="135" t="s">
        <v>743</v>
      </c>
      <c r="P338" s="135" t="s">
        <v>459</v>
      </c>
      <c r="Q338" s="135">
        <v>451.47</v>
      </c>
      <c r="R338" s="187">
        <v>358</v>
      </c>
      <c r="S338" s="56"/>
      <c r="T338" s="56"/>
      <c r="U338" s="56"/>
      <c r="V338" s="56"/>
      <c r="W338" s="56"/>
      <c r="X338" s="56"/>
      <c r="Y338" s="56"/>
      <c r="Z338" s="56"/>
      <c r="AA338" s="56"/>
    </row>
    <row r="339" spans="1:27" ht="30" hidden="1" customHeight="1" x14ac:dyDescent="0.25">
      <c r="A339" s="60"/>
      <c r="B339" s="51"/>
      <c r="C339" s="51"/>
      <c r="D339" s="51"/>
      <c r="E339" s="63" t="s">
        <v>454</v>
      </c>
      <c r="F339" s="422">
        <v>2016</v>
      </c>
      <c r="G339" s="135" t="s">
        <v>1226</v>
      </c>
      <c r="H339" s="422">
        <v>2020</v>
      </c>
      <c r="I339" s="135" t="s">
        <v>460</v>
      </c>
      <c r="J339" s="135" t="s">
        <v>966</v>
      </c>
      <c r="K339" s="135" t="s">
        <v>499</v>
      </c>
      <c r="L339" s="135" t="s">
        <v>88</v>
      </c>
      <c r="M339" s="135" t="s">
        <v>88</v>
      </c>
      <c r="N339" s="135" t="s">
        <v>964</v>
      </c>
      <c r="O339" s="135" t="s">
        <v>744</v>
      </c>
      <c r="P339" s="135" t="s">
        <v>464</v>
      </c>
      <c r="Q339" s="135">
        <v>842.83</v>
      </c>
      <c r="R339" s="187">
        <v>357</v>
      </c>
      <c r="S339" s="56"/>
      <c r="T339" s="56"/>
      <c r="U339" s="56"/>
      <c r="V339" s="56"/>
      <c r="W339" s="56"/>
      <c r="X339" s="56"/>
      <c r="Y339" s="56"/>
      <c r="Z339" s="56"/>
      <c r="AA339" s="56"/>
    </row>
    <row r="340" spans="1:27" ht="30" hidden="1" customHeight="1" x14ac:dyDescent="0.25">
      <c r="A340" s="60"/>
      <c r="B340" s="51"/>
      <c r="C340" s="51"/>
      <c r="D340" s="51"/>
      <c r="E340" s="63" t="s">
        <v>454</v>
      </c>
      <c r="F340" s="422">
        <v>2016</v>
      </c>
      <c r="G340" s="135" t="s">
        <v>1226</v>
      </c>
      <c r="H340" s="422"/>
      <c r="I340" s="135" t="s">
        <v>460</v>
      </c>
      <c r="J340" s="135" t="s">
        <v>966</v>
      </c>
      <c r="K340" s="135" t="s">
        <v>562</v>
      </c>
      <c r="L340" s="135" t="s">
        <v>108</v>
      </c>
      <c r="M340" s="135" t="s">
        <v>178</v>
      </c>
      <c r="N340" s="135" t="s">
        <v>965</v>
      </c>
      <c r="O340" s="135" t="s">
        <v>745</v>
      </c>
      <c r="P340" s="135" t="s">
        <v>459</v>
      </c>
      <c r="Q340" s="135">
        <v>2734.67</v>
      </c>
      <c r="R340" s="187">
        <v>357</v>
      </c>
      <c r="S340" s="56"/>
      <c r="T340" s="56"/>
      <c r="U340" s="56"/>
      <c r="V340" s="56"/>
      <c r="W340" s="56"/>
      <c r="X340" s="56"/>
      <c r="Y340" s="56"/>
      <c r="Z340" s="56"/>
      <c r="AA340" s="56"/>
    </row>
    <row r="341" spans="1:27" ht="30" customHeight="1" x14ac:dyDescent="0.25">
      <c r="A341" s="60"/>
      <c r="B341" s="51"/>
      <c r="C341" s="51"/>
      <c r="D341" s="51"/>
      <c r="E341" s="63" t="s">
        <v>451</v>
      </c>
      <c r="F341" s="422">
        <v>2016</v>
      </c>
      <c r="G341" s="135" t="s">
        <v>1226</v>
      </c>
      <c r="H341" s="422">
        <v>2023</v>
      </c>
      <c r="I341" s="135" t="s">
        <v>460</v>
      </c>
      <c r="J341" s="135" t="s">
        <v>967</v>
      </c>
      <c r="K341" s="135" t="s">
        <v>480</v>
      </c>
      <c r="L341" s="135" t="s">
        <v>102</v>
      </c>
      <c r="M341" s="135" t="s">
        <v>103</v>
      </c>
      <c r="N341" s="135" t="s">
        <v>964</v>
      </c>
      <c r="O341" s="135" t="s">
        <v>1172</v>
      </c>
      <c r="P341" s="135" t="s">
        <v>459</v>
      </c>
      <c r="Q341" s="135">
        <v>432.34</v>
      </c>
      <c r="R341" s="187">
        <v>356</v>
      </c>
      <c r="S341" s="56"/>
      <c r="T341" s="56"/>
      <c r="U341" s="56"/>
      <c r="V341" s="56"/>
      <c r="W341" s="56"/>
      <c r="X341" s="56"/>
      <c r="Y341" s="56"/>
      <c r="Z341" s="56"/>
      <c r="AA341" s="56"/>
    </row>
    <row r="342" spans="1:27" ht="30" hidden="1" customHeight="1" x14ac:dyDescent="0.25">
      <c r="A342" s="60"/>
      <c r="B342" s="51"/>
      <c r="C342" s="51"/>
      <c r="D342" s="51"/>
      <c r="E342" s="63" t="s">
        <v>454</v>
      </c>
      <c r="F342" s="422">
        <v>2016</v>
      </c>
      <c r="G342" s="135" t="s">
        <v>1227</v>
      </c>
      <c r="H342" s="422"/>
      <c r="I342" s="135" t="s">
        <v>460</v>
      </c>
      <c r="J342" s="135" t="s">
        <v>963</v>
      </c>
      <c r="K342" s="135" t="s">
        <v>474</v>
      </c>
      <c r="L342" s="135" t="s">
        <v>95</v>
      </c>
      <c r="M342" s="135" t="s">
        <v>746</v>
      </c>
      <c r="N342" s="135" t="s">
        <v>965</v>
      </c>
      <c r="O342" s="135" t="s">
        <v>747</v>
      </c>
      <c r="P342" s="135" t="s">
        <v>459</v>
      </c>
      <c r="Q342" s="135">
        <v>2515.77</v>
      </c>
      <c r="R342" s="187">
        <v>356</v>
      </c>
      <c r="S342" s="56"/>
      <c r="T342" s="56"/>
      <c r="U342" s="56"/>
      <c r="V342" s="56"/>
      <c r="W342" s="56"/>
      <c r="X342" s="56"/>
      <c r="Y342" s="56"/>
      <c r="Z342" s="56"/>
      <c r="AA342" s="56"/>
    </row>
    <row r="343" spans="1:27" ht="30" hidden="1" customHeight="1" x14ac:dyDescent="0.25">
      <c r="A343" s="60"/>
      <c r="B343" s="51"/>
      <c r="C343" s="51"/>
      <c r="D343" s="51"/>
      <c r="E343" s="63" t="s">
        <v>452</v>
      </c>
      <c r="F343" s="422">
        <v>2016</v>
      </c>
      <c r="G343" s="135" t="s">
        <v>1227</v>
      </c>
      <c r="H343" s="422"/>
      <c r="I343" s="135" t="s">
        <v>460</v>
      </c>
      <c r="J343" s="135" t="s">
        <v>966</v>
      </c>
      <c r="K343" s="135" t="s">
        <v>469</v>
      </c>
      <c r="L343" s="135" t="s">
        <v>85</v>
      </c>
      <c r="M343" s="135" t="s">
        <v>104</v>
      </c>
      <c r="N343" s="135" t="s">
        <v>965</v>
      </c>
      <c r="O343" s="135" t="s">
        <v>748</v>
      </c>
      <c r="P343" s="135" t="s">
        <v>459</v>
      </c>
      <c r="Q343" s="135">
        <v>171</v>
      </c>
      <c r="R343" s="187">
        <v>355</v>
      </c>
      <c r="S343" s="56"/>
      <c r="T343" s="56"/>
      <c r="U343" s="56"/>
      <c r="V343" s="56"/>
      <c r="W343" s="56"/>
      <c r="X343" s="56"/>
      <c r="Y343" s="56"/>
      <c r="Z343" s="56"/>
      <c r="AA343" s="56"/>
    </row>
    <row r="344" spans="1:27" ht="30" hidden="1" customHeight="1" x14ac:dyDescent="0.25">
      <c r="A344" s="60"/>
      <c r="B344" s="51"/>
      <c r="C344" s="51"/>
      <c r="D344" s="51"/>
      <c r="E344" s="63" t="s">
        <v>452</v>
      </c>
      <c r="F344" s="422">
        <v>2016</v>
      </c>
      <c r="G344" s="135" t="s">
        <v>1227</v>
      </c>
      <c r="H344" s="422"/>
      <c r="I344" s="135" t="s">
        <v>460</v>
      </c>
      <c r="J344" s="135" t="s">
        <v>966</v>
      </c>
      <c r="K344" s="135" t="s">
        <v>469</v>
      </c>
      <c r="L344" s="135" t="s">
        <v>85</v>
      </c>
      <c r="M344" s="135" t="s">
        <v>313</v>
      </c>
      <c r="N344" s="135" t="s">
        <v>965</v>
      </c>
      <c r="O344" s="135" t="s">
        <v>314</v>
      </c>
      <c r="P344" s="135" t="s">
        <v>459</v>
      </c>
      <c r="Q344" s="135">
        <v>180.52</v>
      </c>
      <c r="R344" s="187">
        <v>355</v>
      </c>
      <c r="S344" s="56"/>
      <c r="T344" s="56"/>
      <c r="U344" s="56"/>
      <c r="V344" s="56"/>
      <c r="W344" s="56"/>
      <c r="X344" s="56"/>
      <c r="Y344" s="56"/>
      <c r="Z344" s="56"/>
      <c r="AA344" s="56"/>
    </row>
    <row r="345" spans="1:27" ht="30" hidden="1" customHeight="1" x14ac:dyDescent="0.25">
      <c r="A345" s="60"/>
      <c r="B345" s="51"/>
      <c r="C345" s="51"/>
      <c r="D345" s="51"/>
      <c r="E345" s="63" t="s">
        <v>452</v>
      </c>
      <c r="F345" s="422">
        <v>2016</v>
      </c>
      <c r="G345" s="135" t="s">
        <v>1227</v>
      </c>
      <c r="H345" s="422"/>
      <c r="I345" s="135" t="s">
        <v>460</v>
      </c>
      <c r="J345" s="135" t="s">
        <v>963</v>
      </c>
      <c r="K345" s="135" t="s">
        <v>474</v>
      </c>
      <c r="L345" s="135" t="s">
        <v>95</v>
      </c>
      <c r="M345" s="135" t="s">
        <v>96</v>
      </c>
      <c r="N345" s="135" t="s">
        <v>964</v>
      </c>
      <c r="O345" s="135" t="s">
        <v>750</v>
      </c>
      <c r="P345" s="135" t="s">
        <v>459</v>
      </c>
      <c r="Q345" s="135">
        <v>200.56</v>
      </c>
      <c r="R345" s="187">
        <v>353</v>
      </c>
      <c r="S345" s="56"/>
      <c r="T345" s="56"/>
      <c r="U345" s="56"/>
      <c r="V345" s="56"/>
      <c r="W345" s="56"/>
      <c r="X345" s="56"/>
      <c r="Y345" s="56"/>
      <c r="Z345" s="56"/>
      <c r="AA345" s="56"/>
    </row>
    <row r="346" spans="1:27" ht="30" hidden="1" customHeight="1" x14ac:dyDescent="0.25">
      <c r="A346" s="60"/>
      <c r="B346" s="51"/>
      <c r="C346" s="51"/>
      <c r="D346" s="51"/>
      <c r="E346" s="63" t="s">
        <v>452</v>
      </c>
      <c r="F346" s="422">
        <v>2016</v>
      </c>
      <c r="G346" s="135" t="s">
        <v>1227</v>
      </c>
      <c r="H346" s="422"/>
      <c r="I346" s="135" t="s">
        <v>460</v>
      </c>
      <c r="J346" s="135" t="s">
        <v>966</v>
      </c>
      <c r="K346" s="135" t="s">
        <v>469</v>
      </c>
      <c r="L346" s="135" t="s">
        <v>85</v>
      </c>
      <c r="M346" s="135" t="s">
        <v>324</v>
      </c>
      <c r="N346" s="135" t="s">
        <v>965</v>
      </c>
      <c r="O346" s="135" t="s">
        <v>749</v>
      </c>
      <c r="P346" s="135" t="s">
        <v>459</v>
      </c>
      <c r="Q346" s="135">
        <v>204.04</v>
      </c>
      <c r="R346" s="187">
        <v>353</v>
      </c>
      <c r="S346" s="56"/>
      <c r="T346" s="56"/>
      <c r="U346" s="56"/>
      <c r="V346" s="56"/>
      <c r="W346" s="56"/>
      <c r="X346" s="56"/>
      <c r="Y346" s="56"/>
      <c r="Z346" s="56"/>
      <c r="AA346" s="56"/>
    </row>
    <row r="347" spans="1:27" ht="30" hidden="1" customHeight="1" x14ac:dyDescent="0.25">
      <c r="A347" s="60"/>
      <c r="B347" s="51"/>
      <c r="C347" s="51"/>
      <c r="D347" s="51"/>
      <c r="E347" s="63" t="s">
        <v>452</v>
      </c>
      <c r="F347" s="422">
        <v>2016</v>
      </c>
      <c r="G347" s="135" t="s">
        <v>1227</v>
      </c>
      <c r="H347" s="422">
        <v>2019</v>
      </c>
      <c r="I347" s="135" t="s">
        <v>460</v>
      </c>
      <c r="J347" s="135" t="s">
        <v>966</v>
      </c>
      <c r="K347" s="135" t="s">
        <v>469</v>
      </c>
      <c r="L347" s="135" t="s">
        <v>85</v>
      </c>
      <c r="M347" s="135" t="s">
        <v>93</v>
      </c>
      <c r="N347" s="135" t="s">
        <v>965</v>
      </c>
      <c r="O347" s="135" t="s">
        <v>751</v>
      </c>
      <c r="P347" s="135" t="s">
        <v>459</v>
      </c>
      <c r="Q347" s="135">
        <v>184.8</v>
      </c>
      <c r="R347" s="187">
        <v>351</v>
      </c>
      <c r="S347" s="56"/>
      <c r="T347" s="56"/>
      <c r="U347" s="56"/>
      <c r="V347" s="56"/>
      <c r="W347" s="56"/>
      <c r="X347" s="56"/>
      <c r="Y347" s="56"/>
      <c r="Z347" s="56"/>
      <c r="AA347" s="56"/>
    </row>
    <row r="348" spans="1:27" ht="30" hidden="1" customHeight="1" x14ac:dyDescent="0.25">
      <c r="A348" s="60"/>
      <c r="B348" s="51"/>
      <c r="C348" s="51"/>
      <c r="D348" s="51"/>
      <c r="E348" s="63" t="s">
        <v>452</v>
      </c>
      <c r="F348" s="422">
        <v>2016</v>
      </c>
      <c r="G348" s="135" t="s">
        <v>1227</v>
      </c>
      <c r="H348" s="422"/>
      <c r="I348" s="135" t="s">
        <v>460</v>
      </c>
      <c r="J348" s="135" t="s">
        <v>966</v>
      </c>
      <c r="K348" s="135" t="s">
        <v>562</v>
      </c>
      <c r="L348" s="135" t="s">
        <v>108</v>
      </c>
      <c r="M348" s="135" t="s">
        <v>176</v>
      </c>
      <c r="N348" s="135" t="s">
        <v>965</v>
      </c>
      <c r="O348" s="135" t="s">
        <v>752</v>
      </c>
      <c r="P348" s="135" t="s">
        <v>459</v>
      </c>
      <c r="Q348" s="135">
        <v>241.77</v>
      </c>
      <c r="R348" s="187">
        <v>351</v>
      </c>
      <c r="S348" s="56"/>
      <c r="T348" s="56"/>
      <c r="U348" s="56"/>
      <c r="V348" s="56"/>
      <c r="W348" s="56"/>
      <c r="X348" s="56"/>
      <c r="Y348" s="56"/>
      <c r="Z348" s="56"/>
      <c r="AA348" s="56"/>
    </row>
    <row r="349" spans="1:27" ht="30" hidden="1" customHeight="1" x14ac:dyDescent="0.25">
      <c r="A349" s="60"/>
      <c r="B349" s="51"/>
      <c r="C349" s="51"/>
      <c r="D349" s="51"/>
      <c r="E349" s="63" t="s">
        <v>451</v>
      </c>
      <c r="F349" s="422">
        <v>2016</v>
      </c>
      <c r="G349" s="135" t="s">
        <v>1227</v>
      </c>
      <c r="H349" s="422"/>
      <c r="I349" s="135" t="s">
        <v>460</v>
      </c>
      <c r="J349" s="135" t="s">
        <v>966</v>
      </c>
      <c r="K349" s="135" t="s">
        <v>469</v>
      </c>
      <c r="L349" s="135" t="s">
        <v>85</v>
      </c>
      <c r="M349" s="135" t="s">
        <v>93</v>
      </c>
      <c r="N349" s="135" t="s">
        <v>965</v>
      </c>
      <c r="O349" s="135" t="s">
        <v>753</v>
      </c>
      <c r="P349" s="135" t="s">
        <v>459</v>
      </c>
      <c r="Q349" s="135">
        <v>645.58000000000004</v>
      </c>
      <c r="R349" s="187">
        <v>350</v>
      </c>
      <c r="S349" s="56"/>
      <c r="T349" s="56"/>
      <c r="U349" s="56"/>
      <c r="V349" s="56"/>
      <c r="W349" s="56"/>
      <c r="X349" s="56"/>
      <c r="Y349" s="56"/>
      <c r="Z349" s="56"/>
      <c r="AA349" s="56"/>
    </row>
    <row r="350" spans="1:27" ht="30" hidden="1" customHeight="1" x14ac:dyDescent="0.25">
      <c r="A350" s="60"/>
      <c r="B350" s="51"/>
      <c r="C350" s="51"/>
      <c r="D350" s="51"/>
      <c r="E350" s="63" t="s">
        <v>452</v>
      </c>
      <c r="F350" s="422">
        <v>2016</v>
      </c>
      <c r="G350" s="135" t="s">
        <v>1227</v>
      </c>
      <c r="H350" s="422">
        <v>2021</v>
      </c>
      <c r="I350" s="135" t="s">
        <v>460</v>
      </c>
      <c r="J350" s="135" t="s">
        <v>966</v>
      </c>
      <c r="K350" s="135" t="s">
        <v>562</v>
      </c>
      <c r="L350" s="135" t="s">
        <v>108</v>
      </c>
      <c r="M350" s="135" t="s">
        <v>109</v>
      </c>
      <c r="N350" s="135" t="s">
        <v>964</v>
      </c>
      <c r="O350" s="135" t="s">
        <v>1134</v>
      </c>
      <c r="P350" s="135" t="s">
        <v>459</v>
      </c>
      <c r="Q350" s="135">
        <v>225.79</v>
      </c>
      <c r="R350" s="187">
        <v>349</v>
      </c>
      <c r="S350" s="56"/>
      <c r="T350" s="56"/>
      <c r="U350" s="56"/>
      <c r="V350" s="56"/>
      <c r="W350" s="56"/>
      <c r="X350" s="56"/>
      <c r="Y350" s="56"/>
      <c r="Z350" s="56"/>
      <c r="AA350" s="56"/>
    </row>
    <row r="351" spans="1:27" ht="30" hidden="1" customHeight="1" x14ac:dyDescent="0.25">
      <c r="A351" s="60"/>
      <c r="B351" s="51"/>
      <c r="C351" s="51"/>
      <c r="D351" s="51"/>
      <c r="E351" s="63" t="s">
        <v>452</v>
      </c>
      <c r="F351" s="422">
        <v>2016</v>
      </c>
      <c r="G351" s="135" t="s">
        <v>1227</v>
      </c>
      <c r="H351" s="422">
        <v>2020</v>
      </c>
      <c r="I351" s="135" t="s">
        <v>460</v>
      </c>
      <c r="J351" s="135" t="s">
        <v>963</v>
      </c>
      <c r="K351" s="135" t="s">
        <v>461</v>
      </c>
      <c r="L351" s="135" t="s">
        <v>253</v>
      </c>
      <c r="M351" s="135" t="s">
        <v>254</v>
      </c>
      <c r="N351" s="135" t="s">
        <v>965</v>
      </c>
      <c r="O351" s="135" t="s">
        <v>754</v>
      </c>
      <c r="P351" s="135" t="s">
        <v>459</v>
      </c>
      <c r="Q351" s="135">
        <v>207</v>
      </c>
      <c r="R351" s="187">
        <v>349</v>
      </c>
      <c r="S351" s="56"/>
      <c r="T351" s="56"/>
      <c r="U351" s="56"/>
      <c r="V351" s="56"/>
      <c r="W351" s="56"/>
      <c r="X351" s="56"/>
      <c r="Y351" s="56"/>
      <c r="Z351" s="56"/>
      <c r="AA351" s="56"/>
    </row>
    <row r="352" spans="1:27" ht="30" hidden="1" customHeight="1" x14ac:dyDescent="0.25">
      <c r="A352" s="60"/>
      <c r="B352" s="51"/>
      <c r="C352" s="51"/>
      <c r="D352" s="51"/>
      <c r="E352" s="63" t="s">
        <v>451</v>
      </c>
      <c r="F352" s="422">
        <v>2016</v>
      </c>
      <c r="G352" s="135" t="s">
        <v>1227</v>
      </c>
      <c r="H352" s="422"/>
      <c r="I352" s="135" t="s">
        <v>460</v>
      </c>
      <c r="J352" s="135" t="s">
        <v>967</v>
      </c>
      <c r="K352" s="135" t="s">
        <v>482</v>
      </c>
      <c r="L352" s="135" t="s">
        <v>114</v>
      </c>
      <c r="M352" s="135" t="s">
        <v>115</v>
      </c>
      <c r="N352" s="135" t="s">
        <v>964</v>
      </c>
      <c r="O352" s="135" t="s">
        <v>117</v>
      </c>
      <c r="P352" s="135" t="s">
        <v>459</v>
      </c>
      <c r="Q352" s="135">
        <v>511.48</v>
      </c>
      <c r="R352" s="187">
        <v>349</v>
      </c>
      <c r="S352" s="56"/>
      <c r="T352" s="56"/>
      <c r="U352" s="56"/>
      <c r="V352" s="56"/>
      <c r="W352" s="56"/>
      <c r="X352" s="56"/>
      <c r="Y352" s="56"/>
      <c r="Z352" s="56"/>
      <c r="AA352" s="56"/>
    </row>
    <row r="353" spans="1:27" ht="30" hidden="1" customHeight="1" x14ac:dyDescent="0.25">
      <c r="A353" s="60"/>
      <c r="B353" s="51"/>
      <c r="C353" s="51"/>
      <c r="D353" s="51"/>
      <c r="E353" s="63" t="s">
        <v>451</v>
      </c>
      <c r="F353" s="422">
        <v>2016</v>
      </c>
      <c r="G353" s="135" t="s">
        <v>1227</v>
      </c>
      <c r="H353" s="422"/>
      <c r="I353" s="135" t="s">
        <v>460</v>
      </c>
      <c r="J353" s="135" t="s">
        <v>966</v>
      </c>
      <c r="K353" s="135" t="s">
        <v>499</v>
      </c>
      <c r="L353" s="135" t="s">
        <v>88</v>
      </c>
      <c r="M353" s="135" t="s">
        <v>242</v>
      </c>
      <c r="N353" s="135" t="s">
        <v>965</v>
      </c>
      <c r="O353" s="135" t="s">
        <v>243</v>
      </c>
      <c r="P353" s="135" t="s">
        <v>459</v>
      </c>
      <c r="Q353" s="135">
        <v>453.52</v>
      </c>
      <c r="R353" s="187">
        <v>348</v>
      </c>
      <c r="S353" s="56"/>
      <c r="T353" s="56"/>
      <c r="U353" s="56"/>
      <c r="V353" s="56"/>
      <c r="W353" s="56"/>
      <c r="X353" s="56"/>
      <c r="Y353" s="56"/>
      <c r="Z353" s="56"/>
      <c r="AA353" s="56"/>
    </row>
    <row r="354" spans="1:27" ht="30" hidden="1" customHeight="1" x14ac:dyDescent="0.25">
      <c r="A354" s="60"/>
      <c r="B354" s="51"/>
      <c r="C354" s="51"/>
      <c r="D354" s="51"/>
      <c r="E354" s="63" t="s">
        <v>454</v>
      </c>
      <c r="F354" s="422">
        <v>2016</v>
      </c>
      <c r="G354" s="135" t="s">
        <v>1227</v>
      </c>
      <c r="H354" s="422"/>
      <c r="I354" s="135" t="s">
        <v>460</v>
      </c>
      <c r="J354" s="135" t="s">
        <v>966</v>
      </c>
      <c r="K354" s="135" t="s">
        <v>469</v>
      </c>
      <c r="L354" s="135" t="s">
        <v>85</v>
      </c>
      <c r="M354" s="135" t="s">
        <v>85</v>
      </c>
      <c r="N354" s="135" t="s">
        <v>964</v>
      </c>
      <c r="O354" s="135" t="s">
        <v>755</v>
      </c>
      <c r="P354" s="135" t="s">
        <v>459</v>
      </c>
      <c r="Q354" s="135">
        <v>1999.0400000000002</v>
      </c>
      <c r="R354" s="187">
        <v>348</v>
      </c>
      <c r="S354" s="56"/>
      <c r="T354" s="56"/>
      <c r="U354" s="56"/>
      <c r="V354" s="56"/>
      <c r="W354" s="56"/>
      <c r="X354" s="56"/>
      <c r="Y354" s="56"/>
      <c r="Z354" s="56"/>
      <c r="AA354" s="56"/>
    </row>
    <row r="355" spans="1:27" ht="30" hidden="1" customHeight="1" x14ac:dyDescent="0.25">
      <c r="A355" s="60"/>
      <c r="B355" s="51"/>
      <c r="C355" s="51"/>
      <c r="D355" s="51"/>
      <c r="E355" s="63" t="s">
        <v>454</v>
      </c>
      <c r="F355" s="422">
        <v>2016</v>
      </c>
      <c r="G355" s="135" t="s">
        <v>1227</v>
      </c>
      <c r="H355" s="422"/>
      <c r="I355" s="135" t="s">
        <v>460</v>
      </c>
      <c r="J355" s="135" t="s">
        <v>966</v>
      </c>
      <c r="K355" s="135" t="s">
        <v>499</v>
      </c>
      <c r="L355" s="135" t="s">
        <v>88</v>
      </c>
      <c r="M355" s="135" t="s">
        <v>242</v>
      </c>
      <c r="N355" s="135" t="s">
        <v>965</v>
      </c>
      <c r="O355" s="135" t="s">
        <v>243</v>
      </c>
      <c r="P355" s="135" t="s">
        <v>459</v>
      </c>
      <c r="Q355" s="135">
        <v>3369.61</v>
      </c>
      <c r="R355" s="187">
        <v>346</v>
      </c>
      <c r="S355" s="56"/>
      <c r="T355" s="56"/>
      <c r="U355" s="56"/>
      <c r="V355" s="56"/>
      <c r="W355" s="56"/>
      <c r="X355" s="56"/>
      <c r="Y355" s="56"/>
      <c r="Z355" s="56"/>
      <c r="AA355" s="56"/>
    </row>
    <row r="356" spans="1:27" ht="30" hidden="1" customHeight="1" x14ac:dyDescent="0.25">
      <c r="A356" s="60"/>
      <c r="B356" s="51"/>
      <c r="C356" s="51"/>
      <c r="D356" s="51"/>
      <c r="E356" s="63" t="s">
        <v>452</v>
      </c>
      <c r="F356" s="422">
        <v>2016</v>
      </c>
      <c r="G356" s="135" t="s">
        <v>1227</v>
      </c>
      <c r="H356" s="422"/>
      <c r="I356" s="135" t="s">
        <v>460</v>
      </c>
      <c r="J356" s="135" t="s">
        <v>963</v>
      </c>
      <c r="K356" s="135" t="s">
        <v>461</v>
      </c>
      <c r="L356" s="135" t="s">
        <v>253</v>
      </c>
      <c r="M356" s="135" t="s">
        <v>258</v>
      </c>
      <c r="N356" s="135" t="s">
        <v>964</v>
      </c>
      <c r="O356" s="135" t="s">
        <v>756</v>
      </c>
      <c r="P356" s="135" t="s">
        <v>459</v>
      </c>
      <c r="Q356" s="135">
        <v>203.53</v>
      </c>
      <c r="R356" s="187">
        <v>346</v>
      </c>
      <c r="S356" s="56"/>
      <c r="T356" s="56"/>
      <c r="U356" s="56"/>
      <c r="V356" s="56"/>
      <c r="W356" s="56"/>
      <c r="X356" s="56"/>
      <c r="Y356" s="56"/>
      <c r="Z356" s="56"/>
      <c r="AA356" s="56"/>
    </row>
    <row r="357" spans="1:27" ht="30" hidden="1" customHeight="1" x14ac:dyDescent="0.25">
      <c r="A357" s="60"/>
      <c r="B357" s="51"/>
      <c r="C357" s="51"/>
      <c r="D357" s="51"/>
      <c r="E357" s="63" t="s">
        <v>454</v>
      </c>
      <c r="F357" s="422">
        <v>2016</v>
      </c>
      <c r="G357" s="135" t="s">
        <v>1227</v>
      </c>
      <c r="H357" s="422"/>
      <c r="I357" s="135" t="s">
        <v>460</v>
      </c>
      <c r="J357" s="135" t="s">
        <v>969</v>
      </c>
      <c r="K357" s="135" t="s">
        <v>509</v>
      </c>
      <c r="L357" s="135" t="s">
        <v>157</v>
      </c>
      <c r="M357" s="135" t="s">
        <v>159</v>
      </c>
      <c r="N357" s="135" t="s">
        <v>964</v>
      </c>
      <c r="O357" s="135" t="s">
        <v>160</v>
      </c>
      <c r="P357" s="135" t="s">
        <v>459</v>
      </c>
      <c r="Q357" s="135">
        <v>2599.9299999999998</v>
      </c>
      <c r="R357" s="187">
        <v>344</v>
      </c>
      <c r="S357" s="56"/>
      <c r="T357" s="56"/>
      <c r="U357" s="56"/>
      <c r="V357" s="56"/>
      <c r="W357" s="56"/>
      <c r="X357" s="56"/>
      <c r="Y357" s="56"/>
      <c r="Z357" s="56"/>
      <c r="AA357" s="56"/>
    </row>
    <row r="358" spans="1:27" ht="30" hidden="1" customHeight="1" x14ac:dyDescent="0.25">
      <c r="A358" s="60"/>
      <c r="B358" s="51"/>
      <c r="C358" s="51"/>
      <c r="D358" s="51"/>
      <c r="E358" s="63" t="s">
        <v>454</v>
      </c>
      <c r="F358" s="422">
        <v>2016</v>
      </c>
      <c r="G358" s="135" t="s">
        <v>1227</v>
      </c>
      <c r="H358" s="422"/>
      <c r="I358" s="135" t="s">
        <v>460</v>
      </c>
      <c r="J358" s="135" t="s">
        <v>967</v>
      </c>
      <c r="K358" s="135" t="s">
        <v>478</v>
      </c>
      <c r="L358" s="135" t="s">
        <v>207</v>
      </c>
      <c r="M358" s="135" t="s">
        <v>212</v>
      </c>
      <c r="N358" s="135" t="s">
        <v>965</v>
      </c>
      <c r="O358" s="135" t="s">
        <v>213</v>
      </c>
      <c r="P358" s="135" t="s">
        <v>459</v>
      </c>
      <c r="Q358" s="135">
        <v>2514.86</v>
      </c>
      <c r="R358" s="187">
        <v>344</v>
      </c>
      <c r="S358" s="56"/>
      <c r="T358" s="56"/>
      <c r="U358" s="56"/>
      <c r="V358" s="56"/>
      <c r="W358" s="56"/>
      <c r="X358" s="56"/>
      <c r="Y358" s="56"/>
      <c r="Z358" s="56"/>
      <c r="AA358" s="56"/>
    </row>
    <row r="359" spans="1:27" ht="30" hidden="1" customHeight="1" x14ac:dyDescent="0.25">
      <c r="A359" s="60"/>
      <c r="B359" s="51"/>
      <c r="C359" s="51"/>
      <c r="D359" s="51"/>
      <c r="E359" s="63" t="s">
        <v>452</v>
      </c>
      <c r="F359" s="422">
        <v>2016</v>
      </c>
      <c r="G359" s="135" t="s">
        <v>1227</v>
      </c>
      <c r="H359" s="422"/>
      <c r="I359" s="135" t="s">
        <v>460</v>
      </c>
      <c r="J359" s="135" t="s">
        <v>966</v>
      </c>
      <c r="K359" s="135" t="s">
        <v>469</v>
      </c>
      <c r="L359" s="135" t="s">
        <v>85</v>
      </c>
      <c r="M359" s="135" t="s">
        <v>85</v>
      </c>
      <c r="N359" s="135" t="s">
        <v>964</v>
      </c>
      <c r="O359" s="135" t="s">
        <v>292</v>
      </c>
      <c r="P359" s="135" t="s">
        <v>459</v>
      </c>
      <c r="Q359" s="135">
        <v>167.44</v>
      </c>
      <c r="R359" s="187">
        <v>342</v>
      </c>
      <c r="S359" s="56"/>
      <c r="T359" s="56"/>
      <c r="U359" s="56"/>
      <c r="V359" s="56"/>
      <c r="W359" s="56"/>
      <c r="X359" s="56"/>
      <c r="Y359" s="56"/>
      <c r="Z359" s="56"/>
      <c r="AA359" s="56"/>
    </row>
    <row r="360" spans="1:27" ht="30" hidden="1" customHeight="1" x14ac:dyDescent="0.25">
      <c r="A360" s="60"/>
      <c r="B360" s="51"/>
      <c r="C360" s="51"/>
      <c r="D360" s="51"/>
      <c r="E360" s="63" t="s">
        <v>454</v>
      </c>
      <c r="F360" s="422">
        <v>2016</v>
      </c>
      <c r="G360" s="135" t="s">
        <v>1227</v>
      </c>
      <c r="H360" s="422"/>
      <c r="I360" s="135" t="s">
        <v>460</v>
      </c>
      <c r="J360" s="135" t="s">
        <v>963</v>
      </c>
      <c r="K360" s="135" t="s">
        <v>465</v>
      </c>
      <c r="L360" s="135" t="s">
        <v>106</v>
      </c>
      <c r="M360" s="135" t="s">
        <v>275</v>
      </c>
      <c r="N360" s="135" t="s">
        <v>965</v>
      </c>
      <c r="O360" s="135" t="s">
        <v>720</v>
      </c>
      <c r="P360" s="135" t="s">
        <v>459</v>
      </c>
      <c r="Q360" s="135">
        <v>2874.11</v>
      </c>
      <c r="R360" s="187">
        <v>341</v>
      </c>
      <c r="S360" s="56"/>
      <c r="T360" s="56"/>
      <c r="U360" s="56"/>
      <c r="V360" s="56"/>
      <c r="W360" s="56"/>
      <c r="X360" s="56"/>
      <c r="Y360" s="56"/>
      <c r="Z360" s="56"/>
      <c r="AA360" s="56"/>
    </row>
    <row r="361" spans="1:27" ht="30" hidden="1" customHeight="1" x14ac:dyDescent="0.25">
      <c r="A361" s="60"/>
      <c r="B361" s="51"/>
      <c r="C361" s="51"/>
      <c r="D361" s="51"/>
      <c r="E361" s="63" t="s">
        <v>454</v>
      </c>
      <c r="F361" s="422">
        <v>2016</v>
      </c>
      <c r="G361" s="135" t="s">
        <v>1227</v>
      </c>
      <c r="H361" s="422"/>
      <c r="I361" s="135" t="s">
        <v>460</v>
      </c>
      <c r="J361" s="135" t="s">
        <v>966</v>
      </c>
      <c r="K361" s="135" t="s">
        <v>562</v>
      </c>
      <c r="L361" s="135" t="s">
        <v>108</v>
      </c>
      <c r="M361" s="135" t="s">
        <v>657</v>
      </c>
      <c r="N361" s="135" t="s">
        <v>965</v>
      </c>
      <c r="O361" s="135" t="s">
        <v>373</v>
      </c>
      <c r="P361" s="135" t="s">
        <v>459</v>
      </c>
      <c r="Q361" s="135">
        <v>2048.4900000000002</v>
      </c>
      <c r="R361" s="187">
        <v>340</v>
      </c>
      <c r="S361" s="56"/>
      <c r="T361" s="56"/>
      <c r="U361" s="56"/>
      <c r="V361" s="56"/>
      <c r="W361" s="56"/>
      <c r="X361" s="56"/>
      <c r="Y361" s="56"/>
      <c r="Z361" s="56"/>
      <c r="AA361" s="56"/>
    </row>
    <row r="362" spans="1:27" ht="30" hidden="1" customHeight="1" x14ac:dyDescent="0.25">
      <c r="A362" s="60"/>
      <c r="B362" s="51"/>
      <c r="C362" s="51"/>
      <c r="D362" s="51"/>
      <c r="E362" s="63" t="s">
        <v>452</v>
      </c>
      <c r="F362" s="422">
        <v>2016</v>
      </c>
      <c r="G362" s="135" t="s">
        <v>1227</v>
      </c>
      <c r="H362" s="422"/>
      <c r="I362" s="135" t="s">
        <v>460</v>
      </c>
      <c r="J362" s="135" t="s">
        <v>966</v>
      </c>
      <c r="K362" s="135" t="s">
        <v>469</v>
      </c>
      <c r="L362" s="135" t="s">
        <v>85</v>
      </c>
      <c r="M362" s="135" t="s">
        <v>328</v>
      </c>
      <c r="N362" s="135" t="s">
        <v>965</v>
      </c>
      <c r="O362" s="135" t="s">
        <v>329</v>
      </c>
      <c r="P362" s="135" t="s">
        <v>459</v>
      </c>
      <c r="Q362" s="135">
        <v>178.15</v>
      </c>
      <c r="R362" s="187">
        <v>339</v>
      </c>
      <c r="S362" s="56"/>
      <c r="T362" s="56"/>
      <c r="U362" s="56"/>
      <c r="V362" s="56"/>
      <c r="W362" s="56"/>
      <c r="X362" s="56"/>
      <c r="Y362" s="56"/>
      <c r="Z362" s="56"/>
      <c r="AA362" s="56"/>
    </row>
    <row r="363" spans="1:27" ht="30" hidden="1" customHeight="1" x14ac:dyDescent="0.25">
      <c r="A363" s="60"/>
      <c r="B363" s="51"/>
      <c r="C363" s="51"/>
      <c r="D363" s="51"/>
      <c r="E363" s="63" t="s">
        <v>452</v>
      </c>
      <c r="F363" s="422">
        <v>2016</v>
      </c>
      <c r="G363" s="135" t="s">
        <v>1228</v>
      </c>
      <c r="H363" s="422"/>
      <c r="I363" s="135" t="s">
        <v>460</v>
      </c>
      <c r="J363" s="135" t="s">
        <v>966</v>
      </c>
      <c r="K363" s="135" t="s">
        <v>469</v>
      </c>
      <c r="L363" s="135" t="s">
        <v>85</v>
      </c>
      <c r="M363" s="135" t="s">
        <v>321</v>
      </c>
      <c r="N363" s="135" t="s">
        <v>965</v>
      </c>
      <c r="O363" s="135" t="s">
        <v>323</v>
      </c>
      <c r="P363" s="135" t="s">
        <v>459</v>
      </c>
      <c r="Q363" s="135">
        <v>256</v>
      </c>
      <c r="R363" s="187">
        <v>338</v>
      </c>
      <c r="S363" s="56"/>
      <c r="T363" s="56"/>
      <c r="U363" s="56"/>
      <c r="V363" s="56"/>
      <c r="W363" s="56"/>
      <c r="X363" s="56"/>
      <c r="Y363" s="56"/>
      <c r="Z363" s="56"/>
      <c r="AA363" s="56"/>
    </row>
    <row r="364" spans="1:27" ht="30" hidden="1" customHeight="1" x14ac:dyDescent="0.25">
      <c r="A364" s="60"/>
      <c r="B364" s="51"/>
      <c r="C364" s="51"/>
      <c r="D364" s="51"/>
      <c r="E364" s="63" t="s">
        <v>452</v>
      </c>
      <c r="F364" s="422">
        <v>2016</v>
      </c>
      <c r="G364" s="135" t="s">
        <v>1228</v>
      </c>
      <c r="H364" s="422"/>
      <c r="I364" s="135" t="s">
        <v>460</v>
      </c>
      <c r="J364" s="135" t="s">
        <v>966</v>
      </c>
      <c r="K364" s="135" t="s">
        <v>469</v>
      </c>
      <c r="L364" s="135" t="s">
        <v>85</v>
      </c>
      <c r="M364" s="135" t="s">
        <v>85</v>
      </c>
      <c r="N364" s="135" t="s">
        <v>964</v>
      </c>
      <c r="O364" s="135" t="s">
        <v>757</v>
      </c>
      <c r="P364" s="135" t="s">
        <v>459</v>
      </c>
      <c r="Q364" s="135">
        <v>361.27</v>
      </c>
      <c r="R364" s="187">
        <v>338</v>
      </c>
      <c r="S364" s="56"/>
      <c r="T364" s="56"/>
      <c r="U364" s="56"/>
      <c r="V364" s="56"/>
      <c r="W364" s="56"/>
      <c r="X364" s="56"/>
      <c r="Y364" s="56"/>
      <c r="Z364" s="56"/>
      <c r="AA364" s="56"/>
    </row>
    <row r="365" spans="1:27" ht="30" hidden="1" customHeight="1" x14ac:dyDescent="0.25">
      <c r="A365" s="60"/>
      <c r="B365" s="51"/>
      <c r="C365" s="51"/>
      <c r="D365" s="51"/>
      <c r="E365" s="63" t="s">
        <v>452</v>
      </c>
      <c r="F365" s="422">
        <v>2016</v>
      </c>
      <c r="G365" s="135" t="s">
        <v>1228</v>
      </c>
      <c r="H365" s="422"/>
      <c r="I365" s="135" t="s">
        <v>460</v>
      </c>
      <c r="J365" s="135" t="s">
        <v>966</v>
      </c>
      <c r="K365" s="135" t="s">
        <v>469</v>
      </c>
      <c r="L365" s="135" t="s">
        <v>85</v>
      </c>
      <c r="M365" s="135" t="s">
        <v>85</v>
      </c>
      <c r="N365" s="135" t="s">
        <v>964</v>
      </c>
      <c r="O365" s="135" t="s">
        <v>758</v>
      </c>
      <c r="P365" s="135" t="s">
        <v>459</v>
      </c>
      <c r="Q365" s="135">
        <v>196</v>
      </c>
      <c r="R365" s="187">
        <v>336</v>
      </c>
      <c r="S365" s="56"/>
      <c r="T365" s="56"/>
      <c r="U365" s="56"/>
      <c r="V365" s="56"/>
      <c r="W365" s="56"/>
      <c r="X365" s="56"/>
      <c r="Y365" s="56"/>
      <c r="Z365" s="56"/>
      <c r="AA365" s="56"/>
    </row>
    <row r="366" spans="1:27" ht="30" customHeight="1" x14ac:dyDescent="0.25">
      <c r="A366" s="60"/>
      <c r="B366" s="51"/>
      <c r="C366" s="51"/>
      <c r="D366" s="51"/>
      <c r="E366" s="63" t="s">
        <v>451</v>
      </c>
      <c r="F366" s="422">
        <v>2016</v>
      </c>
      <c r="G366" s="135" t="s">
        <v>1228</v>
      </c>
      <c r="H366" s="422">
        <v>2023</v>
      </c>
      <c r="I366" s="135" t="s">
        <v>460</v>
      </c>
      <c r="J366" s="135" t="s">
        <v>967</v>
      </c>
      <c r="K366" s="135" t="s">
        <v>485</v>
      </c>
      <c r="L366" s="135" t="s">
        <v>167</v>
      </c>
      <c r="M366" s="135" t="s">
        <v>169</v>
      </c>
      <c r="N366" s="135" t="s">
        <v>964</v>
      </c>
      <c r="O366" s="135" t="s">
        <v>1173</v>
      </c>
      <c r="P366" s="135" t="s">
        <v>459</v>
      </c>
      <c r="Q366" s="135">
        <v>464.83</v>
      </c>
      <c r="R366" s="187">
        <v>335</v>
      </c>
      <c r="S366" s="56"/>
      <c r="T366" s="56"/>
      <c r="U366" s="56"/>
      <c r="V366" s="56"/>
      <c r="W366" s="56"/>
      <c r="X366" s="56"/>
      <c r="Y366" s="56"/>
      <c r="Z366" s="56"/>
      <c r="AA366" s="56"/>
    </row>
    <row r="367" spans="1:27" ht="30" hidden="1" customHeight="1" x14ac:dyDescent="0.25">
      <c r="A367" s="60"/>
      <c r="B367" s="51"/>
      <c r="C367" s="51"/>
      <c r="D367" s="51"/>
      <c r="E367" s="63" t="s">
        <v>454</v>
      </c>
      <c r="F367" s="422">
        <v>2016</v>
      </c>
      <c r="G367" s="135" t="s">
        <v>1228</v>
      </c>
      <c r="H367" s="422"/>
      <c r="I367" s="135" t="s">
        <v>460</v>
      </c>
      <c r="J367" s="135" t="s">
        <v>967</v>
      </c>
      <c r="K367" s="135" t="s">
        <v>553</v>
      </c>
      <c r="L367" s="135" t="s">
        <v>82</v>
      </c>
      <c r="M367" s="135" t="s">
        <v>759</v>
      </c>
      <c r="N367" s="135" t="s">
        <v>965</v>
      </c>
      <c r="O367" s="135" t="s">
        <v>760</v>
      </c>
      <c r="P367" s="135" t="s">
        <v>459</v>
      </c>
      <c r="Q367" s="135">
        <v>2076.8000000000002</v>
      </c>
      <c r="R367" s="186">
        <v>335</v>
      </c>
      <c r="S367" s="56"/>
      <c r="T367" s="56"/>
      <c r="U367" s="56"/>
      <c r="V367" s="56"/>
      <c r="W367" s="56"/>
      <c r="X367" s="56"/>
      <c r="Y367" s="56"/>
      <c r="Z367" s="56"/>
      <c r="AA367" s="56"/>
    </row>
    <row r="368" spans="1:27" ht="30" customHeight="1" x14ac:dyDescent="0.25">
      <c r="A368" s="60"/>
      <c r="B368" s="51"/>
      <c r="C368" s="51"/>
      <c r="D368" s="51"/>
      <c r="E368" s="63" t="s">
        <v>454</v>
      </c>
      <c r="F368" s="422">
        <v>2016</v>
      </c>
      <c r="G368" s="135" t="s">
        <v>1228</v>
      </c>
      <c r="H368" s="422">
        <v>2023</v>
      </c>
      <c r="I368" s="135" t="s">
        <v>460</v>
      </c>
      <c r="J368" s="135" t="s">
        <v>966</v>
      </c>
      <c r="K368" s="135" t="s">
        <v>562</v>
      </c>
      <c r="L368" s="135" t="s">
        <v>108</v>
      </c>
      <c r="M368" s="135" t="s">
        <v>109</v>
      </c>
      <c r="N368" s="135" t="s">
        <v>964</v>
      </c>
      <c r="O368" s="135" t="s">
        <v>1341</v>
      </c>
      <c r="P368" s="135" t="s">
        <v>459</v>
      </c>
      <c r="Q368" s="135">
        <v>1135.45</v>
      </c>
      <c r="R368" s="187">
        <v>334</v>
      </c>
      <c r="S368" s="56"/>
      <c r="T368" s="56"/>
      <c r="U368" s="56"/>
      <c r="V368" s="56"/>
      <c r="W368" s="56"/>
      <c r="X368" s="56"/>
      <c r="Y368" s="56"/>
      <c r="Z368" s="56"/>
      <c r="AA368" s="56"/>
    </row>
    <row r="369" spans="1:27" ht="30" hidden="1" customHeight="1" x14ac:dyDescent="0.25">
      <c r="A369" s="60"/>
      <c r="B369" s="51"/>
      <c r="C369" s="51"/>
      <c r="D369" s="51"/>
      <c r="E369" s="63" t="s">
        <v>452</v>
      </c>
      <c r="F369" s="422">
        <v>2016</v>
      </c>
      <c r="G369" s="135" t="s">
        <v>1228</v>
      </c>
      <c r="H369" s="422"/>
      <c r="I369" s="135" t="s">
        <v>460</v>
      </c>
      <c r="J369" s="135" t="s">
        <v>963</v>
      </c>
      <c r="K369" s="135" t="s">
        <v>465</v>
      </c>
      <c r="L369" s="135" t="s">
        <v>106</v>
      </c>
      <c r="M369" s="135" t="s">
        <v>268</v>
      </c>
      <c r="N369" s="135" t="s">
        <v>964</v>
      </c>
      <c r="O369" s="135" t="s">
        <v>269</v>
      </c>
      <c r="P369" s="135" t="s">
        <v>459</v>
      </c>
      <c r="Q369" s="135">
        <v>179.84</v>
      </c>
      <c r="R369" s="187">
        <v>334</v>
      </c>
      <c r="S369" s="56"/>
      <c r="T369" s="56"/>
      <c r="U369" s="56"/>
      <c r="V369" s="56"/>
      <c r="W369" s="56"/>
      <c r="X369" s="56"/>
      <c r="Y369" s="56"/>
      <c r="Z369" s="56"/>
      <c r="AA369" s="56"/>
    </row>
    <row r="370" spans="1:27" ht="30" hidden="1" customHeight="1" x14ac:dyDescent="0.25">
      <c r="A370" s="60"/>
      <c r="B370" s="51"/>
      <c r="C370" s="51"/>
      <c r="D370" s="51"/>
      <c r="E370" s="63" t="s">
        <v>454</v>
      </c>
      <c r="F370" s="422">
        <v>2015</v>
      </c>
      <c r="G370" s="135" t="s">
        <v>1229</v>
      </c>
      <c r="H370" s="422"/>
      <c r="I370" s="135" t="s">
        <v>460</v>
      </c>
      <c r="J370" s="135" t="s">
        <v>963</v>
      </c>
      <c r="K370" s="135" t="s">
        <v>461</v>
      </c>
      <c r="L370" s="135" t="s">
        <v>253</v>
      </c>
      <c r="M370" s="135" t="s">
        <v>761</v>
      </c>
      <c r="N370" s="135" t="s">
        <v>965</v>
      </c>
      <c r="O370" s="135" t="s">
        <v>762</v>
      </c>
      <c r="P370" s="135" t="s">
        <v>464</v>
      </c>
      <c r="Q370" s="135">
        <v>1584</v>
      </c>
      <c r="R370" s="187">
        <v>333</v>
      </c>
      <c r="S370" s="56"/>
      <c r="T370" s="56"/>
      <c r="U370" s="56"/>
      <c r="V370" s="56"/>
      <c r="W370" s="56"/>
      <c r="X370" s="56"/>
      <c r="Y370" s="56"/>
      <c r="Z370" s="56"/>
      <c r="AA370" s="56"/>
    </row>
    <row r="371" spans="1:27" ht="30" hidden="1" customHeight="1" x14ac:dyDescent="0.25">
      <c r="A371" s="60"/>
      <c r="B371" s="51"/>
      <c r="C371" s="51"/>
      <c r="D371" s="51"/>
      <c r="E371" s="63" t="s">
        <v>452</v>
      </c>
      <c r="F371" s="422">
        <v>2015</v>
      </c>
      <c r="G371" s="135" t="s">
        <v>1229</v>
      </c>
      <c r="H371" s="422"/>
      <c r="I371" s="135" t="s">
        <v>460</v>
      </c>
      <c r="J371" s="135" t="s">
        <v>963</v>
      </c>
      <c r="K371" s="135" t="s">
        <v>465</v>
      </c>
      <c r="L371" s="135" t="s">
        <v>106</v>
      </c>
      <c r="M371" s="135" t="s">
        <v>107</v>
      </c>
      <c r="N371" s="135" t="s">
        <v>965</v>
      </c>
      <c r="O371" s="135" t="s">
        <v>763</v>
      </c>
      <c r="P371" s="135" t="s">
        <v>459</v>
      </c>
      <c r="Q371" s="135">
        <v>159.19999999999999</v>
      </c>
      <c r="R371" s="187">
        <v>333</v>
      </c>
      <c r="S371" s="56"/>
      <c r="T371" s="56"/>
      <c r="U371" s="56"/>
      <c r="V371" s="56"/>
      <c r="W371" s="56"/>
      <c r="X371" s="56"/>
      <c r="Y371" s="56"/>
      <c r="Z371" s="56"/>
      <c r="AA371" s="56"/>
    </row>
    <row r="372" spans="1:27" ht="30" hidden="1" customHeight="1" x14ac:dyDescent="0.25">
      <c r="A372" s="60"/>
      <c r="B372" s="51"/>
      <c r="C372" s="51"/>
      <c r="D372" s="51"/>
      <c r="E372" s="63" t="s">
        <v>452</v>
      </c>
      <c r="F372" s="422">
        <v>2015</v>
      </c>
      <c r="G372" s="135" t="s">
        <v>1229</v>
      </c>
      <c r="H372" s="422">
        <v>2020</v>
      </c>
      <c r="I372" s="135" t="s">
        <v>460</v>
      </c>
      <c r="J372" s="135" t="s">
        <v>966</v>
      </c>
      <c r="K372" s="135" t="s">
        <v>469</v>
      </c>
      <c r="L372" s="135" t="s">
        <v>85</v>
      </c>
      <c r="M372" s="135" t="s">
        <v>316</v>
      </c>
      <c r="N372" s="135" t="s">
        <v>965</v>
      </c>
      <c r="O372" s="135" t="s">
        <v>764</v>
      </c>
      <c r="P372" s="135" t="s">
        <v>459</v>
      </c>
      <c r="Q372" s="135">
        <v>182.4</v>
      </c>
      <c r="R372" s="187">
        <v>331</v>
      </c>
      <c r="S372" s="56"/>
      <c r="T372" s="56"/>
      <c r="U372" s="56"/>
      <c r="V372" s="56"/>
      <c r="W372" s="56"/>
      <c r="X372" s="56"/>
      <c r="Y372" s="56"/>
      <c r="Z372" s="56"/>
      <c r="AA372" s="56"/>
    </row>
    <row r="373" spans="1:27" ht="30" hidden="1" customHeight="1" x14ac:dyDescent="0.25">
      <c r="A373" s="60"/>
      <c r="B373" s="51"/>
      <c r="C373" s="51"/>
      <c r="D373" s="51"/>
      <c r="E373" s="63" t="s">
        <v>454</v>
      </c>
      <c r="F373" s="422">
        <v>2015</v>
      </c>
      <c r="G373" s="135" t="s">
        <v>1229</v>
      </c>
      <c r="H373" s="422"/>
      <c r="I373" s="135" t="s">
        <v>460</v>
      </c>
      <c r="J373" s="135" t="s">
        <v>969</v>
      </c>
      <c r="K373" s="135" t="s">
        <v>509</v>
      </c>
      <c r="L373" s="135" t="s">
        <v>157</v>
      </c>
      <c r="M373" s="135" t="s">
        <v>765</v>
      </c>
      <c r="N373" s="135" t="s">
        <v>965</v>
      </c>
      <c r="O373" s="135" t="s">
        <v>166</v>
      </c>
      <c r="P373" s="135" t="s">
        <v>459</v>
      </c>
      <c r="Q373" s="135">
        <v>2360.1899999999996</v>
      </c>
      <c r="R373" s="187">
        <v>331</v>
      </c>
      <c r="S373" s="56"/>
      <c r="T373" s="56"/>
      <c r="U373" s="56"/>
      <c r="V373" s="56"/>
      <c r="W373" s="56"/>
      <c r="X373" s="56"/>
      <c r="Y373" s="56"/>
      <c r="Z373" s="56"/>
      <c r="AA373" s="56"/>
    </row>
    <row r="374" spans="1:27" ht="30" hidden="1" customHeight="1" x14ac:dyDescent="0.25">
      <c r="A374" s="60"/>
      <c r="B374" s="51"/>
      <c r="C374" s="51"/>
      <c r="D374" s="51"/>
      <c r="E374" s="63" t="s">
        <v>454</v>
      </c>
      <c r="F374" s="422">
        <v>2015</v>
      </c>
      <c r="G374" s="135" t="s">
        <v>1229</v>
      </c>
      <c r="H374" s="422"/>
      <c r="I374" s="135" t="s">
        <v>460</v>
      </c>
      <c r="J374" s="135" t="s">
        <v>966</v>
      </c>
      <c r="K374" s="135" t="s">
        <v>469</v>
      </c>
      <c r="L374" s="135" t="s">
        <v>85</v>
      </c>
      <c r="M374" s="135" t="s">
        <v>301</v>
      </c>
      <c r="N374" s="135" t="s">
        <v>965</v>
      </c>
      <c r="O374" s="135" t="s">
        <v>302</v>
      </c>
      <c r="P374" s="135" t="s">
        <v>459</v>
      </c>
      <c r="Q374" s="135">
        <v>2002.04</v>
      </c>
      <c r="R374" s="187">
        <v>331</v>
      </c>
      <c r="S374" s="56"/>
      <c r="T374" s="56"/>
      <c r="U374" s="56"/>
      <c r="V374" s="56"/>
      <c r="W374" s="56"/>
      <c r="X374" s="56"/>
      <c r="Y374" s="56"/>
      <c r="Z374" s="56"/>
      <c r="AA374" s="56"/>
    </row>
    <row r="375" spans="1:27" ht="30" hidden="1" customHeight="1" x14ac:dyDescent="0.25">
      <c r="A375" s="60"/>
      <c r="B375" s="51"/>
      <c r="C375" s="51"/>
      <c r="D375" s="51"/>
      <c r="E375" s="63" t="s">
        <v>454</v>
      </c>
      <c r="F375" s="422">
        <v>2015</v>
      </c>
      <c r="G375" s="135" t="s">
        <v>1229</v>
      </c>
      <c r="H375" s="422"/>
      <c r="I375" s="135" t="s">
        <v>460</v>
      </c>
      <c r="J375" s="135" t="s">
        <v>967</v>
      </c>
      <c r="K375" s="135" t="s">
        <v>478</v>
      </c>
      <c r="L375" s="135" t="s">
        <v>207</v>
      </c>
      <c r="M375" s="135" t="s">
        <v>211</v>
      </c>
      <c r="N375" s="135" t="s">
        <v>964</v>
      </c>
      <c r="O375" s="135" t="s">
        <v>766</v>
      </c>
      <c r="P375" s="135" t="s">
        <v>459</v>
      </c>
      <c r="Q375" s="135">
        <v>2258.0500000000002</v>
      </c>
      <c r="R375" s="187">
        <v>329</v>
      </c>
      <c r="S375" s="56"/>
      <c r="T375" s="56"/>
      <c r="U375" s="56"/>
      <c r="V375" s="56"/>
      <c r="W375" s="56"/>
      <c r="X375" s="56"/>
      <c r="Y375" s="56"/>
      <c r="Z375" s="56"/>
      <c r="AA375" s="56"/>
    </row>
    <row r="376" spans="1:27" ht="30" hidden="1" customHeight="1" x14ac:dyDescent="0.25">
      <c r="A376" s="60"/>
      <c r="B376" s="51"/>
      <c r="C376" s="51"/>
      <c r="D376" s="51"/>
      <c r="E376" s="63" t="s">
        <v>454</v>
      </c>
      <c r="F376" s="422">
        <v>2015</v>
      </c>
      <c r="G376" s="135" t="s">
        <v>1229</v>
      </c>
      <c r="H376" s="422"/>
      <c r="I376" s="135" t="s">
        <v>460</v>
      </c>
      <c r="J376" s="135" t="s">
        <v>966</v>
      </c>
      <c r="K376" s="135" t="s">
        <v>469</v>
      </c>
      <c r="L376" s="135" t="s">
        <v>85</v>
      </c>
      <c r="M376" s="135" t="s">
        <v>767</v>
      </c>
      <c r="N376" s="135" t="s">
        <v>965</v>
      </c>
      <c r="O376" s="135" t="s">
        <v>768</v>
      </c>
      <c r="P376" s="135" t="s">
        <v>459</v>
      </c>
      <c r="Q376" s="135">
        <v>2073.48</v>
      </c>
      <c r="R376" s="187">
        <v>329</v>
      </c>
      <c r="S376" s="56"/>
      <c r="T376" s="56"/>
      <c r="U376" s="56"/>
      <c r="V376" s="56"/>
      <c r="W376" s="56"/>
      <c r="X376" s="56"/>
      <c r="Y376" s="56"/>
      <c r="Z376" s="56"/>
      <c r="AA376" s="56"/>
    </row>
    <row r="377" spans="1:27" ht="30" hidden="1" customHeight="1" x14ac:dyDescent="0.25">
      <c r="A377" s="60"/>
      <c r="B377" s="51"/>
      <c r="C377" s="51"/>
      <c r="D377" s="51"/>
      <c r="E377" s="63" t="s">
        <v>454</v>
      </c>
      <c r="F377" s="422">
        <v>2015</v>
      </c>
      <c r="G377" s="135" t="s">
        <v>1229</v>
      </c>
      <c r="H377" s="422"/>
      <c r="I377" s="135" t="s">
        <v>460</v>
      </c>
      <c r="J377" s="135" t="s">
        <v>966</v>
      </c>
      <c r="K377" s="135" t="s">
        <v>499</v>
      </c>
      <c r="L377" s="135" t="s">
        <v>88</v>
      </c>
      <c r="M377" s="135" t="s">
        <v>769</v>
      </c>
      <c r="N377" s="135" t="s">
        <v>965</v>
      </c>
      <c r="O377" s="135" t="s">
        <v>770</v>
      </c>
      <c r="P377" s="135" t="s">
        <v>459</v>
      </c>
      <c r="Q377" s="135">
        <v>1626.8400000000001</v>
      </c>
      <c r="R377" s="187">
        <v>329</v>
      </c>
      <c r="S377" s="56"/>
      <c r="T377" s="56"/>
      <c r="U377" s="56"/>
      <c r="V377" s="56"/>
      <c r="W377" s="56"/>
      <c r="X377" s="56"/>
      <c r="Y377" s="56"/>
      <c r="Z377" s="56"/>
      <c r="AA377" s="56"/>
    </row>
    <row r="378" spans="1:27" ht="30" hidden="1" customHeight="1" x14ac:dyDescent="0.25">
      <c r="A378" s="60"/>
      <c r="B378" s="51"/>
      <c r="C378" s="51"/>
      <c r="D378" s="51"/>
      <c r="E378" s="63" t="s">
        <v>454</v>
      </c>
      <c r="F378" s="422">
        <v>2015</v>
      </c>
      <c r="G378" s="135" t="s">
        <v>1229</v>
      </c>
      <c r="H378" s="422"/>
      <c r="I378" s="135" t="s">
        <v>460</v>
      </c>
      <c r="J378" s="135" t="s">
        <v>967</v>
      </c>
      <c r="K378" s="135" t="s">
        <v>553</v>
      </c>
      <c r="L378" s="135" t="s">
        <v>82</v>
      </c>
      <c r="M378" s="135" t="s">
        <v>126</v>
      </c>
      <c r="N378" s="135" t="s">
        <v>965</v>
      </c>
      <c r="O378" s="135" t="s">
        <v>127</v>
      </c>
      <c r="P378" s="135" t="s">
        <v>459</v>
      </c>
      <c r="Q378" s="135">
        <v>2213.7399999999998</v>
      </c>
      <c r="R378" s="187">
        <v>329</v>
      </c>
      <c r="S378" s="56"/>
      <c r="T378" s="56"/>
      <c r="U378" s="56"/>
      <c r="V378" s="56"/>
      <c r="W378" s="56"/>
      <c r="X378" s="56"/>
      <c r="Y378" s="56"/>
      <c r="Z378" s="56"/>
      <c r="AA378" s="56"/>
    </row>
    <row r="379" spans="1:27" ht="30" hidden="1" customHeight="1" x14ac:dyDescent="0.25">
      <c r="A379" s="60"/>
      <c r="B379" s="51"/>
      <c r="C379" s="51"/>
      <c r="D379" s="51"/>
      <c r="E379" s="63" t="s">
        <v>451</v>
      </c>
      <c r="F379" s="422">
        <v>2015</v>
      </c>
      <c r="G379" s="135" t="s">
        <v>1229</v>
      </c>
      <c r="H379" s="422"/>
      <c r="I379" s="135" t="s">
        <v>460</v>
      </c>
      <c r="J379" s="135" t="s">
        <v>967</v>
      </c>
      <c r="K379" s="135" t="s">
        <v>655</v>
      </c>
      <c r="L379" s="135" t="s">
        <v>216</v>
      </c>
      <c r="M379" s="135" t="s">
        <v>219</v>
      </c>
      <c r="N379" s="135" t="s">
        <v>964</v>
      </c>
      <c r="O379" s="135" t="s">
        <v>220</v>
      </c>
      <c r="P379" s="135" t="s">
        <v>459</v>
      </c>
      <c r="Q379" s="135">
        <v>618.96</v>
      </c>
      <c r="R379" s="187">
        <v>325</v>
      </c>
      <c r="S379" s="56"/>
      <c r="T379" s="56"/>
      <c r="U379" s="56"/>
      <c r="V379" s="56"/>
      <c r="W379" s="56"/>
      <c r="X379" s="56"/>
      <c r="Y379" s="56"/>
      <c r="Z379" s="56"/>
      <c r="AA379" s="56"/>
    </row>
    <row r="380" spans="1:27" ht="30" hidden="1" customHeight="1" x14ac:dyDescent="0.25">
      <c r="A380" s="60"/>
      <c r="B380" s="51"/>
      <c r="C380" s="51"/>
      <c r="D380" s="51"/>
      <c r="E380" s="63" t="s">
        <v>454</v>
      </c>
      <c r="F380" s="422">
        <v>2015</v>
      </c>
      <c r="G380" s="135" t="s">
        <v>1229</v>
      </c>
      <c r="H380" s="422"/>
      <c r="I380" s="135" t="s">
        <v>460</v>
      </c>
      <c r="J380" s="135" t="s">
        <v>969</v>
      </c>
      <c r="K380" s="135" t="s">
        <v>503</v>
      </c>
      <c r="L380" s="135" t="s">
        <v>970</v>
      </c>
      <c r="M380" s="135" t="s">
        <v>192</v>
      </c>
      <c r="N380" s="135" t="s">
        <v>965</v>
      </c>
      <c r="O380" s="135" t="s">
        <v>193</v>
      </c>
      <c r="P380" s="135" t="s">
        <v>459</v>
      </c>
      <c r="Q380" s="135">
        <v>2385.38</v>
      </c>
      <c r="R380" s="187">
        <v>324</v>
      </c>
      <c r="S380" s="56"/>
      <c r="T380" s="56"/>
      <c r="U380" s="56"/>
      <c r="V380" s="56"/>
      <c r="W380" s="56"/>
      <c r="X380" s="56"/>
      <c r="Y380" s="56"/>
      <c r="Z380" s="56"/>
      <c r="AA380" s="56"/>
    </row>
    <row r="381" spans="1:27" ht="30" hidden="1" customHeight="1" x14ac:dyDescent="0.25">
      <c r="A381" s="60"/>
      <c r="B381" s="51"/>
      <c r="C381" s="51"/>
      <c r="D381" s="51"/>
      <c r="E381" s="63" t="s">
        <v>451</v>
      </c>
      <c r="F381" s="422">
        <v>2015</v>
      </c>
      <c r="G381" s="135" t="s">
        <v>1229</v>
      </c>
      <c r="H381" s="422"/>
      <c r="I381" s="135" t="s">
        <v>460</v>
      </c>
      <c r="J381" s="135" t="s">
        <v>966</v>
      </c>
      <c r="K381" s="135" t="s">
        <v>469</v>
      </c>
      <c r="L381" s="135" t="s">
        <v>85</v>
      </c>
      <c r="M381" s="135" t="s">
        <v>85</v>
      </c>
      <c r="N381" s="135" t="s">
        <v>964</v>
      </c>
      <c r="O381" s="135" t="s">
        <v>771</v>
      </c>
      <c r="P381" s="135" t="s">
        <v>459</v>
      </c>
      <c r="Q381" s="135">
        <v>398.79</v>
      </c>
      <c r="R381" s="187">
        <v>323</v>
      </c>
      <c r="S381" s="56"/>
      <c r="T381" s="56"/>
      <c r="U381" s="56"/>
      <c r="V381" s="56"/>
      <c r="W381" s="56"/>
      <c r="X381" s="56"/>
      <c r="Y381" s="56"/>
      <c r="Z381" s="56"/>
      <c r="AA381" s="56"/>
    </row>
    <row r="382" spans="1:27" ht="30" hidden="1" customHeight="1" x14ac:dyDescent="0.25">
      <c r="A382" s="60"/>
      <c r="B382" s="51"/>
      <c r="C382" s="51"/>
      <c r="D382" s="51"/>
      <c r="E382" s="63" t="s">
        <v>454</v>
      </c>
      <c r="F382" s="422">
        <v>2015</v>
      </c>
      <c r="G382" s="135" t="s">
        <v>1229</v>
      </c>
      <c r="H382" s="422"/>
      <c r="I382" s="135" t="s">
        <v>460</v>
      </c>
      <c r="J382" s="135" t="s">
        <v>966</v>
      </c>
      <c r="K382" s="135" t="s">
        <v>469</v>
      </c>
      <c r="L382" s="135" t="s">
        <v>85</v>
      </c>
      <c r="M382" s="135" t="s">
        <v>772</v>
      </c>
      <c r="N382" s="135" t="s">
        <v>965</v>
      </c>
      <c r="O382" s="135" t="s">
        <v>773</v>
      </c>
      <c r="P382" s="135" t="s">
        <v>459</v>
      </c>
      <c r="Q382" s="135">
        <v>1690.58</v>
      </c>
      <c r="R382" s="187">
        <v>323</v>
      </c>
      <c r="S382" s="56"/>
      <c r="T382" s="56"/>
      <c r="U382" s="56"/>
      <c r="V382" s="56"/>
      <c r="W382" s="56"/>
      <c r="X382" s="56"/>
      <c r="Y382" s="56"/>
      <c r="Z382" s="56"/>
      <c r="AA382" s="56"/>
    </row>
    <row r="383" spans="1:27" ht="30" hidden="1" customHeight="1" x14ac:dyDescent="0.25">
      <c r="A383" s="60"/>
      <c r="B383" s="51"/>
      <c r="C383" s="51"/>
      <c r="D383" s="51"/>
      <c r="E383" s="63" t="s">
        <v>452</v>
      </c>
      <c r="F383" s="422">
        <v>2015</v>
      </c>
      <c r="G383" s="135" t="s">
        <v>1229</v>
      </c>
      <c r="H383" s="422">
        <v>2018</v>
      </c>
      <c r="I383" s="135" t="s">
        <v>460</v>
      </c>
      <c r="J383" s="135" t="s">
        <v>966</v>
      </c>
      <c r="K383" s="135" t="s">
        <v>469</v>
      </c>
      <c r="L383" s="135" t="s">
        <v>85</v>
      </c>
      <c r="M383" s="135" t="s">
        <v>353</v>
      </c>
      <c r="N383" s="135" t="s">
        <v>965</v>
      </c>
      <c r="O383" s="135" t="s">
        <v>774</v>
      </c>
      <c r="P383" s="135" t="s">
        <v>459</v>
      </c>
      <c r="Q383" s="135">
        <v>320.2</v>
      </c>
      <c r="R383" s="187">
        <v>321</v>
      </c>
      <c r="S383" s="56"/>
      <c r="T383" s="56"/>
      <c r="U383" s="56"/>
      <c r="V383" s="56"/>
      <c r="W383" s="56"/>
      <c r="X383" s="56"/>
      <c r="Y383" s="56"/>
      <c r="Z383" s="56"/>
      <c r="AA383" s="56"/>
    </row>
    <row r="384" spans="1:27" ht="30" hidden="1" customHeight="1" x14ac:dyDescent="0.25">
      <c r="A384" s="60"/>
      <c r="B384" s="51"/>
      <c r="C384" s="51"/>
      <c r="D384" s="51"/>
      <c r="E384" s="63" t="s">
        <v>452</v>
      </c>
      <c r="F384" s="422">
        <v>2015</v>
      </c>
      <c r="G384" s="135" t="s">
        <v>1229</v>
      </c>
      <c r="H384" s="422"/>
      <c r="I384" s="135" t="s">
        <v>460</v>
      </c>
      <c r="J384" s="135" t="s">
        <v>966</v>
      </c>
      <c r="K384" s="135" t="s">
        <v>469</v>
      </c>
      <c r="L384" s="135" t="s">
        <v>85</v>
      </c>
      <c r="M384" s="135" t="s">
        <v>341</v>
      </c>
      <c r="N384" s="135" t="s">
        <v>965</v>
      </c>
      <c r="O384" s="135" t="s">
        <v>342</v>
      </c>
      <c r="P384" s="135" t="s">
        <v>459</v>
      </c>
      <c r="Q384" s="135">
        <v>192.98</v>
      </c>
      <c r="R384" s="187">
        <v>321</v>
      </c>
      <c r="S384" s="56"/>
      <c r="T384" s="56"/>
      <c r="U384" s="56"/>
      <c r="V384" s="56"/>
      <c r="W384" s="56"/>
      <c r="X384" s="56"/>
      <c r="Y384" s="56"/>
      <c r="Z384" s="56"/>
      <c r="AA384" s="56"/>
    </row>
    <row r="385" spans="1:27" ht="30" hidden="1" customHeight="1" x14ac:dyDescent="0.25">
      <c r="A385" s="60"/>
      <c r="B385" s="51"/>
      <c r="C385" s="51"/>
      <c r="D385" s="51"/>
      <c r="E385" s="63" t="s">
        <v>454</v>
      </c>
      <c r="F385" s="422">
        <v>2015</v>
      </c>
      <c r="G385" s="135" t="s">
        <v>1229</v>
      </c>
      <c r="H385" s="422">
        <v>2022</v>
      </c>
      <c r="I385" s="135" t="s">
        <v>460</v>
      </c>
      <c r="J385" s="135" t="s">
        <v>966</v>
      </c>
      <c r="K385" s="135" t="s">
        <v>469</v>
      </c>
      <c r="L385" s="135" t="s">
        <v>85</v>
      </c>
      <c r="M385" s="135" t="s">
        <v>85</v>
      </c>
      <c r="N385" s="135" t="s">
        <v>964</v>
      </c>
      <c r="O385" s="135" t="s">
        <v>1135</v>
      </c>
      <c r="P385" s="135" t="s">
        <v>464</v>
      </c>
      <c r="Q385" s="135">
        <v>2526.1</v>
      </c>
      <c r="R385" s="187">
        <v>320</v>
      </c>
      <c r="S385" s="56"/>
      <c r="T385" s="56"/>
      <c r="U385" s="56"/>
      <c r="V385" s="56"/>
      <c r="W385" s="56"/>
      <c r="X385" s="56"/>
      <c r="Y385" s="56"/>
      <c r="Z385" s="56"/>
      <c r="AA385" s="56"/>
    </row>
    <row r="386" spans="1:27" ht="30" hidden="1" customHeight="1" x14ac:dyDescent="0.25">
      <c r="A386" s="60"/>
      <c r="B386" s="51"/>
      <c r="C386" s="51"/>
      <c r="D386" s="51"/>
      <c r="E386" s="63" t="s">
        <v>451</v>
      </c>
      <c r="F386" s="422">
        <v>2015</v>
      </c>
      <c r="G386" s="135" t="s">
        <v>1229</v>
      </c>
      <c r="H386" s="422"/>
      <c r="I386" s="135" t="s">
        <v>460</v>
      </c>
      <c r="J386" s="135" t="s">
        <v>967</v>
      </c>
      <c r="K386" s="135" t="s">
        <v>553</v>
      </c>
      <c r="L386" s="135" t="s">
        <v>82</v>
      </c>
      <c r="M386" s="135" t="s">
        <v>130</v>
      </c>
      <c r="N386" s="135" t="s">
        <v>964</v>
      </c>
      <c r="O386" s="135" t="s">
        <v>132</v>
      </c>
      <c r="P386" s="135" t="s">
        <v>459</v>
      </c>
      <c r="Q386" s="135">
        <v>640.21</v>
      </c>
      <c r="R386" s="187">
        <v>320</v>
      </c>
      <c r="S386" s="56"/>
      <c r="T386" s="56"/>
      <c r="U386" s="56"/>
      <c r="V386" s="56"/>
      <c r="W386" s="56"/>
      <c r="X386" s="56"/>
      <c r="Y386" s="56"/>
      <c r="Z386" s="56"/>
      <c r="AA386" s="56"/>
    </row>
    <row r="387" spans="1:27" ht="30" hidden="1" customHeight="1" x14ac:dyDescent="0.25">
      <c r="A387" s="60"/>
      <c r="B387" s="51"/>
      <c r="C387" s="51"/>
      <c r="D387" s="51"/>
      <c r="E387" s="63" t="s">
        <v>452</v>
      </c>
      <c r="F387" s="422">
        <v>2015</v>
      </c>
      <c r="G387" s="135" t="s">
        <v>1229</v>
      </c>
      <c r="H387" s="422"/>
      <c r="I387" s="135" t="s">
        <v>460</v>
      </c>
      <c r="J387" s="135" t="s">
        <v>966</v>
      </c>
      <c r="K387" s="135" t="s">
        <v>469</v>
      </c>
      <c r="L387" s="135" t="s">
        <v>85</v>
      </c>
      <c r="M387" s="135" t="s">
        <v>334</v>
      </c>
      <c r="N387" s="135" t="s">
        <v>965</v>
      </c>
      <c r="O387" s="135" t="s">
        <v>335</v>
      </c>
      <c r="P387" s="135" t="s">
        <v>459</v>
      </c>
      <c r="Q387" s="135">
        <v>374.75</v>
      </c>
      <c r="R387" s="187">
        <v>320</v>
      </c>
      <c r="S387" s="56"/>
      <c r="T387" s="56"/>
      <c r="U387" s="56"/>
      <c r="V387" s="56"/>
      <c r="W387" s="56"/>
      <c r="X387" s="56"/>
      <c r="Y387" s="56"/>
      <c r="Z387" s="56"/>
      <c r="AA387" s="56"/>
    </row>
    <row r="388" spans="1:27" ht="30" hidden="1" customHeight="1" x14ac:dyDescent="0.25">
      <c r="A388" s="60"/>
      <c r="B388" s="51"/>
      <c r="C388" s="51"/>
      <c r="D388" s="51"/>
      <c r="E388" s="63" t="s">
        <v>451</v>
      </c>
      <c r="F388" s="422">
        <v>2015</v>
      </c>
      <c r="G388" s="135" t="s">
        <v>1229</v>
      </c>
      <c r="H388" s="422"/>
      <c r="I388" s="135" t="s">
        <v>460</v>
      </c>
      <c r="J388" s="135" t="s">
        <v>967</v>
      </c>
      <c r="K388" s="135" t="s">
        <v>478</v>
      </c>
      <c r="L388" s="135" t="s">
        <v>207</v>
      </c>
      <c r="M388" s="135" t="s">
        <v>211</v>
      </c>
      <c r="N388" s="135" t="s">
        <v>964</v>
      </c>
      <c r="O388" s="135" t="s">
        <v>548</v>
      </c>
      <c r="P388" s="135" t="s">
        <v>459</v>
      </c>
      <c r="Q388" s="135">
        <v>529.91</v>
      </c>
      <c r="R388" s="187">
        <v>318</v>
      </c>
      <c r="S388" s="56"/>
      <c r="T388" s="56"/>
      <c r="U388" s="56"/>
      <c r="V388" s="56"/>
      <c r="W388" s="56"/>
      <c r="X388" s="56"/>
      <c r="Y388" s="56"/>
      <c r="Z388" s="56"/>
      <c r="AA388" s="56"/>
    </row>
    <row r="389" spans="1:27" ht="30" hidden="1" customHeight="1" x14ac:dyDescent="0.25">
      <c r="A389" s="60"/>
      <c r="B389" s="51"/>
      <c r="C389" s="51"/>
      <c r="D389" s="51"/>
      <c r="E389" s="63" t="s">
        <v>454</v>
      </c>
      <c r="F389" s="422">
        <v>2015</v>
      </c>
      <c r="G389" s="135" t="s">
        <v>1229</v>
      </c>
      <c r="H389" s="422"/>
      <c r="I389" s="135" t="s">
        <v>460</v>
      </c>
      <c r="J389" s="135" t="s">
        <v>963</v>
      </c>
      <c r="K389" s="135" t="s">
        <v>461</v>
      </c>
      <c r="L389" s="135" t="s">
        <v>253</v>
      </c>
      <c r="M389" s="135" t="s">
        <v>264</v>
      </c>
      <c r="N389" s="135" t="s">
        <v>965</v>
      </c>
      <c r="O389" s="135" t="s">
        <v>265</v>
      </c>
      <c r="P389" s="135" t="s">
        <v>459</v>
      </c>
      <c r="Q389" s="135">
        <v>2499.9899999999998</v>
      </c>
      <c r="R389" s="186">
        <v>318</v>
      </c>
      <c r="S389" s="56"/>
      <c r="T389" s="56"/>
      <c r="U389" s="56"/>
      <c r="V389" s="56"/>
      <c r="W389" s="56"/>
      <c r="X389" s="56"/>
      <c r="Y389" s="56"/>
      <c r="Z389" s="56"/>
      <c r="AA389" s="56"/>
    </row>
    <row r="390" spans="1:27" ht="30" hidden="1" customHeight="1" x14ac:dyDescent="0.25">
      <c r="A390" s="60"/>
      <c r="B390" s="51"/>
      <c r="C390" s="51"/>
      <c r="D390" s="51"/>
      <c r="E390" s="63" t="s">
        <v>452</v>
      </c>
      <c r="F390" s="422">
        <v>2015</v>
      </c>
      <c r="G390" s="135" t="s">
        <v>1229</v>
      </c>
      <c r="H390" s="422">
        <v>2018</v>
      </c>
      <c r="I390" s="135" t="s">
        <v>460</v>
      </c>
      <c r="J390" s="135" t="s">
        <v>966</v>
      </c>
      <c r="K390" s="135" t="s">
        <v>469</v>
      </c>
      <c r="L390" s="135" t="s">
        <v>85</v>
      </c>
      <c r="M390" s="135" t="s">
        <v>85</v>
      </c>
      <c r="N390" s="135" t="s">
        <v>964</v>
      </c>
      <c r="O390" s="135" t="s">
        <v>775</v>
      </c>
      <c r="P390" s="135" t="s">
        <v>459</v>
      </c>
      <c r="Q390" s="135">
        <v>205.1</v>
      </c>
      <c r="R390" s="187">
        <v>318</v>
      </c>
      <c r="S390" s="56"/>
      <c r="T390" s="56"/>
      <c r="U390" s="56"/>
      <c r="V390" s="56"/>
      <c r="W390" s="56"/>
      <c r="X390" s="56"/>
      <c r="Y390" s="56"/>
      <c r="Z390" s="56"/>
      <c r="AA390" s="56"/>
    </row>
    <row r="391" spans="1:27" ht="30" hidden="1" customHeight="1" x14ac:dyDescent="0.25">
      <c r="A391" s="60"/>
      <c r="B391" s="51"/>
      <c r="C391" s="51"/>
      <c r="D391" s="51"/>
      <c r="E391" s="63" t="s">
        <v>452</v>
      </c>
      <c r="F391" s="422">
        <v>2015</v>
      </c>
      <c r="G391" s="135" t="s">
        <v>1229</v>
      </c>
      <c r="H391" s="422"/>
      <c r="I391" s="135" t="s">
        <v>460</v>
      </c>
      <c r="J391" s="135" t="s">
        <v>963</v>
      </c>
      <c r="K391" s="135" t="s">
        <v>465</v>
      </c>
      <c r="L391" s="135" t="s">
        <v>106</v>
      </c>
      <c r="M391" s="135" t="s">
        <v>365</v>
      </c>
      <c r="N391" s="135" t="s">
        <v>965</v>
      </c>
      <c r="O391" s="135" t="s">
        <v>776</v>
      </c>
      <c r="P391" s="135" t="s">
        <v>459</v>
      </c>
      <c r="Q391" s="135">
        <v>161.88</v>
      </c>
      <c r="R391" s="187">
        <v>316</v>
      </c>
      <c r="S391" s="56"/>
      <c r="T391" s="56"/>
      <c r="U391" s="56"/>
      <c r="V391" s="56"/>
      <c r="W391" s="56"/>
      <c r="X391" s="56"/>
      <c r="Y391" s="56"/>
      <c r="Z391" s="56"/>
      <c r="AA391" s="56"/>
    </row>
    <row r="392" spans="1:27" ht="30" hidden="1" customHeight="1" x14ac:dyDescent="0.25">
      <c r="A392" s="60"/>
      <c r="B392" s="51"/>
      <c r="C392" s="51"/>
      <c r="D392" s="51"/>
      <c r="E392" s="63" t="s">
        <v>452</v>
      </c>
      <c r="F392" s="422">
        <v>2015</v>
      </c>
      <c r="G392" s="135" t="s">
        <v>1229</v>
      </c>
      <c r="H392" s="422"/>
      <c r="I392" s="135" t="s">
        <v>460</v>
      </c>
      <c r="J392" s="135" t="s">
        <v>963</v>
      </c>
      <c r="K392" s="135" t="s">
        <v>465</v>
      </c>
      <c r="L392" s="135" t="s">
        <v>106</v>
      </c>
      <c r="M392" s="135" t="s">
        <v>270</v>
      </c>
      <c r="N392" s="135" t="s">
        <v>965</v>
      </c>
      <c r="O392" s="135" t="s">
        <v>777</v>
      </c>
      <c r="P392" s="135" t="s">
        <v>459</v>
      </c>
      <c r="Q392" s="135">
        <v>224.87</v>
      </c>
      <c r="R392" s="187">
        <v>315</v>
      </c>
      <c r="S392" s="56"/>
      <c r="T392" s="56"/>
      <c r="U392" s="56"/>
      <c r="V392" s="56"/>
      <c r="W392" s="56"/>
      <c r="X392" s="56"/>
      <c r="Y392" s="56"/>
      <c r="Z392" s="56"/>
      <c r="AA392" s="56"/>
    </row>
    <row r="393" spans="1:27" ht="30" hidden="1" customHeight="1" x14ac:dyDescent="0.25">
      <c r="A393" s="60"/>
      <c r="B393" s="51"/>
      <c r="C393" s="51"/>
      <c r="D393" s="51"/>
      <c r="E393" s="63" t="s">
        <v>452</v>
      </c>
      <c r="F393" s="422">
        <v>2015</v>
      </c>
      <c r="G393" s="135" t="s">
        <v>1229</v>
      </c>
      <c r="H393" s="422"/>
      <c r="I393" s="135" t="s">
        <v>460</v>
      </c>
      <c r="J393" s="135" t="s">
        <v>966</v>
      </c>
      <c r="K393" s="135" t="s">
        <v>469</v>
      </c>
      <c r="L393" s="135" t="s">
        <v>85</v>
      </c>
      <c r="M393" s="135" t="s">
        <v>85</v>
      </c>
      <c r="N393" s="135" t="s">
        <v>964</v>
      </c>
      <c r="O393" s="135" t="s">
        <v>778</v>
      </c>
      <c r="P393" s="135" t="s">
        <v>459</v>
      </c>
      <c r="Q393" s="135">
        <v>380.47</v>
      </c>
      <c r="R393" s="187">
        <v>314</v>
      </c>
      <c r="S393" s="56"/>
      <c r="T393" s="56"/>
      <c r="U393" s="56"/>
      <c r="V393" s="56"/>
      <c r="W393" s="56"/>
      <c r="X393" s="56"/>
      <c r="Y393" s="56"/>
      <c r="Z393" s="56"/>
      <c r="AA393" s="56"/>
    </row>
    <row r="394" spans="1:27" ht="30" hidden="1" customHeight="1" x14ac:dyDescent="0.25">
      <c r="A394" s="60"/>
      <c r="B394" s="51"/>
      <c r="C394" s="51"/>
      <c r="D394" s="51"/>
      <c r="E394" s="63" t="s">
        <v>454</v>
      </c>
      <c r="F394" s="422">
        <v>2015</v>
      </c>
      <c r="G394" s="135" t="s">
        <v>1230</v>
      </c>
      <c r="H394" s="422"/>
      <c r="I394" s="135" t="s">
        <v>460</v>
      </c>
      <c r="J394" s="135" t="s">
        <v>967</v>
      </c>
      <c r="K394" s="135" t="s">
        <v>655</v>
      </c>
      <c r="L394" s="135" t="s">
        <v>216</v>
      </c>
      <c r="M394" s="135" t="s">
        <v>219</v>
      </c>
      <c r="N394" s="135" t="s">
        <v>964</v>
      </c>
      <c r="O394" s="135" t="s">
        <v>220</v>
      </c>
      <c r="P394" s="135" t="s">
        <v>459</v>
      </c>
      <c r="Q394" s="135">
        <v>2400.94</v>
      </c>
      <c r="R394" s="187">
        <v>313</v>
      </c>
      <c r="S394" s="56"/>
      <c r="T394" s="56"/>
      <c r="U394" s="56"/>
      <c r="V394" s="56"/>
      <c r="W394" s="56"/>
      <c r="X394" s="56"/>
      <c r="Y394" s="56"/>
      <c r="Z394" s="56"/>
      <c r="AA394" s="56"/>
    </row>
    <row r="395" spans="1:27" ht="30" hidden="1" customHeight="1" x14ac:dyDescent="0.25">
      <c r="A395" s="60"/>
      <c r="B395" s="51"/>
      <c r="C395" s="51"/>
      <c r="D395" s="51"/>
      <c r="E395" s="63" t="s">
        <v>454</v>
      </c>
      <c r="F395" s="422">
        <v>2015</v>
      </c>
      <c r="G395" s="135" t="s">
        <v>1230</v>
      </c>
      <c r="H395" s="422"/>
      <c r="I395" s="135" t="s">
        <v>460</v>
      </c>
      <c r="J395" s="135" t="s">
        <v>966</v>
      </c>
      <c r="K395" s="135" t="s">
        <v>562</v>
      </c>
      <c r="L395" s="135" t="s">
        <v>108</v>
      </c>
      <c r="M395" s="135" t="s">
        <v>179</v>
      </c>
      <c r="N395" s="135" t="s">
        <v>965</v>
      </c>
      <c r="O395" s="135" t="s">
        <v>779</v>
      </c>
      <c r="P395" s="135" t="s">
        <v>459</v>
      </c>
      <c r="Q395" s="135">
        <v>2802</v>
      </c>
      <c r="R395" s="187">
        <v>312</v>
      </c>
      <c r="S395" s="56"/>
      <c r="T395" s="56"/>
      <c r="U395" s="56"/>
      <c r="V395" s="56"/>
      <c r="W395" s="56"/>
      <c r="X395" s="56"/>
      <c r="Y395" s="56"/>
      <c r="Z395" s="56"/>
      <c r="AA395" s="56"/>
    </row>
    <row r="396" spans="1:27" ht="30" hidden="1" customHeight="1" x14ac:dyDescent="0.25">
      <c r="A396" s="60"/>
      <c r="B396" s="51"/>
      <c r="C396" s="51"/>
      <c r="D396" s="51"/>
      <c r="E396" s="63" t="s">
        <v>454</v>
      </c>
      <c r="F396" s="422">
        <v>2015</v>
      </c>
      <c r="G396" s="135" t="s">
        <v>1230</v>
      </c>
      <c r="H396" s="422"/>
      <c r="I396" s="135" t="s">
        <v>460</v>
      </c>
      <c r="J396" s="135" t="s">
        <v>971</v>
      </c>
      <c r="K396" s="135" t="s">
        <v>527</v>
      </c>
      <c r="L396" s="135" t="s">
        <v>194</v>
      </c>
      <c r="M396" s="135" t="s">
        <v>196</v>
      </c>
      <c r="N396" s="135" t="s">
        <v>964</v>
      </c>
      <c r="O396" s="135" t="s">
        <v>528</v>
      </c>
      <c r="P396" s="135" t="s">
        <v>459</v>
      </c>
      <c r="Q396" s="135">
        <v>2970.6800000000003</v>
      </c>
      <c r="R396" s="187">
        <v>311</v>
      </c>
      <c r="S396" s="56"/>
      <c r="T396" s="56"/>
      <c r="U396" s="56"/>
      <c r="V396" s="56"/>
      <c r="W396" s="56"/>
      <c r="X396" s="56"/>
      <c r="Y396" s="56"/>
      <c r="Z396" s="56"/>
      <c r="AA396" s="56"/>
    </row>
    <row r="397" spans="1:27" ht="30" hidden="1" customHeight="1" x14ac:dyDescent="0.25">
      <c r="A397" s="60"/>
      <c r="B397" s="51"/>
      <c r="C397" s="51"/>
      <c r="D397" s="51"/>
      <c r="E397" s="63" t="s">
        <v>454</v>
      </c>
      <c r="F397" s="422">
        <v>2015</v>
      </c>
      <c r="G397" s="135" t="s">
        <v>1230</v>
      </c>
      <c r="H397" s="422">
        <v>2018</v>
      </c>
      <c r="I397" s="135" t="s">
        <v>460</v>
      </c>
      <c r="J397" s="135" t="s">
        <v>966</v>
      </c>
      <c r="K397" s="135" t="s">
        <v>562</v>
      </c>
      <c r="L397" s="135" t="s">
        <v>108</v>
      </c>
      <c r="M397" s="135" t="s">
        <v>182</v>
      </c>
      <c r="N397" s="135" t="s">
        <v>965</v>
      </c>
      <c r="O397" s="135" t="s">
        <v>780</v>
      </c>
      <c r="P397" s="135" t="s">
        <v>459</v>
      </c>
      <c r="Q397" s="135">
        <v>1846.2099999999998</v>
      </c>
      <c r="R397" s="187">
        <v>310</v>
      </c>
      <c r="S397" s="56"/>
      <c r="T397" s="56"/>
      <c r="U397" s="56"/>
      <c r="V397" s="56"/>
      <c r="W397" s="56"/>
      <c r="X397" s="56"/>
      <c r="Y397" s="56"/>
      <c r="Z397" s="56"/>
      <c r="AA397" s="56"/>
    </row>
    <row r="398" spans="1:27" ht="30" hidden="1" customHeight="1" x14ac:dyDescent="0.25">
      <c r="A398" s="60"/>
      <c r="B398" s="51"/>
      <c r="C398" s="51"/>
      <c r="D398" s="51"/>
      <c r="E398" s="63" t="s">
        <v>451</v>
      </c>
      <c r="F398" s="422">
        <v>2015</v>
      </c>
      <c r="G398" s="135" t="s">
        <v>1230</v>
      </c>
      <c r="H398" s="422"/>
      <c r="I398" s="135" t="s">
        <v>460</v>
      </c>
      <c r="J398" s="135" t="s">
        <v>969</v>
      </c>
      <c r="K398" s="135" t="s">
        <v>503</v>
      </c>
      <c r="L398" s="135" t="s">
        <v>970</v>
      </c>
      <c r="M398" s="135" t="s">
        <v>190</v>
      </c>
      <c r="N398" s="135" t="s">
        <v>964</v>
      </c>
      <c r="O398" s="135" t="s">
        <v>781</v>
      </c>
      <c r="P398" s="135" t="s">
        <v>459</v>
      </c>
      <c r="Q398" s="135">
        <v>516.36</v>
      </c>
      <c r="R398" s="187">
        <v>310</v>
      </c>
      <c r="S398" s="56"/>
      <c r="T398" s="56"/>
      <c r="U398" s="56"/>
      <c r="V398" s="56"/>
      <c r="W398" s="56"/>
      <c r="X398" s="56"/>
      <c r="Y398" s="56"/>
      <c r="Z398" s="56"/>
      <c r="AA398" s="56"/>
    </row>
    <row r="399" spans="1:27" ht="30" customHeight="1" x14ac:dyDescent="0.25">
      <c r="A399" s="60"/>
      <c r="B399" s="51"/>
      <c r="C399" s="51"/>
      <c r="D399" s="51"/>
      <c r="E399" s="63" t="s">
        <v>454</v>
      </c>
      <c r="F399" s="422">
        <v>2015</v>
      </c>
      <c r="G399" s="135" t="s">
        <v>1230</v>
      </c>
      <c r="H399" s="422">
        <v>2023</v>
      </c>
      <c r="I399" s="135" t="s">
        <v>460</v>
      </c>
      <c r="J399" s="135" t="s">
        <v>967</v>
      </c>
      <c r="K399" s="135" t="s">
        <v>488</v>
      </c>
      <c r="L399" s="135" t="s">
        <v>135</v>
      </c>
      <c r="M399" s="135" t="s">
        <v>136</v>
      </c>
      <c r="N399" s="135" t="s">
        <v>964</v>
      </c>
      <c r="O399" s="135" t="s">
        <v>1342</v>
      </c>
      <c r="P399" s="135" t="s">
        <v>464</v>
      </c>
      <c r="Q399" s="135">
        <v>2722.88</v>
      </c>
      <c r="R399" s="187">
        <v>309</v>
      </c>
      <c r="S399" s="56"/>
      <c r="T399" s="56"/>
      <c r="U399" s="56"/>
      <c r="V399" s="56"/>
      <c r="W399" s="56"/>
      <c r="X399" s="56"/>
      <c r="Y399" s="56"/>
      <c r="Z399" s="56"/>
      <c r="AA399" s="56"/>
    </row>
    <row r="400" spans="1:27" ht="30" hidden="1" customHeight="1" x14ac:dyDescent="0.25">
      <c r="A400" s="60"/>
      <c r="B400" s="51"/>
      <c r="C400" s="51"/>
      <c r="D400" s="51"/>
      <c r="E400" s="63" t="s">
        <v>454</v>
      </c>
      <c r="F400" s="422">
        <v>2015</v>
      </c>
      <c r="G400" s="135" t="s">
        <v>1231</v>
      </c>
      <c r="H400" s="422"/>
      <c r="I400" s="135" t="s">
        <v>460</v>
      </c>
      <c r="J400" s="135" t="s">
        <v>966</v>
      </c>
      <c r="K400" s="135" t="s">
        <v>469</v>
      </c>
      <c r="L400" s="135" t="s">
        <v>85</v>
      </c>
      <c r="M400" s="135" t="s">
        <v>297</v>
      </c>
      <c r="N400" s="135" t="s">
        <v>965</v>
      </c>
      <c r="O400" s="135" t="s">
        <v>298</v>
      </c>
      <c r="P400" s="135" t="s">
        <v>459</v>
      </c>
      <c r="Q400" s="135">
        <v>2042.0800000000002</v>
      </c>
      <c r="R400" s="187">
        <v>309</v>
      </c>
      <c r="S400" s="56"/>
      <c r="T400" s="56"/>
      <c r="U400" s="56"/>
      <c r="V400" s="56"/>
      <c r="W400" s="56"/>
      <c r="X400" s="56"/>
      <c r="Y400" s="56"/>
      <c r="Z400" s="56"/>
      <c r="AA400" s="56"/>
    </row>
    <row r="401" spans="1:27" ht="30" hidden="1" customHeight="1" x14ac:dyDescent="0.25">
      <c r="A401" s="60"/>
      <c r="B401" s="51"/>
      <c r="C401" s="51"/>
      <c r="D401" s="51"/>
      <c r="E401" s="63" t="s">
        <v>452</v>
      </c>
      <c r="F401" s="422">
        <v>2015</v>
      </c>
      <c r="G401" s="135" t="s">
        <v>1231</v>
      </c>
      <c r="H401" s="422"/>
      <c r="I401" s="135" t="s">
        <v>460</v>
      </c>
      <c r="J401" s="135" t="s">
        <v>966</v>
      </c>
      <c r="K401" s="135" t="s">
        <v>469</v>
      </c>
      <c r="L401" s="135" t="s">
        <v>85</v>
      </c>
      <c r="M401" s="135" t="s">
        <v>345</v>
      </c>
      <c r="N401" s="135" t="s">
        <v>965</v>
      </c>
      <c r="O401" s="135" t="s">
        <v>347</v>
      </c>
      <c r="P401" s="135" t="s">
        <v>459</v>
      </c>
      <c r="Q401" s="135">
        <v>308</v>
      </c>
      <c r="R401" s="187">
        <v>308</v>
      </c>
      <c r="S401" s="56"/>
      <c r="T401" s="56"/>
      <c r="U401" s="56"/>
      <c r="V401" s="56"/>
      <c r="W401" s="56"/>
      <c r="X401" s="56"/>
      <c r="Y401" s="56"/>
      <c r="Z401" s="56"/>
      <c r="AA401" s="56"/>
    </row>
    <row r="402" spans="1:27" ht="30" hidden="1" customHeight="1" x14ac:dyDescent="0.25">
      <c r="A402" s="60"/>
      <c r="B402" s="51"/>
      <c r="C402" s="51"/>
      <c r="D402" s="51"/>
      <c r="E402" s="63" t="s">
        <v>451</v>
      </c>
      <c r="F402" s="422">
        <v>2015</v>
      </c>
      <c r="G402" s="135" t="s">
        <v>1231</v>
      </c>
      <c r="H402" s="422"/>
      <c r="I402" s="135" t="s">
        <v>460</v>
      </c>
      <c r="J402" s="135" t="s">
        <v>967</v>
      </c>
      <c r="K402" s="135" t="s">
        <v>478</v>
      </c>
      <c r="L402" s="135" t="s">
        <v>207</v>
      </c>
      <c r="M402" s="135" t="s">
        <v>211</v>
      </c>
      <c r="N402" s="135" t="s">
        <v>964</v>
      </c>
      <c r="O402" s="135" t="s">
        <v>479</v>
      </c>
      <c r="P402" s="135" t="s">
        <v>459</v>
      </c>
      <c r="Q402" s="135">
        <v>649.41999999999996</v>
      </c>
      <c r="R402" s="187">
        <v>307</v>
      </c>
      <c r="S402" s="56"/>
      <c r="T402" s="56"/>
      <c r="U402" s="56"/>
      <c r="V402" s="56"/>
      <c r="W402" s="56"/>
      <c r="X402" s="56"/>
      <c r="Y402" s="56"/>
      <c r="Z402" s="56"/>
      <c r="AA402" s="56"/>
    </row>
    <row r="403" spans="1:27" ht="30" hidden="1" customHeight="1" x14ac:dyDescent="0.25">
      <c r="A403" s="60"/>
      <c r="B403" s="51"/>
      <c r="C403" s="51"/>
      <c r="D403" s="51"/>
      <c r="E403" s="63" t="s">
        <v>452</v>
      </c>
      <c r="F403" s="422">
        <v>2015</v>
      </c>
      <c r="G403" s="135" t="s">
        <v>1231</v>
      </c>
      <c r="H403" s="422"/>
      <c r="I403" s="135" t="s">
        <v>460</v>
      </c>
      <c r="J403" s="135" t="s">
        <v>963</v>
      </c>
      <c r="K403" s="135" t="s">
        <v>461</v>
      </c>
      <c r="L403" s="135" t="s">
        <v>253</v>
      </c>
      <c r="M403" s="135" t="s">
        <v>782</v>
      </c>
      <c r="N403" s="135" t="s">
        <v>965</v>
      </c>
      <c r="O403" s="135" t="s">
        <v>783</v>
      </c>
      <c r="P403" s="135" t="s">
        <v>459</v>
      </c>
      <c r="Q403" s="135">
        <v>184.15</v>
      </c>
      <c r="R403" s="187">
        <v>307</v>
      </c>
      <c r="S403" s="56"/>
      <c r="T403" s="56"/>
      <c r="U403" s="56"/>
      <c r="V403" s="56"/>
      <c r="W403" s="56"/>
      <c r="X403" s="56"/>
      <c r="Y403" s="56"/>
      <c r="Z403" s="56"/>
      <c r="AA403" s="56"/>
    </row>
    <row r="404" spans="1:27" ht="30" hidden="1" customHeight="1" x14ac:dyDescent="0.25">
      <c r="A404" s="60"/>
      <c r="B404" s="51"/>
      <c r="C404" s="51"/>
      <c r="D404" s="51"/>
      <c r="E404" s="63" t="s">
        <v>451</v>
      </c>
      <c r="F404" s="422">
        <v>2015</v>
      </c>
      <c r="G404" s="135" t="s">
        <v>1231</v>
      </c>
      <c r="H404" s="422"/>
      <c r="I404" s="135" t="s">
        <v>460</v>
      </c>
      <c r="J404" s="135" t="s">
        <v>966</v>
      </c>
      <c r="K404" s="135" t="s">
        <v>499</v>
      </c>
      <c r="L404" s="135" t="s">
        <v>88</v>
      </c>
      <c r="M404" s="135" t="s">
        <v>88</v>
      </c>
      <c r="N404" s="135" t="s">
        <v>964</v>
      </c>
      <c r="O404" s="135" t="s">
        <v>230</v>
      </c>
      <c r="P404" s="135" t="s">
        <v>459</v>
      </c>
      <c r="Q404" s="135">
        <v>367</v>
      </c>
      <c r="R404" s="187">
        <v>305</v>
      </c>
      <c r="S404" s="56"/>
      <c r="T404" s="56"/>
      <c r="U404" s="56"/>
      <c r="V404" s="56"/>
      <c r="W404" s="56"/>
      <c r="X404" s="56"/>
      <c r="Y404" s="56"/>
      <c r="Z404" s="56"/>
      <c r="AA404" s="56"/>
    </row>
    <row r="405" spans="1:27" ht="30" hidden="1" customHeight="1" x14ac:dyDescent="0.25">
      <c r="A405" s="60"/>
      <c r="B405" s="51"/>
      <c r="C405" s="51"/>
      <c r="D405" s="51"/>
      <c r="E405" s="63" t="s">
        <v>452</v>
      </c>
      <c r="F405" s="422">
        <v>2015</v>
      </c>
      <c r="G405" s="135" t="s">
        <v>1231</v>
      </c>
      <c r="H405" s="422"/>
      <c r="I405" s="135" t="s">
        <v>460</v>
      </c>
      <c r="J405" s="135" t="s">
        <v>966</v>
      </c>
      <c r="K405" s="135" t="s">
        <v>469</v>
      </c>
      <c r="L405" s="135" t="s">
        <v>85</v>
      </c>
      <c r="M405" s="135" t="s">
        <v>345</v>
      </c>
      <c r="N405" s="135" t="s">
        <v>965</v>
      </c>
      <c r="O405" s="135" t="s">
        <v>346</v>
      </c>
      <c r="P405" s="135" t="s">
        <v>459</v>
      </c>
      <c r="Q405" s="135">
        <v>186</v>
      </c>
      <c r="R405" s="187">
        <v>304</v>
      </c>
      <c r="S405" s="56"/>
      <c r="T405" s="56"/>
      <c r="U405" s="56"/>
      <c r="V405" s="56"/>
      <c r="W405" s="56"/>
      <c r="X405" s="56"/>
      <c r="Y405" s="56"/>
      <c r="Z405" s="56"/>
      <c r="AA405" s="56"/>
    </row>
    <row r="406" spans="1:27" ht="30" hidden="1" customHeight="1" x14ac:dyDescent="0.25">
      <c r="A406" s="60"/>
      <c r="B406" s="51"/>
      <c r="C406" s="51"/>
      <c r="D406" s="51"/>
      <c r="E406" s="63" t="s">
        <v>454</v>
      </c>
      <c r="F406" s="422">
        <v>2015</v>
      </c>
      <c r="G406" s="135" t="s">
        <v>1231</v>
      </c>
      <c r="H406" s="422"/>
      <c r="I406" s="135" t="s">
        <v>460</v>
      </c>
      <c r="J406" s="135" t="s">
        <v>963</v>
      </c>
      <c r="K406" s="135" t="s">
        <v>465</v>
      </c>
      <c r="L406" s="135" t="s">
        <v>106</v>
      </c>
      <c r="M406" s="135" t="s">
        <v>784</v>
      </c>
      <c r="N406" s="135" t="s">
        <v>965</v>
      </c>
      <c r="O406" s="135" t="s">
        <v>785</v>
      </c>
      <c r="P406" s="135" t="s">
        <v>459</v>
      </c>
      <c r="Q406" s="135">
        <v>2065</v>
      </c>
      <c r="R406" s="187">
        <v>303</v>
      </c>
      <c r="S406" s="56"/>
      <c r="T406" s="56"/>
      <c r="U406" s="56"/>
      <c r="V406" s="56"/>
      <c r="W406" s="56"/>
      <c r="X406" s="56"/>
      <c r="Y406" s="56"/>
      <c r="Z406" s="56"/>
      <c r="AA406" s="56"/>
    </row>
    <row r="407" spans="1:27" ht="30" hidden="1" customHeight="1" x14ac:dyDescent="0.25">
      <c r="A407" s="60"/>
      <c r="B407" s="51"/>
      <c r="C407" s="51"/>
      <c r="D407" s="51"/>
      <c r="E407" s="63" t="s">
        <v>454</v>
      </c>
      <c r="F407" s="422">
        <v>2015</v>
      </c>
      <c r="G407" s="135" t="s">
        <v>1231</v>
      </c>
      <c r="H407" s="422"/>
      <c r="I407" s="135" t="s">
        <v>460</v>
      </c>
      <c r="J407" s="135" t="s">
        <v>966</v>
      </c>
      <c r="K407" s="135" t="s">
        <v>469</v>
      </c>
      <c r="L407" s="135" t="s">
        <v>85</v>
      </c>
      <c r="M407" s="135" t="s">
        <v>343</v>
      </c>
      <c r="N407" s="135" t="s">
        <v>965</v>
      </c>
      <c r="O407" s="135" t="s">
        <v>786</v>
      </c>
      <c r="P407" s="135" t="s">
        <v>459</v>
      </c>
      <c r="Q407" s="135">
        <v>1571</v>
      </c>
      <c r="R407" s="187">
        <v>302</v>
      </c>
      <c r="S407" s="56"/>
      <c r="T407" s="56"/>
      <c r="U407" s="56"/>
      <c r="V407" s="56"/>
      <c r="W407" s="56"/>
      <c r="X407" s="56"/>
      <c r="Y407" s="56"/>
      <c r="Z407" s="56"/>
      <c r="AA407" s="56"/>
    </row>
    <row r="408" spans="1:27" ht="30" hidden="1" customHeight="1" x14ac:dyDescent="0.25">
      <c r="A408" s="60"/>
      <c r="B408" s="51"/>
      <c r="C408" s="51"/>
      <c r="D408" s="51"/>
      <c r="E408" s="63" t="s">
        <v>454</v>
      </c>
      <c r="F408" s="422">
        <v>2015</v>
      </c>
      <c r="G408" s="135" t="s">
        <v>1231</v>
      </c>
      <c r="H408" s="422"/>
      <c r="I408" s="135" t="s">
        <v>460</v>
      </c>
      <c r="J408" s="135" t="s">
        <v>966</v>
      </c>
      <c r="K408" s="135" t="s">
        <v>499</v>
      </c>
      <c r="L408" s="135" t="s">
        <v>88</v>
      </c>
      <c r="M408" s="135" t="s">
        <v>88</v>
      </c>
      <c r="N408" s="135" t="s">
        <v>964</v>
      </c>
      <c r="O408" s="135" t="s">
        <v>232</v>
      </c>
      <c r="P408" s="135" t="s">
        <v>459</v>
      </c>
      <c r="Q408" s="135">
        <v>2332.59</v>
      </c>
      <c r="R408" s="187">
        <v>301</v>
      </c>
      <c r="S408" s="56"/>
      <c r="T408" s="56"/>
      <c r="U408" s="56"/>
      <c r="V408" s="56"/>
      <c r="W408" s="56"/>
      <c r="X408" s="56"/>
      <c r="Y408" s="56"/>
      <c r="Z408" s="56"/>
      <c r="AA408" s="56"/>
    </row>
    <row r="409" spans="1:27" ht="30" hidden="1" customHeight="1" x14ac:dyDescent="0.25">
      <c r="A409" s="60"/>
      <c r="B409" s="51"/>
      <c r="C409" s="51"/>
      <c r="D409" s="51"/>
      <c r="E409" s="63" t="s">
        <v>454</v>
      </c>
      <c r="F409" s="422">
        <v>2015</v>
      </c>
      <c r="G409" s="135" t="s">
        <v>1231</v>
      </c>
      <c r="H409" s="422"/>
      <c r="I409" s="135" t="s">
        <v>460</v>
      </c>
      <c r="J409" s="135" t="s">
        <v>966</v>
      </c>
      <c r="K409" s="135" t="s">
        <v>469</v>
      </c>
      <c r="L409" s="135" t="s">
        <v>85</v>
      </c>
      <c r="M409" s="135" t="s">
        <v>344</v>
      </c>
      <c r="N409" s="135" t="s">
        <v>965</v>
      </c>
      <c r="O409" s="135" t="s">
        <v>787</v>
      </c>
      <c r="P409" s="135" t="s">
        <v>459</v>
      </c>
      <c r="Q409" s="135">
        <v>2270.19</v>
      </c>
      <c r="R409" s="187">
        <v>301</v>
      </c>
      <c r="S409" s="56"/>
      <c r="T409" s="56"/>
      <c r="U409" s="56"/>
      <c r="V409" s="56"/>
      <c r="W409" s="56"/>
      <c r="X409" s="56"/>
      <c r="Y409" s="56"/>
      <c r="Z409" s="56"/>
      <c r="AA409" s="56"/>
    </row>
    <row r="410" spans="1:27" ht="30" hidden="1" customHeight="1" x14ac:dyDescent="0.25">
      <c r="A410" s="60"/>
      <c r="B410" s="51"/>
      <c r="C410" s="51"/>
      <c r="D410" s="51"/>
      <c r="E410" s="63" t="s">
        <v>454</v>
      </c>
      <c r="F410" s="422">
        <v>2015</v>
      </c>
      <c r="G410" s="135" t="s">
        <v>1231</v>
      </c>
      <c r="H410" s="422">
        <v>2022</v>
      </c>
      <c r="I410" s="135" t="s">
        <v>460</v>
      </c>
      <c r="J410" s="135" t="s">
        <v>966</v>
      </c>
      <c r="K410" s="135" t="s">
        <v>499</v>
      </c>
      <c r="L410" s="135" t="s">
        <v>88</v>
      </c>
      <c r="M410" s="135" t="s">
        <v>88</v>
      </c>
      <c r="N410" s="135" t="s">
        <v>964</v>
      </c>
      <c r="O410" s="135" t="s">
        <v>1136</v>
      </c>
      <c r="P410" s="135" t="s">
        <v>459</v>
      </c>
      <c r="Q410" s="135">
        <v>1736.9399999999998</v>
      </c>
      <c r="R410" s="187">
        <v>301</v>
      </c>
      <c r="S410" s="56"/>
      <c r="T410" s="56"/>
      <c r="U410" s="56"/>
      <c r="V410" s="56"/>
      <c r="W410" s="56"/>
      <c r="X410" s="56"/>
      <c r="Y410" s="56"/>
      <c r="Z410" s="56"/>
      <c r="AA410" s="56"/>
    </row>
    <row r="411" spans="1:27" ht="30" hidden="1" customHeight="1" x14ac:dyDescent="0.25">
      <c r="A411" s="60"/>
      <c r="B411" s="51"/>
      <c r="C411" s="51"/>
      <c r="D411" s="51"/>
      <c r="E411" s="63" t="s">
        <v>454</v>
      </c>
      <c r="F411" s="422">
        <v>2015</v>
      </c>
      <c r="G411" s="135" t="s">
        <v>1231</v>
      </c>
      <c r="H411" s="422">
        <v>2021</v>
      </c>
      <c r="I411" s="135" t="s">
        <v>460</v>
      </c>
      <c r="J411" s="135" t="s">
        <v>966</v>
      </c>
      <c r="K411" s="135" t="s">
        <v>469</v>
      </c>
      <c r="L411" s="135" t="s">
        <v>85</v>
      </c>
      <c r="M411" s="135" t="s">
        <v>356</v>
      </c>
      <c r="N411" s="135" t="s">
        <v>965</v>
      </c>
      <c r="O411" s="135" t="s">
        <v>1137</v>
      </c>
      <c r="P411" s="135" t="s">
        <v>459</v>
      </c>
      <c r="Q411" s="135">
        <v>1709.6</v>
      </c>
      <c r="R411" s="187">
        <v>301</v>
      </c>
      <c r="S411" s="56"/>
      <c r="T411" s="56"/>
      <c r="U411" s="56"/>
      <c r="V411" s="56"/>
      <c r="W411" s="56"/>
      <c r="X411" s="56"/>
      <c r="Y411" s="56"/>
      <c r="Z411" s="56"/>
      <c r="AA411" s="56"/>
    </row>
    <row r="412" spans="1:27" ht="30" hidden="1" customHeight="1" x14ac:dyDescent="0.25">
      <c r="A412" s="60"/>
      <c r="B412" s="51"/>
      <c r="C412" s="51"/>
      <c r="D412" s="51"/>
      <c r="E412" s="63" t="s">
        <v>454</v>
      </c>
      <c r="F412" s="422">
        <v>2015</v>
      </c>
      <c r="G412" s="135" t="s">
        <v>1231</v>
      </c>
      <c r="H412" s="422">
        <v>2024</v>
      </c>
      <c r="I412" s="135" t="s">
        <v>460</v>
      </c>
      <c r="J412" s="135" t="s">
        <v>963</v>
      </c>
      <c r="K412" s="135" t="s">
        <v>461</v>
      </c>
      <c r="L412" s="135" t="s">
        <v>253</v>
      </c>
      <c r="M412" s="135" t="s">
        <v>258</v>
      </c>
      <c r="N412" s="135" t="s">
        <v>964</v>
      </c>
      <c r="O412" s="135" t="s">
        <v>788</v>
      </c>
      <c r="P412" s="135" t="s">
        <v>464</v>
      </c>
      <c r="Q412" s="135">
        <v>812.91</v>
      </c>
      <c r="R412" s="187">
        <v>299</v>
      </c>
      <c r="S412" s="56"/>
      <c r="T412" s="56"/>
      <c r="U412" s="56"/>
      <c r="V412" s="56"/>
      <c r="W412" s="56"/>
      <c r="X412" s="56"/>
      <c r="Y412" s="56"/>
      <c r="Z412" s="56"/>
      <c r="AA412" s="56"/>
    </row>
    <row r="413" spans="1:27" ht="30" hidden="1" customHeight="1" x14ac:dyDescent="0.25">
      <c r="A413" s="60"/>
      <c r="B413" s="51"/>
      <c r="C413" s="51"/>
      <c r="D413" s="51"/>
      <c r="E413" s="63" t="s">
        <v>451</v>
      </c>
      <c r="F413" s="422">
        <v>2015</v>
      </c>
      <c r="G413" s="135" t="s">
        <v>1231</v>
      </c>
      <c r="H413" s="422"/>
      <c r="I413" s="135" t="s">
        <v>460</v>
      </c>
      <c r="J413" s="135" t="s">
        <v>966</v>
      </c>
      <c r="K413" s="135" t="s">
        <v>499</v>
      </c>
      <c r="L413" s="135" t="s">
        <v>88</v>
      </c>
      <c r="M413" s="135" t="s">
        <v>240</v>
      </c>
      <c r="N413" s="135" t="s">
        <v>965</v>
      </c>
      <c r="O413" s="135" t="s">
        <v>101</v>
      </c>
      <c r="P413" s="135" t="s">
        <v>459</v>
      </c>
      <c r="Q413" s="135">
        <v>317</v>
      </c>
      <c r="R413" s="187">
        <v>299</v>
      </c>
      <c r="S413" s="56"/>
      <c r="T413" s="56"/>
      <c r="U413" s="56"/>
      <c r="V413" s="56"/>
      <c r="W413" s="56"/>
      <c r="X413" s="56"/>
      <c r="Y413" s="56"/>
      <c r="Z413" s="56"/>
      <c r="AA413" s="56"/>
    </row>
    <row r="414" spans="1:27" ht="30" customHeight="1" x14ac:dyDescent="0.25">
      <c r="A414" s="60"/>
      <c r="B414" s="51"/>
      <c r="C414" s="51"/>
      <c r="D414" s="51"/>
      <c r="E414" s="63" t="s">
        <v>451</v>
      </c>
      <c r="F414" s="422">
        <v>2015</v>
      </c>
      <c r="G414" s="135" t="s">
        <v>1231</v>
      </c>
      <c r="H414" s="422">
        <v>2023</v>
      </c>
      <c r="I414" s="135" t="s">
        <v>460</v>
      </c>
      <c r="J414" s="135" t="s">
        <v>966</v>
      </c>
      <c r="K414" s="135" t="s">
        <v>469</v>
      </c>
      <c r="L414" s="135" t="s">
        <v>85</v>
      </c>
      <c r="M414" s="135" t="s">
        <v>311</v>
      </c>
      <c r="N414" s="135" t="s">
        <v>965</v>
      </c>
      <c r="O414" s="135" t="s">
        <v>1174</v>
      </c>
      <c r="P414" s="135" t="s">
        <v>459</v>
      </c>
      <c r="Q414" s="135">
        <v>405.15</v>
      </c>
      <c r="R414" s="187">
        <v>298</v>
      </c>
      <c r="S414" s="56"/>
      <c r="T414" s="56"/>
      <c r="U414" s="56"/>
      <c r="V414" s="56"/>
      <c r="W414" s="56"/>
      <c r="X414" s="56"/>
      <c r="Y414" s="56"/>
      <c r="Z414" s="56"/>
      <c r="AA414" s="56"/>
    </row>
    <row r="415" spans="1:27" ht="30" hidden="1" customHeight="1" x14ac:dyDescent="0.25">
      <c r="A415" s="60"/>
      <c r="B415" s="51"/>
      <c r="C415" s="51"/>
      <c r="D415" s="51"/>
      <c r="E415" s="63" t="s">
        <v>454</v>
      </c>
      <c r="F415" s="422">
        <v>2015</v>
      </c>
      <c r="G415" s="135" t="s">
        <v>1231</v>
      </c>
      <c r="H415" s="422"/>
      <c r="I415" s="135" t="s">
        <v>460</v>
      </c>
      <c r="J415" s="135" t="s">
        <v>966</v>
      </c>
      <c r="K415" s="135" t="s">
        <v>469</v>
      </c>
      <c r="L415" s="135" t="s">
        <v>85</v>
      </c>
      <c r="M415" s="135" t="s">
        <v>311</v>
      </c>
      <c r="N415" s="135" t="s">
        <v>965</v>
      </c>
      <c r="O415" s="135" t="s">
        <v>312</v>
      </c>
      <c r="P415" s="135" t="s">
        <v>459</v>
      </c>
      <c r="Q415" s="135">
        <v>2520</v>
      </c>
      <c r="R415" s="187">
        <v>298</v>
      </c>
      <c r="S415" s="56"/>
      <c r="T415" s="56"/>
      <c r="U415" s="56"/>
      <c r="V415" s="56"/>
      <c r="W415" s="56"/>
      <c r="X415" s="56"/>
      <c r="Y415" s="56"/>
      <c r="Z415" s="56"/>
      <c r="AA415" s="56"/>
    </row>
    <row r="416" spans="1:27" ht="30" hidden="1" customHeight="1" x14ac:dyDescent="0.25">
      <c r="A416" s="60"/>
      <c r="B416" s="51"/>
      <c r="C416" s="51"/>
      <c r="D416" s="51"/>
      <c r="E416" s="63" t="s">
        <v>454</v>
      </c>
      <c r="F416" s="422">
        <v>2015</v>
      </c>
      <c r="G416" s="135" t="s">
        <v>1231</v>
      </c>
      <c r="H416" s="422"/>
      <c r="I416" s="135" t="s">
        <v>460</v>
      </c>
      <c r="J416" s="135" t="s">
        <v>963</v>
      </c>
      <c r="K416" s="135" t="s">
        <v>465</v>
      </c>
      <c r="L416" s="135" t="s">
        <v>106</v>
      </c>
      <c r="M416" s="135" t="s">
        <v>278</v>
      </c>
      <c r="N416" s="135" t="s">
        <v>965</v>
      </c>
      <c r="O416" s="135" t="s">
        <v>279</v>
      </c>
      <c r="P416" s="135" t="s">
        <v>459</v>
      </c>
      <c r="Q416" s="135">
        <v>2533.29</v>
      </c>
      <c r="R416" s="187">
        <v>298</v>
      </c>
      <c r="S416" s="56"/>
      <c r="T416" s="56"/>
      <c r="U416" s="56"/>
      <c r="V416" s="56"/>
      <c r="W416" s="56"/>
      <c r="X416" s="56"/>
      <c r="Y416" s="56"/>
      <c r="Z416" s="56"/>
      <c r="AA416" s="56"/>
    </row>
    <row r="417" spans="1:27" ht="30" hidden="1" customHeight="1" x14ac:dyDescent="0.25">
      <c r="A417" s="60"/>
      <c r="B417" s="51"/>
      <c r="C417" s="51"/>
      <c r="D417" s="51"/>
      <c r="E417" s="63" t="s">
        <v>451</v>
      </c>
      <c r="F417" s="422">
        <v>2015</v>
      </c>
      <c r="G417" s="135" t="s">
        <v>1231</v>
      </c>
      <c r="H417" s="422"/>
      <c r="I417" s="135" t="s">
        <v>460</v>
      </c>
      <c r="J417" s="135" t="s">
        <v>967</v>
      </c>
      <c r="K417" s="135" t="s">
        <v>488</v>
      </c>
      <c r="L417" s="135" t="s">
        <v>135</v>
      </c>
      <c r="M417" s="135" t="s">
        <v>136</v>
      </c>
      <c r="N417" s="135" t="s">
        <v>964</v>
      </c>
      <c r="O417" s="135" t="s">
        <v>789</v>
      </c>
      <c r="P417" s="135" t="s">
        <v>459</v>
      </c>
      <c r="Q417" s="135">
        <v>614.28</v>
      </c>
      <c r="R417" s="187">
        <v>296</v>
      </c>
      <c r="S417" s="56"/>
      <c r="T417" s="56"/>
      <c r="U417" s="56"/>
      <c r="V417" s="56"/>
      <c r="W417" s="56"/>
      <c r="X417" s="56"/>
      <c r="Y417" s="56"/>
      <c r="Z417" s="56"/>
      <c r="AA417" s="56"/>
    </row>
    <row r="418" spans="1:27" ht="30" hidden="1" customHeight="1" x14ac:dyDescent="0.25">
      <c r="A418" s="60"/>
      <c r="B418" s="51"/>
      <c r="C418" s="51"/>
      <c r="D418" s="51"/>
      <c r="E418" s="63" t="s">
        <v>454</v>
      </c>
      <c r="F418" s="422">
        <v>2015</v>
      </c>
      <c r="G418" s="135" t="s">
        <v>1232</v>
      </c>
      <c r="H418" s="422"/>
      <c r="I418" s="135" t="s">
        <v>460</v>
      </c>
      <c r="J418" s="135" t="s">
        <v>966</v>
      </c>
      <c r="K418" s="135" t="s">
        <v>499</v>
      </c>
      <c r="L418" s="135" t="s">
        <v>88</v>
      </c>
      <c r="M418" s="135" t="s">
        <v>239</v>
      </c>
      <c r="N418" s="135" t="s">
        <v>965</v>
      </c>
      <c r="O418" s="135" t="s">
        <v>790</v>
      </c>
      <c r="P418" s="135" t="s">
        <v>459</v>
      </c>
      <c r="Q418" s="135">
        <v>2012.29</v>
      </c>
      <c r="R418" s="187">
        <v>295</v>
      </c>
      <c r="S418" s="56"/>
      <c r="T418" s="56"/>
      <c r="U418" s="56"/>
      <c r="V418" s="56"/>
      <c r="W418" s="56"/>
      <c r="X418" s="56"/>
      <c r="Y418" s="56"/>
      <c r="Z418" s="56"/>
      <c r="AA418" s="56"/>
    </row>
    <row r="419" spans="1:27" ht="30" hidden="1" customHeight="1" x14ac:dyDescent="0.25">
      <c r="A419" s="60"/>
      <c r="B419" s="51"/>
      <c r="C419" s="51"/>
      <c r="D419" s="51"/>
      <c r="E419" s="63" t="s">
        <v>454</v>
      </c>
      <c r="F419" s="422">
        <v>2014</v>
      </c>
      <c r="G419" s="135" t="s">
        <v>1233</v>
      </c>
      <c r="H419" s="422"/>
      <c r="I419" s="135" t="s">
        <v>460</v>
      </c>
      <c r="J419" s="135" t="s">
        <v>971</v>
      </c>
      <c r="K419" s="135" t="s">
        <v>622</v>
      </c>
      <c r="L419" s="135" t="s">
        <v>119</v>
      </c>
      <c r="M419" s="135" t="s">
        <v>120</v>
      </c>
      <c r="N419" s="135" t="s">
        <v>964</v>
      </c>
      <c r="O419" s="135" t="s">
        <v>791</v>
      </c>
      <c r="P419" s="135" t="s">
        <v>464</v>
      </c>
      <c r="Q419" s="135">
        <v>2503.89</v>
      </c>
      <c r="R419" s="187">
        <v>294</v>
      </c>
      <c r="S419" s="56"/>
      <c r="T419" s="56"/>
      <c r="U419" s="56"/>
      <c r="V419" s="56"/>
      <c r="W419" s="56"/>
      <c r="X419" s="56"/>
      <c r="Y419" s="56"/>
      <c r="Z419" s="56"/>
      <c r="AA419" s="56"/>
    </row>
    <row r="420" spans="1:27" ht="30" hidden="1" customHeight="1" x14ac:dyDescent="0.25">
      <c r="A420" s="60"/>
      <c r="B420" s="51"/>
      <c r="C420" s="51"/>
      <c r="D420" s="51"/>
      <c r="E420" s="63" t="s">
        <v>454</v>
      </c>
      <c r="F420" s="422">
        <v>2014</v>
      </c>
      <c r="G420" s="135" t="s">
        <v>1233</v>
      </c>
      <c r="H420" s="422"/>
      <c r="I420" s="135" t="s">
        <v>460</v>
      </c>
      <c r="J420" s="135" t="s">
        <v>967</v>
      </c>
      <c r="K420" s="135" t="s">
        <v>482</v>
      </c>
      <c r="L420" s="135" t="s">
        <v>114</v>
      </c>
      <c r="M420" s="135" t="s">
        <v>118</v>
      </c>
      <c r="N420" s="135" t="s">
        <v>965</v>
      </c>
      <c r="O420" s="135" t="s">
        <v>792</v>
      </c>
      <c r="P420" s="135" t="s">
        <v>459</v>
      </c>
      <c r="Q420" s="135">
        <v>1891.08</v>
      </c>
      <c r="R420" s="187">
        <v>293</v>
      </c>
      <c r="S420" s="56"/>
      <c r="T420" s="56"/>
      <c r="U420" s="56"/>
      <c r="V420" s="56"/>
      <c r="W420" s="56"/>
      <c r="X420" s="56"/>
      <c r="Y420" s="56"/>
      <c r="Z420" s="56"/>
      <c r="AA420" s="56"/>
    </row>
    <row r="421" spans="1:27" ht="30" hidden="1" customHeight="1" x14ac:dyDescent="0.25">
      <c r="A421" s="60"/>
      <c r="B421" s="51"/>
      <c r="C421" s="51"/>
      <c r="D421" s="51"/>
      <c r="E421" s="63" t="s">
        <v>454</v>
      </c>
      <c r="F421" s="422">
        <v>2014</v>
      </c>
      <c r="G421" s="135" t="s">
        <v>1233</v>
      </c>
      <c r="H421" s="422">
        <v>2024</v>
      </c>
      <c r="I421" s="135" t="s">
        <v>460</v>
      </c>
      <c r="J421" s="135" t="s">
        <v>971</v>
      </c>
      <c r="K421" s="135" t="s">
        <v>793</v>
      </c>
      <c r="L421" s="135" t="s">
        <v>250</v>
      </c>
      <c r="M421" s="135" t="s">
        <v>251</v>
      </c>
      <c r="N421" s="135" t="s">
        <v>964</v>
      </c>
      <c r="O421" s="135" t="s">
        <v>252</v>
      </c>
      <c r="P421" s="135" t="s">
        <v>459</v>
      </c>
      <c r="Q421" s="135">
        <v>2416.31</v>
      </c>
      <c r="R421" s="187">
        <v>292</v>
      </c>
      <c r="S421" s="56"/>
      <c r="T421" s="56"/>
      <c r="U421" s="56"/>
      <c r="V421" s="56"/>
      <c r="W421" s="56"/>
      <c r="X421" s="56"/>
      <c r="Y421" s="56"/>
      <c r="Z421" s="56"/>
      <c r="AA421" s="56"/>
    </row>
    <row r="422" spans="1:27" ht="30" hidden="1" customHeight="1" x14ac:dyDescent="0.25">
      <c r="A422" s="60"/>
      <c r="B422" s="51"/>
      <c r="C422" s="51"/>
      <c r="D422" s="51"/>
      <c r="E422" s="63" t="s">
        <v>454</v>
      </c>
      <c r="F422" s="422">
        <v>2014</v>
      </c>
      <c r="G422" s="135" t="s">
        <v>1233</v>
      </c>
      <c r="H422" s="422"/>
      <c r="I422" s="135" t="s">
        <v>460</v>
      </c>
      <c r="J422" s="135" t="s">
        <v>967</v>
      </c>
      <c r="K422" s="135" t="s">
        <v>632</v>
      </c>
      <c r="L422" s="135" t="s">
        <v>92</v>
      </c>
      <c r="M422" s="135" t="s">
        <v>205</v>
      </c>
      <c r="N422" s="135" t="s">
        <v>964</v>
      </c>
      <c r="O422" s="135" t="s">
        <v>206</v>
      </c>
      <c r="P422" s="135" t="s">
        <v>459</v>
      </c>
      <c r="Q422" s="135">
        <v>2698.37</v>
      </c>
      <c r="R422" s="187">
        <v>292</v>
      </c>
      <c r="S422" s="56"/>
      <c r="T422" s="56"/>
      <c r="U422" s="56"/>
      <c r="V422" s="56"/>
      <c r="W422" s="56"/>
      <c r="X422" s="56"/>
      <c r="Y422" s="56"/>
      <c r="Z422" s="56"/>
      <c r="AA422" s="56"/>
    </row>
    <row r="423" spans="1:27" ht="30" hidden="1" customHeight="1" x14ac:dyDescent="0.25">
      <c r="A423" s="60"/>
      <c r="B423" s="51"/>
      <c r="C423" s="51"/>
      <c r="D423" s="51"/>
      <c r="E423" s="63" t="s">
        <v>454</v>
      </c>
      <c r="F423" s="422">
        <v>2014</v>
      </c>
      <c r="G423" s="135" t="s">
        <v>1233</v>
      </c>
      <c r="H423" s="422"/>
      <c r="I423" s="135" t="s">
        <v>460</v>
      </c>
      <c r="J423" s="135" t="s">
        <v>971</v>
      </c>
      <c r="K423" s="135" t="s">
        <v>622</v>
      </c>
      <c r="L423" s="135" t="s">
        <v>119</v>
      </c>
      <c r="M423" s="135" t="s">
        <v>120</v>
      </c>
      <c r="N423" s="135" t="s">
        <v>964</v>
      </c>
      <c r="O423" s="135" t="s">
        <v>794</v>
      </c>
      <c r="P423" s="135" t="s">
        <v>459</v>
      </c>
      <c r="Q423" s="135">
        <v>2659.42</v>
      </c>
      <c r="R423" s="187">
        <v>291</v>
      </c>
      <c r="S423" s="56"/>
      <c r="T423" s="56"/>
      <c r="U423" s="56"/>
      <c r="V423" s="56"/>
      <c r="W423" s="56"/>
      <c r="X423" s="56"/>
      <c r="Y423" s="56"/>
      <c r="Z423" s="56"/>
      <c r="AA423" s="56"/>
    </row>
    <row r="424" spans="1:27" ht="30" hidden="1" customHeight="1" x14ac:dyDescent="0.25">
      <c r="A424" s="60"/>
      <c r="B424" s="51"/>
      <c r="C424" s="51"/>
      <c r="D424" s="51"/>
      <c r="E424" s="63" t="s">
        <v>454</v>
      </c>
      <c r="F424" s="422">
        <v>2014</v>
      </c>
      <c r="G424" s="135" t="s">
        <v>1233</v>
      </c>
      <c r="H424" s="422"/>
      <c r="I424" s="135" t="s">
        <v>460</v>
      </c>
      <c r="J424" s="135" t="s">
        <v>966</v>
      </c>
      <c r="K424" s="135" t="s">
        <v>499</v>
      </c>
      <c r="L424" s="135" t="s">
        <v>88</v>
      </c>
      <c r="M424" s="135" t="s">
        <v>88</v>
      </c>
      <c r="N424" s="135" t="s">
        <v>964</v>
      </c>
      <c r="O424" s="135" t="s">
        <v>795</v>
      </c>
      <c r="P424" s="135" t="s">
        <v>464</v>
      </c>
      <c r="Q424" s="135">
        <v>2712.14</v>
      </c>
      <c r="R424" s="187">
        <v>291</v>
      </c>
      <c r="S424" s="56"/>
      <c r="T424" s="56"/>
      <c r="U424" s="56"/>
      <c r="V424" s="56"/>
      <c r="W424" s="56"/>
      <c r="X424" s="56"/>
      <c r="Y424" s="56"/>
      <c r="Z424" s="56"/>
      <c r="AA424" s="56"/>
    </row>
    <row r="425" spans="1:27" ht="30" hidden="1" customHeight="1" x14ac:dyDescent="0.25">
      <c r="A425" s="60"/>
      <c r="B425" s="51"/>
      <c r="C425" s="51"/>
      <c r="D425" s="51"/>
      <c r="E425" s="63" t="s">
        <v>454</v>
      </c>
      <c r="F425" s="422">
        <v>2014</v>
      </c>
      <c r="G425" s="135" t="s">
        <v>1233</v>
      </c>
      <c r="H425" s="422"/>
      <c r="I425" s="135" t="s">
        <v>460</v>
      </c>
      <c r="J425" s="135" t="s">
        <v>966</v>
      </c>
      <c r="K425" s="135" t="s">
        <v>469</v>
      </c>
      <c r="L425" s="135" t="s">
        <v>85</v>
      </c>
      <c r="M425" s="135" t="s">
        <v>341</v>
      </c>
      <c r="N425" s="135" t="s">
        <v>965</v>
      </c>
      <c r="O425" s="135" t="s">
        <v>796</v>
      </c>
      <c r="P425" s="135" t="s">
        <v>459</v>
      </c>
      <c r="Q425" s="135">
        <v>2165.39</v>
      </c>
      <c r="R425" s="187">
        <v>291</v>
      </c>
      <c r="S425" s="56"/>
      <c r="T425" s="56"/>
      <c r="U425" s="56"/>
      <c r="V425" s="56"/>
      <c r="W425" s="56"/>
      <c r="X425" s="56"/>
      <c r="Y425" s="56"/>
      <c r="Z425" s="56"/>
      <c r="AA425" s="56"/>
    </row>
    <row r="426" spans="1:27" s="50" customFormat="1" ht="30" hidden="1" customHeight="1" x14ac:dyDescent="0.25">
      <c r="A426" s="60"/>
      <c r="B426" s="51"/>
      <c r="C426" s="51"/>
      <c r="D426" s="51"/>
      <c r="E426" s="63" t="s">
        <v>454</v>
      </c>
      <c r="F426" s="422">
        <v>2014</v>
      </c>
      <c r="G426" s="135" t="s">
        <v>1233</v>
      </c>
      <c r="H426" s="422"/>
      <c r="I426" s="135" t="s">
        <v>460</v>
      </c>
      <c r="J426" s="135" t="s">
        <v>971</v>
      </c>
      <c r="K426" s="135" t="s">
        <v>622</v>
      </c>
      <c r="L426" s="135" t="s">
        <v>119</v>
      </c>
      <c r="M426" s="135" t="s">
        <v>120</v>
      </c>
      <c r="N426" s="135" t="s">
        <v>964</v>
      </c>
      <c r="O426" s="135" t="s">
        <v>121</v>
      </c>
      <c r="P426" s="135" t="s">
        <v>459</v>
      </c>
      <c r="Q426" s="135">
        <v>2247.3599999999997</v>
      </c>
      <c r="R426" s="187">
        <v>288</v>
      </c>
      <c r="S426" s="56"/>
      <c r="T426" s="56"/>
      <c r="U426" s="56"/>
      <c r="V426" s="56"/>
      <c r="W426" s="56"/>
      <c r="X426" s="56"/>
      <c r="Y426" s="56"/>
      <c r="Z426" s="56"/>
      <c r="AA426" s="56"/>
    </row>
    <row r="427" spans="1:27" s="50" customFormat="1" ht="30" hidden="1" customHeight="1" x14ac:dyDescent="0.25">
      <c r="A427" s="60"/>
      <c r="B427" s="51"/>
      <c r="C427" s="51"/>
      <c r="D427" s="51"/>
      <c r="E427" s="63" t="s">
        <v>452</v>
      </c>
      <c r="F427" s="422">
        <v>2014</v>
      </c>
      <c r="G427" s="135" t="s">
        <v>1233</v>
      </c>
      <c r="H427" s="422"/>
      <c r="I427" s="135" t="s">
        <v>460</v>
      </c>
      <c r="J427" s="135" t="s">
        <v>966</v>
      </c>
      <c r="K427" s="135" t="s">
        <v>469</v>
      </c>
      <c r="L427" s="135" t="s">
        <v>85</v>
      </c>
      <c r="M427" s="135" t="s">
        <v>85</v>
      </c>
      <c r="N427" s="135" t="s">
        <v>964</v>
      </c>
      <c r="O427" s="135" t="s">
        <v>295</v>
      </c>
      <c r="P427" s="135" t="s">
        <v>459</v>
      </c>
      <c r="Q427" s="135">
        <v>169.36</v>
      </c>
      <c r="R427" s="187">
        <v>288</v>
      </c>
      <c r="S427" s="56"/>
      <c r="T427" s="56"/>
      <c r="U427" s="56"/>
      <c r="V427" s="56"/>
      <c r="W427" s="56"/>
      <c r="X427" s="56"/>
      <c r="Y427" s="56"/>
      <c r="Z427" s="56"/>
      <c r="AA427" s="56"/>
    </row>
    <row r="428" spans="1:27" s="50" customFormat="1" ht="30" hidden="1" customHeight="1" x14ac:dyDescent="0.25">
      <c r="A428" s="60"/>
      <c r="B428" s="51"/>
      <c r="C428" s="51"/>
      <c r="D428" s="51"/>
      <c r="E428" s="63" t="s">
        <v>454</v>
      </c>
      <c r="F428" s="422">
        <v>2014</v>
      </c>
      <c r="G428" s="135" t="s">
        <v>1233</v>
      </c>
      <c r="H428" s="422"/>
      <c r="I428" s="135" t="s">
        <v>460</v>
      </c>
      <c r="J428" s="135" t="s">
        <v>969</v>
      </c>
      <c r="K428" s="135" t="s">
        <v>575</v>
      </c>
      <c r="L428" s="135" t="s">
        <v>143</v>
      </c>
      <c r="M428" s="135" t="s">
        <v>144</v>
      </c>
      <c r="N428" s="135" t="s">
        <v>964</v>
      </c>
      <c r="O428" s="135" t="s">
        <v>797</v>
      </c>
      <c r="P428" s="135" t="s">
        <v>459</v>
      </c>
      <c r="Q428" s="135">
        <v>1289.8999999999999</v>
      </c>
      <c r="R428" s="187">
        <v>286</v>
      </c>
      <c r="S428" s="56"/>
      <c r="T428" s="56"/>
      <c r="U428" s="56"/>
      <c r="V428" s="56"/>
      <c r="W428" s="56"/>
      <c r="X428" s="56"/>
      <c r="Y428" s="56"/>
      <c r="Z428" s="56"/>
      <c r="AA428" s="56"/>
    </row>
    <row r="429" spans="1:27" s="50" customFormat="1" ht="30" hidden="1" customHeight="1" x14ac:dyDescent="0.25">
      <c r="A429" s="60"/>
      <c r="B429" s="51"/>
      <c r="C429" s="51"/>
      <c r="D429" s="51"/>
      <c r="E429" s="63" t="s">
        <v>454</v>
      </c>
      <c r="F429" s="422">
        <v>2014</v>
      </c>
      <c r="G429" s="135" t="s">
        <v>1233</v>
      </c>
      <c r="H429" s="422"/>
      <c r="I429" s="135" t="s">
        <v>460</v>
      </c>
      <c r="J429" s="135" t="s">
        <v>971</v>
      </c>
      <c r="K429" s="135" t="s">
        <v>793</v>
      </c>
      <c r="L429" s="135" t="s">
        <v>250</v>
      </c>
      <c r="M429" s="135" t="s">
        <v>251</v>
      </c>
      <c r="N429" s="135" t="s">
        <v>964</v>
      </c>
      <c r="O429" s="135" t="s">
        <v>798</v>
      </c>
      <c r="P429" s="135" t="s">
        <v>459</v>
      </c>
      <c r="Q429" s="135">
        <v>2564.4300000000003</v>
      </c>
      <c r="R429" s="187">
        <v>285</v>
      </c>
      <c r="S429" s="56"/>
      <c r="T429" s="56"/>
      <c r="U429" s="56"/>
      <c r="V429" s="56"/>
      <c r="W429" s="56"/>
      <c r="X429" s="56"/>
      <c r="Y429" s="56"/>
      <c r="Z429" s="56"/>
      <c r="AA429" s="56"/>
    </row>
    <row r="430" spans="1:27" s="50" customFormat="1" ht="30" hidden="1" customHeight="1" x14ac:dyDescent="0.25">
      <c r="A430" s="60"/>
      <c r="B430" s="51"/>
      <c r="C430" s="51"/>
      <c r="D430" s="51"/>
      <c r="E430" s="63" t="s">
        <v>454</v>
      </c>
      <c r="F430" s="422">
        <v>2014</v>
      </c>
      <c r="G430" s="135" t="s">
        <v>1233</v>
      </c>
      <c r="H430" s="422"/>
      <c r="I430" s="135" t="s">
        <v>460</v>
      </c>
      <c r="J430" s="135" t="s">
        <v>963</v>
      </c>
      <c r="K430" s="135" t="s">
        <v>465</v>
      </c>
      <c r="L430" s="135" t="s">
        <v>106</v>
      </c>
      <c r="M430" s="135" t="s">
        <v>280</v>
      </c>
      <c r="N430" s="135" t="s">
        <v>965</v>
      </c>
      <c r="O430" s="135" t="s">
        <v>281</v>
      </c>
      <c r="P430" s="135" t="s">
        <v>459</v>
      </c>
      <c r="Q430" s="135">
        <v>2213.25</v>
      </c>
      <c r="R430" s="187">
        <v>284</v>
      </c>
      <c r="S430" s="56"/>
      <c r="T430" s="56"/>
      <c r="U430" s="56"/>
      <c r="V430" s="56"/>
      <c r="W430" s="56"/>
      <c r="X430" s="56"/>
      <c r="Y430" s="56"/>
      <c r="Z430" s="56"/>
      <c r="AA430" s="56"/>
    </row>
    <row r="431" spans="1:27" s="50" customFormat="1" ht="30" hidden="1" customHeight="1" x14ac:dyDescent="0.25">
      <c r="A431" s="60"/>
      <c r="B431" s="51"/>
      <c r="C431" s="51"/>
      <c r="D431" s="51"/>
      <c r="E431" s="63" t="s">
        <v>454</v>
      </c>
      <c r="F431" s="422">
        <v>2014</v>
      </c>
      <c r="G431" s="135" t="s">
        <v>1233</v>
      </c>
      <c r="H431" s="422"/>
      <c r="I431" s="135" t="s">
        <v>460</v>
      </c>
      <c r="J431" s="135" t="s">
        <v>969</v>
      </c>
      <c r="K431" s="135" t="s">
        <v>509</v>
      </c>
      <c r="L431" s="135" t="s">
        <v>157</v>
      </c>
      <c r="M431" s="135" t="s">
        <v>163</v>
      </c>
      <c r="N431" s="135" t="s">
        <v>965</v>
      </c>
      <c r="O431" s="135" t="s">
        <v>164</v>
      </c>
      <c r="P431" s="135" t="s">
        <v>459</v>
      </c>
      <c r="Q431" s="135">
        <v>2356.19</v>
      </c>
      <c r="R431" s="187">
        <v>284</v>
      </c>
      <c r="S431" s="56"/>
      <c r="T431" s="56"/>
      <c r="U431" s="56"/>
      <c r="V431" s="56"/>
      <c r="W431" s="56"/>
      <c r="X431" s="56"/>
      <c r="Y431" s="56"/>
      <c r="Z431" s="56"/>
      <c r="AA431" s="56"/>
    </row>
    <row r="432" spans="1:27" s="50" customFormat="1" ht="15" hidden="1" x14ac:dyDescent="0.25">
      <c r="A432" s="60"/>
      <c r="B432" s="51"/>
      <c r="C432" s="51"/>
      <c r="D432" s="51"/>
      <c r="E432" s="63" t="s">
        <v>452</v>
      </c>
      <c r="F432" s="422">
        <v>2014</v>
      </c>
      <c r="G432" s="135" t="s">
        <v>1233</v>
      </c>
      <c r="H432" s="422"/>
      <c r="I432" s="135" t="s">
        <v>460</v>
      </c>
      <c r="J432" s="135" t="s">
        <v>966</v>
      </c>
      <c r="K432" s="135" t="s">
        <v>469</v>
      </c>
      <c r="L432" s="135" t="s">
        <v>85</v>
      </c>
      <c r="M432" s="135" t="s">
        <v>85</v>
      </c>
      <c r="N432" s="135" t="s">
        <v>964</v>
      </c>
      <c r="O432" s="135" t="s">
        <v>799</v>
      </c>
      <c r="P432" s="135" t="s">
        <v>459</v>
      </c>
      <c r="Q432" s="135">
        <v>97</v>
      </c>
      <c r="R432" s="187">
        <v>282</v>
      </c>
      <c r="S432" s="56"/>
      <c r="T432" s="56"/>
      <c r="U432" s="56"/>
      <c r="V432" s="56"/>
      <c r="W432" s="56"/>
      <c r="X432" s="56"/>
      <c r="Y432" s="56"/>
      <c r="Z432" s="56"/>
      <c r="AA432" s="56"/>
    </row>
    <row r="433" spans="2:27" ht="30" hidden="1" customHeight="1" x14ac:dyDescent="0.25">
      <c r="B433" s="51"/>
      <c r="C433" s="51"/>
      <c r="D433" s="51"/>
      <c r="E433" s="63" t="s">
        <v>454</v>
      </c>
      <c r="F433" s="422">
        <v>2014</v>
      </c>
      <c r="G433" s="135" t="s">
        <v>1233</v>
      </c>
      <c r="H433" s="422"/>
      <c r="I433" s="135" t="s">
        <v>460</v>
      </c>
      <c r="J433" s="135" t="s">
        <v>966</v>
      </c>
      <c r="K433" s="135" t="s">
        <v>469</v>
      </c>
      <c r="L433" s="135" t="s">
        <v>85</v>
      </c>
      <c r="M433" s="135" t="s">
        <v>296</v>
      </c>
      <c r="N433" s="135" t="s">
        <v>965</v>
      </c>
      <c r="O433" s="135" t="s">
        <v>800</v>
      </c>
      <c r="P433" s="135" t="s">
        <v>459</v>
      </c>
      <c r="Q433" s="135">
        <v>2068.5099999999998</v>
      </c>
      <c r="R433" s="187">
        <v>281</v>
      </c>
      <c r="S433" s="56"/>
      <c r="T433" s="56"/>
      <c r="U433" s="56"/>
      <c r="V433" s="56"/>
      <c r="W433" s="56"/>
      <c r="X433" s="56"/>
      <c r="Y433" s="56"/>
      <c r="Z433" s="56"/>
      <c r="AA433" s="56"/>
    </row>
    <row r="434" spans="2:27" ht="30" hidden="1" customHeight="1" x14ac:dyDescent="0.25">
      <c r="B434" s="51"/>
      <c r="C434" s="51"/>
      <c r="D434" s="51"/>
      <c r="E434" s="63" t="s">
        <v>454</v>
      </c>
      <c r="F434" s="422">
        <v>2014</v>
      </c>
      <c r="G434" s="135" t="s">
        <v>1233</v>
      </c>
      <c r="H434" s="422"/>
      <c r="I434" s="135" t="s">
        <v>460</v>
      </c>
      <c r="J434" s="135" t="s">
        <v>966</v>
      </c>
      <c r="K434" s="135" t="s">
        <v>562</v>
      </c>
      <c r="L434" s="135" t="s">
        <v>108</v>
      </c>
      <c r="M434" s="135" t="s">
        <v>109</v>
      </c>
      <c r="N434" s="135" t="s">
        <v>964</v>
      </c>
      <c r="O434" s="135" t="s">
        <v>801</v>
      </c>
      <c r="P434" s="135" t="s">
        <v>459</v>
      </c>
      <c r="Q434" s="135">
        <v>1069.69</v>
      </c>
      <c r="R434" s="187">
        <v>280</v>
      </c>
      <c r="S434" s="56"/>
      <c r="T434" s="56"/>
      <c r="U434" s="56"/>
      <c r="V434" s="56"/>
      <c r="W434" s="56"/>
      <c r="X434" s="56"/>
      <c r="Y434" s="56"/>
      <c r="Z434" s="56"/>
      <c r="AA434" s="56"/>
    </row>
    <row r="435" spans="2:27" ht="30" hidden="1" customHeight="1" x14ac:dyDescent="0.25">
      <c r="B435" s="51"/>
      <c r="C435" s="51"/>
      <c r="D435" s="51"/>
      <c r="E435" s="63" t="s">
        <v>451</v>
      </c>
      <c r="F435" s="422">
        <v>2014</v>
      </c>
      <c r="G435" s="135" t="s">
        <v>1233</v>
      </c>
      <c r="H435" s="422"/>
      <c r="I435" s="135" t="s">
        <v>460</v>
      </c>
      <c r="J435" s="135" t="s">
        <v>967</v>
      </c>
      <c r="K435" s="135" t="s">
        <v>488</v>
      </c>
      <c r="L435" s="135" t="s">
        <v>135</v>
      </c>
      <c r="M435" s="135" t="s">
        <v>136</v>
      </c>
      <c r="N435" s="135" t="s">
        <v>964</v>
      </c>
      <c r="O435" s="135" t="s">
        <v>489</v>
      </c>
      <c r="P435" s="135" t="s">
        <v>459</v>
      </c>
      <c r="Q435" s="135">
        <v>525.05999999999995</v>
      </c>
      <c r="R435" s="187">
        <v>279</v>
      </c>
      <c r="S435" s="56"/>
      <c r="T435" s="56"/>
      <c r="U435" s="56"/>
      <c r="V435" s="56"/>
      <c r="W435" s="56"/>
      <c r="X435" s="56"/>
      <c r="Y435" s="56"/>
      <c r="Z435" s="56"/>
      <c r="AA435" s="56"/>
    </row>
    <row r="436" spans="2:27" ht="30" hidden="1" customHeight="1" x14ac:dyDescent="0.25">
      <c r="B436" s="51"/>
      <c r="C436" s="51"/>
      <c r="D436" s="51"/>
      <c r="E436" s="63" t="s">
        <v>454</v>
      </c>
      <c r="F436" s="422">
        <v>2014</v>
      </c>
      <c r="G436" s="135" t="s">
        <v>1233</v>
      </c>
      <c r="H436" s="422"/>
      <c r="I436" s="135" t="s">
        <v>460</v>
      </c>
      <c r="J436" s="135" t="s">
        <v>967</v>
      </c>
      <c r="K436" s="135" t="s">
        <v>488</v>
      </c>
      <c r="L436" s="135" t="s">
        <v>135</v>
      </c>
      <c r="M436" s="135" t="s">
        <v>136</v>
      </c>
      <c r="N436" s="135" t="s">
        <v>964</v>
      </c>
      <c r="O436" s="135" t="s">
        <v>802</v>
      </c>
      <c r="P436" s="135" t="s">
        <v>459</v>
      </c>
      <c r="Q436" s="135">
        <v>4221.7300000000005</v>
      </c>
      <c r="R436" s="187">
        <v>279</v>
      </c>
      <c r="S436" s="56"/>
      <c r="T436" s="56"/>
      <c r="U436" s="56"/>
      <c r="V436" s="56"/>
      <c r="W436" s="56"/>
      <c r="X436" s="56"/>
      <c r="Y436" s="56"/>
      <c r="Z436" s="56"/>
      <c r="AA436" s="56"/>
    </row>
    <row r="437" spans="2:27" ht="30" hidden="1" customHeight="1" x14ac:dyDescent="0.25">
      <c r="B437" s="51"/>
      <c r="C437" s="51"/>
      <c r="D437" s="51"/>
      <c r="E437" s="63" t="s">
        <v>454</v>
      </c>
      <c r="F437" s="422">
        <v>2014</v>
      </c>
      <c r="G437" s="135" t="s">
        <v>1233</v>
      </c>
      <c r="H437" s="422"/>
      <c r="I437" s="135" t="s">
        <v>460</v>
      </c>
      <c r="J437" s="135" t="s">
        <v>966</v>
      </c>
      <c r="K437" s="135" t="s">
        <v>469</v>
      </c>
      <c r="L437" s="135" t="s">
        <v>85</v>
      </c>
      <c r="M437" s="135" t="s">
        <v>803</v>
      </c>
      <c r="N437" s="135" t="s">
        <v>965</v>
      </c>
      <c r="O437" s="135" t="s">
        <v>804</v>
      </c>
      <c r="P437" s="135" t="s">
        <v>459</v>
      </c>
      <c r="Q437" s="135">
        <v>2028.37</v>
      </c>
      <c r="R437" s="187">
        <v>277</v>
      </c>
      <c r="S437" s="56"/>
      <c r="T437" s="56"/>
      <c r="U437" s="56"/>
      <c r="V437" s="56"/>
      <c r="W437" s="56"/>
      <c r="X437" s="56"/>
      <c r="Y437" s="56"/>
      <c r="Z437" s="56"/>
      <c r="AA437" s="56"/>
    </row>
    <row r="438" spans="2:27" ht="30" hidden="1" customHeight="1" x14ac:dyDescent="0.25">
      <c r="B438" s="51"/>
      <c r="C438" s="51"/>
      <c r="D438" s="51"/>
      <c r="E438" s="63" t="s">
        <v>451</v>
      </c>
      <c r="F438" s="422">
        <v>2014</v>
      </c>
      <c r="G438" s="135" t="s">
        <v>1234</v>
      </c>
      <c r="H438" s="422"/>
      <c r="I438" s="135" t="s">
        <v>460</v>
      </c>
      <c r="J438" s="135" t="s">
        <v>963</v>
      </c>
      <c r="K438" s="135" t="s">
        <v>465</v>
      </c>
      <c r="L438" s="135" t="s">
        <v>106</v>
      </c>
      <c r="M438" s="135" t="s">
        <v>268</v>
      </c>
      <c r="N438" s="135" t="s">
        <v>964</v>
      </c>
      <c r="O438" s="135" t="s">
        <v>805</v>
      </c>
      <c r="P438" s="135" t="s">
        <v>459</v>
      </c>
      <c r="Q438" s="135">
        <v>597.98</v>
      </c>
      <c r="R438" s="187">
        <v>276</v>
      </c>
      <c r="S438" s="56"/>
      <c r="T438" s="56"/>
      <c r="U438" s="56"/>
      <c r="V438" s="56"/>
      <c r="W438" s="56"/>
      <c r="X438" s="56"/>
      <c r="Y438" s="56"/>
      <c r="Z438" s="56"/>
      <c r="AA438" s="56"/>
    </row>
    <row r="439" spans="2:27" ht="30" hidden="1" customHeight="1" x14ac:dyDescent="0.25">
      <c r="B439" s="51"/>
      <c r="C439" s="51"/>
      <c r="D439" s="51"/>
      <c r="E439" s="63" t="s">
        <v>452</v>
      </c>
      <c r="F439" s="422">
        <v>2014</v>
      </c>
      <c r="G439" s="135" t="s">
        <v>1234</v>
      </c>
      <c r="H439" s="422"/>
      <c r="I439" s="135" t="s">
        <v>460</v>
      </c>
      <c r="J439" s="135" t="s">
        <v>966</v>
      </c>
      <c r="K439" s="135" t="s">
        <v>562</v>
      </c>
      <c r="L439" s="135" t="s">
        <v>108</v>
      </c>
      <c r="M439" s="135" t="s">
        <v>109</v>
      </c>
      <c r="N439" s="135" t="s">
        <v>964</v>
      </c>
      <c r="O439" s="135" t="s">
        <v>806</v>
      </c>
      <c r="P439" s="135" t="s">
        <v>459</v>
      </c>
      <c r="Q439" s="135">
        <v>293.89</v>
      </c>
      <c r="R439" s="187">
        <v>275</v>
      </c>
      <c r="S439" s="56"/>
      <c r="T439" s="56"/>
      <c r="U439" s="56"/>
      <c r="V439" s="56"/>
      <c r="W439" s="56"/>
      <c r="X439" s="56"/>
      <c r="Y439" s="56"/>
      <c r="Z439" s="56"/>
      <c r="AA439" s="56"/>
    </row>
    <row r="440" spans="2:27" ht="30" hidden="1" customHeight="1" x14ac:dyDescent="0.25">
      <c r="B440" s="51"/>
      <c r="C440" s="51"/>
      <c r="D440" s="51"/>
      <c r="E440" s="63" t="s">
        <v>454</v>
      </c>
      <c r="F440" s="422">
        <v>2014</v>
      </c>
      <c r="G440" s="135" t="s">
        <v>1234</v>
      </c>
      <c r="H440" s="422"/>
      <c r="I440" s="135" t="s">
        <v>460</v>
      </c>
      <c r="J440" s="135" t="s">
        <v>963</v>
      </c>
      <c r="K440" s="135" t="s">
        <v>465</v>
      </c>
      <c r="L440" s="135" t="s">
        <v>106</v>
      </c>
      <c r="M440" s="135" t="s">
        <v>276</v>
      </c>
      <c r="N440" s="135" t="s">
        <v>965</v>
      </c>
      <c r="O440" s="135" t="s">
        <v>277</v>
      </c>
      <c r="P440" s="135" t="s">
        <v>459</v>
      </c>
      <c r="Q440" s="135">
        <v>1802.06</v>
      </c>
      <c r="R440" s="187">
        <v>274</v>
      </c>
      <c r="S440" s="56"/>
      <c r="T440" s="56"/>
      <c r="U440" s="56"/>
      <c r="V440" s="56"/>
      <c r="W440" s="56"/>
      <c r="X440" s="56"/>
      <c r="Y440" s="56"/>
      <c r="Z440" s="56"/>
      <c r="AA440" s="56"/>
    </row>
    <row r="441" spans="2:27" ht="30" hidden="1" customHeight="1" x14ac:dyDescent="0.25">
      <c r="B441" s="51"/>
      <c r="C441" s="51"/>
      <c r="D441" s="51"/>
      <c r="E441" s="63" t="s">
        <v>454</v>
      </c>
      <c r="F441" s="422">
        <v>2014</v>
      </c>
      <c r="G441" s="135" t="s">
        <v>1234</v>
      </c>
      <c r="H441" s="422"/>
      <c r="I441" s="135" t="s">
        <v>460</v>
      </c>
      <c r="J441" s="135" t="s">
        <v>963</v>
      </c>
      <c r="K441" s="135" t="s">
        <v>461</v>
      </c>
      <c r="L441" s="135" t="s">
        <v>253</v>
      </c>
      <c r="M441" s="135" t="s">
        <v>807</v>
      </c>
      <c r="N441" s="135" t="s">
        <v>965</v>
      </c>
      <c r="O441" s="135" t="s">
        <v>808</v>
      </c>
      <c r="P441" s="135" t="s">
        <v>459</v>
      </c>
      <c r="Q441" s="135">
        <v>2730.1</v>
      </c>
      <c r="R441" s="187">
        <v>273</v>
      </c>
      <c r="S441" s="56"/>
      <c r="T441" s="56"/>
      <c r="U441" s="56"/>
      <c r="V441" s="56"/>
      <c r="W441" s="56"/>
      <c r="X441" s="56"/>
      <c r="Y441" s="56"/>
      <c r="Z441" s="56"/>
      <c r="AA441" s="56"/>
    </row>
    <row r="442" spans="2:27" ht="30" hidden="1" customHeight="1" x14ac:dyDescent="0.25">
      <c r="B442" s="51"/>
      <c r="C442" s="51"/>
      <c r="D442" s="51"/>
      <c r="E442" s="63" t="s">
        <v>451</v>
      </c>
      <c r="F442" s="422">
        <v>2014</v>
      </c>
      <c r="G442" s="135" t="s">
        <v>1234</v>
      </c>
      <c r="H442" s="422"/>
      <c r="I442" s="135" t="s">
        <v>460</v>
      </c>
      <c r="J442" s="135" t="s">
        <v>966</v>
      </c>
      <c r="K442" s="135" t="s">
        <v>492</v>
      </c>
      <c r="L442" s="135" t="s">
        <v>968</v>
      </c>
      <c r="M442" s="135" t="s">
        <v>153</v>
      </c>
      <c r="N442" s="135" t="s">
        <v>965</v>
      </c>
      <c r="O442" s="135" t="s">
        <v>154</v>
      </c>
      <c r="P442" s="135" t="s">
        <v>459</v>
      </c>
      <c r="Q442" s="135">
        <v>439.01</v>
      </c>
      <c r="R442" s="187">
        <v>272</v>
      </c>
      <c r="S442" s="56"/>
      <c r="T442" s="56"/>
      <c r="U442" s="56"/>
      <c r="V442" s="56"/>
      <c r="W442" s="56"/>
      <c r="X442" s="56"/>
      <c r="Y442" s="56"/>
      <c r="Z442" s="56"/>
      <c r="AA442" s="56"/>
    </row>
    <row r="443" spans="2:27" ht="30" hidden="1" customHeight="1" x14ac:dyDescent="0.25">
      <c r="B443" s="51"/>
      <c r="C443" s="51"/>
      <c r="D443" s="51"/>
      <c r="E443" s="63" t="s">
        <v>454</v>
      </c>
      <c r="F443" s="422">
        <v>2014</v>
      </c>
      <c r="G443" s="135" t="s">
        <v>1234</v>
      </c>
      <c r="H443" s="422"/>
      <c r="I443" s="135" t="s">
        <v>460</v>
      </c>
      <c r="J443" s="135" t="s">
        <v>966</v>
      </c>
      <c r="K443" s="135" t="s">
        <v>492</v>
      </c>
      <c r="L443" s="135" t="s">
        <v>968</v>
      </c>
      <c r="M443" s="135" t="s">
        <v>153</v>
      </c>
      <c r="N443" s="135" t="s">
        <v>965</v>
      </c>
      <c r="O443" s="135" t="s">
        <v>154</v>
      </c>
      <c r="P443" s="135" t="s">
        <v>459</v>
      </c>
      <c r="Q443" s="135">
        <v>2912.46</v>
      </c>
      <c r="R443" s="187">
        <v>272</v>
      </c>
      <c r="S443" s="56"/>
      <c r="T443" s="56"/>
      <c r="U443" s="56"/>
      <c r="V443" s="56"/>
      <c r="W443" s="56"/>
      <c r="X443" s="56"/>
      <c r="Y443" s="56"/>
      <c r="Z443" s="56"/>
      <c r="AA443" s="56"/>
    </row>
    <row r="444" spans="2:27" ht="30" hidden="1" customHeight="1" x14ac:dyDescent="0.25">
      <c r="B444" s="51"/>
      <c r="C444" s="51"/>
      <c r="D444" s="51"/>
      <c r="E444" s="63" t="s">
        <v>451</v>
      </c>
      <c r="F444" s="422">
        <v>2014</v>
      </c>
      <c r="G444" s="135" t="s">
        <v>1234</v>
      </c>
      <c r="H444" s="422"/>
      <c r="I444" s="135" t="s">
        <v>460</v>
      </c>
      <c r="J444" s="135" t="s">
        <v>969</v>
      </c>
      <c r="K444" s="135" t="s">
        <v>575</v>
      </c>
      <c r="L444" s="135" t="s">
        <v>143</v>
      </c>
      <c r="M444" s="135" t="s">
        <v>144</v>
      </c>
      <c r="N444" s="135" t="s">
        <v>964</v>
      </c>
      <c r="O444" s="135" t="s">
        <v>809</v>
      </c>
      <c r="P444" s="135" t="s">
        <v>459</v>
      </c>
      <c r="Q444" s="135">
        <v>389.27</v>
      </c>
      <c r="R444" s="187">
        <v>270</v>
      </c>
      <c r="S444" s="56"/>
      <c r="T444" s="56"/>
      <c r="U444" s="56"/>
      <c r="V444" s="56"/>
      <c r="W444" s="56"/>
      <c r="X444" s="56"/>
      <c r="Y444" s="56"/>
      <c r="Z444" s="56"/>
      <c r="AA444" s="56"/>
    </row>
    <row r="445" spans="2:27" ht="30" hidden="1" customHeight="1" x14ac:dyDescent="0.25">
      <c r="B445" s="51"/>
      <c r="C445" s="51"/>
      <c r="D445" s="51"/>
      <c r="E445" s="63" t="s">
        <v>452</v>
      </c>
      <c r="F445" s="422">
        <v>2014</v>
      </c>
      <c r="G445" s="135" t="s">
        <v>1234</v>
      </c>
      <c r="H445" s="422"/>
      <c r="I445" s="135" t="s">
        <v>460</v>
      </c>
      <c r="J445" s="135" t="s">
        <v>963</v>
      </c>
      <c r="K445" s="135" t="s">
        <v>461</v>
      </c>
      <c r="L445" s="135" t="s">
        <v>253</v>
      </c>
      <c r="M445" s="135" t="s">
        <v>256</v>
      </c>
      <c r="N445" s="135" t="s">
        <v>965</v>
      </c>
      <c r="O445" s="135" t="s">
        <v>257</v>
      </c>
      <c r="P445" s="135" t="s">
        <v>459</v>
      </c>
      <c r="Q445" s="135">
        <v>179.52</v>
      </c>
      <c r="R445" s="187">
        <v>269</v>
      </c>
      <c r="S445" s="56"/>
      <c r="T445" s="56"/>
      <c r="U445" s="56"/>
      <c r="V445" s="56"/>
      <c r="W445" s="56"/>
      <c r="X445" s="56"/>
      <c r="Y445" s="56"/>
      <c r="Z445" s="56"/>
      <c r="AA445" s="56"/>
    </row>
    <row r="446" spans="2:27" ht="30" hidden="1" customHeight="1" x14ac:dyDescent="0.25">
      <c r="B446" s="51"/>
      <c r="C446" s="51"/>
      <c r="D446" s="51"/>
      <c r="E446" s="63" t="s">
        <v>452</v>
      </c>
      <c r="F446" s="422">
        <v>2014</v>
      </c>
      <c r="G446" s="135" t="s">
        <v>1234</v>
      </c>
      <c r="H446" s="422"/>
      <c r="I446" s="135" t="s">
        <v>460</v>
      </c>
      <c r="J446" s="135" t="s">
        <v>966</v>
      </c>
      <c r="K446" s="135" t="s">
        <v>469</v>
      </c>
      <c r="L446" s="135" t="s">
        <v>85</v>
      </c>
      <c r="M446" s="135" t="s">
        <v>85</v>
      </c>
      <c r="N446" s="135" t="s">
        <v>964</v>
      </c>
      <c r="O446" s="135" t="s">
        <v>291</v>
      </c>
      <c r="P446" s="135" t="s">
        <v>459</v>
      </c>
      <c r="Q446" s="135">
        <v>231</v>
      </c>
      <c r="R446" s="187">
        <v>268</v>
      </c>
      <c r="S446" s="56"/>
      <c r="T446" s="56"/>
      <c r="U446" s="56"/>
      <c r="V446" s="56"/>
      <c r="W446" s="56"/>
      <c r="X446" s="56"/>
      <c r="Y446" s="56"/>
      <c r="Z446" s="56"/>
      <c r="AA446" s="56"/>
    </row>
    <row r="447" spans="2:27" ht="30" hidden="1" customHeight="1" x14ac:dyDescent="0.25">
      <c r="B447" s="51"/>
      <c r="C447" s="51"/>
      <c r="D447" s="51"/>
      <c r="E447" s="63" t="s">
        <v>454</v>
      </c>
      <c r="F447" s="422">
        <v>2014</v>
      </c>
      <c r="G447" s="135" t="s">
        <v>1234</v>
      </c>
      <c r="H447" s="422"/>
      <c r="I447" s="135" t="s">
        <v>460</v>
      </c>
      <c r="J447" s="135" t="s">
        <v>966</v>
      </c>
      <c r="K447" s="135" t="s">
        <v>469</v>
      </c>
      <c r="L447" s="135" t="s">
        <v>85</v>
      </c>
      <c r="M447" s="135" t="s">
        <v>337</v>
      </c>
      <c r="N447" s="135" t="s">
        <v>965</v>
      </c>
      <c r="O447" s="135" t="s">
        <v>338</v>
      </c>
      <c r="P447" s="135" t="s">
        <v>459</v>
      </c>
      <c r="Q447" s="135">
        <v>1853.56</v>
      </c>
      <c r="R447" s="187">
        <v>267</v>
      </c>
      <c r="S447" s="56"/>
      <c r="T447" s="56"/>
      <c r="U447" s="56"/>
      <c r="V447" s="56"/>
      <c r="W447" s="56"/>
      <c r="X447" s="56"/>
      <c r="Y447" s="56"/>
      <c r="Z447" s="56"/>
      <c r="AA447" s="56"/>
    </row>
    <row r="448" spans="2:27" ht="30" hidden="1" customHeight="1" x14ac:dyDescent="0.25">
      <c r="B448" s="51"/>
      <c r="C448" s="51"/>
      <c r="D448" s="51"/>
      <c r="E448" s="63" t="s">
        <v>454</v>
      </c>
      <c r="F448" s="422">
        <v>2014</v>
      </c>
      <c r="G448" s="135" t="s">
        <v>1235</v>
      </c>
      <c r="H448" s="422"/>
      <c r="I448" s="135" t="s">
        <v>460</v>
      </c>
      <c r="J448" s="135" t="s">
        <v>966</v>
      </c>
      <c r="K448" s="135" t="s">
        <v>469</v>
      </c>
      <c r="L448" s="135" t="s">
        <v>85</v>
      </c>
      <c r="M448" s="135" t="s">
        <v>321</v>
      </c>
      <c r="N448" s="135" t="s">
        <v>965</v>
      </c>
      <c r="O448" s="135" t="s">
        <v>810</v>
      </c>
      <c r="P448" s="135" t="s">
        <v>459</v>
      </c>
      <c r="Q448" s="135">
        <v>1976.3899999999999</v>
      </c>
      <c r="R448" s="187">
        <v>266</v>
      </c>
      <c r="S448" s="56"/>
      <c r="T448" s="56"/>
      <c r="U448" s="56"/>
      <c r="V448" s="56"/>
      <c r="W448" s="56"/>
      <c r="X448" s="56"/>
      <c r="Y448" s="56"/>
      <c r="Z448" s="56"/>
      <c r="AA448" s="56"/>
    </row>
    <row r="449" spans="2:27" ht="30" hidden="1" customHeight="1" x14ac:dyDescent="0.25">
      <c r="B449" s="51"/>
      <c r="C449" s="51"/>
      <c r="D449" s="51"/>
      <c r="E449" s="63" t="s">
        <v>454</v>
      </c>
      <c r="F449" s="422">
        <v>2014</v>
      </c>
      <c r="G449" s="135" t="s">
        <v>1235</v>
      </c>
      <c r="H449" s="422"/>
      <c r="I449" s="135" t="s">
        <v>460</v>
      </c>
      <c r="J449" s="135" t="s">
        <v>966</v>
      </c>
      <c r="K449" s="135" t="s">
        <v>499</v>
      </c>
      <c r="L449" s="135" t="s">
        <v>88</v>
      </c>
      <c r="M449" s="135" t="s">
        <v>88</v>
      </c>
      <c r="N449" s="135" t="s">
        <v>964</v>
      </c>
      <c r="O449" s="135" t="s">
        <v>811</v>
      </c>
      <c r="P449" s="135" t="s">
        <v>464</v>
      </c>
      <c r="Q449" s="135">
        <v>1981.59</v>
      </c>
      <c r="R449" s="187">
        <v>266</v>
      </c>
      <c r="S449" s="56"/>
      <c r="T449" s="56"/>
      <c r="U449" s="56"/>
      <c r="V449" s="56"/>
      <c r="W449" s="56"/>
      <c r="X449" s="56"/>
      <c r="Y449" s="56"/>
      <c r="Z449" s="56"/>
      <c r="AA449" s="56"/>
    </row>
    <row r="450" spans="2:27" ht="30" hidden="1" customHeight="1" x14ac:dyDescent="0.25">
      <c r="B450" s="51"/>
      <c r="C450" s="51"/>
      <c r="D450" s="51"/>
      <c r="E450" s="63" t="s">
        <v>452</v>
      </c>
      <c r="F450" s="422">
        <v>2014</v>
      </c>
      <c r="G450" s="135" t="s">
        <v>1235</v>
      </c>
      <c r="H450" s="422"/>
      <c r="I450" s="135" t="s">
        <v>460</v>
      </c>
      <c r="J450" s="135" t="s">
        <v>963</v>
      </c>
      <c r="K450" s="135" t="s">
        <v>461</v>
      </c>
      <c r="L450" s="135" t="s">
        <v>253</v>
      </c>
      <c r="M450" s="135" t="s">
        <v>255</v>
      </c>
      <c r="N450" s="135" t="s">
        <v>965</v>
      </c>
      <c r="O450" s="135" t="s">
        <v>591</v>
      </c>
      <c r="P450" s="135" t="s">
        <v>459</v>
      </c>
      <c r="Q450" s="135">
        <v>229.55</v>
      </c>
      <c r="R450" s="187">
        <v>266</v>
      </c>
      <c r="S450" s="56"/>
      <c r="T450" s="56"/>
      <c r="U450" s="56"/>
      <c r="V450" s="56"/>
      <c r="W450" s="56"/>
      <c r="X450" s="56"/>
      <c r="Y450" s="56"/>
      <c r="Z450" s="56"/>
      <c r="AA450" s="56"/>
    </row>
    <row r="451" spans="2:27" ht="30" hidden="1" customHeight="1" x14ac:dyDescent="0.25">
      <c r="B451" s="51"/>
      <c r="C451" s="51"/>
      <c r="D451" s="51"/>
      <c r="E451" s="63" t="s">
        <v>454</v>
      </c>
      <c r="F451" s="422">
        <v>2014</v>
      </c>
      <c r="G451" s="135" t="s">
        <v>1235</v>
      </c>
      <c r="H451" s="422"/>
      <c r="I451" s="135" t="s">
        <v>460</v>
      </c>
      <c r="J451" s="135" t="s">
        <v>963</v>
      </c>
      <c r="K451" s="135" t="s">
        <v>465</v>
      </c>
      <c r="L451" s="135" t="s">
        <v>106</v>
      </c>
      <c r="M451" s="135" t="s">
        <v>268</v>
      </c>
      <c r="N451" s="135" t="s">
        <v>964</v>
      </c>
      <c r="O451" s="135" t="s">
        <v>269</v>
      </c>
      <c r="P451" s="135" t="s">
        <v>459</v>
      </c>
      <c r="Q451" s="135">
        <v>2139.54</v>
      </c>
      <c r="R451" s="187">
        <v>263</v>
      </c>
      <c r="S451" s="56"/>
      <c r="T451" s="56"/>
      <c r="U451" s="56"/>
      <c r="V451" s="56"/>
      <c r="W451" s="56"/>
      <c r="X451" s="56"/>
      <c r="Y451" s="56"/>
      <c r="Z451" s="56"/>
      <c r="AA451" s="56"/>
    </row>
    <row r="452" spans="2:27" ht="30" hidden="1" customHeight="1" x14ac:dyDescent="0.25">
      <c r="B452" s="51"/>
      <c r="C452" s="51"/>
      <c r="D452" s="51"/>
      <c r="E452" s="63" t="s">
        <v>452</v>
      </c>
      <c r="F452" s="422">
        <v>2014</v>
      </c>
      <c r="G452" s="135" t="s">
        <v>1235</v>
      </c>
      <c r="H452" s="422"/>
      <c r="I452" s="135" t="s">
        <v>460</v>
      </c>
      <c r="J452" s="135" t="s">
        <v>966</v>
      </c>
      <c r="K452" s="135" t="s">
        <v>469</v>
      </c>
      <c r="L452" s="135" t="s">
        <v>85</v>
      </c>
      <c r="M452" s="135" t="s">
        <v>85</v>
      </c>
      <c r="N452" s="135" t="s">
        <v>964</v>
      </c>
      <c r="O452" s="135" t="s">
        <v>90</v>
      </c>
      <c r="P452" s="135" t="s">
        <v>459</v>
      </c>
      <c r="Q452" s="135">
        <v>224</v>
      </c>
      <c r="R452" s="187">
        <v>262</v>
      </c>
      <c r="S452" s="56"/>
      <c r="T452" s="56"/>
      <c r="U452" s="56"/>
      <c r="V452" s="56"/>
      <c r="W452" s="56"/>
      <c r="X452" s="56"/>
      <c r="Y452" s="56"/>
      <c r="Z452" s="56"/>
      <c r="AA452" s="56"/>
    </row>
    <row r="453" spans="2:27" ht="30" hidden="1" customHeight="1" x14ac:dyDescent="0.25">
      <c r="B453" s="51"/>
      <c r="C453" s="51"/>
      <c r="D453" s="51"/>
      <c r="E453" s="63" t="s">
        <v>454</v>
      </c>
      <c r="F453" s="422">
        <v>2014</v>
      </c>
      <c r="G453" s="135" t="s">
        <v>1235</v>
      </c>
      <c r="H453" s="422"/>
      <c r="I453" s="135" t="s">
        <v>460</v>
      </c>
      <c r="J453" s="135" t="s">
        <v>966</v>
      </c>
      <c r="K453" s="135" t="s">
        <v>469</v>
      </c>
      <c r="L453" s="135" t="s">
        <v>85</v>
      </c>
      <c r="M453" s="135" t="s">
        <v>303</v>
      </c>
      <c r="N453" s="135" t="s">
        <v>965</v>
      </c>
      <c r="O453" s="135" t="s">
        <v>812</v>
      </c>
      <c r="P453" s="135" t="s">
        <v>459</v>
      </c>
      <c r="Q453" s="135">
        <v>1998.54</v>
      </c>
      <c r="R453" s="187">
        <v>261</v>
      </c>
      <c r="S453" s="56"/>
      <c r="T453" s="56"/>
      <c r="U453" s="56"/>
      <c r="V453" s="56"/>
      <c r="W453" s="56"/>
      <c r="X453" s="56"/>
      <c r="Y453" s="56"/>
      <c r="Z453" s="56"/>
      <c r="AA453" s="56"/>
    </row>
    <row r="454" spans="2:27" ht="30" hidden="1" customHeight="1" x14ac:dyDescent="0.25">
      <c r="B454" s="51"/>
      <c r="C454" s="51"/>
      <c r="D454" s="51"/>
      <c r="E454" s="63" t="s">
        <v>451</v>
      </c>
      <c r="F454" s="422">
        <v>2014</v>
      </c>
      <c r="G454" s="135" t="s">
        <v>1235</v>
      </c>
      <c r="H454" s="422"/>
      <c r="I454" s="135" t="s">
        <v>460</v>
      </c>
      <c r="J454" s="135" t="s">
        <v>969</v>
      </c>
      <c r="K454" s="135" t="s">
        <v>519</v>
      </c>
      <c r="L454" s="135" t="s">
        <v>186</v>
      </c>
      <c r="M454" s="135" t="s">
        <v>187</v>
      </c>
      <c r="N454" s="135" t="s">
        <v>964</v>
      </c>
      <c r="O454" s="135" t="s">
        <v>520</v>
      </c>
      <c r="P454" s="135" t="s">
        <v>459</v>
      </c>
      <c r="Q454" s="135">
        <v>416.28</v>
      </c>
      <c r="R454" s="187">
        <v>260</v>
      </c>
      <c r="S454" s="56"/>
      <c r="T454" s="56"/>
      <c r="U454" s="56"/>
      <c r="V454" s="56"/>
      <c r="W454" s="56"/>
      <c r="X454" s="56"/>
      <c r="Y454" s="56"/>
      <c r="Z454" s="56"/>
      <c r="AA454" s="56"/>
    </row>
    <row r="455" spans="2:27" ht="30" hidden="1" customHeight="1" x14ac:dyDescent="0.25">
      <c r="B455" s="51"/>
      <c r="C455" s="51"/>
      <c r="D455" s="51"/>
      <c r="E455" s="63" t="s">
        <v>451</v>
      </c>
      <c r="F455" s="422">
        <v>2014</v>
      </c>
      <c r="G455" s="135" t="s">
        <v>1235</v>
      </c>
      <c r="H455" s="422"/>
      <c r="I455" s="135" t="s">
        <v>460</v>
      </c>
      <c r="J455" s="135" t="s">
        <v>966</v>
      </c>
      <c r="K455" s="135" t="s">
        <v>562</v>
      </c>
      <c r="L455" s="135" t="s">
        <v>108</v>
      </c>
      <c r="M455" s="135" t="s">
        <v>109</v>
      </c>
      <c r="N455" s="135" t="s">
        <v>964</v>
      </c>
      <c r="O455" s="135" t="s">
        <v>110</v>
      </c>
      <c r="P455" s="135" t="s">
        <v>459</v>
      </c>
      <c r="Q455" s="135">
        <v>560.41999999999996</v>
      </c>
      <c r="R455" s="187">
        <v>259</v>
      </c>
      <c r="S455" s="56"/>
      <c r="T455" s="56"/>
      <c r="U455" s="56"/>
      <c r="V455" s="56"/>
      <c r="W455" s="56"/>
      <c r="X455" s="56"/>
      <c r="Y455" s="56"/>
      <c r="Z455" s="56"/>
      <c r="AA455" s="56"/>
    </row>
    <row r="456" spans="2:27" ht="30" hidden="1" customHeight="1" x14ac:dyDescent="0.25">
      <c r="B456" s="51"/>
      <c r="C456" s="51"/>
      <c r="D456" s="51"/>
      <c r="E456" s="63" t="s">
        <v>451</v>
      </c>
      <c r="F456" s="422">
        <v>2014</v>
      </c>
      <c r="G456" s="135" t="s">
        <v>1235</v>
      </c>
      <c r="H456" s="422">
        <v>2019</v>
      </c>
      <c r="I456" s="135" t="s">
        <v>460</v>
      </c>
      <c r="J456" s="135" t="s">
        <v>969</v>
      </c>
      <c r="K456" s="135" t="s">
        <v>509</v>
      </c>
      <c r="L456" s="135" t="s">
        <v>157</v>
      </c>
      <c r="M456" s="135" t="s">
        <v>159</v>
      </c>
      <c r="N456" s="135" t="s">
        <v>964</v>
      </c>
      <c r="O456" s="135" t="s">
        <v>813</v>
      </c>
      <c r="P456" s="135" t="s">
        <v>459</v>
      </c>
      <c r="Q456" s="135">
        <v>405</v>
      </c>
      <c r="R456" s="187">
        <v>258</v>
      </c>
      <c r="S456" s="56"/>
      <c r="T456" s="56"/>
      <c r="U456" s="56"/>
      <c r="V456" s="56"/>
      <c r="W456" s="56"/>
      <c r="X456" s="56"/>
      <c r="Y456" s="56"/>
      <c r="Z456" s="56"/>
      <c r="AA456" s="56"/>
    </row>
    <row r="457" spans="2:27" ht="30" hidden="1" customHeight="1" x14ac:dyDescent="0.25">
      <c r="B457" s="51"/>
      <c r="C457" s="51"/>
      <c r="D457" s="51"/>
      <c r="E457" s="63" t="s">
        <v>452</v>
      </c>
      <c r="F457" s="422">
        <v>2014</v>
      </c>
      <c r="G457" s="135" t="s">
        <v>1235</v>
      </c>
      <c r="H457" s="422">
        <v>2019</v>
      </c>
      <c r="I457" s="135" t="s">
        <v>460</v>
      </c>
      <c r="J457" s="135" t="s">
        <v>963</v>
      </c>
      <c r="K457" s="135" t="s">
        <v>461</v>
      </c>
      <c r="L457" s="135" t="s">
        <v>253</v>
      </c>
      <c r="M457" s="135" t="s">
        <v>258</v>
      </c>
      <c r="N457" s="135" t="s">
        <v>964</v>
      </c>
      <c r="O457" s="135" t="s">
        <v>1138</v>
      </c>
      <c r="P457" s="135" t="s">
        <v>459</v>
      </c>
      <c r="Q457" s="135">
        <v>219.88</v>
      </c>
      <c r="R457" s="187">
        <v>258</v>
      </c>
      <c r="S457" s="56"/>
      <c r="T457" s="56"/>
      <c r="U457" s="56"/>
      <c r="V457" s="56"/>
      <c r="W457" s="56"/>
      <c r="X457" s="56"/>
      <c r="Y457" s="56"/>
      <c r="Z457" s="56"/>
      <c r="AA457" s="56"/>
    </row>
    <row r="458" spans="2:27" ht="30" hidden="1" customHeight="1" x14ac:dyDescent="0.25">
      <c r="B458" s="51"/>
      <c r="C458" s="51"/>
      <c r="D458" s="51"/>
      <c r="E458" s="63" t="s">
        <v>454</v>
      </c>
      <c r="F458" s="422">
        <v>2014</v>
      </c>
      <c r="G458" s="135" t="s">
        <v>1235</v>
      </c>
      <c r="H458" s="422"/>
      <c r="I458" s="135" t="s">
        <v>460</v>
      </c>
      <c r="J458" s="135" t="s">
        <v>967</v>
      </c>
      <c r="K458" s="135" t="s">
        <v>485</v>
      </c>
      <c r="L458" s="135" t="s">
        <v>167</v>
      </c>
      <c r="M458" s="135" t="s">
        <v>169</v>
      </c>
      <c r="N458" s="135" t="s">
        <v>964</v>
      </c>
      <c r="O458" s="135" t="s">
        <v>814</v>
      </c>
      <c r="P458" s="135" t="s">
        <v>459</v>
      </c>
      <c r="Q458" s="135">
        <v>2650.48</v>
      </c>
      <c r="R458" s="187">
        <v>258</v>
      </c>
      <c r="S458" s="56"/>
      <c r="T458" s="56"/>
      <c r="U458" s="56"/>
      <c r="V458" s="56"/>
      <c r="W458" s="56"/>
      <c r="X458" s="56"/>
      <c r="Y458" s="56"/>
      <c r="Z458" s="56"/>
      <c r="AA458" s="56"/>
    </row>
    <row r="459" spans="2:27" ht="30" hidden="1" customHeight="1" x14ac:dyDescent="0.25">
      <c r="B459" s="51"/>
      <c r="C459" s="51"/>
      <c r="D459" s="51"/>
      <c r="E459" s="63" t="s">
        <v>454</v>
      </c>
      <c r="F459" s="422">
        <v>2014</v>
      </c>
      <c r="G459" s="135" t="s">
        <v>1235</v>
      </c>
      <c r="H459" s="422"/>
      <c r="I459" s="135" t="s">
        <v>460</v>
      </c>
      <c r="J459" s="135" t="s">
        <v>966</v>
      </c>
      <c r="K459" s="135" t="s">
        <v>492</v>
      </c>
      <c r="L459" s="135" t="s">
        <v>968</v>
      </c>
      <c r="M459" s="135" t="s">
        <v>149</v>
      </c>
      <c r="N459" s="135" t="s">
        <v>965</v>
      </c>
      <c r="O459" s="135" t="s">
        <v>815</v>
      </c>
      <c r="P459" s="135" t="s">
        <v>459</v>
      </c>
      <c r="Q459" s="135">
        <v>1977.77</v>
      </c>
      <c r="R459" s="187">
        <v>258</v>
      </c>
      <c r="S459" s="56"/>
      <c r="T459" s="56"/>
      <c r="U459" s="56"/>
      <c r="V459" s="56"/>
      <c r="W459" s="56"/>
      <c r="X459" s="56"/>
      <c r="Y459" s="56"/>
      <c r="Z459" s="56"/>
      <c r="AA459" s="56"/>
    </row>
    <row r="460" spans="2:27" ht="30" hidden="1" customHeight="1" x14ac:dyDescent="0.25">
      <c r="B460" s="51"/>
      <c r="C460" s="51"/>
      <c r="D460" s="51"/>
      <c r="E460" s="63" t="s">
        <v>454</v>
      </c>
      <c r="F460" s="422">
        <v>2014</v>
      </c>
      <c r="G460" s="135" t="s">
        <v>1235</v>
      </c>
      <c r="H460" s="422"/>
      <c r="I460" s="135" t="s">
        <v>460</v>
      </c>
      <c r="J460" s="135" t="s">
        <v>966</v>
      </c>
      <c r="K460" s="135" t="s">
        <v>499</v>
      </c>
      <c r="L460" s="135" t="s">
        <v>88</v>
      </c>
      <c r="M460" s="135" t="s">
        <v>88</v>
      </c>
      <c r="N460" s="135" t="s">
        <v>964</v>
      </c>
      <c r="O460" s="135" t="s">
        <v>230</v>
      </c>
      <c r="P460" s="135" t="s">
        <v>459</v>
      </c>
      <c r="Q460" s="135">
        <v>2547.9699999999998</v>
      </c>
      <c r="R460" s="187">
        <v>256</v>
      </c>
      <c r="S460" s="56"/>
      <c r="T460" s="56"/>
      <c r="U460" s="56"/>
      <c r="V460" s="56"/>
      <c r="W460" s="56"/>
      <c r="X460" s="56"/>
      <c r="Y460" s="56"/>
      <c r="Z460" s="56"/>
      <c r="AA460" s="56"/>
    </row>
    <row r="461" spans="2:27" ht="30" hidden="1" customHeight="1" x14ac:dyDescent="0.25">
      <c r="B461" s="51"/>
      <c r="C461" s="51"/>
      <c r="D461" s="51"/>
      <c r="E461" s="63" t="s">
        <v>452</v>
      </c>
      <c r="F461" s="422">
        <v>2014</v>
      </c>
      <c r="G461" s="135" t="s">
        <v>1235</v>
      </c>
      <c r="H461" s="422">
        <v>2018</v>
      </c>
      <c r="I461" s="135" t="s">
        <v>460</v>
      </c>
      <c r="J461" s="135" t="s">
        <v>966</v>
      </c>
      <c r="K461" s="135" t="s">
        <v>469</v>
      </c>
      <c r="L461" s="135" t="s">
        <v>85</v>
      </c>
      <c r="M461" s="135" t="s">
        <v>331</v>
      </c>
      <c r="N461" s="135" t="s">
        <v>965</v>
      </c>
      <c r="O461" s="135" t="s">
        <v>816</v>
      </c>
      <c r="P461" s="135" t="s">
        <v>459</v>
      </c>
      <c r="Q461" s="135">
        <v>134.6</v>
      </c>
      <c r="R461" s="187">
        <v>256</v>
      </c>
      <c r="S461" s="56"/>
      <c r="T461" s="56"/>
      <c r="U461" s="56"/>
      <c r="V461" s="56"/>
      <c r="W461" s="56"/>
      <c r="X461" s="56"/>
      <c r="Y461" s="56"/>
      <c r="Z461" s="56"/>
      <c r="AA461" s="56"/>
    </row>
    <row r="462" spans="2:27" ht="30" hidden="1" customHeight="1" x14ac:dyDescent="0.25">
      <c r="B462" s="51"/>
      <c r="C462" s="51"/>
      <c r="D462" s="51"/>
      <c r="E462" s="63" t="s">
        <v>451</v>
      </c>
      <c r="F462" s="422">
        <v>2014</v>
      </c>
      <c r="G462" s="135" t="s">
        <v>1235</v>
      </c>
      <c r="H462" s="422"/>
      <c r="I462" s="135" t="s">
        <v>460</v>
      </c>
      <c r="J462" s="135" t="s">
        <v>966</v>
      </c>
      <c r="K462" s="135" t="s">
        <v>469</v>
      </c>
      <c r="L462" s="135" t="s">
        <v>85</v>
      </c>
      <c r="M462" s="135" t="s">
        <v>343</v>
      </c>
      <c r="N462" s="135" t="s">
        <v>965</v>
      </c>
      <c r="O462" s="135" t="s">
        <v>817</v>
      </c>
      <c r="P462" s="135" t="s">
        <v>459</v>
      </c>
      <c r="Q462" s="135">
        <v>596</v>
      </c>
      <c r="R462" s="187">
        <v>255</v>
      </c>
      <c r="S462" s="56"/>
      <c r="T462" s="56"/>
      <c r="U462" s="56"/>
      <c r="V462" s="56"/>
      <c r="W462" s="56"/>
      <c r="X462" s="56"/>
      <c r="Y462" s="56"/>
      <c r="Z462" s="56"/>
      <c r="AA462" s="56"/>
    </row>
    <row r="463" spans="2:27" ht="30" hidden="1" customHeight="1" x14ac:dyDescent="0.25">
      <c r="B463" s="51"/>
      <c r="C463" s="51"/>
      <c r="D463" s="51"/>
      <c r="E463" s="63" t="s">
        <v>454</v>
      </c>
      <c r="F463" s="422">
        <v>2014</v>
      </c>
      <c r="G463" s="135" t="s">
        <v>1235</v>
      </c>
      <c r="H463" s="422"/>
      <c r="I463" s="135" t="s">
        <v>460</v>
      </c>
      <c r="J463" s="135" t="s">
        <v>966</v>
      </c>
      <c r="K463" s="135" t="s">
        <v>469</v>
      </c>
      <c r="L463" s="135" t="s">
        <v>85</v>
      </c>
      <c r="M463" s="135" t="s">
        <v>343</v>
      </c>
      <c r="N463" s="135" t="s">
        <v>965</v>
      </c>
      <c r="O463" s="135" t="s">
        <v>818</v>
      </c>
      <c r="P463" s="135" t="s">
        <v>459</v>
      </c>
      <c r="Q463" s="135">
        <v>2941.29</v>
      </c>
      <c r="R463" s="187">
        <v>255</v>
      </c>
      <c r="S463" s="56"/>
      <c r="T463" s="56"/>
      <c r="U463" s="56"/>
      <c r="V463" s="56"/>
      <c r="W463" s="56"/>
      <c r="X463" s="56"/>
      <c r="Y463" s="56"/>
      <c r="Z463" s="56"/>
      <c r="AA463" s="56"/>
    </row>
    <row r="464" spans="2:27" ht="30" hidden="1" customHeight="1" x14ac:dyDescent="0.25">
      <c r="B464" s="51"/>
      <c r="C464" s="51"/>
      <c r="D464" s="51"/>
      <c r="E464" s="63" t="s">
        <v>452</v>
      </c>
      <c r="F464" s="422">
        <v>2014</v>
      </c>
      <c r="G464" s="135" t="s">
        <v>1235</v>
      </c>
      <c r="H464" s="422">
        <v>2018</v>
      </c>
      <c r="I464" s="135" t="s">
        <v>460</v>
      </c>
      <c r="J464" s="135" t="s">
        <v>966</v>
      </c>
      <c r="K464" s="135" t="s">
        <v>469</v>
      </c>
      <c r="L464" s="135" t="s">
        <v>85</v>
      </c>
      <c r="M464" s="135" t="s">
        <v>343</v>
      </c>
      <c r="N464" s="135" t="s">
        <v>965</v>
      </c>
      <c r="O464" s="135" t="s">
        <v>819</v>
      </c>
      <c r="P464" s="135" t="s">
        <v>459</v>
      </c>
      <c r="Q464" s="135">
        <v>154.5</v>
      </c>
      <c r="R464" s="187">
        <v>255</v>
      </c>
      <c r="S464" s="56"/>
      <c r="T464" s="56"/>
      <c r="U464" s="56"/>
      <c r="V464" s="56"/>
      <c r="W464" s="56"/>
      <c r="X464" s="56"/>
      <c r="Y464" s="56"/>
      <c r="Z464" s="56"/>
      <c r="AA464" s="56"/>
    </row>
    <row r="465" spans="2:27" ht="30" hidden="1" customHeight="1" x14ac:dyDescent="0.25">
      <c r="B465" s="51"/>
      <c r="C465" s="51"/>
      <c r="D465" s="51"/>
      <c r="E465" s="63" t="s">
        <v>451</v>
      </c>
      <c r="F465" s="422">
        <v>2014</v>
      </c>
      <c r="G465" s="135" t="s">
        <v>1235</v>
      </c>
      <c r="H465" s="422">
        <v>2019</v>
      </c>
      <c r="I465" s="135" t="s">
        <v>460</v>
      </c>
      <c r="J465" s="135" t="s">
        <v>966</v>
      </c>
      <c r="K465" s="135" t="s">
        <v>469</v>
      </c>
      <c r="L465" s="135" t="s">
        <v>85</v>
      </c>
      <c r="M465" s="135" t="s">
        <v>85</v>
      </c>
      <c r="N465" s="135" t="s">
        <v>964</v>
      </c>
      <c r="O465" s="135" t="s">
        <v>820</v>
      </c>
      <c r="P465" s="135" t="s">
        <v>459</v>
      </c>
      <c r="Q465" s="135">
        <v>358.7</v>
      </c>
      <c r="R465" s="187">
        <v>253</v>
      </c>
      <c r="S465" s="56"/>
      <c r="T465" s="56"/>
      <c r="U465" s="56"/>
      <c r="V465" s="56"/>
      <c r="W465" s="56"/>
      <c r="X465" s="56"/>
      <c r="Y465" s="56"/>
      <c r="Z465" s="56"/>
      <c r="AA465" s="56"/>
    </row>
    <row r="466" spans="2:27" ht="30" hidden="1" customHeight="1" x14ac:dyDescent="0.25">
      <c r="B466" s="51"/>
      <c r="C466" s="51"/>
      <c r="D466" s="51"/>
      <c r="E466" s="63" t="s">
        <v>451</v>
      </c>
      <c r="F466" s="422">
        <v>2014</v>
      </c>
      <c r="G466" s="135" t="s">
        <v>1235</v>
      </c>
      <c r="H466" s="422"/>
      <c r="I466" s="135" t="s">
        <v>460</v>
      </c>
      <c r="J466" s="135" t="s">
        <v>966</v>
      </c>
      <c r="K466" s="135" t="s">
        <v>469</v>
      </c>
      <c r="L466" s="135" t="s">
        <v>85</v>
      </c>
      <c r="M466" s="135" t="s">
        <v>345</v>
      </c>
      <c r="N466" s="135" t="s">
        <v>965</v>
      </c>
      <c r="O466" s="135" t="s">
        <v>346</v>
      </c>
      <c r="P466" s="135" t="s">
        <v>459</v>
      </c>
      <c r="Q466" s="135">
        <v>564</v>
      </c>
      <c r="R466" s="187">
        <v>253</v>
      </c>
      <c r="S466" s="56"/>
      <c r="T466" s="56"/>
      <c r="U466" s="56"/>
      <c r="V466" s="56"/>
      <c r="W466" s="56"/>
      <c r="X466" s="56"/>
      <c r="Y466" s="56"/>
      <c r="Z466" s="56"/>
      <c r="AA466" s="56"/>
    </row>
    <row r="467" spans="2:27" ht="30" hidden="1" customHeight="1" x14ac:dyDescent="0.25">
      <c r="B467" s="51"/>
      <c r="C467" s="51"/>
      <c r="D467" s="51"/>
      <c r="E467" s="63" t="s">
        <v>451</v>
      </c>
      <c r="F467" s="422">
        <v>2014</v>
      </c>
      <c r="G467" s="135" t="s">
        <v>1235</v>
      </c>
      <c r="H467" s="422">
        <v>2020</v>
      </c>
      <c r="I467" s="135" t="s">
        <v>460</v>
      </c>
      <c r="J467" s="135" t="s">
        <v>966</v>
      </c>
      <c r="K467" s="135" t="s">
        <v>562</v>
      </c>
      <c r="L467" s="135" t="s">
        <v>108</v>
      </c>
      <c r="M467" s="135" t="s">
        <v>176</v>
      </c>
      <c r="N467" s="135" t="s">
        <v>965</v>
      </c>
      <c r="O467" s="135" t="s">
        <v>821</v>
      </c>
      <c r="P467" s="135" t="s">
        <v>459</v>
      </c>
      <c r="Q467" s="135">
        <v>301.10000000000002</v>
      </c>
      <c r="R467" s="187">
        <v>253</v>
      </c>
      <c r="S467" s="56"/>
      <c r="T467" s="56"/>
      <c r="U467" s="56"/>
      <c r="V467" s="56"/>
      <c r="W467" s="56"/>
      <c r="X467" s="56"/>
      <c r="Y467" s="56"/>
      <c r="Z467" s="56"/>
      <c r="AA467" s="56"/>
    </row>
    <row r="468" spans="2:27" ht="30" hidden="1" customHeight="1" x14ac:dyDescent="0.25">
      <c r="B468" s="51"/>
      <c r="C468" s="51"/>
      <c r="D468" s="51"/>
      <c r="E468" s="63" t="s">
        <v>454</v>
      </c>
      <c r="F468" s="422">
        <v>2014</v>
      </c>
      <c r="G468" s="135" t="s">
        <v>1235</v>
      </c>
      <c r="H468" s="422"/>
      <c r="I468" s="135" t="s">
        <v>460</v>
      </c>
      <c r="J468" s="135" t="s">
        <v>967</v>
      </c>
      <c r="K468" s="135" t="s">
        <v>480</v>
      </c>
      <c r="L468" s="135" t="s">
        <v>102</v>
      </c>
      <c r="M468" s="135" t="s">
        <v>246</v>
      </c>
      <c r="N468" s="135" t="s">
        <v>965</v>
      </c>
      <c r="O468" s="135" t="s">
        <v>822</v>
      </c>
      <c r="P468" s="135" t="s">
        <v>459</v>
      </c>
      <c r="Q468" s="135">
        <v>2769.3199999999997</v>
      </c>
      <c r="R468" s="187">
        <v>252</v>
      </c>
      <c r="S468" s="56"/>
      <c r="T468" s="56"/>
      <c r="U468" s="56"/>
      <c r="V468" s="56"/>
      <c r="W468" s="56"/>
      <c r="X468" s="56"/>
      <c r="Y468" s="56"/>
      <c r="Z468" s="56"/>
      <c r="AA468" s="56"/>
    </row>
    <row r="469" spans="2:27" ht="30" hidden="1" customHeight="1" x14ac:dyDescent="0.25">
      <c r="B469" s="51"/>
      <c r="C469" s="51"/>
      <c r="D469" s="51"/>
      <c r="E469" s="63" t="s">
        <v>454</v>
      </c>
      <c r="F469" s="422">
        <v>2014</v>
      </c>
      <c r="G469" s="135" t="s">
        <v>1235</v>
      </c>
      <c r="H469" s="422">
        <v>2018</v>
      </c>
      <c r="I469" s="135" t="s">
        <v>460</v>
      </c>
      <c r="J469" s="135" t="s">
        <v>966</v>
      </c>
      <c r="K469" s="135" t="s">
        <v>562</v>
      </c>
      <c r="L469" s="135" t="s">
        <v>108</v>
      </c>
      <c r="M469" s="135" t="s">
        <v>172</v>
      </c>
      <c r="N469" s="135" t="s">
        <v>965</v>
      </c>
      <c r="O469" s="135" t="s">
        <v>823</v>
      </c>
      <c r="P469" s="135" t="s">
        <v>459</v>
      </c>
      <c r="Q469" s="135">
        <v>2705.1600000000003</v>
      </c>
      <c r="R469" s="187">
        <v>251</v>
      </c>
      <c r="S469" s="56"/>
      <c r="T469" s="56"/>
      <c r="U469" s="56"/>
      <c r="V469" s="56"/>
      <c r="W469" s="56"/>
      <c r="X469" s="56"/>
      <c r="Y469" s="56"/>
      <c r="Z469" s="56"/>
      <c r="AA469" s="56"/>
    </row>
    <row r="470" spans="2:27" ht="30" hidden="1" customHeight="1" x14ac:dyDescent="0.25">
      <c r="B470" s="51"/>
      <c r="C470" s="51"/>
      <c r="D470" s="51"/>
      <c r="E470" s="63" t="s">
        <v>454</v>
      </c>
      <c r="F470" s="422">
        <v>2014</v>
      </c>
      <c r="G470" s="135" t="s">
        <v>1236</v>
      </c>
      <c r="H470" s="422"/>
      <c r="I470" s="135" t="s">
        <v>460</v>
      </c>
      <c r="J470" s="135" t="s">
        <v>966</v>
      </c>
      <c r="K470" s="135" t="s">
        <v>492</v>
      </c>
      <c r="L470" s="135" t="s">
        <v>968</v>
      </c>
      <c r="M470" s="135" t="s">
        <v>151</v>
      </c>
      <c r="N470" s="135" t="s">
        <v>965</v>
      </c>
      <c r="O470" s="135" t="s">
        <v>152</v>
      </c>
      <c r="P470" s="135" t="s">
        <v>459</v>
      </c>
      <c r="Q470" s="135">
        <v>1264.1500000000001</v>
      </c>
      <c r="R470" s="187">
        <v>251</v>
      </c>
      <c r="S470" s="56"/>
      <c r="T470" s="56"/>
      <c r="U470" s="56"/>
      <c r="V470" s="56"/>
      <c r="W470" s="56"/>
      <c r="X470" s="56"/>
      <c r="Y470" s="56"/>
      <c r="Z470" s="56"/>
      <c r="AA470" s="56"/>
    </row>
    <row r="471" spans="2:27" ht="30" hidden="1" customHeight="1" x14ac:dyDescent="0.25">
      <c r="B471" s="51"/>
      <c r="C471" s="51"/>
      <c r="D471" s="51"/>
      <c r="E471" s="63" t="s">
        <v>451</v>
      </c>
      <c r="F471" s="422">
        <v>2014</v>
      </c>
      <c r="G471" s="135" t="s">
        <v>1236</v>
      </c>
      <c r="H471" s="422"/>
      <c r="I471" s="135" t="s">
        <v>460</v>
      </c>
      <c r="J471" s="135" t="s">
        <v>966</v>
      </c>
      <c r="K471" s="135" t="s">
        <v>469</v>
      </c>
      <c r="L471" s="135" t="s">
        <v>85</v>
      </c>
      <c r="M471" s="135" t="s">
        <v>85</v>
      </c>
      <c r="N471" s="135" t="s">
        <v>964</v>
      </c>
      <c r="O471" s="135" t="s">
        <v>824</v>
      </c>
      <c r="P471" s="135" t="s">
        <v>459</v>
      </c>
      <c r="Q471" s="135">
        <v>415.82</v>
      </c>
      <c r="R471" s="187">
        <v>250</v>
      </c>
      <c r="S471" s="56"/>
      <c r="T471" s="56"/>
      <c r="U471" s="56"/>
      <c r="V471" s="56"/>
      <c r="W471" s="56"/>
      <c r="X471" s="56"/>
      <c r="Y471" s="56"/>
      <c r="Z471" s="56"/>
      <c r="AA471" s="56"/>
    </row>
    <row r="472" spans="2:27" ht="30" hidden="1" customHeight="1" x14ac:dyDescent="0.25">
      <c r="B472" s="51"/>
      <c r="C472" s="51"/>
      <c r="D472" s="51"/>
      <c r="E472" s="63" t="s">
        <v>451</v>
      </c>
      <c r="F472" s="422">
        <v>2014</v>
      </c>
      <c r="G472" s="135" t="s">
        <v>1236</v>
      </c>
      <c r="H472" s="422"/>
      <c r="I472" s="135" t="s">
        <v>460</v>
      </c>
      <c r="J472" s="135" t="s">
        <v>966</v>
      </c>
      <c r="K472" s="135" t="s">
        <v>499</v>
      </c>
      <c r="L472" s="135" t="s">
        <v>88</v>
      </c>
      <c r="M472" s="135" t="s">
        <v>88</v>
      </c>
      <c r="N472" s="135" t="s">
        <v>964</v>
      </c>
      <c r="O472" s="135" t="s">
        <v>235</v>
      </c>
      <c r="P472" s="135" t="s">
        <v>459</v>
      </c>
      <c r="Q472" s="135">
        <v>400.68</v>
      </c>
      <c r="R472" s="187">
        <v>249</v>
      </c>
      <c r="S472" s="56"/>
      <c r="T472" s="56"/>
      <c r="U472" s="56"/>
      <c r="V472" s="56"/>
      <c r="W472" s="56"/>
      <c r="X472" s="56"/>
      <c r="Y472" s="56"/>
      <c r="Z472" s="56"/>
      <c r="AA472" s="56"/>
    </row>
    <row r="473" spans="2:27" ht="30" hidden="1" customHeight="1" x14ac:dyDescent="0.25">
      <c r="B473" s="51"/>
      <c r="C473" s="51"/>
      <c r="D473" s="51"/>
      <c r="E473" s="63" t="s">
        <v>454</v>
      </c>
      <c r="F473" s="422">
        <v>2013</v>
      </c>
      <c r="G473" s="135" t="s">
        <v>1237</v>
      </c>
      <c r="H473" s="422"/>
      <c r="I473" s="135" t="s">
        <v>460</v>
      </c>
      <c r="J473" s="135" t="s">
        <v>966</v>
      </c>
      <c r="K473" s="135" t="s">
        <v>469</v>
      </c>
      <c r="L473" s="135" t="s">
        <v>85</v>
      </c>
      <c r="M473" s="135" t="s">
        <v>85</v>
      </c>
      <c r="N473" s="135" t="s">
        <v>964</v>
      </c>
      <c r="O473" s="135" t="s">
        <v>295</v>
      </c>
      <c r="P473" s="135" t="s">
        <v>459</v>
      </c>
      <c r="Q473" s="135">
        <v>2811.0099999999998</v>
      </c>
      <c r="R473" s="187">
        <v>248</v>
      </c>
      <c r="S473" s="56"/>
      <c r="T473" s="56"/>
      <c r="U473" s="56"/>
      <c r="V473" s="56"/>
      <c r="W473" s="56"/>
      <c r="X473" s="56"/>
      <c r="Y473" s="56"/>
      <c r="Z473" s="56"/>
      <c r="AA473" s="56"/>
    </row>
    <row r="474" spans="2:27" ht="30" customHeight="1" x14ac:dyDescent="0.25">
      <c r="B474" s="51"/>
      <c r="C474" s="51"/>
      <c r="D474" s="51"/>
      <c r="E474" s="63" t="s">
        <v>451</v>
      </c>
      <c r="F474" s="422">
        <v>2013</v>
      </c>
      <c r="G474" s="135" t="s">
        <v>1237</v>
      </c>
      <c r="H474" s="422">
        <v>2023</v>
      </c>
      <c r="I474" s="135" t="s">
        <v>460</v>
      </c>
      <c r="J474" s="135" t="s">
        <v>963</v>
      </c>
      <c r="K474" s="135" t="s">
        <v>474</v>
      </c>
      <c r="L474" s="135" t="s">
        <v>95</v>
      </c>
      <c r="M474" s="135" t="s">
        <v>96</v>
      </c>
      <c r="N474" s="135" t="s">
        <v>964</v>
      </c>
      <c r="O474" s="135" t="s">
        <v>1175</v>
      </c>
      <c r="P474" s="135" t="s">
        <v>459</v>
      </c>
      <c r="Q474" s="135">
        <v>373.5</v>
      </c>
      <c r="R474" s="187">
        <v>247</v>
      </c>
      <c r="S474" s="56"/>
      <c r="T474" s="56"/>
      <c r="U474" s="56"/>
      <c r="V474" s="56"/>
      <c r="W474" s="56"/>
      <c r="X474" s="56"/>
      <c r="Y474" s="56"/>
      <c r="Z474" s="56"/>
      <c r="AA474" s="56"/>
    </row>
    <row r="475" spans="2:27" ht="30" hidden="1" customHeight="1" x14ac:dyDescent="0.25">
      <c r="B475" s="51"/>
      <c r="C475" s="51"/>
      <c r="D475" s="51"/>
      <c r="E475" s="63" t="s">
        <v>452</v>
      </c>
      <c r="F475" s="422">
        <v>2013</v>
      </c>
      <c r="G475" s="135" t="s">
        <v>1237</v>
      </c>
      <c r="H475" s="422"/>
      <c r="I475" s="135" t="s">
        <v>460</v>
      </c>
      <c r="J475" s="135" t="s">
        <v>966</v>
      </c>
      <c r="K475" s="135" t="s">
        <v>469</v>
      </c>
      <c r="L475" s="135" t="s">
        <v>85</v>
      </c>
      <c r="M475" s="135" t="s">
        <v>104</v>
      </c>
      <c r="N475" s="135" t="s">
        <v>965</v>
      </c>
      <c r="O475" s="135" t="s">
        <v>825</v>
      </c>
      <c r="P475" s="135" t="s">
        <v>459</v>
      </c>
      <c r="Q475" s="135">
        <v>193.76</v>
      </c>
      <c r="R475" s="187">
        <v>247</v>
      </c>
      <c r="S475" s="56"/>
      <c r="T475" s="56"/>
      <c r="U475" s="56"/>
      <c r="V475" s="56"/>
      <c r="W475" s="56"/>
      <c r="X475" s="56"/>
      <c r="Y475" s="56"/>
      <c r="Z475" s="56"/>
      <c r="AA475" s="56"/>
    </row>
    <row r="476" spans="2:27" ht="30" hidden="1" customHeight="1" x14ac:dyDescent="0.25">
      <c r="B476" s="51"/>
      <c r="C476" s="51"/>
      <c r="D476" s="51"/>
      <c r="E476" s="63" t="s">
        <v>454</v>
      </c>
      <c r="F476" s="422">
        <v>2013</v>
      </c>
      <c r="G476" s="135" t="s">
        <v>1237</v>
      </c>
      <c r="H476" s="422"/>
      <c r="I476" s="135" t="s">
        <v>460</v>
      </c>
      <c r="J476" s="135" t="s">
        <v>966</v>
      </c>
      <c r="K476" s="135" t="s">
        <v>499</v>
      </c>
      <c r="L476" s="135" t="s">
        <v>88</v>
      </c>
      <c r="M476" s="135" t="s">
        <v>88</v>
      </c>
      <c r="N476" s="135" t="s">
        <v>964</v>
      </c>
      <c r="O476" s="135" t="s">
        <v>235</v>
      </c>
      <c r="P476" s="135" t="s">
        <v>459</v>
      </c>
      <c r="Q476" s="135">
        <v>3313.9399999999996</v>
      </c>
      <c r="R476" s="187">
        <v>246</v>
      </c>
      <c r="S476" s="56"/>
      <c r="T476" s="56"/>
      <c r="U476" s="56"/>
      <c r="V476" s="56"/>
      <c r="W476" s="56"/>
      <c r="X476" s="56"/>
      <c r="Y476" s="56"/>
      <c r="Z476" s="56"/>
      <c r="AA476" s="56"/>
    </row>
    <row r="477" spans="2:27" ht="30" hidden="1" customHeight="1" x14ac:dyDescent="0.25">
      <c r="B477" s="51"/>
      <c r="C477" s="51"/>
      <c r="D477" s="51"/>
      <c r="E477" s="63" t="s">
        <v>451</v>
      </c>
      <c r="F477" s="422">
        <v>2013</v>
      </c>
      <c r="G477" s="135" t="s">
        <v>1237</v>
      </c>
      <c r="H477" s="422"/>
      <c r="I477" s="135" t="s">
        <v>460</v>
      </c>
      <c r="J477" s="135" t="s">
        <v>966</v>
      </c>
      <c r="K477" s="135" t="s">
        <v>469</v>
      </c>
      <c r="L477" s="135" t="s">
        <v>85</v>
      </c>
      <c r="M477" s="135" t="s">
        <v>331</v>
      </c>
      <c r="N477" s="135" t="s">
        <v>965</v>
      </c>
      <c r="O477" s="135" t="s">
        <v>333</v>
      </c>
      <c r="P477" s="135" t="s">
        <v>459</v>
      </c>
      <c r="Q477" s="135">
        <v>349.39</v>
      </c>
      <c r="R477" s="187">
        <v>245</v>
      </c>
      <c r="S477" s="56"/>
      <c r="T477" s="56"/>
      <c r="U477" s="56"/>
      <c r="V477" s="56"/>
      <c r="W477" s="56"/>
      <c r="X477" s="56"/>
      <c r="Y477" s="56"/>
      <c r="Z477" s="56"/>
      <c r="AA477" s="56"/>
    </row>
    <row r="478" spans="2:27" ht="30" hidden="1" customHeight="1" x14ac:dyDescent="0.25">
      <c r="B478" s="51"/>
      <c r="C478" s="51"/>
      <c r="D478" s="51"/>
      <c r="E478" s="63" t="s">
        <v>454</v>
      </c>
      <c r="F478" s="422">
        <v>2013</v>
      </c>
      <c r="G478" s="135" t="s">
        <v>1237</v>
      </c>
      <c r="H478" s="422"/>
      <c r="I478" s="135" t="s">
        <v>460</v>
      </c>
      <c r="J478" s="135" t="s">
        <v>966</v>
      </c>
      <c r="K478" s="135" t="s">
        <v>469</v>
      </c>
      <c r="L478" s="135" t="s">
        <v>85</v>
      </c>
      <c r="M478" s="135" t="s">
        <v>326</v>
      </c>
      <c r="N478" s="135" t="s">
        <v>965</v>
      </c>
      <c r="O478" s="135" t="s">
        <v>327</v>
      </c>
      <c r="P478" s="135" t="s">
        <v>459</v>
      </c>
      <c r="Q478" s="135">
        <v>1919.15</v>
      </c>
      <c r="R478" s="187">
        <v>244</v>
      </c>
      <c r="S478" s="56"/>
      <c r="T478" s="56"/>
      <c r="U478" s="56"/>
      <c r="V478" s="56"/>
      <c r="W478" s="56"/>
      <c r="X478" s="56"/>
      <c r="Y478" s="56"/>
      <c r="Z478" s="56"/>
      <c r="AA478" s="56"/>
    </row>
    <row r="479" spans="2:27" ht="30" hidden="1" customHeight="1" x14ac:dyDescent="0.25">
      <c r="B479" s="51"/>
      <c r="C479" s="51"/>
      <c r="D479" s="51"/>
      <c r="E479" s="63" t="s">
        <v>454</v>
      </c>
      <c r="F479" s="422">
        <v>2013</v>
      </c>
      <c r="G479" s="135" t="s">
        <v>1237</v>
      </c>
      <c r="H479" s="422"/>
      <c r="I479" s="135" t="s">
        <v>460</v>
      </c>
      <c r="J479" s="135" t="s">
        <v>966</v>
      </c>
      <c r="K479" s="135" t="s">
        <v>499</v>
      </c>
      <c r="L479" s="135" t="s">
        <v>88</v>
      </c>
      <c r="M479" s="135" t="s">
        <v>88</v>
      </c>
      <c r="N479" s="135" t="s">
        <v>964</v>
      </c>
      <c r="O479" s="135" t="s">
        <v>245</v>
      </c>
      <c r="P479" s="135" t="s">
        <v>459</v>
      </c>
      <c r="Q479" s="135">
        <v>1895.13</v>
      </c>
      <c r="R479" s="187">
        <v>243</v>
      </c>
      <c r="S479" s="56"/>
      <c r="T479" s="56"/>
      <c r="U479" s="56"/>
      <c r="V479" s="56"/>
      <c r="W479" s="56"/>
      <c r="X479" s="56"/>
      <c r="Y479" s="56"/>
      <c r="Z479" s="56"/>
      <c r="AA479" s="56"/>
    </row>
    <row r="480" spans="2:27" ht="30" hidden="1" customHeight="1" x14ac:dyDescent="0.25">
      <c r="B480" s="51"/>
      <c r="C480" s="51"/>
      <c r="D480" s="51"/>
      <c r="E480" s="63" t="s">
        <v>454</v>
      </c>
      <c r="F480" s="422">
        <v>2013</v>
      </c>
      <c r="G480" s="135" t="s">
        <v>1237</v>
      </c>
      <c r="H480" s="422"/>
      <c r="I480" s="135" t="s">
        <v>460</v>
      </c>
      <c r="J480" s="135" t="s">
        <v>966</v>
      </c>
      <c r="K480" s="135" t="s">
        <v>469</v>
      </c>
      <c r="L480" s="135" t="s">
        <v>85</v>
      </c>
      <c r="M480" s="135" t="s">
        <v>334</v>
      </c>
      <c r="N480" s="135" t="s">
        <v>965</v>
      </c>
      <c r="O480" s="135" t="s">
        <v>336</v>
      </c>
      <c r="P480" s="135" t="s">
        <v>459</v>
      </c>
      <c r="Q480" s="135">
        <v>2106.08</v>
      </c>
      <c r="R480" s="187">
        <v>243</v>
      </c>
      <c r="S480" s="56"/>
      <c r="T480" s="56"/>
      <c r="U480" s="56"/>
      <c r="V480" s="56"/>
      <c r="W480" s="56"/>
      <c r="X480" s="56"/>
      <c r="Y480" s="56"/>
      <c r="Z480" s="56"/>
      <c r="AA480" s="56"/>
    </row>
    <row r="481" spans="2:27" ht="30" hidden="1" customHeight="1" x14ac:dyDescent="0.25">
      <c r="B481" s="51"/>
      <c r="C481" s="51"/>
      <c r="D481" s="51"/>
      <c r="E481" s="63" t="s">
        <v>454</v>
      </c>
      <c r="F481" s="422">
        <v>2013</v>
      </c>
      <c r="G481" s="135" t="s">
        <v>1237</v>
      </c>
      <c r="H481" s="422"/>
      <c r="I481" s="135" t="s">
        <v>460</v>
      </c>
      <c r="J481" s="135" t="s">
        <v>967</v>
      </c>
      <c r="K481" s="135" t="s">
        <v>480</v>
      </c>
      <c r="L481" s="135" t="s">
        <v>102</v>
      </c>
      <c r="M481" s="135" t="s">
        <v>103</v>
      </c>
      <c r="N481" s="135" t="s">
        <v>964</v>
      </c>
      <c r="O481" s="135" t="s">
        <v>826</v>
      </c>
      <c r="P481" s="135" t="s">
        <v>459</v>
      </c>
      <c r="Q481" s="135">
        <v>2553.9900000000002</v>
      </c>
      <c r="R481" s="187">
        <v>241</v>
      </c>
      <c r="S481" s="56"/>
      <c r="T481" s="56"/>
      <c r="U481" s="56"/>
      <c r="V481" s="56"/>
      <c r="W481" s="56"/>
      <c r="X481" s="56"/>
      <c r="Y481" s="56"/>
      <c r="Z481" s="56"/>
      <c r="AA481" s="56"/>
    </row>
    <row r="482" spans="2:27" ht="30" hidden="1" customHeight="1" x14ac:dyDescent="0.25">
      <c r="B482" s="51"/>
      <c r="C482" s="51"/>
      <c r="D482" s="51"/>
      <c r="E482" s="63" t="s">
        <v>454</v>
      </c>
      <c r="F482" s="422">
        <v>2013</v>
      </c>
      <c r="G482" s="135" t="s">
        <v>1237</v>
      </c>
      <c r="H482" s="422"/>
      <c r="I482" s="135" t="s">
        <v>460</v>
      </c>
      <c r="J482" s="135" t="s">
        <v>967</v>
      </c>
      <c r="K482" s="135" t="s">
        <v>488</v>
      </c>
      <c r="L482" s="135" t="s">
        <v>135</v>
      </c>
      <c r="M482" s="135" t="s">
        <v>136</v>
      </c>
      <c r="N482" s="135" t="s">
        <v>964</v>
      </c>
      <c r="O482" s="135" t="s">
        <v>139</v>
      </c>
      <c r="P482" s="135" t="s">
        <v>459</v>
      </c>
      <c r="Q482" s="135">
        <v>2557.79</v>
      </c>
      <c r="R482" s="187">
        <v>240</v>
      </c>
      <c r="S482" s="56"/>
      <c r="T482" s="56"/>
      <c r="U482" s="56"/>
      <c r="V482" s="56"/>
      <c r="W482" s="56"/>
      <c r="X482" s="56"/>
      <c r="Y482" s="56"/>
      <c r="Z482" s="56"/>
      <c r="AA482" s="56"/>
    </row>
    <row r="483" spans="2:27" ht="30" hidden="1" customHeight="1" x14ac:dyDescent="0.25">
      <c r="B483" s="51"/>
      <c r="C483" s="51"/>
      <c r="D483" s="51"/>
      <c r="E483" s="63" t="s">
        <v>454</v>
      </c>
      <c r="F483" s="422">
        <v>2013</v>
      </c>
      <c r="G483" s="135" t="s">
        <v>1237</v>
      </c>
      <c r="H483" s="422"/>
      <c r="I483" s="135" t="s">
        <v>460</v>
      </c>
      <c r="J483" s="135" t="s">
        <v>966</v>
      </c>
      <c r="K483" s="135" t="s">
        <v>562</v>
      </c>
      <c r="L483" s="135" t="s">
        <v>108</v>
      </c>
      <c r="M483" s="135" t="s">
        <v>176</v>
      </c>
      <c r="N483" s="135" t="s">
        <v>965</v>
      </c>
      <c r="O483" s="135" t="s">
        <v>177</v>
      </c>
      <c r="P483" s="135" t="s">
        <v>459</v>
      </c>
      <c r="Q483" s="135">
        <v>2657.2100000000005</v>
      </c>
      <c r="R483" s="187">
        <v>240</v>
      </c>
      <c r="S483" s="56"/>
      <c r="T483" s="56"/>
      <c r="U483" s="56"/>
      <c r="V483" s="56"/>
      <c r="W483" s="56"/>
      <c r="X483" s="56"/>
      <c r="Y483" s="56"/>
      <c r="Z483" s="56"/>
      <c r="AA483" s="56"/>
    </row>
    <row r="484" spans="2:27" ht="30" hidden="1" customHeight="1" x14ac:dyDescent="0.25">
      <c r="B484" s="51"/>
      <c r="C484" s="51"/>
      <c r="D484" s="51"/>
      <c r="E484" s="63" t="s">
        <v>454</v>
      </c>
      <c r="F484" s="422">
        <v>2013</v>
      </c>
      <c r="G484" s="135" t="s">
        <v>1237</v>
      </c>
      <c r="H484" s="422"/>
      <c r="I484" s="135" t="s">
        <v>460</v>
      </c>
      <c r="J484" s="135" t="s">
        <v>967</v>
      </c>
      <c r="K484" s="135" t="s">
        <v>482</v>
      </c>
      <c r="L484" s="135" t="s">
        <v>114</v>
      </c>
      <c r="M484" s="135" t="s">
        <v>115</v>
      </c>
      <c r="N484" s="135" t="s">
        <v>964</v>
      </c>
      <c r="O484" s="135" t="s">
        <v>827</v>
      </c>
      <c r="P484" s="135" t="s">
        <v>459</v>
      </c>
      <c r="Q484" s="135">
        <v>2951.7599999999998</v>
      </c>
      <c r="R484" s="187">
        <v>240</v>
      </c>
      <c r="S484" s="56"/>
      <c r="T484" s="56"/>
      <c r="U484" s="56"/>
      <c r="V484" s="56"/>
      <c r="W484" s="56"/>
      <c r="X484" s="56"/>
      <c r="Y484" s="56"/>
      <c r="Z484" s="56"/>
      <c r="AA484" s="56"/>
    </row>
    <row r="485" spans="2:27" ht="30" hidden="1" customHeight="1" x14ac:dyDescent="0.25">
      <c r="B485" s="51"/>
      <c r="C485" s="51"/>
      <c r="D485" s="51"/>
      <c r="E485" s="63" t="s">
        <v>452</v>
      </c>
      <c r="F485" s="422">
        <v>2013</v>
      </c>
      <c r="G485" s="135" t="s">
        <v>1237</v>
      </c>
      <c r="H485" s="422">
        <v>2018</v>
      </c>
      <c r="I485" s="135" t="s">
        <v>460</v>
      </c>
      <c r="J485" s="135" t="s">
        <v>966</v>
      </c>
      <c r="K485" s="135" t="s">
        <v>562</v>
      </c>
      <c r="L485" s="135" t="s">
        <v>108</v>
      </c>
      <c r="M485" s="135" t="s">
        <v>176</v>
      </c>
      <c r="N485" s="135" t="s">
        <v>965</v>
      </c>
      <c r="O485" s="135" t="s">
        <v>821</v>
      </c>
      <c r="P485" s="135" t="s">
        <v>459</v>
      </c>
      <c r="Q485" s="135">
        <v>162.6</v>
      </c>
      <c r="R485" s="187">
        <v>240</v>
      </c>
      <c r="S485" s="56"/>
      <c r="T485" s="56"/>
      <c r="U485" s="56"/>
      <c r="V485" s="56"/>
      <c r="W485" s="56"/>
      <c r="X485" s="56"/>
      <c r="Y485" s="56"/>
      <c r="Z485" s="56"/>
      <c r="AA485" s="56"/>
    </row>
    <row r="486" spans="2:27" ht="30" hidden="1" customHeight="1" x14ac:dyDescent="0.25">
      <c r="B486" s="51"/>
      <c r="C486" s="51"/>
      <c r="D486" s="51"/>
      <c r="E486" s="63" t="s">
        <v>452</v>
      </c>
      <c r="F486" s="422">
        <v>2013</v>
      </c>
      <c r="G486" s="135" t="s">
        <v>1237</v>
      </c>
      <c r="H486" s="422">
        <v>2019</v>
      </c>
      <c r="I486" s="135" t="s">
        <v>460</v>
      </c>
      <c r="J486" s="135" t="s">
        <v>963</v>
      </c>
      <c r="K486" s="135" t="s">
        <v>461</v>
      </c>
      <c r="L486" s="135" t="s">
        <v>253</v>
      </c>
      <c r="M486" s="135" t="s">
        <v>258</v>
      </c>
      <c r="N486" s="135" t="s">
        <v>964</v>
      </c>
      <c r="O486" s="135" t="s">
        <v>828</v>
      </c>
      <c r="P486" s="135" t="s">
        <v>459</v>
      </c>
      <c r="Q486" s="135">
        <v>141.30000000000001</v>
      </c>
      <c r="R486" s="187">
        <v>237</v>
      </c>
      <c r="S486" s="56"/>
      <c r="T486" s="56"/>
      <c r="U486" s="56"/>
      <c r="V486" s="56"/>
      <c r="W486" s="56"/>
      <c r="X486" s="56"/>
      <c r="Y486" s="56"/>
      <c r="Z486" s="56"/>
      <c r="AA486" s="56"/>
    </row>
    <row r="487" spans="2:27" ht="30" hidden="1" customHeight="1" x14ac:dyDescent="0.25">
      <c r="B487" s="51"/>
      <c r="C487" s="51"/>
      <c r="D487" s="51"/>
      <c r="E487" s="63" t="s">
        <v>454</v>
      </c>
      <c r="F487" s="422">
        <v>2013</v>
      </c>
      <c r="G487" s="135" t="s">
        <v>1237</v>
      </c>
      <c r="H487" s="422"/>
      <c r="I487" s="135" t="s">
        <v>460</v>
      </c>
      <c r="J487" s="135" t="s">
        <v>963</v>
      </c>
      <c r="K487" s="135" t="s">
        <v>461</v>
      </c>
      <c r="L487" s="135" t="s">
        <v>253</v>
      </c>
      <c r="M487" s="135" t="s">
        <v>267</v>
      </c>
      <c r="N487" s="135" t="s">
        <v>965</v>
      </c>
      <c r="O487" s="135" t="s">
        <v>829</v>
      </c>
      <c r="P487" s="135" t="s">
        <v>459</v>
      </c>
      <c r="Q487" s="135">
        <v>2742.55</v>
      </c>
      <c r="R487" s="187">
        <v>237</v>
      </c>
      <c r="S487" s="56"/>
      <c r="T487" s="56"/>
      <c r="U487" s="56"/>
      <c r="V487" s="56"/>
      <c r="W487" s="56"/>
      <c r="X487" s="56"/>
      <c r="Y487" s="56"/>
      <c r="Z487" s="56"/>
      <c r="AA487" s="56"/>
    </row>
    <row r="488" spans="2:27" ht="30" hidden="1" customHeight="1" x14ac:dyDescent="0.25">
      <c r="B488" s="51"/>
      <c r="C488" s="51"/>
      <c r="D488" s="51"/>
      <c r="E488" s="63" t="s">
        <v>454</v>
      </c>
      <c r="F488" s="422">
        <v>2013</v>
      </c>
      <c r="G488" s="135" t="s">
        <v>1237</v>
      </c>
      <c r="H488" s="422"/>
      <c r="I488" s="135" t="s">
        <v>460</v>
      </c>
      <c r="J488" s="135" t="s">
        <v>966</v>
      </c>
      <c r="K488" s="135" t="s">
        <v>469</v>
      </c>
      <c r="L488" s="135" t="s">
        <v>85</v>
      </c>
      <c r="M488" s="135" t="s">
        <v>104</v>
      </c>
      <c r="N488" s="135" t="s">
        <v>965</v>
      </c>
      <c r="O488" s="135" t="s">
        <v>830</v>
      </c>
      <c r="P488" s="135" t="s">
        <v>459</v>
      </c>
      <c r="Q488" s="135">
        <v>2440.61</v>
      </c>
      <c r="R488" s="187">
        <v>236</v>
      </c>
      <c r="S488" s="56"/>
      <c r="T488" s="56"/>
      <c r="U488" s="56"/>
      <c r="V488" s="56"/>
      <c r="W488" s="56"/>
      <c r="X488" s="56"/>
      <c r="Y488" s="56"/>
      <c r="Z488" s="56"/>
      <c r="AA488" s="56"/>
    </row>
    <row r="489" spans="2:27" ht="30" hidden="1" customHeight="1" x14ac:dyDescent="0.25">
      <c r="B489" s="51"/>
      <c r="C489" s="51"/>
      <c r="D489" s="51"/>
      <c r="E489" s="63" t="s">
        <v>454</v>
      </c>
      <c r="F489" s="422">
        <v>2013</v>
      </c>
      <c r="G489" s="135" t="s">
        <v>1237</v>
      </c>
      <c r="H489" s="422"/>
      <c r="I489" s="135" t="s">
        <v>460</v>
      </c>
      <c r="J489" s="135" t="s">
        <v>969</v>
      </c>
      <c r="K489" s="135" t="s">
        <v>575</v>
      </c>
      <c r="L489" s="135" t="s">
        <v>143</v>
      </c>
      <c r="M489" s="135" t="s">
        <v>144</v>
      </c>
      <c r="N489" s="135" t="s">
        <v>964</v>
      </c>
      <c r="O489" s="135" t="s">
        <v>831</v>
      </c>
      <c r="P489" s="135" t="s">
        <v>459</v>
      </c>
      <c r="Q489" s="135">
        <v>2845.98</v>
      </c>
      <c r="R489" s="187">
        <v>235</v>
      </c>
      <c r="S489" s="56"/>
      <c r="T489" s="56"/>
      <c r="U489" s="56"/>
      <c r="V489" s="56"/>
      <c r="W489" s="56"/>
      <c r="X489" s="56"/>
      <c r="Y489" s="56"/>
      <c r="Z489" s="56"/>
      <c r="AA489" s="56"/>
    </row>
    <row r="490" spans="2:27" ht="30" hidden="1" customHeight="1" x14ac:dyDescent="0.25">
      <c r="B490" s="51"/>
      <c r="C490" s="51"/>
      <c r="D490" s="51"/>
      <c r="E490" s="63" t="s">
        <v>451</v>
      </c>
      <c r="F490" s="422">
        <v>2013</v>
      </c>
      <c r="G490" s="135" t="s">
        <v>1237</v>
      </c>
      <c r="H490" s="422"/>
      <c r="I490" s="135" t="s">
        <v>460</v>
      </c>
      <c r="J490" s="135" t="s">
        <v>966</v>
      </c>
      <c r="K490" s="135" t="s">
        <v>469</v>
      </c>
      <c r="L490" s="135" t="s">
        <v>85</v>
      </c>
      <c r="M490" s="135" t="s">
        <v>104</v>
      </c>
      <c r="N490" s="135" t="s">
        <v>965</v>
      </c>
      <c r="O490" s="135" t="s">
        <v>351</v>
      </c>
      <c r="P490" s="135" t="s">
        <v>459</v>
      </c>
      <c r="Q490" s="135">
        <v>508</v>
      </c>
      <c r="R490" s="187">
        <v>234</v>
      </c>
      <c r="S490" s="56"/>
      <c r="T490" s="56"/>
      <c r="U490" s="56"/>
      <c r="V490" s="56"/>
      <c r="W490" s="56"/>
      <c r="X490" s="56"/>
      <c r="Y490" s="56"/>
      <c r="Z490" s="56"/>
      <c r="AA490" s="56"/>
    </row>
    <row r="491" spans="2:27" ht="30" customHeight="1" x14ac:dyDescent="0.25">
      <c r="B491" s="51"/>
      <c r="C491" s="51"/>
      <c r="D491" s="51"/>
      <c r="E491" s="63" t="s">
        <v>452</v>
      </c>
      <c r="F491" s="422">
        <v>2013</v>
      </c>
      <c r="G491" s="135" t="s">
        <v>1237</v>
      </c>
      <c r="H491" s="422">
        <v>2023</v>
      </c>
      <c r="I491" s="135" t="s">
        <v>460</v>
      </c>
      <c r="J491" s="135" t="s">
        <v>966</v>
      </c>
      <c r="K491" s="135" t="s">
        <v>469</v>
      </c>
      <c r="L491" s="135" t="s">
        <v>85</v>
      </c>
      <c r="M491" s="135" t="s">
        <v>334</v>
      </c>
      <c r="N491" s="135" t="s">
        <v>965</v>
      </c>
      <c r="O491" s="135" t="s">
        <v>1176</v>
      </c>
      <c r="P491" s="135" t="s">
        <v>459</v>
      </c>
      <c r="Q491" s="135">
        <v>183.24</v>
      </c>
      <c r="R491" s="187">
        <v>234</v>
      </c>
      <c r="S491" s="56"/>
      <c r="T491" s="56"/>
      <c r="U491" s="56"/>
      <c r="V491" s="56"/>
      <c r="W491" s="56"/>
      <c r="X491" s="56"/>
      <c r="Y491" s="56"/>
      <c r="Z491" s="56"/>
      <c r="AA491" s="56"/>
    </row>
    <row r="492" spans="2:27" ht="30" hidden="1" customHeight="1" x14ac:dyDescent="0.25">
      <c r="B492" s="51"/>
      <c r="C492" s="51"/>
      <c r="D492" s="51"/>
      <c r="E492" s="63" t="s">
        <v>454</v>
      </c>
      <c r="F492" s="422">
        <v>2013</v>
      </c>
      <c r="G492" s="135" t="s">
        <v>1237</v>
      </c>
      <c r="H492" s="422"/>
      <c r="I492" s="135" t="s">
        <v>460</v>
      </c>
      <c r="J492" s="135" t="s">
        <v>967</v>
      </c>
      <c r="K492" s="135" t="s">
        <v>488</v>
      </c>
      <c r="L492" s="135" t="s">
        <v>135</v>
      </c>
      <c r="M492" s="135" t="s">
        <v>136</v>
      </c>
      <c r="N492" s="135" t="s">
        <v>964</v>
      </c>
      <c r="O492" s="135" t="s">
        <v>138</v>
      </c>
      <c r="P492" s="135" t="s">
        <v>459</v>
      </c>
      <c r="Q492" s="135">
        <v>2213.9300000000003</v>
      </c>
      <c r="R492" s="187">
        <v>233</v>
      </c>
      <c r="S492" s="56"/>
      <c r="T492" s="56"/>
      <c r="U492" s="56"/>
      <c r="V492" s="56"/>
      <c r="W492" s="56"/>
      <c r="X492" s="56"/>
      <c r="Y492" s="56"/>
      <c r="Z492" s="56"/>
      <c r="AA492" s="56"/>
    </row>
    <row r="493" spans="2:27" ht="30" hidden="1" customHeight="1" x14ac:dyDescent="0.25">
      <c r="B493" s="51"/>
      <c r="C493" s="51"/>
      <c r="D493" s="51"/>
      <c r="E493" s="63" t="s">
        <v>454</v>
      </c>
      <c r="F493" s="422">
        <v>2013</v>
      </c>
      <c r="G493" s="135" t="s">
        <v>1237</v>
      </c>
      <c r="H493" s="422"/>
      <c r="I493" s="135" t="s">
        <v>460</v>
      </c>
      <c r="J493" s="135" t="s">
        <v>967</v>
      </c>
      <c r="K493" s="135" t="s">
        <v>482</v>
      </c>
      <c r="L493" s="135" t="s">
        <v>114</v>
      </c>
      <c r="M493" s="135" t="s">
        <v>115</v>
      </c>
      <c r="N493" s="135" t="s">
        <v>964</v>
      </c>
      <c r="O493" s="135" t="s">
        <v>117</v>
      </c>
      <c r="P493" s="135" t="s">
        <v>459</v>
      </c>
      <c r="Q493" s="135">
        <v>3041.88</v>
      </c>
      <c r="R493" s="187">
        <v>232</v>
      </c>
      <c r="S493" s="56"/>
      <c r="T493" s="56"/>
      <c r="U493" s="56"/>
      <c r="V493" s="56"/>
      <c r="W493" s="56"/>
      <c r="X493" s="56"/>
      <c r="Y493" s="56"/>
      <c r="Z493" s="56"/>
      <c r="AA493" s="56"/>
    </row>
    <row r="494" spans="2:27" ht="30" hidden="1" customHeight="1" x14ac:dyDescent="0.25">
      <c r="B494" s="51"/>
      <c r="C494" s="51"/>
      <c r="D494" s="51"/>
      <c r="E494" s="63" t="s">
        <v>454</v>
      </c>
      <c r="F494" s="422">
        <v>2013</v>
      </c>
      <c r="G494" s="135" t="s">
        <v>1237</v>
      </c>
      <c r="H494" s="422"/>
      <c r="I494" s="135" t="s">
        <v>460</v>
      </c>
      <c r="J494" s="135" t="s">
        <v>967</v>
      </c>
      <c r="K494" s="135" t="s">
        <v>485</v>
      </c>
      <c r="L494" s="135" t="s">
        <v>167</v>
      </c>
      <c r="M494" s="135" t="s">
        <v>169</v>
      </c>
      <c r="N494" s="135" t="s">
        <v>964</v>
      </c>
      <c r="O494" s="135" t="s">
        <v>171</v>
      </c>
      <c r="P494" s="135" t="s">
        <v>459</v>
      </c>
      <c r="Q494" s="135">
        <v>2628.91</v>
      </c>
      <c r="R494" s="187">
        <v>231</v>
      </c>
      <c r="S494" s="56"/>
      <c r="T494" s="56"/>
      <c r="U494" s="56"/>
      <c r="V494" s="56"/>
      <c r="W494" s="56"/>
      <c r="X494" s="56"/>
      <c r="Y494" s="56"/>
      <c r="Z494" s="56"/>
      <c r="AA494" s="56"/>
    </row>
    <row r="495" spans="2:27" ht="30" hidden="1" customHeight="1" x14ac:dyDescent="0.25">
      <c r="B495" s="51"/>
      <c r="C495" s="51"/>
      <c r="D495" s="51"/>
      <c r="E495" s="63" t="s">
        <v>452</v>
      </c>
      <c r="F495" s="422">
        <v>2013</v>
      </c>
      <c r="G495" s="135" t="s">
        <v>1237</v>
      </c>
      <c r="H495" s="422"/>
      <c r="I495" s="135" t="s">
        <v>460</v>
      </c>
      <c r="J495" s="135" t="s">
        <v>966</v>
      </c>
      <c r="K495" s="135" t="s">
        <v>469</v>
      </c>
      <c r="L495" s="135" t="s">
        <v>85</v>
      </c>
      <c r="M495" s="135" t="s">
        <v>85</v>
      </c>
      <c r="N495" s="135" t="s">
        <v>964</v>
      </c>
      <c r="O495" s="135" t="s">
        <v>287</v>
      </c>
      <c r="P495" s="135" t="s">
        <v>459</v>
      </c>
      <c r="Q495" s="135">
        <v>351.8</v>
      </c>
      <c r="R495" s="187">
        <v>231</v>
      </c>
      <c r="S495" s="56"/>
      <c r="T495" s="56"/>
      <c r="U495" s="56"/>
      <c r="V495" s="56"/>
      <c r="W495" s="56"/>
      <c r="X495" s="56"/>
      <c r="Y495" s="56"/>
      <c r="Z495" s="56"/>
      <c r="AA495" s="56"/>
    </row>
    <row r="496" spans="2:27" ht="30" hidden="1" customHeight="1" x14ac:dyDescent="0.25">
      <c r="B496" s="51"/>
      <c r="C496" s="51"/>
      <c r="D496" s="51"/>
      <c r="E496" s="63" t="s">
        <v>454</v>
      </c>
      <c r="F496" s="422">
        <v>2013</v>
      </c>
      <c r="G496" s="135" t="s">
        <v>1237</v>
      </c>
      <c r="H496" s="422"/>
      <c r="I496" s="135" t="s">
        <v>460</v>
      </c>
      <c r="J496" s="135" t="s">
        <v>969</v>
      </c>
      <c r="K496" s="135" t="s">
        <v>509</v>
      </c>
      <c r="L496" s="135" t="s">
        <v>157</v>
      </c>
      <c r="M496" s="135" t="s">
        <v>159</v>
      </c>
      <c r="N496" s="135" t="s">
        <v>964</v>
      </c>
      <c r="O496" s="135" t="s">
        <v>162</v>
      </c>
      <c r="P496" s="135" t="s">
        <v>459</v>
      </c>
      <c r="Q496" s="135">
        <v>2876.11</v>
      </c>
      <c r="R496" s="187">
        <v>229</v>
      </c>
      <c r="S496" s="56"/>
      <c r="T496" s="56"/>
      <c r="U496" s="56"/>
      <c r="V496" s="56"/>
      <c r="W496" s="56"/>
      <c r="X496" s="56"/>
      <c r="Y496" s="56"/>
      <c r="Z496" s="56"/>
      <c r="AA496" s="56"/>
    </row>
    <row r="497" spans="2:27" ht="30" customHeight="1" x14ac:dyDescent="0.25">
      <c r="B497" s="51"/>
      <c r="C497" s="51"/>
      <c r="D497" s="51"/>
      <c r="E497" s="63" t="s">
        <v>451</v>
      </c>
      <c r="F497" s="422">
        <v>2013</v>
      </c>
      <c r="G497" s="135" t="s">
        <v>1237</v>
      </c>
      <c r="H497" s="422">
        <v>2023</v>
      </c>
      <c r="I497" s="135" t="s">
        <v>460</v>
      </c>
      <c r="J497" s="135" t="s">
        <v>966</v>
      </c>
      <c r="K497" s="135" t="s">
        <v>469</v>
      </c>
      <c r="L497" s="135" t="s">
        <v>85</v>
      </c>
      <c r="M497" s="135" t="s">
        <v>334</v>
      </c>
      <c r="N497" s="135" t="s">
        <v>965</v>
      </c>
      <c r="O497" s="135" t="s">
        <v>1177</v>
      </c>
      <c r="P497" s="135" t="s">
        <v>459</v>
      </c>
      <c r="Q497" s="135">
        <v>589.9</v>
      </c>
      <c r="R497" s="187">
        <v>228</v>
      </c>
      <c r="S497" s="56"/>
      <c r="T497" s="56"/>
      <c r="U497" s="56"/>
      <c r="V497" s="56"/>
      <c r="W497" s="56"/>
      <c r="X497" s="56"/>
      <c r="Y497" s="56"/>
      <c r="Z497" s="56"/>
      <c r="AA497" s="56"/>
    </row>
    <row r="498" spans="2:27" ht="30" hidden="1" customHeight="1" x14ac:dyDescent="0.25">
      <c r="B498" s="51"/>
      <c r="C498" s="51"/>
      <c r="D498" s="51"/>
      <c r="E498" s="63" t="s">
        <v>452</v>
      </c>
      <c r="F498" s="422">
        <v>2013</v>
      </c>
      <c r="G498" s="135" t="s">
        <v>1237</v>
      </c>
      <c r="H498" s="422"/>
      <c r="I498" s="135" t="s">
        <v>460</v>
      </c>
      <c r="J498" s="135" t="s">
        <v>966</v>
      </c>
      <c r="K498" s="135" t="s">
        <v>469</v>
      </c>
      <c r="L498" s="135" t="s">
        <v>85</v>
      </c>
      <c r="M498" s="135" t="s">
        <v>341</v>
      </c>
      <c r="N498" s="135" t="s">
        <v>965</v>
      </c>
      <c r="O498" s="135" t="s">
        <v>832</v>
      </c>
      <c r="P498" s="135" t="s">
        <v>459</v>
      </c>
      <c r="Q498" s="135">
        <v>244.62</v>
      </c>
      <c r="R498" s="187">
        <v>228</v>
      </c>
      <c r="S498" s="56"/>
      <c r="T498" s="56"/>
      <c r="U498" s="56"/>
      <c r="V498" s="56"/>
      <c r="W498" s="56"/>
      <c r="X498" s="56"/>
      <c r="Y498" s="56"/>
      <c r="Z498" s="56"/>
      <c r="AA498" s="56"/>
    </row>
    <row r="499" spans="2:27" ht="30" hidden="1" customHeight="1" x14ac:dyDescent="0.25">
      <c r="B499" s="51"/>
      <c r="C499" s="51"/>
      <c r="D499" s="51"/>
      <c r="E499" s="63" t="s">
        <v>454</v>
      </c>
      <c r="F499" s="422">
        <v>2013</v>
      </c>
      <c r="G499" s="135" t="s">
        <v>1237</v>
      </c>
      <c r="H499" s="422"/>
      <c r="I499" s="135" t="s">
        <v>460</v>
      </c>
      <c r="J499" s="135" t="s">
        <v>963</v>
      </c>
      <c r="K499" s="135" t="s">
        <v>461</v>
      </c>
      <c r="L499" s="135" t="s">
        <v>253</v>
      </c>
      <c r="M499" s="135" t="s">
        <v>256</v>
      </c>
      <c r="N499" s="135" t="s">
        <v>965</v>
      </c>
      <c r="O499" s="135" t="s">
        <v>257</v>
      </c>
      <c r="P499" s="135" t="s">
        <v>459</v>
      </c>
      <c r="Q499" s="135">
        <v>2821.84</v>
      </c>
      <c r="R499" s="187">
        <v>227</v>
      </c>
      <c r="S499" s="56"/>
      <c r="T499" s="56"/>
      <c r="U499" s="56"/>
      <c r="V499" s="56"/>
      <c r="W499" s="56"/>
      <c r="X499" s="56"/>
      <c r="Y499" s="56"/>
      <c r="Z499" s="56"/>
      <c r="AA499" s="56"/>
    </row>
    <row r="500" spans="2:27" ht="30" hidden="1" customHeight="1" x14ac:dyDescent="0.25">
      <c r="B500" s="51"/>
      <c r="C500" s="51"/>
      <c r="D500" s="51"/>
      <c r="E500" s="63" t="s">
        <v>454</v>
      </c>
      <c r="F500" s="422">
        <v>2013</v>
      </c>
      <c r="G500" s="135" t="s">
        <v>1238</v>
      </c>
      <c r="H500" s="422"/>
      <c r="I500" s="135" t="s">
        <v>460</v>
      </c>
      <c r="J500" s="135" t="s">
        <v>966</v>
      </c>
      <c r="K500" s="135" t="s">
        <v>469</v>
      </c>
      <c r="L500" s="135" t="s">
        <v>85</v>
      </c>
      <c r="M500" s="135" t="s">
        <v>104</v>
      </c>
      <c r="N500" s="135" t="s">
        <v>965</v>
      </c>
      <c r="O500" s="135" t="s">
        <v>352</v>
      </c>
      <c r="P500" s="135" t="s">
        <v>459</v>
      </c>
      <c r="Q500" s="135">
        <v>2300.3000000000002</v>
      </c>
      <c r="R500" s="187">
        <v>226</v>
      </c>
      <c r="S500" s="56"/>
      <c r="T500" s="56"/>
      <c r="U500" s="56"/>
      <c r="V500" s="56"/>
      <c r="W500" s="56"/>
      <c r="X500" s="56"/>
      <c r="Y500" s="56"/>
      <c r="Z500" s="56"/>
      <c r="AA500" s="56"/>
    </row>
    <row r="501" spans="2:27" ht="30" customHeight="1" x14ac:dyDescent="0.25">
      <c r="B501" s="51"/>
      <c r="C501" s="51"/>
      <c r="D501" s="51"/>
      <c r="E501" s="63" t="s">
        <v>452</v>
      </c>
      <c r="F501" s="422">
        <v>2013</v>
      </c>
      <c r="G501" s="135" t="s">
        <v>1238</v>
      </c>
      <c r="H501" s="422">
        <v>2023</v>
      </c>
      <c r="I501" s="135" t="s">
        <v>460</v>
      </c>
      <c r="J501" s="135" t="s">
        <v>966</v>
      </c>
      <c r="K501" s="135" t="s">
        <v>562</v>
      </c>
      <c r="L501" s="135" t="s">
        <v>108</v>
      </c>
      <c r="M501" s="135" t="s">
        <v>109</v>
      </c>
      <c r="N501" s="135" t="s">
        <v>964</v>
      </c>
      <c r="O501" s="135" t="s">
        <v>1178</v>
      </c>
      <c r="P501" s="135" t="s">
        <v>459</v>
      </c>
      <c r="Q501" s="135">
        <v>227.27</v>
      </c>
      <c r="R501" s="187">
        <v>225</v>
      </c>
      <c r="S501" s="56"/>
      <c r="T501" s="56"/>
      <c r="U501" s="56"/>
      <c r="V501" s="56"/>
      <c r="W501" s="56"/>
      <c r="X501" s="56"/>
      <c r="Y501" s="56"/>
      <c r="Z501" s="56"/>
      <c r="AA501" s="56"/>
    </row>
    <row r="502" spans="2:27" ht="30" customHeight="1" x14ac:dyDescent="0.25">
      <c r="B502" s="51"/>
      <c r="C502" s="51"/>
      <c r="D502" s="51"/>
      <c r="E502" s="63" t="s">
        <v>452</v>
      </c>
      <c r="F502" s="422">
        <v>2013</v>
      </c>
      <c r="G502" s="135" t="s">
        <v>1238</v>
      </c>
      <c r="H502" s="422">
        <v>2023</v>
      </c>
      <c r="I502" s="135" t="s">
        <v>460</v>
      </c>
      <c r="J502" s="135" t="s">
        <v>963</v>
      </c>
      <c r="K502" s="135" t="s">
        <v>461</v>
      </c>
      <c r="L502" s="135" t="s">
        <v>253</v>
      </c>
      <c r="M502" s="135" t="s">
        <v>258</v>
      </c>
      <c r="N502" s="135" t="s">
        <v>964</v>
      </c>
      <c r="O502" s="135" t="s">
        <v>1179</v>
      </c>
      <c r="P502" s="135" t="s">
        <v>459</v>
      </c>
      <c r="Q502" s="135">
        <v>287.3</v>
      </c>
      <c r="R502" s="187">
        <v>225</v>
      </c>
      <c r="S502" s="56"/>
      <c r="T502" s="56"/>
      <c r="U502" s="56"/>
      <c r="V502" s="56"/>
      <c r="W502" s="56"/>
      <c r="X502" s="56"/>
      <c r="Y502" s="56"/>
      <c r="Z502" s="56"/>
      <c r="AA502" s="56"/>
    </row>
    <row r="503" spans="2:27" ht="30" hidden="1" customHeight="1" x14ac:dyDescent="0.25">
      <c r="B503" s="51"/>
      <c r="C503" s="51"/>
      <c r="D503" s="51"/>
      <c r="E503" s="63" t="s">
        <v>452</v>
      </c>
      <c r="F503" s="422">
        <v>2013</v>
      </c>
      <c r="G503" s="135" t="s">
        <v>1238</v>
      </c>
      <c r="H503" s="422">
        <v>2018</v>
      </c>
      <c r="I503" s="135" t="s">
        <v>460</v>
      </c>
      <c r="J503" s="135" t="s">
        <v>963</v>
      </c>
      <c r="K503" s="135" t="s">
        <v>461</v>
      </c>
      <c r="L503" s="135" t="s">
        <v>253</v>
      </c>
      <c r="M503" s="135" t="s">
        <v>258</v>
      </c>
      <c r="N503" s="135" t="s">
        <v>964</v>
      </c>
      <c r="O503" s="135" t="s">
        <v>833</v>
      </c>
      <c r="P503" s="135" t="s">
        <v>459</v>
      </c>
      <c r="Q503" s="135">
        <v>148.4</v>
      </c>
      <c r="R503" s="187">
        <v>225</v>
      </c>
      <c r="S503" s="56"/>
      <c r="T503" s="56"/>
      <c r="U503" s="56"/>
      <c r="V503" s="56"/>
      <c r="W503" s="56"/>
      <c r="X503" s="56"/>
      <c r="Y503" s="56"/>
      <c r="Z503" s="56"/>
      <c r="AA503" s="56"/>
    </row>
    <row r="504" spans="2:27" ht="30" hidden="1" customHeight="1" x14ac:dyDescent="0.25">
      <c r="B504" s="51"/>
      <c r="C504" s="51"/>
      <c r="D504" s="51"/>
      <c r="E504" s="63" t="s">
        <v>452</v>
      </c>
      <c r="F504" s="422">
        <v>2013</v>
      </c>
      <c r="G504" s="135" t="s">
        <v>1238</v>
      </c>
      <c r="H504" s="422"/>
      <c r="I504" s="135" t="s">
        <v>460</v>
      </c>
      <c r="J504" s="135" t="s">
        <v>966</v>
      </c>
      <c r="K504" s="135" t="s">
        <v>469</v>
      </c>
      <c r="L504" s="135" t="s">
        <v>85</v>
      </c>
      <c r="M504" s="135" t="s">
        <v>85</v>
      </c>
      <c r="N504" s="135" t="s">
        <v>964</v>
      </c>
      <c r="O504" s="135" t="s">
        <v>834</v>
      </c>
      <c r="P504" s="135" t="s">
        <v>459</v>
      </c>
      <c r="Q504" s="135">
        <v>479.34</v>
      </c>
      <c r="R504" s="187">
        <v>225</v>
      </c>
      <c r="S504" s="56"/>
      <c r="T504" s="56"/>
      <c r="U504" s="56"/>
      <c r="V504" s="56"/>
      <c r="W504" s="56"/>
      <c r="X504" s="56"/>
      <c r="Y504" s="56"/>
      <c r="Z504" s="56"/>
      <c r="AA504" s="56"/>
    </row>
    <row r="505" spans="2:27" ht="30" hidden="1" customHeight="1" x14ac:dyDescent="0.25">
      <c r="B505" s="51"/>
      <c r="C505" s="51"/>
      <c r="D505" s="51"/>
      <c r="E505" s="63" t="s">
        <v>452</v>
      </c>
      <c r="F505" s="422">
        <v>2013</v>
      </c>
      <c r="G505" s="135" t="s">
        <v>1238</v>
      </c>
      <c r="H505" s="422"/>
      <c r="I505" s="135" t="s">
        <v>460</v>
      </c>
      <c r="J505" s="135" t="s">
        <v>966</v>
      </c>
      <c r="K505" s="135" t="s">
        <v>469</v>
      </c>
      <c r="L505" s="135" t="s">
        <v>85</v>
      </c>
      <c r="M505" s="135" t="s">
        <v>85</v>
      </c>
      <c r="N505" s="135" t="s">
        <v>964</v>
      </c>
      <c r="O505" s="135" t="s">
        <v>835</v>
      </c>
      <c r="P505" s="135" t="s">
        <v>459</v>
      </c>
      <c r="Q505" s="135">
        <v>171.75</v>
      </c>
      <c r="R505" s="187">
        <v>224</v>
      </c>
      <c r="S505" s="56"/>
      <c r="T505" s="56"/>
      <c r="U505" s="56"/>
      <c r="V505" s="56"/>
      <c r="W505" s="56"/>
      <c r="X505" s="56"/>
      <c r="Y505" s="56"/>
      <c r="Z505" s="56"/>
      <c r="AA505" s="56"/>
    </row>
    <row r="506" spans="2:27" ht="30" hidden="1" customHeight="1" x14ac:dyDescent="0.25">
      <c r="B506" s="51"/>
      <c r="C506" s="51"/>
      <c r="D506" s="51"/>
      <c r="E506" s="63" t="s">
        <v>452</v>
      </c>
      <c r="F506" s="422">
        <v>2013</v>
      </c>
      <c r="G506" s="135" t="s">
        <v>1238</v>
      </c>
      <c r="H506" s="422"/>
      <c r="I506" s="135" t="s">
        <v>460</v>
      </c>
      <c r="J506" s="135" t="s">
        <v>966</v>
      </c>
      <c r="K506" s="135" t="s">
        <v>469</v>
      </c>
      <c r="L506" s="135" t="s">
        <v>85</v>
      </c>
      <c r="M506" s="135" t="s">
        <v>85</v>
      </c>
      <c r="N506" s="135" t="s">
        <v>964</v>
      </c>
      <c r="O506" s="135" t="s">
        <v>86</v>
      </c>
      <c r="P506" s="135" t="s">
        <v>459</v>
      </c>
      <c r="Q506" s="135">
        <v>270.05</v>
      </c>
      <c r="R506" s="187">
        <v>223</v>
      </c>
      <c r="S506" s="56"/>
      <c r="T506" s="56"/>
      <c r="U506" s="56"/>
      <c r="V506" s="56"/>
      <c r="W506" s="56"/>
      <c r="X506" s="56"/>
      <c r="Y506" s="56"/>
      <c r="Z506" s="56"/>
      <c r="AA506" s="56"/>
    </row>
    <row r="507" spans="2:27" ht="30" customHeight="1" x14ac:dyDescent="0.25">
      <c r="B507" s="51"/>
      <c r="C507" s="51"/>
      <c r="D507" s="51"/>
      <c r="E507" s="63" t="s">
        <v>454</v>
      </c>
      <c r="F507" s="422">
        <v>2013</v>
      </c>
      <c r="G507" s="135" t="s">
        <v>1238</v>
      </c>
      <c r="H507" s="422">
        <v>2023</v>
      </c>
      <c r="I507" s="135" t="s">
        <v>460</v>
      </c>
      <c r="J507" s="135" t="s">
        <v>969</v>
      </c>
      <c r="K507" s="135" t="s">
        <v>519</v>
      </c>
      <c r="L507" s="135" t="s">
        <v>186</v>
      </c>
      <c r="M507" s="135" t="s">
        <v>187</v>
      </c>
      <c r="N507" s="135" t="s">
        <v>964</v>
      </c>
      <c r="O507" s="135" t="s">
        <v>1343</v>
      </c>
      <c r="P507" s="135" t="s">
        <v>459</v>
      </c>
      <c r="Q507" s="135">
        <v>4792.8500000000004</v>
      </c>
      <c r="R507" s="187">
        <v>222</v>
      </c>
      <c r="S507" s="56"/>
      <c r="T507" s="56"/>
      <c r="U507" s="56"/>
      <c r="V507" s="56"/>
      <c r="W507" s="56"/>
      <c r="X507" s="56"/>
      <c r="Y507" s="56"/>
      <c r="Z507" s="56"/>
      <c r="AA507" s="56"/>
    </row>
    <row r="508" spans="2:27" ht="30" hidden="1" customHeight="1" x14ac:dyDescent="0.25">
      <c r="B508" s="51"/>
      <c r="C508" s="51"/>
      <c r="D508" s="51"/>
      <c r="E508" s="63" t="s">
        <v>452</v>
      </c>
      <c r="F508" s="422">
        <v>2013</v>
      </c>
      <c r="G508" s="135" t="s">
        <v>1238</v>
      </c>
      <c r="H508" s="422"/>
      <c r="I508" s="135" t="s">
        <v>460</v>
      </c>
      <c r="J508" s="135" t="s">
        <v>966</v>
      </c>
      <c r="K508" s="135" t="s">
        <v>469</v>
      </c>
      <c r="L508" s="135" t="s">
        <v>85</v>
      </c>
      <c r="M508" s="135" t="s">
        <v>299</v>
      </c>
      <c r="N508" s="135" t="s">
        <v>965</v>
      </c>
      <c r="O508" s="135" t="s">
        <v>355</v>
      </c>
      <c r="P508" s="135" t="s">
        <v>459</v>
      </c>
      <c r="Q508" s="135">
        <v>225.14</v>
      </c>
      <c r="R508" s="187">
        <v>222</v>
      </c>
      <c r="S508" s="56"/>
      <c r="T508" s="56"/>
      <c r="U508" s="56"/>
      <c r="V508" s="56"/>
      <c r="W508" s="56"/>
      <c r="X508" s="56"/>
      <c r="Y508" s="56"/>
      <c r="Z508" s="56"/>
      <c r="AA508" s="56"/>
    </row>
    <row r="509" spans="2:27" ht="30" hidden="1" customHeight="1" x14ac:dyDescent="0.25">
      <c r="B509" s="51"/>
      <c r="C509" s="51"/>
      <c r="D509" s="51"/>
      <c r="E509" s="63" t="s">
        <v>454</v>
      </c>
      <c r="F509" s="422">
        <v>2013</v>
      </c>
      <c r="G509" s="135" t="s">
        <v>1238</v>
      </c>
      <c r="H509" s="422"/>
      <c r="I509" s="135" t="s">
        <v>460</v>
      </c>
      <c r="J509" s="135" t="s">
        <v>971</v>
      </c>
      <c r="K509" s="135" t="s">
        <v>622</v>
      </c>
      <c r="L509" s="135" t="s">
        <v>119</v>
      </c>
      <c r="M509" s="135" t="s">
        <v>120</v>
      </c>
      <c r="N509" s="135" t="s">
        <v>964</v>
      </c>
      <c r="O509" s="135" t="s">
        <v>836</v>
      </c>
      <c r="P509" s="135" t="s">
        <v>459</v>
      </c>
      <c r="Q509" s="135">
        <v>3302.04</v>
      </c>
      <c r="R509" s="187">
        <v>221</v>
      </c>
      <c r="S509" s="56"/>
      <c r="T509" s="56"/>
      <c r="U509" s="56"/>
      <c r="V509" s="56"/>
      <c r="W509" s="56"/>
      <c r="X509" s="56"/>
      <c r="Y509" s="56"/>
      <c r="Z509" s="56"/>
      <c r="AA509" s="56"/>
    </row>
    <row r="510" spans="2:27" ht="30" hidden="1" customHeight="1" x14ac:dyDescent="0.25">
      <c r="B510" s="51"/>
      <c r="C510" s="51"/>
      <c r="D510" s="51"/>
      <c r="E510" s="63" t="s">
        <v>452</v>
      </c>
      <c r="F510" s="422">
        <v>2013</v>
      </c>
      <c r="G510" s="135" t="s">
        <v>1238</v>
      </c>
      <c r="H510" s="422"/>
      <c r="I510" s="135" t="s">
        <v>460</v>
      </c>
      <c r="J510" s="135" t="s">
        <v>966</v>
      </c>
      <c r="K510" s="135" t="s">
        <v>469</v>
      </c>
      <c r="L510" s="135" t="s">
        <v>85</v>
      </c>
      <c r="M510" s="135" t="s">
        <v>93</v>
      </c>
      <c r="N510" s="135" t="s">
        <v>965</v>
      </c>
      <c r="O510" s="135" t="s">
        <v>837</v>
      </c>
      <c r="P510" s="135" t="s">
        <v>459</v>
      </c>
      <c r="Q510" s="135">
        <v>287</v>
      </c>
      <c r="R510" s="187">
        <v>221</v>
      </c>
      <c r="S510" s="56"/>
      <c r="T510" s="56"/>
      <c r="U510" s="56"/>
      <c r="V510" s="56"/>
      <c r="W510" s="56"/>
      <c r="X510" s="56"/>
      <c r="Y510" s="56"/>
      <c r="Z510" s="56"/>
      <c r="AA510" s="56"/>
    </row>
    <row r="511" spans="2:27" ht="30" hidden="1" customHeight="1" x14ac:dyDescent="0.25">
      <c r="B511" s="51"/>
      <c r="C511" s="51"/>
      <c r="D511" s="51"/>
      <c r="E511" s="63" t="s">
        <v>451</v>
      </c>
      <c r="F511" s="422">
        <v>2013</v>
      </c>
      <c r="G511" s="135" t="s">
        <v>1238</v>
      </c>
      <c r="H511" s="422"/>
      <c r="I511" s="135" t="s">
        <v>460</v>
      </c>
      <c r="J511" s="135" t="s">
        <v>969</v>
      </c>
      <c r="K511" s="135" t="s">
        <v>575</v>
      </c>
      <c r="L511" s="135" t="s">
        <v>143</v>
      </c>
      <c r="M511" s="135" t="s">
        <v>144</v>
      </c>
      <c r="N511" s="135" t="s">
        <v>964</v>
      </c>
      <c r="O511" s="135" t="s">
        <v>838</v>
      </c>
      <c r="P511" s="135" t="s">
        <v>459</v>
      </c>
      <c r="Q511" s="135">
        <v>572.94000000000005</v>
      </c>
      <c r="R511" s="187">
        <v>219</v>
      </c>
      <c r="S511" s="56"/>
      <c r="T511" s="56"/>
      <c r="U511" s="56"/>
      <c r="V511" s="56"/>
      <c r="W511" s="56"/>
      <c r="X511" s="56"/>
      <c r="Y511" s="56"/>
      <c r="Z511" s="56"/>
      <c r="AA511" s="56"/>
    </row>
    <row r="512" spans="2:27" ht="30" hidden="1" customHeight="1" x14ac:dyDescent="0.25">
      <c r="B512" s="51"/>
      <c r="C512" s="51"/>
      <c r="D512" s="51"/>
      <c r="E512" s="63" t="s">
        <v>452</v>
      </c>
      <c r="F512" s="422">
        <v>2013</v>
      </c>
      <c r="G512" s="135" t="s">
        <v>1238</v>
      </c>
      <c r="H512" s="422"/>
      <c r="I512" s="135" t="s">
        <v>460</v>
      </c>
      <c r="J512" s="135" t="s">
        <v>966</v>
      </c>
      <c r="K512" s="135" t="s">
        <v>469</v>
      </c>
      <c r="L512" s="135" t="s">
        <v>85</v>
      </c>
      <c r="M512" s="135" t="s">
        <v>85</v>
      </c>
      <c r="N512" s="135" t="s">
        <v>964</v>
      </c>
      <c r="O512" s="135" t="s">
        <v>771</v>
      </c>
      <c r="P512" s="135" t="s">
        <v>459</v>
      </c>
      <c r="Q512" s="135">
        <v>220.46</v>
      </c>
      <c r="R512" s="187">
        <v>218</v>
      </c>
      <c r="S512" s="56"/>
      <c r="T512" s="56"/>
      <c r="U512" s="56"/>
      <c r="V512" s="56"/>
      <c r="W512" s="56"/>
      <c r="X512" s="56"/>
      <c r="Y512" s="56"/>
      <c r="Z512" s="56"/>
      <c r="AA512" s="56"/>
    </row>
    <row r="513" spans="2:27" ht="30" customHeight="1" x14ac:dyDescent="0.25">
      <c r="B513" s="51"/>
      <c r="C513" s="51"/>
      <c r="D513" s="51"/>
      <c r="E513" s="63" t="s">
        <v>454</v>
      </c>
      <c r="F513" s="422">
        <v>2013</v>
      </c>
      <c r="G513" s="135" t="s">
        <v>1238</v>
      </c>
      <c r="H513" s="422">
        <v>2023</v>
      </c>
      <c r="I513" s="135" t="s">
        <v>460</v>
      </c>
      <c r="J513" s="135" t="s">
        <v>971</v>
      </c>
      <c r="K513" s="135" t="s">
        <v>530</v>
      </c>
      <c r="L513" s="135" t="s">
        <v>122</v>
      </c>
      <c r="M513" s="135" t="s">
        <v>123</v>
      </c>
      <c r="N513" s="135" t="s">
        <v>964</v>
      </c>
      <c r="O513" s="135" t="s">
        <v>124</v>
      </c>
      <c r="P513" s="135" t="s">
        <v>459</v>
      </c>
      <c r="Q513" s="135">
        <v>2337.67</v>
      </c>
      <c r="R513" s="187">
        <v>217</v>
      </c>
      <c r="S513" s="56"/>
      <c r="T513" s="56"/>
      <c r="U513" s="56"/>
      <c r="V513" s="56"/>
      <c r="W513" s="56"/>
      <c r="X513" s="56"/>
      <c r="Y513" s="56"/>
      <c r="Z513" s="56"/>
      <c r="AA513" s="56"/>
    </row>
    <row r="514" spans="2:27" ht="30" hidden="1" customHeight="1" x14ac:dyDescent="0.25">
      <c r="B514" s="51"/>
      <c r="C514" s="51"/>
      <c r="D514" s="51"/>
      <c r="E514" s="63" t="s">
        <v>454</v>
      </c>
      <c r="F514" s="422">
        <v>2013</v>
      </c>
      <c r="G514" s="135" t="s">
        <v>1238</v>
      </c>
      <c r="H514" s="422"/>
      <c r="I514" s="135" t="s">
        <v>460</v>
      </c>
      <c r="J514" s="135" t="s">
        <v>966</v>
      </c>
      <c r="K514" s="135" t="s">
        <v>562</v>
      </c>
      <c r="L514" s="135" t="s">
        <v>108</v>
      </c>
      <c r="M514" s="135" t="s">
        <v>172</v>
      </c>
      <c r="N514" s="135" t="s">
        <v>965</v>
      </c>
      <c r="O514" s="135" t="s">
        <v>839</v>
      </c>
      <c r="P514" s="135" t="s">
        <v>459</v>
      </c>
      <c r="Q514" s="135">
        <v>2861.14</v>
      </c>
      <c r="R514" s="187">
        <v>217</v>
      </c>
      <c r="S514" s="56"/>
      <c r="T514" s="56"/>
      <c r="U514" s="56"/>
      <c r="V514" s="56"/>
      <c r="W514" s="56"/>
      <c r="X514" s="56"/>
      <c r="Y514" s="56"/>
      <c r="Z514" s="56"/>
      <c r="AA514" s="56"/>
    </row>
    <row r="515" spans="2:27" ht="30" hidden="1" customHeight="1" x14ac:dyDescent="0.25">
      <c r="B515" s="51"/>
      <c r="C515" s="51"/>
      <c r="D515" s="51"/>
      <c r="E515" s="63" t="s">
        <v>454</v>
      </c>
      <c r="F515" s="422">
        <v>2013</v>
      </c>
      <c r="G515" s="135" t="s">
        <v>1239</v>
      </c>
      <c r="H515" s="422"/>
      <c r="I515" s="135" t="s">
        <v>460</v>
      </c>
      <c r="J515" s="135" t="s">
        <v>966</v>
      </c>
      <c r="K515" s="135" t="s">
        <v>469</v>
      </c>
      <c r="L515" s="135" t="s">
        <v>85</v>
      </c>
      <c r="M515" s="135" t="s">
        <v>330</v>
      </c>
      <c r="N515" s="135" t="s">
        <v>965</v>
      </c>
      <c r="O515" s="135" t="s">
        <v>840</v>
      </c>
      <c r="P515" s="135" t="s">
        <v>459</v>
      </c>
      <c r="Q515" s="135">
        <v>2103.4700000000003</v>
      </c>
      <c r="R515" s="187">
        <v>216</v>
      </c>
      <c r="S515" s="56"/>
      <c r="T515" s="56"/>
      <c r="U515" s="56"/>
      <c r="V515" s="56"/>
      <c r="W515" s="56"/>
      <c r="X515" s="56"/>
      <c r="Y515" s="56"/>
      <c r="Z515" s="56"/>
      <c r="AA515" s="56"/>
    </row>
    <row r="516" spans="2:27" ht="30" hidden="1" customHeight="1" x14ac:dyDescent="0.25">
      <c r="B516" s="51"/>
      <c r="C516" s="51"/>
      <c r="D516" s="51"/>
      <c r="E516" s="63" t="s">
        <v>454</v>
      </c>
      <c r="F516" s="422">
        <v>2013</v>
      </c>
      <c r="G516" s="135" t="s">
        <v>1239</v>
      </c>
      <c r="H516" s="422"/>
      <c r="I516" s="135" t="s">
        <v>460</v>
      </c>
      <c r="J516" s="135" t="s">
        <v>967</v>
      </c>
      <c r="K516" s="135" t="s">
        <v>655</v>
      </c>
      <c r="L516" s="135" t="s">
        <v>216</v>
      </c>
      <c r="M516" s="135" t="s">
        <v>219</v>
      </c>
      <c r="N516" s="135" t="s">
        <v>964</v>
      </c>
      <c r="O516" s="135" t="s">
        <v>841</v>
      </c>
      <c r="P516" s="135" t="s">
        <v>459</v>
      </c>
      <c r="Q516" s="135">
        <v>3108.4100000000003</v>
      </c>
      <c r="R516" s="187">
        <v>216</v>
      </c>
      <c r="S516" s="56"/>
      <c r="T516" s="56"/>
      <c r="U516" s="56"/>
      <c r="V516" s="56"/>
      <c r="W516" s="56"/>
      <c r="X516" s="56"/>
      <c r="Y516" s="56"/>
      <c r="Z516" s="56"/>
      <c r="AA516" s="56"/>
    </row>
    <row r="517" spans="2:27" ht="30" hidden="1" customHeight="1" x14ac:dyDescent="0.25">
      <c r="B517" s="51"/>
      <c r="C517" s="51"/>
      <c r="D517" s="51"/>
      <c r="E517" s="63" t="s">
        <v>454</v>
      </c>
      <c r="F517" s="422">
        <v>2013</v>
      </c>
      <c r="G517" s="135" t="s">
        <v>1239</v>
      </c>
      <c r="H517" s="422"/>
      <c r="I517" s="135" t="s">
        <v>460</v>
      </c>
      <c r="J517" s="135" t="s">
        <v>971</v>
      </c>
      <c r="K517" s="135" t="s">
        <v>527</v>
      </c>
      <c r="L517" s="135" t="s">
        <v>194</v>
      </c>
      <c r="M517" s="135" t="s">
        <v>199</v>
      </c>
      <c r="N517" s="135" t="s">
        <v>965</v>
      </c>
      <c r="O517" s="135" t="s">
        <v>200</v>
      </c>
      <c r="P517" s="135" t="s">
        <v>459</v>
      </c>
      <c r="Q517" s="135">
        <v>2388.81</v>
      </c>
      <c r="R517" s="187">
        <v>214</v>
      </c>
      <c r="S517" s="56"/>
      <c r="T517" s="56"/>
      <c r="U517" s="56"/>
      <c r="V517" s="56"/>
      <c r="W517" s="56"/>
      <c r="X517" s="56"/>
      <c r="Y517" s="56"/>
      <c r="Z517" s="56"/>
      <c r="AA517" s="56"/>
    </row>
    <row r="518" spans="2:27" ht="30" hidden="1" customHeight="1" x14ac:dyDescent="0.25">
      <c r="B518" s="51"/>
      <c r="C518" s="51"/>
      <c r="D518" s="51"/>
      <c r="E518" s="63" t="s">
        <v>454</v>
      </c>
      <c r="F518" s="422">
        <v>2013</v>
      </c>
      <c r="G518" s="135" t="s">
        <v>1239</v>
      </c>
      <c r="H518" s="422"/>
      <c r="I518" s="135" t="s">
        <v>460</v>
      </c>
      <c r="J518" s="135" t="s">
        <v>963</v>
      </c>
      <c r="K518" s="135" t="s">
        <v>474</v>
      </c>
      <c r="L518" s="135" t="s">
        <v>95</v>
      </c>
      <c r="M518" s="135" t="s">
        <v>224</v>
      </c>
      <c r="N518" s="135" t="s">
        <v>965</v>
      </c>
      <c r="O518" s="135" t="s">
        <v>225</v>
      </c>
      <c r="P518" s="135" t="s">
        <v>459</v>
      </c>
      <c r="Q518" s="135">
        <v>2586.63</v>
      </c>
      <c r="R518" s="187">
        <v>213</v>
      </c>
      <c r="S518" s="56"/>
      <c r="T518" s="56"/>
      <c r="U518" s="56"/>
      <c r="V518" s="56"/>
      <c r="W518" s="56"/>
      <c r="X518" s="56"/>
      <c r="Y518" s="56"/>
      <c r="Z518" s="56"/>
      <c r="AA518" s="56"/>
    </row>
    <row r="519" spans="2:27" ht="30" hidden="1" customHeight="1" x14ac:dyDescent="0.25">
      <c r="B519" s="51"/>
      <c r="C519" s="51"/>
      <c r="D519" s="51"/>
      <c r="E519" s="63" t="s">
        <v>454</v>
      </c>
      <c r="F519" s="422">
        <v>2013</v>
      </c>
      <c r="G519" s="135" t="s">
        <v>1239</v>
      </c>
      <c r="H519" s="422"/>
      <c r="I519" s="135" t="s">
        <v>460</v>
      </c>
      <c r="J519" s="135" t="s">
        <v>966</v>
      </c>
      <c r="K519" s="135" t="s">
        <v>562</v>
      </c>
      <c r="L519" s="135" t="s">
        <v>108</v>
      </c>
      <c r="M519" s="135" t="s">
        <v>181</v>
      </c>
      <c r="N519" s="135" t="s">
        <v>965</v>
      </c>
      <c r="O519" s="135" t="s">
        <v>842</v>
      </c>
      <c r="P519" s="135" t="s">
        <v>459</v>
      </c>
      <c r="Q519" s="135">
        <v>2164.39</v>
      </c>
      <c r="R519" s="187">
        <v>213</v>
      </c>
      <c r="S519" s="56"/>
      <c r="T519" s="56"/>
      <c r="U519" s="56"/>
      <c r="V519" s="56"/>
      <c r="W519" s="56"/>
      <c r="X519" s="56"/>
      <c r="Y519" s="56"/>
      <c r="Z519" s="56"/>
      <c r="AA519" s="56"/>
    </row>
    <row r="520" spans="2:27" ht="30" hidden="1" customHeight="1" x14ac:dyDescent="0.25">
      <c r="B520" s="51"/>
      <c r="C520" s="51"/>
      <c r="D520" s="51"/>
      <c r="E520" s="63" t="s">
        <v>454</v>
      </c>
      <c r="F520" s="422">
        <v>2013</v>
      </c>
      <c r="G520" s="135" t="s">
        <v>1239</v>
      </c>
      <c r="H520" s="422"/>
      <c r="I520" s="135" t="s">
        <v>460</v>
      </c>
      <c r="J520" s="135" t="s">
        <v>966</v>
      </c>
      <c r="K520" s="135" t="s">
        <v>469</v>
      </c>
      <c r="L520" s="135" t="s">
        <v>85</v>
      </c>
      <c r="M520" s="135" t="s">
        <v>85</v>
      </c>
      <c r="N520" s="135" t="s">
        <v>964</v>
      </c>
      <c r="O520" s="135" t="s">
        <v>778</v>
      </c>
      <c r="P520" s="135" t="s">
        <v>459</v>
      </c>
      <c r="Q520" s="135">
        <v>2704.6</v>
      </c>
      <c r="R520" s="187">
        <v>211</v>
      </c>
      <c r="S520" s="56"/>
      <c r="T520" s="56"/>
      <c r="U520" s="56"/>
      <c r="V520" s="56"/>
      <c r="W520" s="56"/>
      <c r="X520" s="56"/>
      <c r="Y520" s="56"/>
      <c r="Z520" s="56"/>
      <c r="AA520" s="56"/>
    </row>
    <row r="521" spans="2:27" ht="30" hidden="1" customHeight="1" x14ac:dyDescent="0.25">
      <c r="B521" s="51"/>
      <c r="C521" s="51"/>
      <c r="D521" s="51"/>
      <c r="E521" s="63" t="s">
        <v>454</v>
      </c>
      <c r="F521" s="422">
        <v>2013</v>
      </c>
      <c r="G521" s="135" t="s">
        <v>1240</v>
      </c>
      <c r="H521" s="422"/>
      <c r="I521" s="135" t="s">
        <v>460</v>
      </c>
      <c r="J521" s="135" t="s">
        <v>963</v>
      </c>
      <c r="K521" s="135" t="s">
        <v>461</v>
      </c>
      <c r="L521" s="135" t="s">
        <v>253</v>
      </c>
      <c r="M521" s="135" t="s">
        <v>258</v>
      </c>
      <c r="N521" s="135" t="s">
        <v>964</v>
      </c>
      <c r="O521" s="135" t="s">
        <v>700</v>
      </c>
      <c r="P521" s="135" t="s">
        <v>459</v>
      </c>
      <c r="Q521" s="135">
        <v>2089.1</v>
      </c>
      <c r="R521" s="187">
        <v>210</v>
      </c>
      <c r="S521" s="56"/>
      <c r="T521" s="56"/>
      <c r="U521" s="56"/>
      <c r="V521" s="56"/>
      <c r="W521" s="56"/>
      <c r="X521" s="56"/>
      <c r="Y521" s="56"/>
      <c r="Z521" s="56"/>
      <c r="AA521" s="56"/>
    </row>
    <row r="522" spans="2:27" ht="30" hidden="1" customHeight="1" x14ac:dyDescent="0.25">
      <c r="B522" s="51"/>
      <c r="C522" s="51"/>
      <c r="D522" s="51"/>
      <c r="E522" s="63" t="s">
        <v>451</v>
      </c>
      <c r="F522" s="422">
        <v>2013</v>
      </c>
      <c r="G522" s="135" t="s">
        <v>1240</v>
      </c>
      <c r="H522" s="422"/>
      <c r="I522" s="135" t="s">
        <v>460</v>
      </c>
      <c r="J522" s="135" t="s">
        <v>966</v>
      </c>
      <c r="K522" s="135" t="s">
        <v>469</v>
      </c>
      <c r="L522" s="135" t="s">
        <v>85</v>
      </c>
      <c r="M522" s="135" t="s">
        <v>348</v>
      </c>
      <c r="N522" s="135" t="s">
        <v>965</v>
      </c>
      <c r="O522" s="135" t="s">
        <v>349</v>
      </c>
      <c r="P522" s="135" t="s">
        <v>459</v>
      </c>
      <c r="Q522" s="135">
        <v>446.67</v>
      </c>
      <c r="R522" s="187">
        <v>209</v>
      </c>
      <c r="S522" s="56"/>
      <c r="T522" s="56"/>
      <c r="U522" s="56"/>
      <c r="V522" s="56"/>
      <c r="W522" s="56"/>
      <c r="X522" s="56"/>
      <c r="Y522" s="56"/>
      <c r="Z522" s="56"/>
      <c r="AA522" s="56"/>
    </row>
    <row r="523" spans="2:27" ht="30" hidden="1" customHeight="1" x14ac:dyDescent="0.25">
      <c r="B523" s="51"/>
      <c r="C523" s="51"/>
      <c r="D523" s="51"/>
      <c r="E523" s="63" t="s">
        <v>454</v>
      </c>
      <c r="F523" s="422">
        <v>2012</v>
      </c>
      <c r="G523" s="135" t="s">
        <v>1241</v>
      </c>
      <c r="H523" s="422"/>
      <c r="I523" s="135" t="s">
        <v>460</v>
      </c>
      <c r="J523" s="135" t="s">
        <v>966</v>
      </c>
      <c r="K523" s="135" t="s">
        <v>469</v>
      </c>
      <c r="L523" s="135" t="s">
        <v>85</v>
      </c>
      <c r="M523" s="135" t="s">
        <v>300</v>
      </c>
      <c r="N523" s="135" t="s">
        <v>965</v>
      </c>
      <c r="O523" s="135" t="s">
        <v>843</v>
      </c>
      <c r="P523" s="135" t="s">
        <v>459</v>
      </c>
      <c r="Q523" s="135">
        <v>2245.9300000000003</v>
      </c>
      <c r="R523" s="187">
        <v>208</v>
      </c>
      <c r="S523" s="56"/>
      <c r="T523" s="56"/>
      <c r="U523" s="56"/>
      <c r="V523" s="56"/>
      <c r="W523" s="56"/>
      <c r="X523" s="56"/>
      <c r="Y523" s="56"/>
      <c r="Z523" s="56"/>
      <c r="AA523" s="56"/>
    </row>
    <row r="524" spans="2:27" ht="30" hidden="1" customHeight="1" x14ac:dyDescent="0.25">
      <c r="B524" s="51"/>
      <c r="C524" s="51"/>
      <c r="D524" s="51"/>
      <c r="E524" s="63" t="s">
        <v>454</v>
      </c>
      <c r="F524" s="422">
        <v>2012</v>
      </c>
      <c r="G524" s="135" t="s">
        <v>1241</v>
      </c>
      <c r="H524" s="422"/>
      <c r="I524" s="135" t="s">
        <v>460</v>
      </c>
      <c r="J524" s="135" t="s">
        <v>966</v>
      </c>
      <c r="K524" s="135" t="s">
        <v>469</v>
      </c>
      <c r="L524" s="135" t="s">
        <v>85</v>
      </c>
      <c r="M524" s="135" t="s">
        <v>318</v>
      </c>
      <c r="N524" s="135" t="s">
        <v>965</v>
      </c>
      <c r="O524" s="135" t="s">
        <v>319</v>
      </c>
      <c r="P524" s="135" t="s">
        <v>459</v>
      </c>
      <c r="Q524" s="135">
        <v>2540.85</v>
      </c>
      <c r="R524" s="187">
        <v>207</v>
      </c>
      <c r="S524" s="56"/>
      <c r="T524" s="56"/>
      <c r="U524" s="56"/>
      <c r="V524" s="56"/>
      <c r="W524" s="56"/>
      <c r="X524" s="56"/>
      <c r="Y524" s="56"/>
      <c r="Z524" s="56"/>
      <c r="AA524" s="56"/>
    </row>
    <row r="525" spans="2:27" ht="30" customHeight="1" x14ac:dyDescent="0.25">
      <c r="B525" s="51"/>
      <c r="C525" s="51"/>
      <c r="D525" s="51"/>
      <c r="E525" s="63" t="s">
        <v>454</v>
      </c>
      <c r="F525" s="422">
        <v>2012</v>
      </c>
      <c r="G525" s="135" t="s">
        <v>1241</v>
      </c>
      <c r="H525" s="422">
        <v>2023</v>
      </c>
      <c r="I525" s="135" t="s">
        <v>460</v>
      </c>
      <c r="J525" s="135" t="s">
        <v>966</v>
      </c>
      <c r="K525" s="135" t="s">
        <v>492</v>
      </c>
      <c r="L525" s="135" t="s">
        <v>968</v>
      </c>
      <c r="M525" s="135" t="s">
        <v>155</v>
      </c>
      <c r="N525" s="135" t="s">
        <v>964</v>
      </c>
      <c r="O525" s="135" t="s">
        <v>1180</v>
      </c>
      <c r="P525" s="135" t="s">
        <v>464</v>
      </c>
      <c r="Q525" s="135">
        <v>3117.27</v>
      </c>
      <c r="R525" s="187">
        <v>206</v>
      </c>
      <c r="S525" s="56"/>
      <c r="T525" s="56"/>
      <c r="U525" s="56"/>
      <c r="V525" s="56"/>
      <c r="W525" s="56"/>
      <c r="X525" s="56"/>
      <c r="Y525" s="56"/>
      <c r="Z525" s="56"/>
      <c r="AA525" s="56"/>
    </row>
    <row r="526" spans="2:27" ht="30" customHeight="1" x14ac:dyDescent="0.25">
      <c r="B526" s="51"/>
      <c r="C526" s="51"/>
      <c r="D526" s="51"/>
      <c r="E526" s="63" t="s">
        <v>454</v>
      </c>
      <c r="F526" s="422">
        <v>2012</v>
      </c>
      <c r="G526" s="135" t="s">
        <v>1241</v>
      </c>
      <c r="H526" s="422">
        <v>2023</v>
      </c>
      <c r="I526" s="135" t="s">
        <v>460</v>
      </c>
      <c r="J526" s="135" t="s">
        <v>969</v>
      </c>
      <c r="K526" s="135" t="s">
        <v>503</v>
      </c>
      <c r="L526" s="135" t="s">
        <v>970</v>
      </c>
      <c r="M526" s="135" t="s">
        <v>190</v>
      </c>
      <c r="N526" s="135" t="s">
        <v>964</v>
      </c>
      <c r="O526" s="135" t="s">
        <v>1181</v>
      </c>
      <c r="P526" s="135" t="s">
        <v>459</v>
      </c>
      <c r="Q526" s="135">
        <v>2652.4800000000005</v>
      </c>
      <c r="R526" s="187">
        <v>206</v>
      </c>
      <c r="S526" s="56"/>
      <c r="T526" s="56"/>
      <c r="U526" s="56"/>
      <c r="V526" s="56"/>
      <c r="W526" s="56"/>
      <c r="X526" s="56"/>
      <c r="Y526" s="56"/>
      <c r="Z526" s="56"/>
      <c r="AA526" s="56"/>
    </row>
    <row r="527" spans="2:27" ht="30" hidden="1" customHeight="1" x14ac:dyDescent="0.25">
      <c r="B527" s="51"/>
      <c r="C527" s="51"/>
      <c r="D527" s="51"/>
      <c r="E527" s="63" t="s">
        <v>454</v>
      </c>
      <c r="F527" s="422">
        <v>2012</v>
      </c>
      <c r="G527" s="135" t="s">
        <v>1241</v>
      </c>
      <c r="H527" s="422"/>
      <c r="I527" s="135" t="s">
        <v>460</v>
      </c>
      <c r="J527" s="135" t="s">
        <v>966</v>
      </c>
      <c r="K527" s="135" t="s">
        <v>499</v>
      </c>
      <c r="L527" s="135" t="s">
        <v>88</v>
      </c>
      <c r="M527" s="135" t="s">
        <v>88</v>
      </c>
      <c r="N527" s="135" t="s">
        <v>964</v>
      </c>
      <c r="O527" s="135" t="s">
        <v>188</v>
      </c>
      <c r="P527" s="135" t="s">
        <v>459</v>
      </c>
      <c r="Q527" s="135">
        <v>3572.75</v>
      </c>
      <c r="R527" s="187">
        <v>206</v>
      </c>
      <c r="S527" s="56"/>
      <c r="T527" s="56"/>
      <c r="U527" s="56"/>
      <c r="V527" s="56"/>
      <c r="W527" s="56"/>
      <c r="X527" s="56"/>
      <c r="Y527" s="56"/>
      <c r="Z527" s="56"/>
      <c r="AA527" s="56"/>
    </row>
    <row r="528" spans="2:27" ht="30" customHeight="1" x14ac:dyDescent="0.25">
      <c r="B528" s="51"/>
      <c r="C528" s="51"/>
      <c r="D528" s="51"/>
      <c r="E528" s="63" t="s">
        <v>451</v>
      </c>
      <c r="F528" s="422">
        <v>2012</v>
      </c>
      <c r="G528" s="135" t="s">
        <v>1241</v>
      </c>
      <c r="H528" s="422">
        <v>2023</v>
      </c>
      <c r="I528" s="135" t="s">
        <v>460</v>
      </c>
      <c r="J528" s="135" t="s">
        <v>966</v>
      </c>
      <c r="K528" s="135" t="s">
        <v>499</v>
      </c>
      <c r="L528" s="135" t="s">
        <v>88</v>
      </c>
      <c r="M528" s="135" t="s">
        <v>88</v>
      </c>
      <c r="N528" s="135" t="s">
        <v>964</v>
      </c>
      <c r="O528" s="135" t="s">
        <v>1182</v>
      </c>
      <c r="P528" s="135" t="s">
        <v>459</v>
      </c>
      <c r="Q528" s="135">
        <v>426.46</v>
      </c>
      <c r="R528" s="187">
        <v>205</v>
      </c>
      <c r="S528" s="56"/>
      <c r="T528" s="56"/>
      <c r="U528" s="56"/>
      <c r="V528" s="56"/>
      <c r="W528" s="56"/>
      <c r="X528" s="56"/>
      <c r="Y528" s="56"/>
      <c r="Z528" s="56"/>
      <c r="AA528" s="56"/>
    </row>
    <row r="529" spans="2:27" ht="30" hidden="1" customHeight="1" x14ac:dyDescent="0.25">
      <c r="B529" s="51"/>
      <c r="C529" s="51"/>
      <c r="D529" s="51"/>
      <c r="E529" s="63" t="s">
        <v>454</v>
      </c>
      <c r="F529" s="422">
        <v>2012</v>
      </c>
      <c r="G529" s="135" t="s">
        <v>1241</v>
      </c>
      <c r="H529" s="422"/>
      <c r="I529" s="135" t="s">
        <v>460</v>
      </c>
      <c r="J529" s="135" t="s">
        <v>966</v>
      </c>
      <c r="K529" s="135" t="s">
        <v>469</v>
      </c>
      <c r="L529" s="135" t="s">
        <v>85</v>
      </c>
      <c r="M529" s="135" t="s">
        <v>93</v>
      </c>
      <c r="N529" s="135" t="s">
        <v>965</v>
      </c>
      <c r="O529" s="135" t="s">
        <v>306</v>
      </c>
      <c r="P529" s="135" t="s">
        <v>459</v>
      </c>
      <c r="Q529" s="135">
        <v>2660.81</v>
      </c>
      <c r="R529" s="187">
        <v>205</v>
      </c>
      <c r="S529" s="56"/>
      <c r="T529" s="56"/>
      <c r="U529" s="56"/>
      <c r="V529" s="56"/>
      <c r="W529" s="56"/>
      <c r="X529" s="56"/>
      <c r="Y529" s="56"/>
      <c r="Z529" s="56"/>
      <c r="AA529" s="56"/>
    </row>
    <row r="530" spans="2:27" ht="30" hidden="1" customHeight="1" x14ac:dyDescent="0.25">
      <c r="B530" s="51"/>
      <c r="C530" s="51"/>
      <c r="D530" s="51"/>
      <c r="E530" s="63" t="s">
        <v>454</v>
      </c>
      <c r="F530" s="422">
        <v>2012</v>
      </c>
      <c r="G530" s="135" t="s">
        <v>1241</v>
      </c>
      <c r="H530" s="422"/>
      <c r="I530" s="135" t="s">
        <v>460</v>
      </c>
      <c r="J530" s="135" t="s">
        <v>963</v>
      </c>
      <c r="K530" s="135" t="s">
        <v>474</v>
      </c>
      <c r="L530" s="135" t="s">
        <v>95</v>
      </c>
      <c r="M530" s="135" t="s">
        <v>96</v>
      </c>
      <c r="N530" s="135" t="s">
        <v>964</v>
      </c>
      <c r="O530" s="135" t="s">
        <v>844</v>
      </c>
      <c r="P530" s="135" t="s">
        <v>459</v>
      </c>
      <c r="Q530" s="135">
        <v>1689.1200000000001</v>
      </c>
      <c r="R530" s="187">
        <v>204</v>
      </c>
      <c r="S530" s="56"/>
      <c r="T530" s="56"/>
      <c r="U530" s="56"/>
      <c r="V530" s="56"/>
      <c r="W530" s="56"/>
      <c r="X530" s="56"/>
      <c r="Y530" s="56"/>
      <c r="Z530" s="56"/>
      <c r="AA530" s="56"/>
    </row>
    <row r="531" spans="2:27" ht="30" hidden="1" customHeight="1" x14ac:dyDescent="0.25">
      <c r="B531" s="51"/>
      <c r="C531" s="51"/>
      <c r="D531" s="51"/>
      <c r="E531" s="63" t="s">
        <v>454</v>
      </c>
      <c r="F531" s="422">
        <v>2012</v>
      </c>
      <c r="G531" s="135" t="s">
        <v>1241</v>
      </c>
      <c r="H531" s="422">
        <v>2018</v>
      </c>
      <c r="I531" s="135" t="s">
        <v>460</v>
      </c>
      <c r="J531" s="135" t="s">
        <v>969</v>
      </c>
      <c r="K531" s="135" t="s">
        <v>509</v>
      </c>
      <c r="L531" s="135" t="s">
        <v>157</v>
      </c>
      <c r="M531" s="135" t="s">
        <v>159</v>
      </c>
      <c r="N531" s="135" t="s">
        <v>964</v>
      </c>
      <c r="O531" s="135" t="s">
        <v>845</v>
      </c>
      <c r="P531" s="135" t="s">
        <v>459</v>
      </c>
      <c r="Q531" s="135">
        <v>2258.04</v>
      </c>
      <c r="R531" s="187">
        <v>204</v>
      </c>
      <c r="S531" s="56"/>
      <c r="T531" s="56"/>
      <c r="U531" s="56"/>
      <c r="V531" s="56"/>
      <c r="W531" s="56"/>
      <c r="X531" s="56"/>
      <c r="Y531" s="56"/>
      <c r="Z531" s="56"/>
      <c r="AA531" s="56"/>
    </row>
    <row r="532" spans="2:27" ht="30" hidden="1" customHeight="1" x14ac:dyDescent="0.25">
      <c r="B532" s="51"/>
      <c r="C532" s="51"/>
      <c r="D532" s="51"/>
      <c r="E532" s="63" t="s">
        <v>454</v>
      </c>
      <c r="F532" s="422">
        <v>2012</v>
      </c>
      <c r="G532" s="135" t="s">
        <v>1241</v>
      </c>
      <c r="H532" s="422"/>
      <c r="I532" s="135" t="s">
        <v>460</v>
      </c>
      <c r="J532" s="135" t="s">
        <v>966</v>
      </c>
      <c r="K532" s="135" t="s">
        <v>469</v>
      </c>
      <c r="L532" s="135" t="s">
        <v>85</v>
      </c>
      <c r="M532" s="135" t="s">
        <v>334</v>
      </c>
      <c r="N532" s="135" t="s">
        <v>965</v>
      </c>
      <c r="O532" s="135" t="s">
        <v>335</v>
      </c>
      <c r="P532" s="135" t="s">
        <v>459</v>
      </c>
      <c r="Q532" s="135">
        <v>2919.15</v>
      </c>
      <c r="R532" s="187">
        <v>203</v>
      </c>
      <c r="S532" s="56"/>
      <c r="T532" s="56"/>
      <c r="U532" s="56"/>
      <c r="V532" s="56"/>
      <c r="W532" s="56"/>
      <c r="X532" s="56"/>
      <c r="Y532" s="56"/>
      <c r="Z532" s="56"/>
      <c r="AA532" s="56"/>
    </row>
    <row r="533" spans="2:27" ht="30" hidden="1" customHeight="1" x14ac:dyDescent="0.25">
      <c r="B533" s="51"/>
      <c r="C533" s="51"/>
      <c r="D533" s="51"/>
      <c r="E533" s="63" t="s">
        <v>451</v>
      </c>
      <c r="F533" s="422">
        <v>2012</v>
      </c>
      <c r="G533" s="135" t="s">
        <v>1241</v>
      </c>
      <c r="H533" s="422"/>
      <c r="I533" s="135" t="s">
        <v>460</v>
      </c>
      <c r="J533" s="135" t="s">
        <v>966</v>
      </c>
      <c r="K533" s="135" t="s">
        <v>469</v>
      </c>
      <c r="L533" s="135" t="s">
        <v>85</v>
      </c>
      <c r="M533" s="135" t="s">
        <v>341</v>
      </c>
      <c r="N533" s="135" t="s">
        <v>965</v>
      </c>
      <c r="O533" s="135" t="s">
        <v>350</v>
      </c>
      <c r="P533" s="135" t="s">
        <v>459</v>
      </c>
      <c r="Q533" s="135">
        <v>447.77</v>
      </c>
      <c r="R533" s="187">
        <v>202</v>
      </c>
      <c r="S533" s="56"/>
      <c r="T533" s="56"/>
      <c r="U533" s="56"/>
      <c r="V533" s="56"/>
      <c r="W533" s="56"/>
      <c r="X533" s="56"/>
      <c r="Y533" s="56"/>
      <c r="Z533" s="56"/>
      <c r="AA533" s="56"/>
    </row>
    <row r="534" spans="2:27" ht="30" hidden="1" customHeight="1" x14ac:dyDescent="0.25">
      <c r="B534" s="51"/>
      <c r="C534" s="51"/>
      <c r="D534" s="51"/>
      <c r="E534" s="63" t="s">
        <v>454</v>
      </c>
      <c r="F534" s="422">
        <v>2012</v>
      </c>
      <c r="G534" s="135" t="s">
        <v>1241</v>
      </c>
      <c r="H534" s="422"/>
      <c r="I534" s="135" t="s">
        <v>460</v>
      </c>
      <c r="J534" s="135" t="s">
        <v>966</v>
      </c>
      <c r="K534" s="135" t="s">
        <v>499</v>
      </c>
      <c r="L534" s="135" t="s">
        <v>88</v>
      </c>
      <c r="M534" s="135" t="s">
        <v>88</v>
      </c>
      <c r="N534" s="135" t="s">
        <v>964</v>
      </c>
      <c r="O534" s="135" t="s">
        <v>234</v>
      </c>
      <c r="P534" s="135" t="s">
        <v>459</v>
      </c>
      <c r="Q534" s="135">
        <v>3325.39</v>
      </c>
      <c r="R534" s="187">
        <v>201</v>
      </c>
      <c r="S534" s="56"/>
      <c r="T534" s="56"/>
      <c r="U534" s="56"/>
      <c r="V534" s="56"/>
      <c r="W534" s="56"/>
      <c r="X534" s="56"/>
      <c r="Y534" s="56"/>
      <c r="Z534" s="56"/>
      <c r="AA534" s="56"/>
    </row>
    <row r="535" spans="2:27" ht="30" hidden="1" customHeight="1" x14ac:dyDescent="0.25">
      <c r="B535" s="51"/>
      <c r="C535" s="51"/>
      <c r="D535" s="51"/>
      <c r="E535" s="63" t="s">
        <v>454</v>
      </c>
      <c r="F535" s="422">
        <v>2012</v>
      </c>
      <c r="G535" s="135" t="s">
        <v>1241</v>
      </c>
      <c r="H535" s="422"/>
      <c r="I535" s="135" t="s">
        <v>460</v>
      </c>
      <c r="J535" s="135" t="s">
        <v>967</v>
      </c>
      <c r="K535" s="135" t="s">
        <v>478</v>
      </c>
      <c r="L535" s="135" t="s">
        <v>207</v>
      </c>
      <c r="M535" s="135" t="s">
        <v>211</v>
      </c>
      <c r="N535" s="135" t="s">
        <v>964</v>
      </c>
      <c r="O535" s="135" t="s">
        <v>479</v>
      </c>
      <c r="P535" s="135" t="s">
        <v>459</v>
      </c>
      <c r="Q535" s="135">
        <v>4327.68</v>
      </c>
      <c r="R535" s="187">
        <v>201</v>
      </c>
      <c r="S535" s="56"/>
      <c r="T535" s="56"/>
      <c r="U535" s="56"/>
      <c r="V535" s="56"/>
      <c r="W535" s="56"/>
      <c r="X535" s="56"/>
      <c r="Y535" s="56"/>
      <c r="Z535" s="56"/>
      <c r="AA535" s="56"/>
    </row>
    <row r="536" spans="2:27" ht="30" hidden="1" customHeight="1" x14ac:dyDescent="0.25">
      <c r="B536" s="51"/>
      <c r="C536" s="51"/>
      <c r="D536" s="51"/>
      <c r="E536" s="63" t="s">
        <v>454</v>
      </c>
      <c r="F536" s="422">
        <v>2012</v>
      </c>
      <c r="G536" s="135" t="s">
        <v>1241</v>
      </c>
      <c r="H536" s="422"/>
      <c r="I536" s="135" t="s">
        <v>460</v>
      </c>
      <c r="J536" s="135" t="s">
        <v>963</v>
      </c>
      <c r="K536" s="135" t="s">
        <v>465</v>
      </c>
      <c r="L536" s="135" t="s">
        <v>106</v>
      </c>
      <c r="M536" s="135" t="s">
        <v>365</v>
      </c>
      <c r="N536" s="135" t="s">
        <v>965</v>
      </c>
      <c r="O536" s="135" t="s">
        <v>714</v>
      </c>
      <c r="P536" s="135" t="s">
        <v>459</v>
      </c>
      <c r="Q536" s="135">
        <v>3135.8200000000006</v>
      </c>
      <c r="R536" s="187">
        <v>199</v>
      </c>
      <c r="S536" s="56"/>
      <c r="T536" s="56"/>
      <c r="U536" s="56"/>
      <c r="V536" s="56"/>
      <c r="W536" s="56"/>
      <c r="X536" s="56"/>
      <c r="Y536" s="56"/>
      <c r="Z536" s="56"/>
      <c r="AA536" s="56"/>
    </row>
    <row r="537" spans="2:27" ht="30" hidden="1" customHeight="1" x14ac:dyDescent="0.25">
      <c r="B537" s="51"/>
      <c r="C537" s="51"/>
      <c r="D537" s="51"/>
      <c r="E537" s="63" t="s">
        <v>454</v>
      </c>
      <c r="F537" s="422">
        <v>2012</v>
      </c>
      <c r="G537" s="135" t="s">
        <v>1241</v>
      </c>
      <c r="H537" s="422"/>
      <c r="I537" s="135" t="s">
        <v>460</v>
      </c>
      <c r="J537" s="135" t="s">
        <v>966</v>
      </c>
      <c r="K537" s="135" t="s">
        <v>469</v>
      </c>
      <c r="L537" s="135" t="s">
        <v>85</v>
      </c>
      <c r="M537" s="135" t="s">
        <v>345</v>
      </c>
      <c r="N537" s="135" t="s">
        <v>965</v>
      </c>
      <c r="O537" s="135" t="s">
        <v>347</v>
      </c>
      <c r="P537" s="135" t="s">
        <v>459</v>
      </c>
      <c r="Q537" s="135">
        <v>3313.56</v>
      </c>
      <c r="R537" s="187">
        <v>198</v>
      </c>
      <c r="S537" s="56"/>
      <c r="T537" s="56"/>
      <c r="U537" s="56"/>
      <c r="V537" s="56"/>
      <c r="W537" s="56"/>
      <c r="X537" s="56"/>
      <c r="Y537" s="56"/>
      <c r="Z537" s="56"/>
      <c r="AA537" s="56"/>
    </row>
    <row r="538" spans="2:27" ht="30" hidden="1" customHeight="1" x14ac:dyDescent="0.25">
      <c r="B538" s="51"/>
      <c r="C538" s="51"/>
      <c r="D538" s="51"/>
      <c r="E538" s="63" t="s">
        <v>451</v>
      </c>
      <c r="F538" s="422">
        <v>2012</v>
      </c>
      <c r="G538" s="135" t="s">
        <v>1241</v>
      </c>
      <c r="H538" s="422"/>
      <c r="I538" s="135" t="s">
        <v>460</v>
      </c>
      <c r="J538" s="135" t="s">
        <v>966</v>
      </c>
      <c r="K538" s="135" t="s">
        <v>562</v>
      </c>
      <c r="L538" s="135" t="s">
        <v>108</v>
      </c>
      <c r="M538" s="135" t="s">
        <v>183</v>
      </c>
      <c r="N538" s="135" t="s">
        <v>965</v>
      </c>
      <c r="O538" s="135" t="s">
        <v>846</v>
      </c>
      <c r="P538" s="135" t="s">
        <v>459</v>
      </c>
      <c r="Q538" s="135">
        <v>488.17</v>
      </c>
      <c r="R538" s="187">
        <v>197</v>
      </c>
      <c r="S538" s="56"/>
      <c r="T538" s="56"/>
      <c r="U538" s="56"/>
      <c r="V538" s="56"/>
      <c r="W538" s="56"/>
      <c r="X538" s="56"/>
      <c r="Y538" s="56"/>
      <c r="Z538" s="56"/>
      <c r="AA538" s="56"/>
    </row>
    <row r="539" spans="2:27" ht="30" hidden="1" customHeight="1" x14ac:dyDescent="0.25">
      <c r="B539" s="51"/>
      <c r="C539" s="51"/>
      <c r="D539" s="51"/>
      <c r="E539" s="63" t="s">
        <v>451</v>
      </c>
      <c r="F539" s="422">
        <v>2012</v>
      </c>
      <c r="G539" s="135" t="s">
        <v>1241</v>
      </c>
      <c r="H539" s="422"/>
      <c r="I539" s="135" t="s">
        <v>460</v>
      </c>
      <c r="J539" s="135" t="s">
        <v>966</v>
      </c>
      <c r="K539" s="135" t="s">
        <v>469</v>
      </c>
      <c r="L539" s="135" t="s">
        <v>85</v>
      </c>
      <c r="M539" s="135" t="s">
        <v>316</v>
      </c>
      <c r="N539" s="135" t="s">
        <v>965</v>
      </c>
      <c r="O539" s="135" t="s">
        <v>317</v>
      </c>
      <c r="P539" s="135" t="s">
        <v>459</v>
      </c>
      <c r="Q539" s="135">
        <v>458.87</v>
      </c>
      <c r="R539" s="187">
        <v>196</v>
      </c>
      <c r="S539" s="56"/>
      <c r="T539" s="56"/>
      <c r="U539" s="56"/>
      <c r="V539" s="56"/>
      <c r="W539" s="56"/>
      <c r="X539" s="56"/>
      <c r="Y539" s="56"/>
      <c r="Z539" s="56"/>
      <c r="AA539" s="56"/>
    </row>
    <row r="540" spans="2:27" ht="30" hidden="1" customHeight="1" x14ac:dyDescent="0.25">
      <c r="B540" s="51"/>
      <c r="C540" s="51"/>
      <c r="D540" s="51"/>
      <c r="E540" s="63" t="s">
        <v>451</v>
      </c>
      <c r="F540" s="422">
        <v>2012</v>
      </c>
      <c r="G540" s="135" t="s">
        <v>1241</v>
      </c>
      <c r="H540" s="422">
        <v>2019</v>
      </c>
      <c r="I540" s="135" t="s">
        <v>460</v>
      </c>
      <c r="J540" s="135" t="s">
        <v>966</v>
      </c>
      <c r="K540" s="135" t="s">
        <v>469</v>
      </c>
      <c r="L540" s="135" t="s">
        <v>85</v>
      </c>
      <c r="M540" s="135" t="s">
        <v>324</v>
      </c>
      <c r="N540" s="135" t="s">
        <v>965</v>
      </c>
      <c r="O540" s="135" t="s">
        <v>847</v>
      </c>
      <c r="P540" s="135" t="s">
        <v>459</v>
      </c>
      <c r="Q540" s="135">
        <v>395.5</v>
      </c>
      <c r="R540" s="187">
        <v>196</v>
      </c>
      <c r="S540" s="56"/>
      <c r="T540" s="56"/>
      <c r="U540" s="56"/>
      <c r="V540" s="56"/>
      <c r="W540" s="56"/>
      <c r="X540" s="56"/>
      <c r="Y540" s="56"/>
      <c r="Z540" s="56"/>
      <c r="AA540" s="56"/>
    </row>
    <row r="541" spans="2:27" ht="30" hidden="1" customHeight="1" x14ac:dyDescent="0.25">
      <c r="B541" s="51"/>
      <c r="C541" s="51"/>
      <c r="D541" s="51"/>
      <c r="E541" s="63" t="s">
        <v>454</v>
      </c>
      <c r="F541" s="422">
        <v>2012</v>
      </c>
      <c r="G541" s="135" t="s">
        <v>1241</v>
      </c>
      <c r="H541" s="422"/>
      <c r="I541" s="135" t="s">
        <v>460</v>
      </c>
      <c r="J541" s="135" t="s">
        <v>966</v>
      </c>
      <c r="K541" s="135" t="s">
        <v>469</v>
      </c>
      <c r="L541" s="135" t="s">
        <v>85</v>
      </c>
      <c r="M541" s="135" t="s">
        <v>316</v>
      </c>
      <c r="N541" s="135" t="s">
        <v>965</v>
      </c>
      <c r="O541" s="135" t="s">
        <v>317</v>
      </c>
      <c r="P541" s="135" t="s">
        <v>459</v>
      </c>
      <c r="Q541" s="135">
        <v>2221.12</v>
      </c>
      <c r="R541" s="187">
        <v>196</v>
      </c>
      <c r="S541" s="56"/>
      <c r="T541" s="56"/>
      <c r="U541" s="56"/>
      <c r="V541" s="56"/>
      <c r="W541" s="56"/>
      <c r="X541" s="56"/>
      <c r="Y541" s="56"/>
      <c r="Z541" s="56"/>
      <c r="AA541" s="56"/>
    </row>
    <row r="542" spans="2:27" ht="30" hidden="1" customHeight="1" x14ac:dyDescent="0.25">
      <c r="B542" s="51"/>
      <c r="C542" s="51"/>
      <c r="D542" s="51"/>
      <c r="E542" s="63" t="s">
        <v>454</v>
      </c>
      <c r="F542" s="422">
        <v>2012</v>
      </c>
      <c r="G542" s="135" t="s">
        <v>1241</v>
      </c>
      <c r="H542" s="422"/>
      <c r="I542" s="135" t="s">
        <v>460</v>
      </c>
      <c r="J542" s="135" t="s">
        <v>967</v>
      </c>
      <c r="K542" s="135" t="s">
        <v>478</v>
      </c>
      <c r="L542" s="135" t="s">
        <v>207</v>
      </c>
      <c r="M542" s="135" t="s">
        <v>209</v>
      </c>
      <c r="N542" s="135" t="s">
        <v>965</v>
      </c>
      <c r="O542" s="135" t="s">
        <v>848</v>
      </c>
      <c r="P542" s="135" t="s">
        <v>459</v>
      </c>
      <c r="Q542" s="135">
        <v>2507.4</v>
      </c>
      <c r="R542" s="187">
        <v>194</v>
      </c>
      <c r="S542" s="56"/>
      <c r="T542" s="56"/>
      <c r="U542" s="56"/>
      <c r="V542" s="56"/>
      <c r="W542" s="56"/>
      <c r="X542" s="56"/>
      <c r="Y542" s="56"/>
      <c r="Z542" s="56"/>
      <c r="AA542" s="56"/>
    </row>
    <row r="543" spans="2:27" ht="30" customHeight="1" x14ac:dyDescent="0.25">
      <c r="B543" s="51"/>
      <c r="C543" s="51"/>
      <c r="D543" s="51"/>
      <c r="E543" s="63" t="s">
        <v>451</v>
      </c>
      <c r="F543" s="422">
        <v>2012</v>
      </c>
      <c r="G543" s="135" t="s">
        <v>1242</v>
      </c>
      <c r="H543" s="422">
        <v>2023</v>
      </c>
      <c r="I543" s="135" t="s">
        <v>460</v>
      </c>
      <c r="J543" s="135" t="s">
        <v>966</v>
      </c>
      <c r="K543" s="135" t="s">
        <v>469</v>
      </c>
      <c r="L543" s="135" t="s">
        <v>85</v>
      </c>
      <c r="M543" s="135" t="s">
        <v>331</v>
      </c>
      <c r="N543" s="135" t="s">
        <v>965</v>
      </c>
      <c r="O543" s="135" t="s">
        <v>1183</v>
      </c>
      <c r="P543" s="135" t="s">
        <v>459</v>
      </c>
      <c r="Q543" s="135">
        <v>536.04999999999995</v>
      </c>
      <c r="R543" s="187">
        <v>193</v>
      </c>
      <c r="S543" s="56"/>
      <c r="T543" s="56"/>
      <c r="U543" s="56"/>
      <c r="V543" s="56"/>
      <c r="W543" s="56"/>
      <c r="X543" s="56"/>
      <c r="Y543" s="56"/>
      <c r="Z543" s="56"/>
      <c r="AA543" s="56"/>
    </row>
    <row r="544" spans="2:27" ht="30" hidden="1" customHeight="1" x14ac:dyDescent="0.25">
      <c r="B544" s="51"/>
      <c r="C544" s="51"/>
      <c r="D544" s="51"/>
      <c r="E544" s="63" t="s">
        <v>451</v>
      </c>
      <c r="F544" s="422">
        <v>2012</v>
      </c>
      <c r="G544" s="135" t="s">
        <v>1242</v>
      </c>
      <c r="H544" s="422"/>
      <c r="I544" s="135" t="s">
        <v>460</v>
      </c>
      <c r="J544" s="135" t="s">
        <v>963</v>
      </c>
      <c r="K544" s="135" t="s">
        <v>465</v>
      </c>
      <c r="L544" s="135" t="s">
        <v>106</v>
      </c>
      <c r="M544" s="135" t="s">
        <v>272</v>
      </c>
      <c r="N544" s="135" t="s">
        <v>965</v>
      </c>
      <c r="O544" s="135" t="s">
        <v>633</v>
      </c>
      <c r="P544" s="135" t="s">
        <v>459</v>
      </c>
      <c r="Q544" s="135">
        <v>422.28</v>
      </c>
      <c r="R544" s="187">
        <v>193</v>
      </c>
      <c r="S544" s="56"/>
      <c r="T544" s="56"/>
      <c r="U544" s="56"/>
      <c r="V544" s="56"/>
      <c r="W544" s="56"/>
      <c r="X544" s="56"/>
      <c r="Y544" s="56"/>
      <c r="Z544" s="56"/>
      <c r="AA544" s="56"/>
    </row>
    <row r="545" spans="2:27" ht="30" hidden="1" customHeight="1" x14ac:dyDescent="0.25">
      <c r="B545" s="51"/>
      <c r="C545" s="51"/>
      <c r="D545" s="51"/>
      <c r="E545" s="63" t="s">
        <v>454</v>
      </c>
      <c r="F545" s="422">
        <v>2012</v>
      </c>
      <c r="G545" s="135" t="s">
        <v>1242</v>
      </c>
      <c r="H545" s="422"/>
      <c r="I545" s="135" t="s">
        <v>460</v>
      </c>
      <c r="J545" s="135" t="s">
        <v>966</v>
      </c>
      <c r="K545" s="135" t="s">
        <v>469</v>
      </c>
      <c r="L545" s="135" t="s">
        <v>85</v>
      </c>
      <c r="M545" s="135" t="s">
        <v>331</v>
      </c>
      <c r="N545" s="135" t="s">
        <v>965</v>
      </c>
      <c r="O545" s="135" t="s">
        <v>332</v>
      </c>
      <c r="P545" s="135" t="s">
        <v>459</v>
      </c>
      <c r="Q545" s="135">
        <v>2892.86</v>
      </c>
      <c r="R545" s="187">
        <v>193</v>
      </c>
      <c r="S545" s="56"/>
      <c r="T545" s="56"/>
      <c r="U545" s="56"/>
      <c r="V545" s="56"/>
      <c r="W545" s="56"/>
      <c r="X545" s="56"/>
      <c r="Y545" s="56"/>
      <c r="Z545" s="56"/>
      <c r="AA545" s="56"/>
    </row>
    <row r="546" spans="2:27" ht="30" hidden="1" customHeight="1" x14ac:dyDescent="0.25">
      <c r="B546" s="51"/>
      <c r="C546" s="51"/>
      <c r="D546" s="51"/>
      <c r="E546" s="63" t="s">
        <v>454</v>
      </c>
      <c r="F546" s="422">
        <v>2012</v>
      </c>
      <c r="G546" s="135" t="s">
        <v>1242</v>
      </c>
      <c r="H546" s="422"/>
      <c r="I546" s="135" t="s">
        <v>460</v>
      </c>
      <c r="J546" s="135" t="s">
        <v>967</v>
      </c>
      <c r="K546" s="135" t="s">
        <v>553</v>
      </c>
      <c r="L546" s="135" t="s">
        <v>82</v>
      </c>
      <c r="M546" s="135" t="s">
        <v>130</v>
      </c>
      <c r="N546" s="135" t="s">
        <v>964</v>
      </c>
      <c r="O546" s="135" t="s">
        <v>131</v>
      </c>
      <c r="P546" s="135" t="s">
        <v>459</v>
      </c>
      <c r="Q546" s="135">
        <v>3165.6499999999996</v>
      </c>
      <c r="R546" s="187">
        <v>191</v>
      </c>
      <c r="S546" s="56"/>
      <c r="T546" s="56"/>
      <c r="U546" s="56"/>
      <c r="V546" s="56"/>
      <c r="W546" s="56"/>
      <c r="X546" s="56"/>
      <c r="Y546" s="56"/>
      <c r="Z546" s="56"/>
      <c r="AA546" s="56"/>
    </row>
    <row r="547" spans="2:27" ht="30" hidden="1" customHeight="1" x14ac:dyDescent="0.25">
      <c r="B547" s="51"/>
      <c r="C547" s="51"/>
      <c r="D547" s="51"/>
      <c r="E547" s="63" t="s">
        <v>454</v>
      </c>
      <c r="F547" s="422">
        <v>2012</v>
      </c>
      <c r="G547" s="135" t="s">
        <v>1243</v>
      </c>
      <c r="H547" s="422"/>
      <c r="I547" s="135" t="s">
        <v>460</v>
      </c>
      <c r="J547" s="135" t="s">
        <v>966</v>
      </c>
      <c r="K547" s="135" t="s">
        <v>499</v>
      </c>
      <c r="L547" s="135" t="s">
        <v>88</v>
      </c>
      <c r="M547" s="135" t="s">
        <v>88</v>
      </c>
      <c r="N547" s="135" t="s">
        <v>964</v>
      </c>
      <c r="O547" s="135" t="s">
        <v>849</v>
      </c>
      <c r="P547" s="135" t="s">
        <v>464</v>
      </c>
      <c r="Q547" s="135">
        <v>2113.4</v>
      </c>
      <c r="R547" s="187">
        <v>190</v>
      </c>
      <c r="S547" s="56"/>
      <c r="T547" s="56"/>
      <c r="U547" s="56"/>
      <c r="V547" s="56"/>
      <c r="W547" s="56"/>
      <c r="X547" s="56"/>
      <c r="Y547" s="56"/>
      <c r="Z547" s="56"/>
      <c r="AA547" s="56"/>
    </row>
    <row r="548" spans="2:27" ht="30" hidden="1" customHeight="1" x14ac:dyDescent="0.25">
      <c r="B548" s="51"/>
      <c r="C548" s="51"/>
      <c r="D548" s="51"/>
      <c r="E548" s="63" t="s">
        <v>454</v>
      </c>
      <c r="F548" s="422">
        <v>2012</v>
      </c>
      <c r="G548" s="135" t="s">
        <v>1243</v>
      </c>
      <c r="H548" s="422"/>
      <c r="I548" s="135" t="s">
        <v>460</v>
      </c>
      <c r="J548" s="135" t="s">
        <v>966</v>
      </c>
      <c r="K548" s="135" t="s">
        <v>469</v>
      </c>
      <c r="L548" s="135" t="s">
        <v>85</v>
      </c>
      <c r="M548" s="135" t="s">
        <v>341</v>
      </c>
      <c r="N548" s="135" t="s">
        <v>965</v>
      </c>
      <c r="O548" s="135" t="s">
        <v>342</v>
      </c>
      <c r="P548" s="135" t="s">
        <v>459</v>
      </c>
      <c r="Q548" s="135">
        <v>3181.43</v>
      </c>
      <c r="R548" s="187">
        <v>189</v>
      </c>
      <c r="S548" s="56"/>
      <c r="T548" s="56"/>
      <c r="U548" s="56"/>
      <c r="V548" s="56"/>
      <c r="W548" s="56"/>
      <c r="X548" s="56"/>
      <c r="Y548" s="56"/>
      <c r="Z548" s="56"/>
      <c r="AA548" s="56"/>
    </row>
    <row r="549" spans="2:27" ht="30" hidden="1" customHeight="1" x14ac:dyDescent="0.25">
      <c r="B549" s="51"/>
      <c r="C549" s="51"/>
      <c r="D549" s="51"/>
      <c r="E549" s="63" t="s">
        <v>451</v>
      </c>
      <c r="F549" s="422">
        <v>2012</v>
      </c>
      <c r="G549" s="135" t="s">
        <v>1243</v>
      </c>
      <c r="H549" s="422">
        <v>2024</v>
      </c>
      <c r="I549" s="135" t="s">
        <v>460</v>
      </c>
      <c r="J549" s="135" t="s">
        <v>963</v>
      </c>
      <c r="K549" s="135" t="s">
        <v>465</v>
      </c>
      <c r="L549" s="135" t="s">
        <v>106</v>
      </c>
      <c r="M549" s="135" t="s">
        <v>365</v>
      </c>
      <c r="N549" s="135" t="s">
        <v>965</v>
      </c>
      <c r="O549" s="135" t="s">
        <v>1344</v>
      </c>
      <c r="P549" s="135" t="s">
        <v>459</v>
      </c>
      <c r="Q549" s="135">
        <v>454.29</v>
      </c>
      <c r="R549" s="187">
        <v>188</v>
      </c>
      <c r="S549" s="56"/>
      <c r="T549" s="56"/>
      <c r="U549" s="56"/>
      <c r="V549" s="56"/>
      <c r="W549" s="56"/>
      <c r="X549" s="56"/>
      <c r="Y549" s="56"/>
      <c r="Z549" s="56"/>
      <c r="AA549" s="56"/>
    </row>
    <row r="550" spans="2:27" ht="30" hidden="1" customHeight="1" x14ac:dyDescent="0.25">
      <c r="B550" s="51"/>
      <c r="C550" s="51"/>
      <c r="D550" s="51"/>
      <c r="E550" s="63" t="s">
        <v>454</v>
      </c>
      <c r="F550" s="422">
        <v>2012</v>
      </c>
      <c r="G550" s="135" t="s">
        <v>1243</v>
      </c>
      <c r="H550" s="422"/>
      <c r="I550" s="135" t="s">
        <v>460</v>
      </c>
      <c r="J550" s="135" t="s">
        <v>971</v>
      </c>
      <c r="K550" s="135" t="s">
        <v>527</v>
      </c>
      <c r="L550" s="135" t="s">
        <v>194</v>
      </c>
      <c r="M550" s="135" t="s">
        <v>196</v>
      </c>
      <c r="N550" s="135" t="s">
        <v>964</v>
      </c>
      <c r="O550" s="135" t="s">
        <v>197</v>
      </c>
      <c r="P550" s="135" t="s">
        <v>459</v>
      </c>
      <c r="Q550" s="135">
        <v>3130.57</v>
      </c>
      <c r="R550" s="187">
        <v>188</v>
      </c>
      <c r="S550" s="56"/>
      <c r="T550" s="56"/>
      <c r="U550" s="56"/>
      <c r="V550" s="56"/>
      <c r="W550" s="56"/>
      <c r="X550" s="56"/>
      <c r="Y550" s="56"/>
      <c r="Z550" s="56"/>
      <c r="AA550" s="56"/>
    </row>
    <row r="551" spans="2:27" ht="30" hidden="1" customHeight="1" x14ac:dyDescent="0.25">
      <c r="B551" s="51"/>
      <c r="C551" s="51"/>
      <c r="D551" s="51"/>
      <c r="E551" s="63" t="s">
        <v>454</v>
      </c>
      <c r="F551" s="422">
        <v>2012</v>
      </c>
      <c r="G551" s="135" t="s">
        <v>1243</v>
      </c>
      <c r="H551" s="422"/>
      <c r="I551" s="135" t="s">
        <v>460</v>
      </c>
      <c r="J551" s="135" t="s">
        <v>966</v>
      </c>
      <c r="K551" s="135" t="s">
        <v>562</v>
      </c>
      <c r="L551" s="135" t="s">
        <v>108</v>
      </c>
      <c r="M551" s="135" t="s">
        <v>109</v>
      </c>
      <c r="N551" s="135" t="s">
        <v>964</v>
      </c>
      <c r="O551" s="135" t="s">
        <v>173</v>
      </c>
      <c r="P551" s="135" t="s">
        <v>459</v>
      </c>
      <c r="Q551" s="135">
        <v>2782.79</v>
      </c>
      <c r="R551" s="187">
        <v>187</v>
      </c>
      <c r="S551" s="56"/>
      <c r="T551" s="56"/>
      <c r="U551" s="56"/>
      <c r="V551" s="56"/>
      <c r="W551" s="56"/>
      <c r="X551" s="56"/>
      <c r="Y551" s="56"/>
      <c r="Z551" s="56"/>
      <c r="AA551" s="56"/>
    </row>
    <row r="552" spans="2:27" ht="30" hidden="1" customHeight="1" x14ac:dyDescent="0.25">
      <c r="B552" s="51"/>
      <c r="C552" s="51"/>
      <c r="D552" s="51"/>
      <c r="E552" s="63" t="s">
        <v>451</v>
      </c>
      <c r="F552" s="422">
        <v>2012</v>
      </c>
      <c r="G552" s="135" t="s">
        <v>1243</v>
      </c>
      <c r="H552" s="422">
        <v>2020</v>
      </c>
      <c r="I552" s="135" t="s">
        <v>460</v>
      </c>
      <c r="J552" s="135" t="s">
        <v>963</v>
      </c>
      <c r="K552" s="135" t="s">
        <v>461</v>
      </c>
      <c r="L552" s="135" t="s">
        <v>253</v>
      </c>
      <c r="M552" s="135" t="s">
        <v>258</v>
      </c>
      <c r="N552" s="135" t="s">
        <v>964</v>
      </c>
      <c r="O552" s="135" t="s">
        <v>833</v>
      </c>
      <c r="P552" s="135" t="s">
        <v>459</v>
      </c>
      <c r="Q552" s="135">
        <v>642</v>
      </c>
      <c r="R552" s="187">
        <v>186</v>
      </c>
      <c r="S552" s="56"/>
      <c r="T552" s="56"/>
      <c r="U552" s="56"/>
      <c r="V552" s="56"/>
      <c r="W552" s="56"/>
      <c r="X552" s="56"/>
      <c r="Y552" s="56"/>
      <c r="Z552" s="56"/>
      <c r="AA552" s="56"/>
    </row>
    <row r="553" spans="2:27" ht="30" hidden="1" customHeight="1" x14ac:dyDescent="0.25">
      <c r="B553" s="51"/>
      <c r="C553" s="51"/>
      <c r="D553" s="51"/>
      <c r="E553" s="63" t="s">
        <v>454</v>
      </c>
      <c r="F553" s="422">
        <v>2012</v>
      </c>
      <c r="G553" s="135" t="s">
        <v>1243</v>
      </c>
      <c r="H553" s="422"/>
      <c r="I553" s="135" t="s">
        <v>460</v>
      </c>
      <c r="J553" s="135" t="s">
        <v>963</v>
      </c>
      <c r="K553" s="135" t="s">
        <v>461</v>
      </c>
      <c r="L553" s="135" t="s">
        <v>253</v>
      </c>
      <c r="M553" s="135" t="s">
        <v>258</v>
      </c>
      <c r="N553" s="135" t="s">
        <v>964</v>
      </c>
      <c r="O553" s="135" t="s">
        <v>260</v>
      </c>
      <c r="P553" s="135" t="s">
        <v>459</v>
      </c>
      <c r="Q553" s="135">
        <v>3471.8999999999996</v>
      </c>
      <c r="R553" s="187">
        <v>186</v>
      </c>
      <c r="S553" s="56"/>
      <c r="T553" s="56"/>
      <c r="U553" s="56"/>
      <c r="V553" s="56"/>
      <c r="W553" s="56"/>
      <c r="X553" s="56"/>
      <c r="Y553" s="56"/>
      <c r="Z553" s="56"/>
      <c r="AA553" s="56"/>
    </row>
    <row r="554" spans="2:27" ht="30" hidden="1" customHeight="1" x14ac:dyDescent="0.25">
      <c r="B554" s="51"/>
      <c r="C554" s="51"/>
      <c r="D554" s="51"/>
      <c r="E554" s="63" t="s">
        <v>454</v>
      </c>
      <c r="F554" s="422">
        <v>2012</v>
      </c>
      <c r="G554" s="135" t="s">
        <v>1244</v>
      </c>
      <c r="H554" s="422"/>
      <c r="I554" s="135" t="s">
        <v>460</v>
      </c>
      <c r="J554" s="135" t="s">
        <v>966</v>
      </c>
      <c r="K554" s="135" t="s">
        <v>562</v>
      </c>
      <c r="L554" s="135" t="s">
        <v>108</v>
      </c>
      <c r="M554" s="135" t="s">
        <v>183</v>
      </c>
      <c r="N554" s="135" t="s">
        <v>965</v>
      </c>
      <c r="O554" s="135" t="s">
        <v>185</v>
      </c>
      <c r="P554" s="135" t="s">
        <v>459</v>
      </c>
      <c r="Q554" s="135">
        <v>1918.5000000000002</v>
      </c>
      <c r="R554" s="187">
        <v>185</v>
      </c>
      <c r="S554" s="56"/>
      <c r="T554" s="56"/>
      <c r="U554" s="56"/>
      <c r="V554" s="56"/>
      <c r="W554" s="56"/>
      <c r="X554" s="56"/>
      <c r="Y554" s="56"/>
      <c r="Z554" s="56"/>
      <c r="AA554" s="56"/>
    </row>
    <row r="555" spans="2:27" ht="30" customHeight="1" x14ac:dyDescent="0.25">
      <c r="B555" s="51"/>
      <c r="C555" s="51"/>
      <c r="D555" s="51"/>
      <c r="E555" s="63" t="s">
        <v>454</v>
      </c>
      <c r="F555" s="422">
        <v>2012</v>
      </c>
      <c r="G555" s="135" t="s">
        <v>1244</v>
      </c>
      <c r="H555" s="422">
        <v>2023</v>
      </c>
      <c r="I555" s="135" t="s">
        <v>460</v>
      </c>
      <c r="J555" s="135" t="s">
        <v>963</v>
      </c>
      <c r="K555" s="135" t="s">
        <v>461</v>
      </c>
      <c r="L555" s="135" t="s">
        <v>253</v>
      </c>
      <c r="M555" s="135" t="s">
        <v>258</v>
      </c>
      <c r="N555" s="135" t="s">
        <v>964</v>
      </c>
      <c r="O555" s="135" t="s">
        <v>1345</v>
      </c>
      <c r="P555" s="135" t="s">
        <v>464</v>
      </c>
      <c r="Q555" s="135">
        <v>4101.1000000000004</v>
      </c>
      <c r="R555" s="187">
        <v>184</v>
      </c>
      <c r="S555" s="56"/>
      <c r="T555" s="56"/>
      <c r="U555" s="56"/>
      <c r="V555" s="56"/>
      <c r="W555" s="56"/>
      <c r="X555" s="56"/>
      <c r="Y555" s="56"/>
      <c r="Z555" s="56"/>
      <c r="AA555" s="56"/>
    </row>
    <row r="556" spans="2:27" ht="30" customHeight="1" x14ac:dyDescent="0.25">
      <c r="B556" s="51"/>
      <c r="C556" s="51"/>
      <c r="D556" s="51"/>
      <c r="E556" s="63" t="s">
        <v>451</v>
      </c>
      <c r="F556" s="422">
        <v>2012</v>
      </c>
      <c r="G556" s="135" t="s">
        <v>1244</v>
      </c>
      <c r="H556" s="422">
        <v>2023</v>
      </c>
      <c r="I556" s="135" t="s">
        <v>460</v>
      </c>
      <c r="J556" s="135" t="s">
        <v>963</v>
      </c>
      <c r="K556" s="135" t="s">
        <v>461</v>
      </c>
      <c r="L556" s="135" t="s">
        <v>253</v>
      </c>
      <c r="M556" s="135" t="s">
        <v>782</v>
      </c>
      <c r="N556" s="135" t="s">
        <v>965</v>
      </c>
      <c r="O556" s="135" t="s">
        <v>1184</v>
      </c>
      <c r="P556" s="135" t="s">
        <v>459</v>
      </c>
      <c r="Q556" s="135">
        <v>585.5</v>
      </c>
      <c r="R556" s="187">
        <v>184</v>
      </c>
      <c r="S556" s="56"/>
      <c r="T556" s="56"/>
      <c r="U556" s="56"/>
      <c r="V556" s="56"/>
      <c r="W556" s="56"/>
      <c r="X556" s="56"/>
      <c r="Y556" s="56"/>
      <c r="Z556" s="56"/>
      <c r="AA556" s="56"/>
    </row>
    <row r="557" spans="2:27" ht="30" hidden="1" customHeight="1" x14ac:dyDescent="0.25">
      <c r="B557" s="51"/>
      <c r="C557" s="51"/>
      <c r="D557" s="51"/>
      <c r="E557" s="63" t="s">
        <v>451</v>
      </c>
      <c r="F557" s="422">
        <v>2011</v>
      </c>
      <c r="G557" s="135" t="s">
        <v>1245</v>
      </c>
      <c r="H557" s="422"/>
      <c r="I557" s="135" t="s">
        <v>460</v>
      </c>
      <c r="J557" s="135" t="s">
        <v>966</v>
      </c>
      <c r="K557" s="135" t="s">
        <v>492</v>
      </c>
      <c r="L557" s="135" t="s">
        <v>968</v>
      </c>
      <c r="M557" s="135" t="s">
        <v>155</v>
      </c>
      <c r="N557" s="135" t="s">
        <v>964</v>
      </c>
      <c r="O557" s="135" t="s">
        <v>156</v>
      </c>
      <c r="P557" s="135" t="s">
        <v>459</v>
      </c>
      <c r="Q557" s="135">
        <v>1018.39</v>
      </c>
      <c r="R557" s="187">
        <v>184</v>
      </c>
      <c r="S557" s="56"/>
      <c r="T557" s="56"/>
      <c r="U557" s="56"/>
      <c r="V557" s="56"/>
      <c r="W557" s="56"/>
      <c r="X557" s="56"/>
      <c r="Y557" s="56"/>
      <c r="Z557" s="56"/>
      <c r="AA557" s="56"/>
    </row>
    <row r="558" spans="2:27" ht="30" hidden="1" customHeight="1" x14ac:dyDescent="0.25">
      <c r="B558" s="51"/>
      <c r="C558" s="51"/>
      <c r="D558" s="51"/>
      <c r="E558" s="63" t="s">
        <v>454</v>
      </c>
      <c r="F558" s="422">
        <v>2011</v>
      </c>
      <c r="G558" s="135" t="s">
        <v>1245</v>
      </c>
      <c r="H558" s="422"/>
      <c r="I558" s="135" t="s">
        <v>460</v>
      </c>
      <c r="J558" s="135" t="s">
        <v>966</v>
      </c>
      <c r="K558" s="135" t="s">
        <v>469</v>
      </c>
      <c r="L558" s="135" t="s">
        <v>85</v>
      </c>
      <c r="M558" s="135" t="s">
        <v>366</v>
      </c>
      <c r="N558" s="135" t="s">
        <v>965</v>
      </c>
      <c r="O558" s="135" t="s">
        <v>367</v>
      </c>
      <c r="P558" s="135" t="s">
        <v>459</v>
      </c>
      <c r="Q558" s="135">
        <v>1941.03</v>
      </c>
      <c r="R558" s="187">
        <v>184</v>
      </c>
      <c r="S558" s="56"/>
      <c r="T558" s="56"/>
      <c r="U558" s="56"/>
      <c r="V558" s="56"/>
      <c r="W558" s="56"/>
      <c r="X558" s="56"/>
      <c r="Y558" s="56"/>
      <c r="Z558" s="56"/>
      <c r="AA558" s="56"/>
    </row>
    <row r="559" spans="2:27" ht="30" hidden="1" customHeight="1" x14ac:dyDescent="0.25">
      <c r="B559" s="51"/>
      <c r="C559" s="51"/>
      <c r="D559" s="51"/>
      <c r="E559" s="63" t="s">
        <v>454</v>
      </c>
      <c r="F559" s="422">
        <v>2011</v>
      </c>
      <c r="G559" s="135" t="s">
        <v>1245</v>
      </c>
      <c r="H559" s="422"/>
      <c r="I559" s="135" t="s">
        <v>460</v>
      </c>
      <c r="J559" s="135" t="s">
        <v>967</v>
      </c>
      <c r="K559" s="135" t="s">
        <v>485</v>
      </c>
      <c r="L559" s="135" t="s">
        <v>167</v>
      </c>
      <c r="M559" s="135" t="s">
        <v>169</v>
      </c>
      <c r="N559" s="135" t="s">
        <v>964</v>
      </c>
      <c r="O559" s="135" t="s">
        <v>170</v>
      </c>
      <c r="P559" s="135" t="s">
        <v>459</v>
      </c>
      <c r="Q559" s="135">
        <v>5094.38</v>
      </c>
      <c r="R559" s="187">
        <v>184</v>
      </c>
      <c r="S559" s="56"/>
      <c r="T559" s="56"/>
      <c r="U559" s="56"/>
      <c r="V559" s="56"/>
      <c r="W559" s="56"/>
      <c r="X559" s="56"/>
      <c r="Y559" s="56"/>
      <c r="Z559" s="56"/>
      <c r="AA559" s="56"/>
    </row>
    <row r="560" spans="2:27" ht="30" hidden="1" customHeight="1" x14ac:dyDescent="0.25">
      <c r="B560" s="51"/>
      <c r="C560" s="51"/>
      <c r="D560" s="51"/>
      <c r="E560" s="63" t="s">
        <v>454</v>
      </c>
      <c r="F560" s="422">
        <v>2011</v>
      </c>
      <c r="G560" s="135" t="s">
        <v>1245</v>
      </c>
      <c r="H560" s="422"/>
      <c r="I560" s="135" t="s">
        <v>460</v>
      </c>
      <c r="J560" s="135" t="s">
        <v>963</v>
      </c>
      <c r="K560" s="135" t="s">
        <v>474</v>
      </c>
      <c r="L560" s="135" t="s">
        <v>95</v>
      </c>
      <c r="M560" s="135" t="s">
        <v>746</v>
      </c>
      <c r="N560" s="135" t="s">
        <v>965</v>
      </c>
      <c r="O560" s="135" t="s">
        <v>850</v>
      </c>
      <c r="P560" s="135" t="s">
        <v>459</v>
      </c>
      <c r="Q560" s="135">
        <v>1897.8999999999999</v>
      </c>
      <c r="R560" s="187">
        <v>181</v>
      </c>
      <c r="S560" s="56"/>
      <c r="T560" s="56"/>
      <c r="U560" s="56"/>
      <c r="V560" s="56"/>
      <c r="W560" s="56"/>
      <c r="X560" s="56"/>
      <c r="Y560" s="56"/>
      <c r="Z560" s="56"/>
      <c r="AA560" s="56"/>
    </row>
    <row r="561" spans="2:27" ht="30" hidden="1" customHeight="1" x14ac:dyDescent="0.25">
      <c r="B561" s="51"/>
      <c r="C561" s="51"/>
      <c r="D561" s="51"/>
      <c r="E561" s="63" t="s">
        <v>454</v>
      </c>
      <c r="F561" s="422">
        <v>2011</v>
      </c>
      <c r="G561" s="135" t="s">
        <v>1245</v>
      </c>
      <c r="H561" s="422"/>
      <c r="I561" s="135" t="s">
        <v>460</v>
      </c>
      <c r="J561" s="135" t="s">
        <v>966</v>
      </c>
      <c r="K561" s="135" t="s">
        <v>469</v>
      </c>
      <c r="L561" s="135" t="s">
        <v>85</v>
      </c>
      <c r="M561" s="135" t="s">
        <v>315</v>
      </c>
      <c r="N561" s="135" t="s">
        <v>965</v>
      </c>
      <c r="O561" s="135" t="s">
        <v>851</v>
      </c>
      <c r="P561" s="135" t="s">
        <v>459</v>
      </c>
      <c r="Q561" s="135">
        <v>1543.1999999999998</v>
      </c>
      <c r="R561" s="187">
        <v>180</v>
      </c>
      <c r="S561" s="56"/>
      <c r="T561" s="56"/>
      <c r="U561" s="56"/>
      <c r="V561" s="56"/>
      <c r="W561" s="56"/>
      <c r="X561" s="56"/>
      <c r="Y561" s="56"/>
      <c r="Z561" s="56"/>
      <c r="AA561" s="56"/>
    </row>
    <row r="562" spans="2:27" ht="30" hidden="1" customHeight="1" x14ac:dyDescent="0.25">
      <c r="B562" s="51"/>
      <c r="C562" s="51"/>
      <c r="D562" s="51"/>
      <c r="E562" s="63" t="s">
        <v>454</v>
      </c>
      <c r="F562" s="422">
        <v>2011</v>
      </c>
      <c r="G562" s="135" t="s">
        <v>1245</v>
      </c>
      <c r="H562" s="422"/>
      <c r="I562" s="135" t="s">
        <v>460</v>
      </c>
      <c r="J562" s="135" t="s">
        <v>966</v>
      </c>
      <c r="K562" s="135" t="s">
        <v>469</v>
      </c>
      <c r="L562" s="135" t="s">
        <v>85</v>
      </c>
      <c r="M562" s="135" t="s">
        <v>308</v>
      </c>
      <c r="N562" s="135" t="s">
        <v>965</v>
      </c>
      <c r="O562" s="135" t="s">
        <v>852</v>
      </c>
      <c r="P562" s="135" t="s">
        <v>459</v>
      </c>
      <c r="Q562" s="135">
        <v>2393.4199999999996</v>
      </c>
      <c r="R562" s="187">
        <v>179</v>
      </c>
      <c r="S562" s="56"/>
      <c r="T562" s="56"/>
      <c r="U562" s="56"/>
      <c r="V562" s="56"/>
      <c r="W562" s="56"/>
      <c r="X562" s="56"/>
      <c r="Y562" s="56"/>
      <c r="Z562" s="56"/>
      <c r="AA562" s="56"/>
    </row>
    <row r="563" spans="2:27" ht="30" hidden="1" customHeight="1" x14ac:dyDescent="0.25">
      <c r="B563" s="51"/>
      <c r="C563" s="51"/>
      <c r="D563" s="51"/>
      <c r="E563" s="63" t="s">
        <v>454</v>
      </c>
      <c r="F563" s="422">
        <v>2011</v>
      </c>
      <c r="G563" s="135" t="s">
        <v>1245</v>
      </c>
      <c r="H563" s="422"/>
      <c r="I563" s="135" t="s">
        <v>460</v>
      </c>
      <c r="J563" s="135" t="s">
        <v>966</v>
      </c>
      <c r="K563" s="135" t="s">
        <v>492</v>
      </c>
      <c r="L563" s="135" t="s">
        <v>968</v>
      </c>
      <c r="M563" s="135" t="s">
        <v>151</v>
      </c>
      <c r="N563" s="135" t="s">
        <v>965</v>
      </c>
      <c r="O563" s="135" t="s">
        <v>853</v>
      </c>
      <c r="P563" s="135" t="s">
        <v>459</v>
      </c>
      <c r="Q563" s="135">
        <v>2611.4299999999998</v>
      </c>
      <c r="R563" s="187">
        <v>178</v>
      </c>
      <c r="S563" s="56"/>
      <c r="T563" s="56"/>
      <c r="U563" s="56"/>
      <c r="V563" s="56"/>
      <c r="W563" s="56"/>
      <c r="X563" s="56"/>
      <c r="Y563" s="56"/>
      <c r="Z563" s="56"/>
      <c r="AA563" s="56"/>
    </row>
    <row r="564" spans="2:27" ht="30" hidden="1" customHeight="1" x14ac:dyDescent="0.25">
      <c r="B564" s="51"/>
      <c r="C564" s="51"/>
      <c r="D564" s="51"/>
      <c r="E564" s="63" t="s">
        <v>454</v>
      </c>
      <c r="F564" s="422">
        <v>2011</v>
      </c>
      <c r="G564" s="135" t="s">
        <v>1245</v>
      </c>
      <c r="H564" s="422"/>
      <c r="I564" s="135" t="s">
        <v>460</v>
      </c>
      <c r="J564" s="135" t="s">
        <v>967</v>
      </c>
      <c r="K564" s="135" t="s">
        <v>553</v>
      </c>
      <c r="L564" s="135" t="s">
        <v>82</v>
      </c>
      <c r="M564" s="135" t="s">
        <v>133</v>
      </c>
      <c r="N564" s="135" t="s">
        <v>965</v>
      </c>
      <c r="O564" s="135" t="s">
        <v>134</v>
      </c>
      <c r="P564" s="135" t="s">
        <v>459</v>
      </c>
      <c r="Q564" s="135">
        <v>2003.22</v>
      </c>
      <c r="R564" s="187">
        <v>178</v>
      </c>
      <c r="S564" s="56"/>
      <c r="T564" s="56"/>
      <c r="U564" s="56"/>
      <c r="V564" s="56"/>
      <c r="W564" s="56"/>
      <c r="X564" s="56"/>
      <c r="Y564" s="56"/>
      <c r="Z564" s="56"/>
      <c r="AA564" s="56"/>
    </row>
    <row r="565" spans="2:27" ht="30" hidden="1" customHeight="1" x14ac:dyDescent="0.25">
      <c r="B565" s="51"/>
      <c r="C565" s="51"/>
      <c r="D565" s="51"/>
      <c r="E565" s="63" t="s">
        <v>454</v>
      </c>
      <c r="F565" s="422">
        <v>2011</v>
      </c>
      <c r="G565" s="135" t="s">
        <v>1245</v>
      </c>
      <c r="H565" s="422"/>
      <c r="I565" s="135" t="s">
        <v>460</v>
      </c>
      <c r="J565" s="135" t="s">
        <v>966</v>
      </c>
      <c r="K565" s="135" t="s">
        <v>562</v>
      </c>
      <c r="L565" s="135" t="s">
        <v>108</v>
      </c>
      <c r="M565" s="135" t="s">
        <v>180</v>
      </c>
      <c r="N565" s="135" t="s">
        <v>965</v>
      </c>
      <c r="O565" s="135" t="s">
        <v>854</v>
      </c>
      <c r="P565" s="135" t="s">
        <v>459</v>
      </c>
      <c r="Q565" s="135">
        <v>2101.2600000000002</v>
      </c>
      <c r="R565" s="187">
        <v>176</v>
      </c>
      <c r="S565" s="56"/>
      <c r="T565" s="56"/>
      <c r="U565" s="56"/>
      <c r="V565" s="56"/>
      <c r="W565" s="56"/>
      <c r="X565" s="56"/>
      <c r="Y565" s="56"/>
      <c r="Z565" s="56"/>
      <c r="AA565" s="56"/>
    </row>
    <row r="566" spans="2:27" ht="30" hidden="1" customHeight="1" x14ac:dyDescent="0.25">
      <c r="B566" s="51"/>
      <c r="C566" s="51"/>
      <c r="D566" s="51"/>
      <c r="E566" s="63" t="s">
        <v>454</v>
      </c>
      <c r="F566" s="422">
        <v>2011</v>
      </c>
      <c r="G566" s="135" t="s">
        <v>1245</v>
      </c>
      <c r="H566" s="422"/>
      <c r="I566" s="135" t="s">
        <v>460</v>
      </c>
      <c r="J566" s="135" t="s">
        <v>967</v>
      </c>
      <c r="K566" s="135" t="s">
        <v>478</v>
      </c>
      <c r="L566" s="135" t="s">
        <v>207</v>
      </c>
      <c r="M566" s="135" t="s">
        <v>211</v>
      </c>
      <c r="N566" s="135" t="s">
        <v>964</v>
      </c>
      <c r="O566" s="135" t="s">
        <v>579</v>
      </c>
      <c r="P566" s="135" t="s">
        <v>459</v>
      </c>
      <c r="Q566" s="135">
        <v>2940.95</v>
      </c>
      <c r="R566" s="187">
        <v>175</v>
      </c>
      <c r="S566" s="56"/>
      <c r="T566" s="56"/>
      <c r="U566" s="56"/>
      <c r="V566" s="56"/>
      <c r="W566" s="56"/>
      <c r="X566" s="56"/>
      <c r="Y566" s="56"/>
      <c r="Z566" s="56"/>
      <c r="AA566" s="56"/>
    </row>
    <row r="567" spans="2:27" ht="30" hidden="1" customHeight="1" x14ac:dyDescent="0.25">
      <c r="B567" s="51"/>
      <c r="C567" s="51"/>
      <c r="D567" s="51"/>
      <c r="E567" s="63" t="s">
        <v>454</v>
      </c>
      <c r="F567" s="422">
        <v>2011</v>
      </c>
      <c r="G567" s="135" t="s">
        <v>1245</v>
      </c>
      <c r="H567" s="422"/>
      <c r="I567" s="135" t="s">
        <v>460</v>
      </c>
      <c r="J567" s="135" t="s">
        <v>963</v>
      </c>
      <c r="K567" s="135" t="s">
        <v>474</v>
      </c>
      <c r="L567" s="135" t="s">
        <v>95</v>
      </c>
      <c r="M567" s="135" t="s">
        <v>227</v>
      </c>
      <c r="N567" s="135" t="s">
        <v>965</v>
      </c>
      <c r="O567" s="135" t="s">
        <v>855</v>
      </c>
      <c r="P567" s="135" t="s">
        <v>459</v>
      </c>
      <c r="Q567" s="135">
        <v>2534.92</v>
      </c>
      <c r="R567" s="187">
        <v>174</v>
      </c>
      <c r="S567" s="56"/>
      <c r="T567" s="56"/>
      <c r="U567" s="56"/>
      <c r="V567" s="56"/>
      <c r="W567" s="56"/>
      <c r="X567" s="56"/>
      <c r="Y567" s="56"/>
      <c r="Z567" s="56"/>
      <c r="AA567" s="56"/>
    </row>
    <row r="568" spans="2:27" ht="30" hidden="1" customHeight="1" x14ac:dyDescent="0.25">
      <c r="B568" s="51"/>
      <c r="C568" s="51"/>
      <c r="D568" s="51"/>
      <c r="E568" s="63" t="s">
        <v>454</v>
      </c>
      <c r="F568" s="422">
        <v>2011</v>
      </c>
      <c r="G568" s="135" t="s">
        <v>1245</v>
      </c>
      <c r="H568" s="422"/>
      <c r="I568" s="135" t="s">
        <v>460</v>
      </c>
      <c r="J568" s="135" t="s">
        <v>966</v>
      </c>
      <c r="K568" s="135" t="s">
        <v>469</v>
      </c>
      <c r="L568" s="135" t="s">
        <v>85</v>
      </c>
      <c r="M568" s="135" t="s">
        <v>299</v>
      </c>
      <c r="N568" s="135" t="s">
        <v>965</v>
      </c>
      <c r="O568" s="135" t="s">
        <v>856</v>
      </c>
      <c r="P568" s="135" t="s">
        <v>459</v>
      </c>
      <c r="Q568" s="135">
        <v>2952.96</v>
      </c>
      <c r="R568" s="187">
        <v>173</v>
      </c>
      <c r="S568" s="56"/>
      <c r="T568" s="56"/>
      <c r="U568" s="56"/>
      <c r="V568" s="56"/>
      <c r="W568" s="56"/>
      <c r="X568" s="56"/>
      <c r="Y568" s="56"/>
      <c r="Z568" s="56"/>
      <c r="AA568" s="56"/>
    </row>
    <row r="569" spans="2:27" ht="30" hidden="1" customHeight="1" x14ac:dyDescent="0.25">
      <c r="B569" s="51"/>
      <c r="C569" s="51"/>
      <c r="D569" s="51"/>
      <c r="E569" s="63" t="s">
        <v>454</v>
      </c>
      <c r="F569" s="422">
        <v>2011</v>
      </c>
      <c r="G569" s="135" t="s">
        <v>1245</v>
      </c>
      <c r="H569" s="422"/>
      <c r="I569" s="135" t="s">
        <v>460</v>
      </c>
      <c r="J569" s="135" t="s">
        <v>966</v>
      </c>
      <c r="K569" s="135" t="s">
        <v>469</v>
      </c>
      <c r="L569" s="135" t="s">
        <v>85</v>
      </c>
      <c r="M569" s="135" t="s">
        <v>85</v>
      </c>
      <c r="N569" s="135" t="s">
        <v>964</v>
      </c>
      <c r="O569" s="135" t="s">
        <v>824</v>
      </c>
      <c r="P569" s="135" t="s">
        <v>459</v>
      </c>
      <c r="Q569" s="135">
        <v>2573.17</v>
      </c>
      <c r="R569" s="187">
        <v>172</v>
      </c>
      <c r="S569" s="56"/>
      <c r="T569" s="56"/>
      <c r="U569" s="56"/>
      <c r="V569" s="56"/>
      <c r="W569" s="56"/>
      <c r="X569" s="56"/>
      <c r="Y569" s="56"/>
      <c r="Z569" s="56"/>
      <c r="AA569" s="56"/>
    </row>
    <row r="570" spans="2:27" ht="30" hidden="1" customHeight="1" x14ac:dyDescent="0.25">
      <c r="B570" s="51"/>
      <c r="C570" s="51"/>
      <c r="D570" s="51"/>
      <c r="E570" s="63" t="s">
        <v>454</v>
      </c>
      <c r="F570" s="422">
        <v>2011</v>
      </c>
      <c r="G570" s="135" t="s">
        <v>1245</v>
      </c>
      <c r="H570" s="422"/>
      <c r="I570" s="135" t="s">
        <v>460</v>
      </c>
      <c r="J570" s="135" t="s">
        <v>966</v>
      </c>
      <c r="K570" s="135" t="s">
        <v>469</v>
      </c>
      <c r="L570" s="135" t="s">
        <v>85</v>
      </c>
      <c r="M570" s="135" t="s">
        <v>339</v>
      </c>
      <c r="N570" s="135" t="s">
        <v>965</v>
      </c>
      <c r="O570" s="135" t="s">
        <v>340</v>
      </c>
      <c r="P570" s="135" t="s">
        <v>459</v>
      </c>
      <c r="Q570" s="135">
        <v>2762.93</v>
      </c>
      <c r="R570" s="187">
        <v>171</v>
      </c>
      <c r="S570" s="56"/>
      <c r="T570" s="56"/>
      <c r="U570" s="56"/>
      <c r="V570" s="56"/>
      <c r="W570" s="56"/>
      <c r="X570" s="56"/>
      <c r="Y570" s="56"/>
      <c r="Z570" s="56"/>
      <c r="AA570" s="56"/>
    </row>
    <row r="571" spans="2:27" ht="30" hidden="1" customHeight="1" x14ac:dyDescent="0.25">
      <c r="B571" s="51"/>
      <c r="C571" s="51"/>
      <c r="D571" s="51"/>
      <c r="E571" s="63" t="s">
        <v>451</v>
      </c>
      <c r="F571" s="422">
        <v>2011</v>
      </c>
      <c r="G571" s="135" t="s">
        <v>1245</v>
      </c>
      <c r="H571" s="422"/>
      <c r="I571" s="135" t="s">
        <v>460</v>
      </c>
      <c r="J571" s="135" t="s">
        <v>966</v>
      </c>
      <c r="K571" s="135" t="s">
        <v>469</v>
      </c>
      <c r="L571" s="135" t="s">
        <v>85</v>
      </c>
      <c r="M571" s="135" t="s">
        <v>339</v>
      </c>
      <c r="N571" s="135" t="s">
        <v>965</v>
      </c>
      <c r="O571" s="135" t="s">
        <v>384</v>
      </c>
      <c r="P571" s="135" t="s">
        <v>459</v>
      </c>
      <c r="Q571" s="135">
        <v>692.68</v>
      </c>
      <c r="R571" s="187">
        <v>170</v>
      </c>
      <c r="S571" s="56"/>
      <c r="T571" s="56"/>
      <c r="U571" s="56"/>
      <c r="V571" s="56"/>
      <c r="W571" s="56"/>
      <c r="X571" s="56"/>
      <c r="Y571" s="56"/>
      <c r="Z571" s="56"/>
      <c r="AA571" s="56"/>
    </row>
    <row r="572" spans="2:27" ht="30" hidden="1" customHeight="1" x14ac:dyDescent="0.25">
      <c r="B572" s="51"/>
      <c r="C572" s="51"/>
      <c r="D572" s="51"/>
      <c r="E572" s="63" t="s">
        <v>454</v>
      </c>
      <c r="F572" s="422">
        <v>2011</v>
      </c>
      <c r="G572" s="135" t="s">
        <v>1245</v>
      </c>
      <c r="H572" s="422"/>
      <c r="I572" s="135" t="s">
        <v>460</v>
      </c>
      <c r="J572" s="135" t="s">
        <v>966</v>
      </c>
      <c r="K572" s="135" t="s">
        <v>469</v>
      </c>
      <c r="L572" s="135" t="s">
        <v>85</v>
      </c>
      <c r="M572" s="135" t="s">
        <v>85</v>
      </c>
      <c r="N572" s="135" t="s">
        <v>964</v>
      </c>
      <c r="O572" s="135" t="s">
        <v>294</v>
      </c>
      <c r="P572" s="135" t="s">
        <v>459</v>
      </c>
      <c r="Q572" s="135">
        <v>1070.0899999999999</v>
      </c>
      <c r="R572" s="187">
        <v>170</v>
      </c>
      <c r="S572" s="56"/>
      <c r="T572" s="56"/>
      <c r="U572" s="56"/>
      <c r="V572" s="56"/>
      <c r="W572" s="56"/>
      <c r="X572" s="56"/>
      <c r="Y572" s="56"/>
      <c r="Z572" s="56"/>
      <c r="AA572" s="56"/>
    </row>
    <row r="573" spans="2:27" ht="30" hidden="1" customHeight="1" x14ac:dyDescent="0.25">
      <c r="B573" s="51"/>
      <c r="C573" s="51"/>
      <c r="D573" s="51"/>
      <c r="E573" s="63" t="s">
        <v>454</v>
      </c>
      <c r="F573" s="422">
        <v>2011</v>
      </c>
      <c r="G573" s="135" t="s">
        <v>1245</v>
      </c>
      <c r="H573" s="422"/>
      <c r="I573" s="135" t="s">
        <v>460</v>
      </c>
      <c r="J573" s="135" t="s">
        <v>971</v>
      </c>
      <c r="K573" s="135" t="s">
        <v>857</v>
      </c>
      <c r="L573" s="135" t="s">
        <v>111</v>
      </c>
      <c r="M573" s="135" t="s">
        <v>112</v>
      </c>
      <c r="N573" s="135" t="s">
        <v>964</v>
      </c>
      <c r="O573" s="135" t="s">
        <v>113</v>
      </c>
      <c r="P573" s="135" t="s">
        <v>459</v>
      </c>
      <c r="Q573" s="135">
        <v>2476.3900000000003</v>
      </c>
      <c r="R573" s="187">
        <v>168</v>
      </c>
      <c r="S573" s="56"/>
      <c r="T573" s="56"/>
      <c r="U573" s="56"/>
      <c r="V573" s="56"/>
      <c r="W573" s="56"/>
      <c r="X573" s="56"/>
      <c r="Y573" s="56"/>
      <c r="Z573" s="56"/>
      <c r="AA573" s="56"/>
    </row>
    <row r="574" spans="2:27" ht="30" hidden="1" customHeight="1" x14ac:dyDescent="0.25">
      <c r="B574" s="51"/>
      <c r="C574" s="51"/>
      <c r="D574" s="51"/>
      <c r="E574" s="63" t="s">
        <v>454</v>
      </c>
      <c r="F574" s="422">
        <v>2011</v>
      </c>
      <c r="G574" s="135" t="s">
        <v>1245</v>
      </c>
      <c r="H574" s="422"/>
      <c r="I574" s="135" t="s">
        <v>460</v>
      </c>
      <c r="J574" s="135" t="s">
        <v>966</v>
      </c>
      <c r="K574" s="135" t="s">
        <v>469</v>
      </c>
      <c r="L574" s="135" t="s">
        <v>85</v>
      </c>
      <c r="M574" s="135" t="s">
        <v>320</v>
      </c>
      <c r="N574" s="135" t="s">
        <v>965</v>
      </c>
      <c r="O574" s="135" t="s">
        <v>858</v>
      </c>
      <c r="P574" s="135" t="s">
        <v>464</v>
      </c>
      <c r="Q574" s="135">
        <v>1662.56</v>
      </c>
      <c r="R574" s="187">
        <v>167</v>
      </c>
      <c r="S574" s="56"/>
      <c r="T574" s="56"/>
      <c r="U574" s="56"/>
      <c r="V574" s="56"/>
      <c r="W574" s="56"/>
      <c r="X574" s="56"/>
      <c r="Y574" s="56"/>
      <c r="Z574" s="56"/>
      <c r="AA574" s="56"/>
    </row>
    <row r="575" spans="2:27" ht="30" hidden="1" customHeight="1" x14ac:dyDescent="0.25">
      <c r="B575" s="51"/>
      <c r="C575" s="51"/>
      <c r="D575" s="51"/>
      <c r="E575" s="63" t="s">
        <v>454</v>
      </c>
      <c r="F575" s="422">
        <v>2011</v>
      </c>
      <c r="G575" s="135" t="s">
        <v>1245</v>
      </c>
      <c r="H575" s="422"/>
      <c r="I575" s="135" t="s">
        <v>460</v>
      </c>
      <c r="J575" s="135" t="s">
        <v>963</v>
      </c>
      <c r="K575" s="135" t="s">
        <v>461</v>
      </c>
      <c r="L575" s="135" t="s">
        <v>253</v>
      </c>
      <c r="M575" s="135" t="s">
        <v>859</v>
      </c>
      <c r="N575" s="135" t="s">
        <v>965</v>
      </c>
      <c r="O575" s="135" t="s">
        <v>860</v>
      </c>
      <c r="P575" s="135" t="s">
        <v>464</v>
      </c>
      <c r="Q575" s="135">
        <v>1760.77</v>
      </c>
      <c r="R575" s="187">
        <v>166</v>
      </c>
      <c r="S575" s="56"/>
      <c r="T575" s="56"/>
      <c r="U575" s="56"/>
      <c r="V575" s="56"/>
      <c r="W575" s="56"/>
      <c r="X575" s="56"/>
      <c r="Y575" s="56"/>
      <c r="Z575" s="56"/>
      <c r="AA575" s="56"/>
    </row>
    <row r="576" spans="2:27" ht="30" hidden="1" customHeight="1" x14ac:dyDescent="0.25">
      <c r="B576" s="51"/>
      <c r="C576" s="51"/>
      <c r="D576" s="51"/>
      <c r="E576" s="63" t="s">
        <v>454</v>
      </c>
      <c r="F576" s="422">
        <v>2011</v>
      </c>
      <c r="G576" s="135" t="s">
        <v>1245</v>
      </c>
      <c r="H576" s="422">
        <v>2017</v>
      </c>
      <c r="I576" s="135" t="s">
        <v>460</v>
      </c>
      <c r="J576" s="135" t="s">
        <v>967</v>
      </c>
      <c r="K576" s="135" t="s">
        <v>480</v>
      </c>
      <c r="L576" s="135" t="s">
        <v>102</v>
      </c>
      <c r="M576" s="135" t="s">
        <v>103</v>
      </c>
      <c r="N576" s="135" t="s">
        <v>964</v>
      </c>
      <c r="O576" s="135" t="s">
        <v>861</v>
      </c>
      <c r="P576" s="135" t="s">
        <v>464</v>
      </c>
      <c r="Q576" s="135">
        <v>2509.33</v>
      </c>
      <c r="R576" s="187">
        <v>165</v>
      </c>
      <c r="S576" s="56"/>
      <c r="T576" s="56"/>
      <c r="U576" s="56"/>
      <c r="V576" s="56"/>
      <c r="W576" s="56"/>
      <c r="X576" s="56"/>
      <c r="Y576" s="56"/>
      <c r="Z576" s="56"/>
      <c r="AA576" s="56"/>
    </row>
    <row r="577" spans="2:27" ht="30" hidden="1" customHeight="1" x14ac:dyDescent="0.25">
      <c r="B577" s="51"/>
      <c r="C577" s="51"/>
      <c r="D577" s="51"/>
      <c r="E577" s="63" t="s">
        <v>454</v>
      </c>
      <c r="F577" s="422">
        <v>2011</v>
      </c>
      <c r="G577" s="135" t="s">
        <v>1245</v>
      </c>
      <c r="H577" s="422"/>
      <c r="I577" s="135" t="s">
        <v>460</v>
      </c>
      <c r="J577" s="135" t="s">
        <v>963</v>
      </c>
      <c r="K577" s="135" t="s">
        <v>465</v>
      </c>
      <c r="L577" s="135" t="s">
        <v>106</v>
      </c>
      <c r="M577" s="135" t="s">
        <v>273</v>
      </c>
      <c r="N577" s="135" t="s">
        <v>965</v>
      </c>
      <c r="O577" s="135" t="s">
        <v>862</v>
      </c>
      <c r="P577" s="135" t="s">
        <v>459</v>
      </c>
      <c r="Q577" s="135">
        <v>2376.14</v>
      </c>
      <c r="R577" s="187">
        <v>165</v>
      </c>
      <c r="S577" s="56"/>
      <c r="T577" s="56"/>
      <c r="U577" s="56"/>
      <c r="V577" s="56"/>
      <c r="W577" s="56"/>
      <c r="X577" s="56"/>
      <c r="Y577" s="56"/>
      <c r="Z577" s="56"/>
      <c r="AA577" s="56"/>
    </row>
    <row r="578" spans="2:27" ht="30" hidden="1" customHeight="1" x14ac:dyDescent="0.25">
      <c r="B578" s="51"/>
      <c r="C578" s="51"/>
      <c r="D578" s="51"/>
      <c r="E578" s="63" t="s">
        <v>454</v>
      </c>
      <c r="F578" s="422">
        <v>2011</v>
      </c>
      <c r="G578" s="135" t="s">
        <v>1245</v>
      </c>
      <c r="H578" s="422"/>
      <c r="I578" s="135" t="s">
        <v>460</v>
      </c>
      <c r="J578" s="135" t="s">
        <v>966</v>
      </c>
      <c r="K578" s="135" t="s">
        <v>562</v>
      </c>
      <c r="L578" s="135" t="s">
        <v>108</v>
      </c>
      <c r="M578" s="135" t="s">
        <v>182</v>
      </c>
      <c r="N578" s="135" t="s">
        <v>965</v>
      </c>
      <c r="O578" s="135" t="s">
        <v>626</v>
      </c>
      <c r="P578" s="135" t="s">
        <v>459</v>
      </c>
      <c r="Q578" s="135">
        <v>2257.08</v>
      </c>
      <c r="R578" s="187">
        <v>164</v>
      </c>
      <c r="S578" s="56"/>
      <c r="T578" s="56"/>
      <c r="U578" s="56"/>
      <c r="V578" s="56"/>
      <c r="W578" s="56"/>
      <c r="X578" s="56"/>
      <c r="Y578" s="56"/>
      <c r="Z578" s="56"/>
      <c r="AA578" s="56"/>
    </row>
    <row r="579" spans="2:27" ht="30" hidden="1" customHeight="1" x14ac:dyDescent="0.25">
      <c r="B579" s="51"/>
      <c r="C579" s="51"/>
      <c r="D579" s="51"/>
      <c r="E579" s="63" t="s">
        <v>454</v>
      </c>
      <c r="F579" s="422">
        <v>2011</v>
      </c>
      <c r="G579" s="135" t="s">
        <v>1246</v>
      </c>
      <c r="H579" s="422"/>
      <c r="I579" s="135" t="s">
        <v>460</v>
      </c>
      <c r="J579" s="135" t="s">
        <v>967</v>
      </c>
      <c r="K579" s="135" t="s">
        <v>553</v>
      </c>
      <c r="L579" s="135" t="s">
        <v>82</v>
      </c>
      <c r="M579" s="135" t="s">
        <v>128</v>
      </c>
      <c r="N579" s="135" t="s">
        <v>965</v>
      </c>
      <c r="O579" s="135" t="s">
        <v>863</v>
      </c>
      <c r="P579" s="135" t="s">
        <v>459</v>
      </c>
      <c r="Q579" s="135">
        <v>2348.7199999999998</v>
      </c>
      <c r="R579" s="187">
        <v>163</v>
      </c>
      <c r="S579" s="56"/>
      <c r="T579" s="56"/>
      <c r="U579" s="56"/>
      <c r="V579" s="56"/>
      <c r="W579" s="56"/>
      <c r="X579" s="56"/>
      <c r="Y579" s="56"/>
      <c r="Z579" s="56"/>
      <c r="AA579" s="56"/>
    </row>
    <row r="580" spans="2:27" ht="30" hidden="1" customHeight="1" x14ac:dyDescent="0.25">
      <c r="B580" s="51"/>
      <c r="C580" s="51"/>
      <c r="D580" s="51"/>
      <c r="E580" s="63" t="s">
        <v>454</v>
      </c>
      <c r="F580" s="422">
        <v>2011</v>
      </c>
      <c r="G580" s="135" t="s">
        <v>1247</v>
      </c>
      <c r="H580" s="422"/>
      <c r="I580" s="135" t="s">
        <v>460</v>
      </c>
      <c r="J580" s="135" t="s">
        <v>966</v>
      </c>
      <c r="K580" s="135" t="s">
        <v>469</v>
      </c>
      <c r="L580" s="135" t="s">
        <v>85</v>
      </c>
      <c r="M580" s="135" t="s">
        <v>331</v>
      </c>
      <c r="N580" s="135" t="s">
        <v>965</v>
      </c>
      <c r="O580" s="135" t="s">
        <v>864</v>
      </c>
      <c r="P580" s="135" t="s">
        <v>459</v>
      </c>
      <c r="Q580" s="135">
        <v>3002.2000000000003</v>
      </c>
      <c r="R580" s="187">
        <v>162</v>
      </c>
      <c r="S580" s="56"/>
      <c r="T580" s="56"/>
      <c r="U580" s="56"/>
      <c r="V580" s="56"/>
      <c r="W580" s="56"/>
      <c r="X580" s="56"/>
      <c r="Y580" s="56"/>
      <c r="Z580" s="56"/>
      <c r="AA580" s="56"/>
    </row>
    <row r="581" spans="2:27" ht="30" hidden="1" customHeight="1" x14ac:dyDescent="0.25">
      <c r="B581" s="51"/>
      <c r="C581" s="51"/>
      <c r="D581" s="51"/>
      <c r="E581" s="63" t="s">
        <v>454</v>
      </c>
      <c r="F581" s="422">
        <v>2011</v>
      </c>
      <c r="G581" s="135" t="s">
        <v>1247</v>
      </c>
      <c r="H581" s="422"/>
      <c r="I581" s="135" t="s">
        <v>460</v>
      </c>
      <c r="J581" s="135" t="s">
        <v>966</v>
      </c>
      <c r="K581" s="135" t="s">
        <v>499</v>
      </c>
      <c r="L581" s="135" t="s">
        <v>88</v>
      </c>
      <c r="M581" s="135" t="s">
        <v>244</v>
      </c>
      <c r="N581" s="135" t="s">
        <v>965</v>
      </c>
      <c r="O581" s="135" t="s">
        <v>865</v>
      </c>
      <c r="P581" s="135" t="s">
        <v>459</v>
      </c>
      <c r="Q581" s="135">
        <v>1957.94</v>
      </c>
      <c r="R581" s="187">
        <v>161</v>
      </c>
      <c r="S581" s="56"/>
      <c r="T581" s="56"/>
      <c r="U581" s="56"/>
      <c r="V581" s="56"/>
      <c r="W581" s="56"/>
      <c r="X581" s="56"/>
      <c r="Y581" s="56"/>
      <c r="Z581" s="56"/>
      <c r="AA581" s="56"/>
    </row>
    <row r="582" spans="2:27" ht="30" hidden="1" customHeight="1" x14ac:dyDescent="0.25">
      <c r="B582" s="51"/>
      <c r="C582" s="51"/>
      <c r="D582" s="51"/>
      <c r="E582" s="63" t="s">
        <v>454</v>
      </c>
      <c r="F582" s="422">
        <v>2011</v>
      </c>
      <c r="G582" s="135" t="s">
        <v>1247</v>
      </c>
      <c r="H582" s="422"/>
      <c r="I582" s="135" t="s">
        <v>460</v>
      </c>
      <c r="J582" s="135" t="s">
        <v>969</v>
      </c>
      <c r="K582" s="135" t="s">
        <v>575</v>
      </c>
      <c r="L582" s="135" t="s">
        <v>143</v>
      </c>
      <c r="M582" s="135" t="s">
        <v>144</v>
      </c>
      <c r="N582" s="135" t="s">
        <v>964</v>
      </c>
      <c r="O582" s="135" t="s">
        <v>838</v>
      </c>
      <c r="P582" s="135" t="s">
        <v>459</v>
      </c>
      <c r="Q582" s="135">
        <v>2687.7799999999997</v>
      </c>
      <c r="R582" s="187">
        <v>160</v>
      </c>
      <c r="S582" s="56"/>
      <c r="T582" s="56"/>
      <c r="U582" s="56"/>
      <c r="V582" s="56"/>
      <c r="W582" s="56"/>
      <c r="X582" s="56"/>
      <c r="Y582" s="56"/>
      <c r="Z582" s="56"/>
      <c r="AA582" s="56"/>
    </row>
    <row r="583" spans="2:27" ht="30" hidden="1" customHeight="1" x14ac:dyDescent="0.25">
      <c r="B583" s="51"/>
      <c r="C583" s="51"/>
      <c r="D583" s="51"/>
      <c r="E583" s="63" t="s">
        <v>454</v>
      </c>
      <c r="F583" s="422">
        <v>2011</v>
      </c>
      <c r="G583" s="135" t="s">
        <v>1247</v>
      </c>
      <c r="H583" s="422"/>
      <c r="I583" s="135" t="s">
        <v>460</v>
      </c>
      <c r="J583" s="135" t="s">
        <v>966</v>
      </c>
      <c r="K583" s="135" t="s">
        <v>499</v>
      </c>
      <c r="L583" s="135" t="s">
        <v>88</v>
      </c>
      <c r="M583" s="135" t="s">
        <v>236</v>
      </c>
      <c r="N583" s="135" t="s">
        <v>965</v>
      </c>
      <c r="O583" s="135" t="s">
        <v>866</v>
      </c>
      <c r="P583" s="135" t="s">
        <v>459</v>
      </c>
      <c r="Q583" s="135">
        <v>2893.39</v>
      </c>
      <c r="R583" s="187">
        <v>159</v>
      </c>
      <c r="S583" s="56"/>
      <c r="T583" s="56"/>
      <c r="U583" s="56"/>
      <c r="V583" s="56"/>
      <c r="W583" s="56"/>
      <c r="X583" s="56"/>
      <c r="Y583" s="56"/>
      <c r="Z583" s="56"/>
      <c r="AA583" s="56"/>
    </row>
    <row r="584" spans="2:27" ht="30" hidden="1" customHeight="1" x14ac:dyDescent="0.25">
      <c r="B584" s="51"/>
      <c r="C584" s="51"/>
      <c r="D584" s="51"/>
      <c r="E584" s="63" t="s">
        <v>454</v>
      </c>
      <c r="F584" s="422">
        <v>2011</v>
      </c>
      <c r="G584" s="135" t="s">
        <v>1247</v>
      </c>
      <c r="H584" s="422"/>
      <c r="I584" s="135" t="s">
        <v>460</v>
      </c>
      <c r="J584" s="135" t="s">
        <v>967</v>
      </c>
      <c r="K584" s="135" t="s">
        <v>486</v>
      </c>
      <c r="L584" s="135" t="s">
        <v>283</v>
      </c>
      <c r="M584" s="135" t="s">
        <v>587</v>
      </c>
      <c r="N584" s="135" t="s">
        <v>964</v>
      </c>
      <c r="O584" s="135" t="s">
        <v>867</v>
      </c>
      <c r="P584" s="135" t="s">
        <v>459</v>
      </c>
      <c r="Q584" s="135">
        <v>2657.8700000000003</v>
      </c>
      <c r="R584" s="187">
        <v>159</v>
      </c>
      <c r="S584" s="56"/>
      <c r="T584" s="56"/>
      <c r="U584" s="56"/>
      <c r="V584" s="56"/>
      <c r="W584" s="56"/>
      <c r="X584" s="56"/>
      <c r="Y584" s="56"/>
      <c r="Z584" s="56"/>
      <c r="AA584" s="56"/>
    </row>
    <row r="585" spans="2:27" ht="30" hidden="1" customHeight="1" x14ac:dyDescent="0.25">
      <c r="B585" s="51"/>
      <c r="C585" s="51"/>
      <c r="D585" s="51"/>
      <c r="E585" s="63" t="s">
        <v>454</v>
      </c>
      <c r="F585" s="422">
        <v>2011</v>
      </c>
      <c r="G585" s="135" t="s">
        <v>1247</v>
      </c>
      <c r="H585" s="422"/>
      <c r="I585" s="135" t="s">
        <v>460</v>
      </c>
      <c r="J585" s="135" t="s">
        <v>963</v>
      </c>
      <c r="K585" s="135" t="s">
        <v>465</v>
      </c>
      <c r="L585" s="135" t="s">
        <v>106</v>
      </c>
      <c r="M585" s="135" t="s">
        <v>272</v>
      </c>
      <c r="N585" s="135" t="s">
        <v>965</v>
      </c>
      <c r="O585" s="135" t="s">
        <v>271</v>
      </c>
      <c r="P585" s="135" t="s">
        <v>459</v>
      </c>
      <c r="Q585" s="135">
        <v>2239.19</v>
      </c>
      <c r="R585" s="187">
        <v>157</v>
      </c>
      <c r="S585" s="56"/>
      <c r="T585" s="56"/>
      <c r="U585" s="56"/>
      <c r="V585" s="56"/>
      <c r="W585" s="56"/>
      <c r="X585" s="56"/>
      <c r="Y585" s="56"/>
      <c r="Z585" s="56"/>
      <c r="AA585" s="56"/>
    </row>
    <row r="586" spans="2:27" ht="30" hidden="1" customHeight="1" x14ac:dyDescent="0.25">
      <c r="B586" s="51"/>
      <c r="C586" s="51"/>
      <c r="D586" s="51"/>
      <c r="E586" s="63" t="s">
        <v>454</v>
      </c>
      <c r="F586" s="422">
        <v>2011</v>
      </c>
      <c r="G586" s="135" t="s">
        <v>1247</v>
      </c>
      <c r="H586" s="422"/>
      <c r="I586" s="135" t="s">
        <v>460</v>
      </c>
      <c r="J586" s="135" t="s">
        <v>969</v>
      </c>
      <c r="K586" s="135" t="s">
        <v>519</v>
      </c>
      <c r="L586" s="135" t="s">
        <v>186</v>
      </c>
      <c r="M586" s="135" t="s">
        <v>187</v>
      </c>
      <c r="N586" s="135" t="s">
        <v>964</v>
      </c>
      <c r="O586" s="135" t="s">
        <v>868</v>
      </c>
      <c r="P586" s="135" t="s">
        <v>459</v>
      </c>
      <c r="Q586" s="135">
        <v>2875.1899999999996</v>
      </c>
      <c r="R586" s="187">
        <v>156</v>
      </c>
      <c r="S586" s="56"/>
      <c r="T586" s="56"/>
      <c r="U586" s="56"/>
      <c r="V586" s="56"/>
      <c r="W586" s="56"/>
      <c r="X586" s="56"/>
      <c r="Y586" s="56"/>
      <c r="Z586" s="56"/>
      <c r="AA586" s="56"/>
    </row>
    <row r="587" spans="2:27" ht="30" hidden="1" customHeight="1" x14ac:dyDescent="0.25">
      <c r="B587" s="51"/>
      <c r="C587" s="51"/>
      <c r="D587" s="51"/>
      <c r="E587" s="63" t="s">
        <v>451</v>
      </c>
      <c r="F587" s="422">
        <v>2011</v>
      </c>
      <c r="G587" s="135" t="s">
        <v>1247</v>
      </c>
      <c r="H587" s="422"/>
      <c r="I587" s="135" t="s">
        <v>460</v>
      </c>
      <c r="J587" s="135" t="s">
        <v>966</v>
      </c>
      <c r="K587" s="135" t="s">
        <v>469</v>
      </c>
      <c r="L587" s="135" t="s">
        <v>85</v>
      </c>
      <c r="M587" s="135" t="s">
        <v>299</v>
      </c>
      <c r="N587" s="135" t="s">
        <v>965</v>
      </c>
      <c r="O587" s="135" t="s">
        <v>355</v>
      </c>
      <c r="P587" s="135" t="s">
        <v>459</v>
      </c>
      <c r="Q587" s="135">
        <v>530.12</v>
      </c>
      <c r="R587" s="187">
        <v>155</v>
      </c>
      <c r="S587" s="56"/>
      <c r="T587" s="56"/>
      <c r="U587" s="56"/>
      <c r="V587" s="56"/>
      <c r="W587" s="56"/>
      <c r="X587" s="56"/>
      <c r="Y587" s="56"/>
      <c r="Z587" s="56"/>
      <c r="AA587" s="56"/>
    </row>
    <row r="588" spans="2:27" ht="30" hidden="1" customHeight="1" x14ac:dyDescent="0.25">
      <c r="B588" s="51"/>
      <c r="C588" s="51"/>
      <c r="D588" s="51"/>
      <c r="E588" s="63" t="s">
        <v>454</v>
      </c>
      <c r="F588" s="422">
        <v>2011</v>
      </c>
      <c r="G588" s="135" t="s">
        <v>1247</v>
      </c>
      <c r="H588" s="422"/>
      <c r="I588" s="135" t="s">
        <v>460</v>
      </c>
      <c r="J588" s="135" t="s">
        <v>966</v>
      </c>
      <c r="K588" s="135" t="s">
        <v>469</v>
      </c>
      <c r="L588" s="135" t="s">
        <v>85</v>
      </c>
      <c r="M588" s="135" t="s">
        <v>674</v>
      </c>
      <c r="N588" s="135" t="s">
        <v>965</v>
      </c>
      <c r="O588" s="135" t="s">
        <v>675</v>
      </c>
      <c r="P588" s="135" t="s">
        <v>459</v>
      </c>
      <c r="Q588" s="135">
        <v>2403.6</v>
      </c>
      <c r="R588" s="187">
        <v>155</v>
      </c>
      <c r="S588" s="56"/>
      <c r="T588" s="56"/>
      <c r="U588" s="56"/>
      <c r="V588" s="56"/>
      <c r="W588" s="56"/>
      <c r="X588" s="56"/>
      <c r="Y588" s="56"/>
      <c r="Z588" s="56"/>
      <c r="AA588" s="56"/>
    </row>
    <row r="589" spans="2:27" ht="30" hidden="1" customHeight="1" x14ac:dyDescent="0.25">
      <c r="B589" s="51"/>
      <c r="C589" s="51"/>
      <c r="D589" s="51"/>
      <c r="E589" s="63" t="s">
        <v>454</v>
      </c>
      <c r="F589" s="422">
        <v>2011</v>
      </c>
      <c r="G589" s="135" t="s">
        <v>1247</v>
      </c>
      <c r="H589" s="422"/>
      <c r="I589" s="135" t="s">
        <v>460</v>
      </c>
      <c r="J589" s="135" t="s">
        <v>966</v>
      </c>
      <c r="K589" s="135" t="s">
        <v>469</v>
      </c>
      <c r="L589" s="135" t="s">
        <v>85</v>
      </c>
      <c r="M589" s="135" t="s">
        <v>299</v>
      </c>
      <c r="N589" s="135" t="s">
        <v>965</v>
      </c>
      <c r="O589" s="135" t="s">
        <v>355</v>
      </c>
      <c r="P589" s="135" t="s">
        <v>459</v>
      </c>
      <c r="Q589" s="135">
        <v>2912.94</v>
      </c>
      <c r="R589" s="187">
        <v>155</v>
      </c>
      <c r="S589" s="56"/>
      <c r="T589" s="56"/>
      <c r="U589" s="56"/>
      <c r="V589" s="56"/>
      <c r="W589" s="56"/>
      <c r="X589" s="56"/>
      <c r="Y589" s="56"/>
      <c r="Z589" s="56"/>
      <c r="AA589" s="56"/>
    </row>
    <row r="590" spans="2:27" ht="30" hidden="1" customHeight="1" x14ac:dyDescent="0.25">
      <c r="B590" s="51"/>
      <c r="C590" s="51"/>
      <c r="D590" s="51"/>
      <c r="E590" s="63" t="s">
        <v>454</v>
      </c>
      <c r="F590" s="422">
        <v>2010</v>
      </c>
      <c r="G590" s="135" t="s">
        <v>1248</v>
      </c>
      <c r="H590" s="422"/>
      <c r="I590" s="135" t="s">
        <v>460</v>
      </c>
      <c r="J590" s="135" t="s">
        <v>966</v>
      </c>
      <c r="K590" s="135" t="s">
        <v>469</v>
      </c>
      <c r="L590" s="135" t="s">
        <v>85</v>
      </c>
      <c r="M590" s="135" t="s">
        <v>309</v>
      </c>
      <c r="N590" s="135" t="s">
        <v>965</v>
      </c>
      <c r="O590" s="135" t="s">
        <v>310</v>
      </c>
      <c r="P590" s="135" t="s">
        <v>459</v>
      </c>
      <c r="Q590" s="135">
        <v>2130.89</v>
      </c>
      <c r="R590" s="187">
        <v>152</v>
      </c>
      <c r="S590" s="56"/>
      <c r="T590" s="56"/>
      <c r="U590" s="56"/>
      <c r="V590" s="56"/>
      <c r="W590" s="56"/>
      <c r="X590" s="56"/>
      <c r="Y590" s="56"/>
      <c r="Z590" s="56"/>
      <c r="AA590" s="56"/>
    </row>
    <row r="591" spans="2:27" ht="30" hidden="1" customHeight="1" x14ac:dyDescent="0.25">
      <c r="B591" s="51"/>
      <c r="C591" s="51"/>
      <c r="D591" s="51"/>
      <c r="E591" s="63" t="s">
        <v>454</v>
      </c>
      <c r="F591" s="422">
        <v>2010</v>
      </c>
      <c r="G591" s="135" t="s">
        <v>1248</v>
      </c>
      <c r="H591" s="422"/>
      <c r="I591" s="135" t="s">
        <v>460</v>
      </c>
      <c r="J591" s="135" t="s">
        <v>963</v>
      </c>
      <c r="K591" s="135" t="s">
        <v>461</v>
      </c>
      <c r="L591" s="135" t="s">
        <v>253</v>
      </c>
      <c r="M591" s="135" t="s">
        <v>262</v>
      </c>
      <c r="N591" s="135" t="s">
        <v>965</v>
      </c>
      <c r="O591" s="135" t="s">
        <v>869</v>
      </c>
      <c r="P591" s="135" t="s">
        <v>459</v>
      </c>
      <c r="Q591" s="135">
        <v>1740.85</v>
      </c>
      <c r="R591" s="187">
        <v>151</v>
      </c>
      <c r="S591" s="56"/>
      <c r="T591" s="56"/>
      <c r="U591" s="56"/>
      <c r="V591" s="56"/>
      <c r="W591" s="56"/>
      <c r="X591" s="56"/>
      <c r="Y591" s="56"/>
      <c r="Z591" s="56"/>
      <c r="AA591" s="56"/>
    </row>
    <row r="592" spans="2:27" ht="30" hidden="1" customHeight="1" x14ac:dyDescent="0.25">
      <c r="B592" s="51"/>
      <c r="C592" s="51"/>
      <c r="D592" s="51"/>
      <c r="E592" s="63" t="s">
        <v>454</v>
      </c>
      <c r="F592" s="422">
        <v>2010</v>
      </c>
      <c r="G592" s="135" t="s">
        <v>1248</v>
      </c>
      <c r="H592" s="422"/>
      <c r="I592" s="135" t="s">
        <v>460</v>
      </c>
      <c r="J592" s="135" t="s">
        <v>966</v>
      </c>
      <c r="K592" s="135" t="s">
        <v>499</v>
      </c>
      <c r="L592" s="135" t="s">
        <v>88</v>
      </c>
      <c r="M592" s="135" t="s">
        <v>241</v>
      </c>
      <c r="N592" s="135" t="s">
        <v>965</v>
      </c>
      <c r="O592" s="135" t="s">
        <v>870</v>
      </c>
      <c r="P592" s="135" t="s">
        <v>459</v>
      </c>
      <c r="Q592" s="135">
        <v>1887.01</v>
      </c>
      <c r="R592" s="187">
        <v>151</v>
      </c>
      <c r="S592" s="56"/>
      <c r="T592" s="56"/>
      <c r="U592" s="56"/>
      <c r="V592" s="56"/>
      <c r="W592" s="56"/>
      <c r="X592" s="56"/>
      <c r="Y592" s="56"/>
      <c r="Z592" s="56"/>
      <c r="AA592" s="56"/>
    </row>
    <row r="593" spans="2:27" ht="30" hidden="1" customHeight="1" x14ac:dyDescent="0.25">
      <c r="B593" s="51"/>
      <c r="C593" s="51"/>
      <c r="D593" s="51"/>
      <c r="E593" s="63" t="s">
        <v>454</v>
      </c>
      <c r="F593" s="422">
        <v>2010</v>
      </c>
      <c r="G593" s="135" t="s">
        <v>1248</v>
      </c>
      <c r="H593" s="422"/>
      <c r="I593" s="135" t="s">
        <v>460</v>
      </c>
      <c r="J593" s="135" t="s">
        <v>967</v>
      </c>
      <c r="K593" s="135" t="s">
        <v>553</v>
      </c>
      <c r="L593" s="135" t="s">
        <v>82</v>
      </c>
      <c r="M593" s="135" t="s">
        <v>130</v>
      </c>
      <c r="N593" s="135" t="s">
        <v>964</v>
      </c>
      <c r="O593" s="135" t="s">
        <v>707</v>
      </c>
      <c r="P593" s="135" t="s">
        <v>459</v>
      </c>
      <c r="Q593" s="135">
        <v>2869.9</v>
      </c>
      <c r="R593" s="187">
        <v>149</v>
      </c>
      <c r="S593" s="56"/>
      <c r="T593" s="56"/>
      <c r="U593" s="56"/>
      <c r="V593" s="56"/>
      <c r="W593" s="56"/>
      <c r="X593" s="56"/>
      <c r="Y593" s="56"/>
      <c r="Z593" s="56"/>
      <c r="AA593" s="56"/>
    </row>
    <row r="594" spans="2:27" ht="30" hidden="1" customHeight="1" x14ac:dyDescent="0.25">
      <c r="B594" s="51"/>
      <c r="C594" s="51"/>
      <c r="D594" s="51"/>
      <c r="E594" s="63" t="s">
        <v>454</v>
      </c>
      <c r="F594" s="422">
        <v>2010</v>
      </c>
      <c r="G594" s="135" t="s">
        <v>1248</v>
      </c>
      <c r="H594" s="422"/>
      <c r="I594" s="135" t="s">
        <v>460</v>
      </c>
      <c r="J594" s="135" t="s">
        <v>966</v>
      </c>
      <c r="K594" s="135" t="s">
        <v>469</v>
      </c>
      <c r="L594" s="135" t="s">
        <v>85</v>
      </c>
      <c r="M594" s="135" t="s">
        <v>307</v>
      </c>
      <c r="N594" s="135" t="s">
        <v>965</v>
      </c>
      <c r="O594" s="135" t="s">
        <v>871</v>
      </c>
      <c r="P594" s="135" t="s">
        <v>459</v>
      </c>
      <c r="Q594" s="135">
        <v>2412.8599999999997</v>
      </c>
      <c r="R594" s="187">
        <v>148</v>
      </c>
      <c r="S594" s="56"/>
      <c r="T594" s="56"/>
      <c r="U594" s="56"/>
      <c r="V594" s="56"/>
      <c r="W594" s="56"/>
      <c r="X594" s="56"/>
      <c r="Y594" s="56"/>
      <c r="Z594" s="56"/>
      <c r="AA594" s="56"/>
    </row>
    <row r="595" spans="2:27" ht="30" hidden="1" customHeight="1" x14ac:dyDescent="0.25">
      <c r="B595" s="51"/>
      <c r="C595" s="51"/>
      <c r="D595" s="51"/>
      <c r="E595" s="63" t="s">
        <v>454</v>
      </c>
      <c r="F595" s="422">
        <v>2010</v>
      </c>
      <c r="G595" s="135" t="s">
        <v>1248</v>
      </c>
      <c r="H595" s="422"/>
      <c r="I595" s="135" t="s">
        <v>460</v>
      </c>
      <c r="J595" s="135" t="s">
        <v>963</v>
      </c>
      <c r="K595" s="135" t="s">
        <v>461</v>
      </c>
      <c r="L595" s="135" t="s">
        <v>253</v>
      </c>
      <c r="M595" s="135" t="s">
        <v>255</v>
      </c>
      <c r="N595" s="135" t="s">
        <v>965</v>
      </c>
      <c r="O595" s="135" t="s">
        <v>872</v>
      </c>
      <c r="P595" s="135" t="s">
        <v>459</v>
      </c>
      <c r="Q595" s="135">
        <v>1996</v>
      </c>
      <c r="R595" s="187">
        <v>147</v>
      </c>
      <c r="S595" s="56"/>
      <c r="T595" s="56"/>
      <c r="U595" s="56"/>
      <c r="V595" s="56"/>
      <c r="W595" s="56"/>
      <c r="X595" s="56"/>
      <c r="Y595" s="56"/>
      <c r="Z595" s="56"/>
      <c r="AA595" s="56"/>
    </row>
    <row r="596" spans="2:27" ht="30" hidden="1" customHeight="1" x14ac:dyDescent="0.25">
      <c r="B596" s="51"/>
      <c r="C596" s="51"/>
      <c r="D596" s="51"/>
      <c r="E596" s="63" t="s">
        <v>454</v>
      </c>
      <c r="F596" s="422">
        <v>2010</v>
      </c>
      <c r="G596" s="135" t="s">
        <v>1248</v>
      </c>
      <c r="H596" s="422"/>
      <c r="I596" s="135" t="s">
        <v>460</v>
      </c>
      <c r="J596" s="135" t="s">
        <v>967</v>
      </c>
      <c r="K596" s="135" t="s">
        <v>553</v>
      </c>
      <c r="L596" s="135" t="s">
        <v>82</v>
      </c>
      <c r="M596" s="135" t="s">
        <v>130</v>
      </c>
      <c r="N596" s="135" t="s">
        <v>964</v>
      </c>
      <c r="O596" s="135" t="s">
        <v>873</v>
      </c>
      <c r="P596" s="135" t="s">
        <v>459</v>
      </c>
      <c r="Q596" s="135">
        <v>2772.54</v>
      </c>
      <c r="R596" s="187">
        <v>147</v>
      </c>
      <c r="S596" s="56"/>
      <c r="T596" s="56"/>
      <c r="U596" s="56"/>
      <c r="V596" s="56"/>
      <c r="W596" s="56"/>
      <c r="X596" s="56"/>
      <c r="Y596" s="56"/>
      <c r="Z596" s="56"/>
      <c r="AA596" s="56"/>
    </row>
    <row r="597" spans="2:27" ht="30" hidden="1" customHeight="1" x14ac:dyDescent="0.25">
      <c r="B597" s="51"/>
      <c r="C597" s="51"/>
      <c r="D597" s="51"/>
      <c r="E597" s="63" t="s">
        <v>451</v>
      </c>
      <c r="F597" s="422">
        <v>2010</v>
      </c>
      <c r="G597" s="135" t="s">
        <v>1248</v>
      </c>
      <c r="H597" s="422"/>
      <c r="I597" s="135" t="s">
        <v>460</v>
      </c>
      <c r="J597" s="135" t="s">
        <v>966</v>
      </c>
      <c r="K597" s="135" t="s">
        <v>562</v>
      </c>
      <c r="L597" s="135" t="s">
        <v>108</v>
      </c>
      <c r="M597" s="135" t="s">
        <v>109</v>
      </c>
      <c r="N597" s="135" t="s">
        <v>964</v>
      </c>
      <c r="O597" s="135" t="s">
        <v>874</v>
      </c>
      <c r="P597" s="135" t="s">
        <v>459</v>
      </c>
      <c r="Q597" s="135">
        <v>556.13</v>
      </c>
      <c r="R597" s="187">
        <v>145</v>
      </c>
      <c r="S597" s="56"/>
      <c r="T597" s="56"/>
      <c r="U597" s="56"/>
      <c r="V597" s="56"/>
      <c r="W597" s="56"/>
      <c r="X597" s="56"/>
      <c r="Y597" s="56"/>
      <c r="Z597" s="56"/>
      <c r="AA597" s="56"/>
    </row>
    <row r="598" spans="2:27" ht="30" hidden="1" customHeight="1" x14ac:dyDescent="0.25">
      <c r="B598" s="51"/>
      <c r="C598" s="51"/>
      <c r="D598" s="51"/>
      <c r="E598" s="63" t="s">
        <v>454</v>
      </c>
      <c r="F598" s="422">
        <v>2010</v>
      </c>
      <c r="G598" s="135" t="s">
        <v>1248</v>
      </c>
      <c r="H598" s="422"/>
      <c r="I598" s="135" t="s">
        <v>460</v>
      </c>
      <c r="J598" s="135" t="s">
        <v>966</v>
      </c>
      <c r="K598" s="135" t="s">
        <v>562</v>
      </c>
      <c r="L598" s="135" t="s">
        <v>108</v>
      </c>
      <c r="M598" s="135" t="s">
        <v>109</v>
      </c>
      <c r="N598" s="135" t="s">
        <v>964</v>
      </c>
      <c r="O598" s="135" t="s">
        <v>875</v>
      </c>
      <c r="P598" s="135" t="s">
        <v>459</v>
      </c>
      <c r="Q598" s="135">
        <v>3113.04</v>
      </c>
      <c r="R598" s="187">
        <v>144</v>
      </c>
      <c r="S598" s="56"/>
      <c r="T598" s="56"/>
      <c r="U598" s="56"/>
      <c r="V598" s="56"/>
      <c r="W598" s="56"/>
      <c r="X598" s="56"/>
      <c r="Y598" s="56"/>
      <c r="Z598" s="56"/>
      <c r="AA598" s="56"/>
    </row>
    <row r="599" spans="2:27" ht="30" hidden="1" customHeight="1" x14ac:dyDescent="0.25">
      <c r="B599" s="51"/>
      <c r="C599" s="51"/>
      <c r="D599" s="51"/>
      <c r="E599" s="63" t="s">
        <v>454</v>
      </c>
      <c r="F599" s="422">
        <v>2010</v>
      </c>
      <c r="G599" s="135" t="s">
        <v>1249</v>
      </c>
      <c r="H599" s="422"/>
      <c r="I599" s="135" t="s">
        <v>460</v>
      </c>
      <c r="J599" s="135" t="s">
        <v>971</v>
      </c>
      <c r="K599" s="135" t="s">
        <v>600</v>
      </c>
      <c r="L599" s="135" t="s">
        <v>357</v>
      </c>
      <c r="M599" s="135" t="s">
        <v>358</v>
      </c>
      <c r="N599" s="135" t="s">
        <v>964</v>
      </c>
      <c r="O599" s="135" t="s">
        <v>601</v>
      </c>
      <c r="P599" s="135" t="s">
        <v>459</v>
      </c>
      <c r="Q599" s="135">
        <v>2725.63</v>
      </c>
      <c r="R599" s="187">
        <v>143</v>
      </c>
      <c r="S599" s="56"/>
      <c r="T599" s="56"/>
      <c r="U599" s="56"/>
      <c r="V599" s="56"/>
      <c r="W599" s="56"/>
      <c r="X599" s="56"/>
      <c r="Y599" s="56"/>
      <c r="Z599" s="56"/>
      <c r="AA599" s="56"/>
    </row>
    <row r="600" spans="2:27" ht="30" hidden="1" customHeight="1" x14ac:dyDescent="0.25">
      <c r="B600" s="51"/>
      <c r="C600" s="51"/>
      <c r="D600" s="51"/>
      <c r="E600" s="63" t="s">
        <v>454</v>
      </c>
      <c r="F600" s="422">
        <v>2010</v>
      </c>
      <c r="G600" s="135" t="s">
        <v>1250</v>
      </c>
      <c r="H600" s="422"/>
      <c r="I600" s="135" t="s">
        <v>460</v>
      </c>
      <c r="J600" s="135" t="s">
        <v>966</v>
      </c>
      <c r="K600" s="135" t="s">
        <v>469</v>
      </c>
      <c r="L600" s="135" t="s">
        <v>85</v>
      </c>
      <c r="M600" s="135" t="s">
        <v>85</v>
      </c>
      <c r="N600" s="135" t="s">
        <v>964</v>
      </c>
      <c r="O600" s="135" t="s">
        <v>876</v>
      </c>
      <c r="P600" s="135" t="s">
        <v>459</v>
      </c>
      <c r="Q600" s="135">
        <v>2663.89</v>
      </c>
      <c r="R600" s="187">
        <v>142</v>
      </c>
      <c r="S600" s="56"/>
      <c r="T600" s="56"/>
      <c r="U600" s="56"/>
      <c r="V600" s="56"/>
      <c r="W600" s="56"/>
      <c r="X600" s="56"/>
      <c r="Y600" s="56"/>
      <c r="Z600" s="56"/>
      <c r="AA600" s="56"/>
    </row>
    <row r="601" spans="2:27" ht="30" hidden="1" customHeight="1" x14ac:dyDescent="0.25">
      <c r="B601" s="51"/>
      <c r="C601" s="51"/>
      <c r="D601" s="51"/>
      <c r="E601" s="63" t="s">
        <v>454</v>
      </c>
      <c r="F601" s="422">
        <v>2010</v>
      </c>
      <c r="G601" s="135" t="s">
        <v>1250</v>
      </c>
      <c r="H601" s="422"/>
      <c r="I601" s="135" t="s">
        <v>460</v>
      </c>
      <c r="J601" s="135" t="s">
        <v>966</v>
      </c>
      <c r="K601" s="135" t="s">
        <v>499</v>
      </c>
      <c r="L601" s="135" t="s">
        <v>88</v>
      </c>
      <c r="M601" s="135" t="s">
        <v>88</v>
      </c>
      <c r="N601" s="135" t="s">
        <v>964</v>
      </c>
      <c r="O601" s="135" t="s">
        <v>877</v>
      </c>
      <c r="P601" s="135" t="s">
        <v>459</v>
      </c>
      <c r="Q601" s="135">
        <v>3235.01</v>
      </c>
      <c r="R601" s="187">
        <v>141</v>
      </c>
      <c r="S601" s="56"/>
      <c r="T601" s="56"/>
      <c r="U601" s="56"/>
      <c r="V601" s="56"/>
      <c r="W601" s="56"/>
      <c r="X601" s="56"/>
      <c r="Y601" s="56"/>
      <c r="Z601" s="56"/>
      <c r="AA601" s="56"/>
    </row>
    <row r="602" spans="2:27" ht="30" hidden="1" customHeight="1" x14ac:dyDescent="0.25">
      <c r="B602" s="51"/>
      <c r="C602" s="51"/>
      <c r="D602" s="51"/>
      <c r="E602" s="63" t="s">
        <v>454</v>
      </c>
      <c r="F602" s="422">
        <v>2010</v>
      </c>
      <c r="G602" s="135" t="s">
        <v>1250</v>
      </c>
      <c r="H602" s="422"/>
      <c r="I602" s="135" t="s">
        <v>460</v>
      </c>
      <c r="J602" s="135" t="s">
        <v>966</v>
      </c>
      <c r="K602" s="135" t="s">
        <v>469</v>
      </c>
      <c r="L602" s="135" t="s">
        <v>85</v>
      </c>
      <c r="M602" s="135" t="s">
        <v>85</v>
      </c>
      <c r="N602" s="135" t="s">
        <v>964</v>
      </c>
      <c r="O602" s="135" t="s">
        <v>286</v>
      </c>
      <c r="P602" s="135" t="s">
        <v>464</v>
      </c>
      <c r="Q602" s="135">
        <v>4132.01</v>
      </c>
      <c r="R602" s="187">
        <v>140</v>
      </c>
      <c r="S602" s="56"/>
      <c r="T602" s="56"/>
      <c r="U602" s="56"/>
      <c r="V602" s="56"/>
      <c r="W602" s="56"/>
      <c r="X602" s="56"/>
      <c r="Y602" s="56"/>
      <c r="Z602" s="56"/>
      <c r="AA602" s="56"/>
    </row>
    <row r="603" spans="2:27" ht="30" hidden="1" customHeight="1" x14ac:dyDescent="0.25">
      <c r="B603" s="51"/>
      <c r="C603" s="51"/>
      <c r="D603" s="51"/>
      <c r="E603" s="63" t="s">
        <v>454</v>
      </c>
      <c r="F603" s="422">
        <v>2010</v>
      </c>
      <c r="G603" s="135" t="s">
        <v>1250</v>
      </c>
      <c r="H603" s="422"/>
      <c r="I603" s="135" t="s">
        <v>460</v>
      </c>
      <c r="J603" s="135" t="s">
        <v>963</v>
      </c>
      <c r="K603" s="135" t="s">
        <v>465</v>
      </c>
      <c r="L603" s="135" t="s">
        <v>106</v>
      </c>
      <c r="M603" s="135" t="s">
        <v>107</v>
      </c>
      <c r="N603" s="135" t="s">
        <v>965</v>
      </c>
      <c r="O603" s="135" t="s">
        <v>635</v>
      </c>
      <c r="P603" s="135" t="s">
        <v>459</v>
      </c>
      <c r="Q603" s="135">
        <v>3118.5499999999997</v>
      </c>
      <c r="R603" s="187">
        <v>139</v>
      </c>
      <c r="S603" s="56"/>
      <c r="T603" s="56"/>
      <c r="U603" s="56"/>
      <c r="V603" s="56"/>
      <c r="W603" s="56"/>
      <c r="X603" s="56"/>
      <c r="Y603" s="56"/>
      <c r="Z603" s="56"/>
      <c r="AA603" s="56"/>
    </row>
    <row r="604" spans="2:27" ht="30" hidden="1" customHeight="1" x14ac:dyDescent="0.25">
      <c r="B604" s="51"/>
      <c r="C604" s="51"/>
      <c r="D604" s="51"/>
      <c r="E604" s="63" t="s">
        <v>454</v>
      </c>
      <c r="F604" s="422">
        <v>2010</v>
      </c>
      <c r="G604" s="135" t="s">
        <v>1251</v>
      </c>
      <c r="H604" s="422"/>
      <c r="I604" s="135" t="s">
        <v>460</v>
      </c>
      <c r="J604" s="135" t="s">
        <v>967</v>
      </c>
      <c r="K604" s="135" t="s">
        <v>482</v>
      </c>
      <c r="L604" s="135" t="s">
        <v>114</v>
      </c>
      <c r="M604" s="135" t="s">
        <v>115</v>
      </c>
      <c r="N604" s="135" t="s">
        <v>964</v>
      </c>
      <c r="O604" s="135" t="s">
        <v>116</v>
      </c>
      <c r="P604" s="135" t="s">
        <v>459</v>
      </c>
      <c r="Q604" s="135">
        <v>3916.93</v>
      </c>
      <c r="R604" s="187">
        <v>138</v>
      </c>
      <c r="S604" s="56"/>
      <c r="T604" s="56"/>
      <c r="U604" s="56"/>
      <c r="V604" s="56"/>
      <c r="W604" s="56"/>
      <c r="X604" s="56"/>
      <c r="Y604" s="56"/>
      <c r="Z604" s="56"/>
      <c r="AA604" s="56"/>
    </row>
    <row r="605" spans="2:27" ht="30" hidden="1" customHeight="1" x14ac:dyDescent="0.25">
      <c r="B605" s="51"/>
      <c r="C605" s="51"/>
      <c r="D605" s="51"/>
      <c r="E605" s="63" t="s">
        <v>454</v>
      </c>
      <c r="F605" s="422">
        <v>2009</v>
      </c>
      <c r="G605" s="135" t="s">
        <v>1252</v>
      </c>
      <c r="H605" s="422"/>
      <c r="I605" s="135" t="s">
        <v>460</v>
      </c>
      <c r="J605" s="135" t="s">
        <v>963</v>
      </c>
      <c r="K605" s="135" t="s">
        <v>461</v>
      </c>
      <c r="L605" s="135" t="s">
        <v>253</v>
      </c>
      <c r="M605" s="135" t="s">
        <v>258</v>
      </c>
      <c r="N605" s="135" t="s">
        <v>964</v>
      </c>
      <c r="O605" s="135" t="s">
        <v>878</v>
      </c>
      <c r="P605" s="135" t="s">
        <v>459</v>
      </c>
      <c r="Q605" s="135">
        <v>3097.42</v>
      </c>
      <c r="R605" s="187">
        <v>137</v>
      </c>
      <c r="S605" s="56"/>
      <c r="T605" s="56"/>
      <c r="U605" s="56"/>
      <c r="V605" s="56"/>
      <c r="W605" s="56"/>
      <c r="X605" s="56"/>
      <c r="Y605" s="56"/>
      <c r="Z605" s="56"/>
      <c r="AA605" s="56"/>
    </row>
    <row r="606" spans="2:27" ht="30" customHeight="1" x14ac:dyDescent="0.25">
      <c r="B606" s="51"/>
      <c r="C606" s="51"/>
      <c r="D606" s="51"/>
      <c r="E606" s="63" t="s">
        <v>451</v>
      </c>
      <c r="F606" s="422">
        <v>2009</v>
      </c>
      <c r="G606" s="135" t="s">
        <v>1252</v>
      </c>
      <c r="H606" s="422">
        <v>2023</v>
      </c>
      <c r="I606" s="135" t="s">
        <v>460</v>
      </c>
      <c r="J606" s="135" t="s">
        <v>966</v>
      </c>
      <c r="K606" s="135" t="s">
        <v>469</v>
      </c>
      <c r="L606" s="135" t="s">
        <v>85</v>
      </c>
      <c r="M606" s="135" t="s">
        <v>85</v>
      </c>
      <c r="N606" s="135" t="s">
        <v>964</v>
      </c>
      <c r="O606" s="135" t="s">
        <v>1185</v>
      </c>
      <c r="P606" s="135" t="s">
        <v>459</v>
      </c>
      <c r="Q606" s="135">
        <v>445.11</v>
      </c>
      <c r="R606" s="187">
        <v>136</v>
      </c>
      <c r="S606" s="56"/>
      <c r="T606" s="56"/>
      <c r="U606" s="56"/>
      <c r="V606" s="56"/>
      <c r="W606" s="56"/>
      <c r="X606" s="56"/>
      <c r="Y606" s="56"/>
      <c r="Z606" s="56"/>
      <c r="AA606" s="56"/>
    </row>
    <row r="607" spans="2:27" ht="30" hidden="1" customHeight="1" x14ac:dyDescent="0.25">
      <c r="B607" s="51"/>
      <c r="C607" s="51"/>
      <c r="D607" s="51"/>
      <c r="E607" s="63" t="s">
        <v>454</v>
      </c>
      <c r="F607" s="422">
        <v>2009</v>
      </c>
      <c r="G607" s="135" t="s">
        <v>1252</v>
      </c>
      <c r="H607" s="422"/>
      <c r="I607" s="135" t="s">
        <v>460</v>
      </c>
      <c r="J607" s="135" t="s">
        <v>971</v>
      </c>
      <c r="K607" s="135" t="s">
        <v>527</v>
      </c>
      <c r="L607" s="135" t="s">
        <v>194</v>
      </c>
      <c r="M607" s="135" t="s">
        <v>196</v>
      </c>
      <c r="N607" s="135" t="s">
        <v>964</v>
      </c>
      <c r="O607" s="135" t="s">
        <v>879</v>
      </c>
      <c r="P607" s="135" t="s">
        <v>459</v>
      </c>
      <c r="Q607" s="135">
        <v>3024.06</v>
      </c>
      <c r="R607" s="187">
        <v>136</v>
      </c>
      <c r="S607" s="56"/>
      <c r="T607" s="56"/>
      <c r="U607" s="56"/>
      <c r="V607" s="56"/>
      <c r="W607" s="56"/>
      <c r="X607" s="56"/>
      <c r="Y607" s="56"/>
      <c r="Z607" s="56"/>
      <c r="AA607" s="56"/>
    </row>
    <row r="608" spans="2:27" ht="30" hidden="1" customHeight="1" x14ac:dyDescent="0.25">
      <c r="B608" s="51"/>
      <c r="C608" s="51"/>
      <c r="D608" s="51"/>
      <c r="E608" s="63" t="s">
        <v>451</v>
      </c>
      <c r="F608" s="422">
        <v>2009</v>
      </c>
      <c r="G608" s="135" t="s">
        <v>1252</v>
      </c>
      <c r="H608" s="422"/>
      <c r="I608" s="135" t="s">
        <v>460</v>
      </c>
      <c r="J608" s="135" t="s">
        <v>969</v>
      </c>
      <c r="K608" s="135" t="s">
        <v>575</v>
      </c>
      <c r="L608" s="135" t="s">
        <v>143</v>
      </c>
      <c r="M608" s="135" t="s">
        <v>144</v>
      </c>
      <c r="N608" s="135" t="s">
        <v>964</v>
      </c>
      <c r="O608" s="135" t="s">
        <v>880</v>
      </c>
      <c r="P608" s="135" t="s">
        <v>459</v>
      </c>
      <c r="Q608" s="135">
        <v>590.21</v>
      </c>
      <c r="R608" s="187">
        <v>135</v>
      </c>
      <c r="S608" s="56"/>
      <c r="T608" s="56"/>
      <c r="U608" s="56"/>
      <c r="V608" s="56"/>
      <c r="W608" s="56"/>
      <c r="X608" s="56"/>
      <c r="Y608" s="56"/>
      <c r="Z608" s="56"/>
      <c r="AA608" s="56"/>
    </row>
    <row r="609" spans="2:27" ht="30" hidden="1" customHeight="1" x14ac:dyDescent="0.25">
      <c r="B609" s="51"/>
      <c r="C609" s="51"/>
      <c r="D609" s="51"/>
      <c r="E609" s="63" t="s">
        <v>451</v>
      </c>
      <c r="F609" s="422">
        <v>2009</v>
      </c>
      <c r="G609" s="135" t="s">
        <v>1252</v>
      </c>
      <c r="H609" s="422"/>
      <c r="I609" s="135" t="s">
        <v>460</v>
      </c>
      <c r="J609" s="135" t="s">
        <v>969</v>
      </c>
      <c r="K609" s="135" t="s">
        <v>509</v>
      </c>
      <c r="L609" s="135" t="s">
        <v>157</v>
      </c>
      <c r="M609" s="135" t="s">
        <v>159</v>
      </c>
      <c r="N609" s="135" t="s">
        <v>964</v>
      </c>
      <c r="O609" s="135" t="s">
        <v>161</v>
      </c>
      <c r="P609" s="135" t="s">
        <v>459</v>
      </c>
      <c r="Q609" s="135">
        <v>545</v>
      </c>
      <c r="R609" s="187">
        <v>134</v>
      </c>
      <c r="S609" s="56"/>
      <c r="T609" s="56"/>
      <c r="U609" s="56"/>
      <c r="V609" s="56"/>
      <c r="W609" s="56"/>
      <c r="X609" s="56"/>
      <c r="Y609" s="56"/>
      <c r="Z609" s="56"/>
      <c r="AA609" s="56"/>
    </row>
    <row r="610" spans="2:27" ht="30" hidden="1" customHeight="1" x14ac:dyDescent="0.25">
      <c r="B610" s="51"/>
      <c r="C610" s="51"/>
      <c r="D610" s="51"/>
      <c r="E610" s="63" t="s">
        <v>454</v>
      </c>
      <c r="F610" s="422">
        <v>2009</v>
      </c>
      <c r="G610" s="135" t="s">
        <v>1252</v>
      </c>
      <c r="H610" s="422"/>
      <c r="I610" s="135" t="s">
        <v>460</v>
      </c>
      <c r="J610" s="135" t="s">
        <v>966</v>
      </c>
      <c r="K610" s="135" t="s">
        <v>469</v>
      </c>
      <c r="L610" s="135" t="s">
        <v>85</v>
      </c>
      <c r="M610" s="135" t="s">
        <v>324</v>
      </c>
      <c r="N610" s="135" t="s">
        <v>965</v>
      </c>
      <c r="O610" s="135" t="s">
        <v>325</v>
      </c>
      <c r="P610" s="135" t="s">
        <v>459</v>
      </c>
      <c r="Q610" s="135">
        <v>4182.22</v>
      </c>
      <c r="R610" s="187">
        <v>133</v>
      </c>
      <c r="S610" s="56"/>
      <c r="T610" s="56"/>
      <c r="U610" s="56"/>
      <c r="V610" s="56"/>
      <c r="W610" s="56"/>
      <c r="X610" s="56"/>
      <c r="Y610" s="56"/>
      <c r="Z610" s="56"/>
      <c r="AA610" s="56"/>
    </row>
    <row r="611" spans="2:27" ht="30" hidden="1" customHeight="1" x14ac:dyDescent="0.25">
      <c r="B611" s="51"/>
      <c r="C611" s="51"/>
      <c r="D611" s="51"/>
      <c r="E611" s="63" t="s">
        <v>454</v>
      </c>
      <c r="F611" s="422">
        <v>2009</v>
      </c>
      <c r="G611" s="135" t="s">
        <v>1252</v>
      </c>
      <c r="H611" s="422"/>
      <c r="I611" s="135" t="s">
        <v>460</v>
      </c>
      <c r="J611" s="135" t="s">
        <v>966</v>
      </c>
      <c r="K611" s="135" t="s">
        <v>469</v>
      </c>
      <c r="L611" s="135" t="s">
        <v>85</v>
      </c>
      <c r="M611" s="135" t="s">
        <v>637</v>
      </c>
      <c r="N611" s="135" t="s">
        <v>965</v>
      </c>
      <c r="O611" s="135" t="s">
        <v>881</v>
      </c>
      <c r="P611" s="135" t="s">
        <v>459</v>
      </c>
      <c r="Q611" s="135">
        <v>2898.6499999999996</v>
      </c>
      <c r="R611" s="187">
        <v>132</v>
      </c>
      <c r="S611" s="56"/>
      <c r="T611" s="56"/>
      <c r="U611" s="56"/>
      <c r="V611" s="56"/>
      <c r="W611" s="56"/>
      <c r="X611" s="56"/>
      <c r="Y611" s="56"/>
      <c r="Z611" s="56"/>
      <c r="AA611" s="56"/>
    </row>
    <row r="612" spans="2:27" ht="30" hidden="1" customHeight="1" x14ac:dyDescent="0.25">
      <c r="B612" s="51"/>
      <c r="C612" s="51"/>
      <c r="D612" s="51"/>
      <c r="E612" s="63" t="s">
        <v>454</v>
      </c>
      <c r="F612" s="422">
        <v>2009</v>
      </c>
      <c r="G612" s="135" t="s">
        <v>1253</v>
      </c>
      <c r="H612" s="422"/>
      <c r="I612" s="135" t="s">
        <v>460</v>
      </c>
      <c r="J612" s="135" t="s">
        <v>963</v>
      </c>
      <c r="K612" s="135" t="s">
        <v>461</v>
      </c>
      <c r="L612" s="135" t="s">
        <v>253</v>
      </c>
      <c r="M612" s="135" t="s">
        <v>363</v>
      </c>
      <c r="N612" s="135" t="s">
        <v>965</v>
      </c>
      <c r="O612" s="135" t="s">
        <v>882</v>
      </c>
      <c r="P612" s="135" t="s">
        <v>459</v>
      </c>
      <c r="Q612" s="135">
        <v>3539</v>
      </c>
      <c r="R612" s="187">
        <v>131</v>
      </c>
      <c r="S612" s="56"/>
      <c r="T612" s="56"/>
      <c r="U612" s="56"/>
      <c r="V612" s="56"/>
      <c r="W612" s="56"/>
      <c r="X612" s="56"/>
      <c r="Y612" s="56"/>
      <c r="Z612" s="56"/>
      <c r="AA612" s="56"/>
    </row>
    <row r="613" spans="2:27" ht="30" hidden="1" customHeight="1" x14ac:dyDescent="0.25">
      <c r="B613" s="51"/>
      <c r="C613" s="51"/>
      <c r="D613" s="51"/>
      <c r="E613" s="63" t="s">
        <v>454</v>
      </c>
      <c r="F613" s="422">
        <v>2009</v>
      </c>
      <c r="G613" s="135" t="s">
        <v>1254</v>
      </c>
      <c r="H613" s="422"/>
      <c r="I613" s="135" t="s">
        <v>460</v>
      </c>
      <c r="J613" s="135" t="s">
        <v>969</v>
      </c>
      <c r="K613" s="135" t="s">
        <v>575</v>
      </c>
      <c r="L613" s="135" t="s">
        <v>143</v>
      </c>
      <c r="M613" s="135" t="s">
        <v>144</v>
      </c>
      <c r="N613" s="135" t="s">
        <v>964</v>
      </c>
      <c r="O613" s="135" t="s">
        <v>883</v>
      </c>
      <c r="P613" s="135" t="s">
        <v>459</v>
      </c>
      <c r="Q613" s="135">
        <v>2387.75</v>
      </c>
      <c r="R613" s="187">
        <v>130</v>
      </c>
      <c r="S613" s="56"/>
      <c r="T613" s="56"/>
      <c r="U613" s="56"/>
      <c r="V613" s="56"/>
      <c r="W613" s="56"/>
      <c r="X613" s="56"/>
      <c r="Y613" s="56"/>
      <c r="Z613" s="56"/>
      <c r="AA613" s="56"/>
    </row>
    <row r="614" spans="2:27" ht="30" customHeight="1" x14ac:dyDescent="0.25">
      <c r="B614" s="51"/>
      <c r="C614" s="51"/>
      <c r="D614" s="51"/>
      <c r="E614" s="63" t="s">
        <v>451</v>
      </c>
      <c r="F614" s="422">
        <v>2009</v>
      </c>
      <c r="G614" s="135" t="s">
        <v>1254</v>
      </c>
      <c r="H614" s="422">
        <v>2023</v>
      </c>
      <c r="I614" s="135" t="s">
        <v>460</v>
      </c>
      <c r="J614" s="135" t="s">
        <v>966</v>
      </c>
      <c r="K614" s="135" t="s">
        <v>499</v>
      </c>
      <c r="L614" s="135" t="s">
        <v>88</v>
      </c>
      <c r="M614" s="135" t="s">
        <v>88</v>
      </c>
      <c r="N614" s="135" t="s">
        <v>964</v>
      </c>
      <c r="O614" s="135" t="s">
        <v>1346</v>
      </c>
      <c r="P614" s="135" t="s">
        <v>459</v>
      </c>
      <c r="Q614" s="135">
        <v>965.75</v>
      </c>
      <c r="R614" s="187">
        <v>129</v>
      </c>
      <c r="S614" s="56"/>
      <c r="T614" s="56"/>
      <c r="U614" s="56"/>
      <c r="V614" s="56"/>
      <c r="W614" s="56"/>
      <c r="X614" s="56"/>
      <c r="Y614" s="56"/>
      <c r="Z614" s="56"/>
      <c r="AA614" s="56"/>
    </row>
    <row r="615" spans="2:27" ht="30" hidden="1" customHeight="1" x14ac:dyDescent="0.25">
      <c r="B615" s="51"/>
      <c r="C615" s="51"/>
      <c r="D615" s="51"/>
      <c r="E615" s="63" t="s">
        <v>454</v>
      </c>
      <c r="F615" s="422">
        <v>2009</v>
      </c>
      <c r="G615" s="135" t="s">
        <v>1254</v>
      </c>
      <c r="H615" s="422"/>
      <c r="I615" s="135" t="s">
        <v>460</v>
      </c>
      <c r="J615" s="135" t="s">
        <v>966</v>
      </c>
      <c r="K615" s="135" t="s">
        <v>469</v>
      </c>
      <c r="L615" s="135" t="s">
        <v>85</v>
      </c>
      <c r="M615" s="135" t="s">
        <v>300</v>
      </c>
      <c r="N615" s="135" t="s">
        <v>965</v>
      </c>
      <c r="O615" s="135" t="s">
        <v>884</v>
      </c>
      <c r="P615" s="135" t="s">
        <v>459</v>
      </c>
      <c r="Q615" s="135">
        <v>2958.5</v>
      </c>
      <c r="R615" s="187">
        <v>129</v>
      </c>
      <c r="S615" s="56"/>
      <c r="T615" s="56"/>
      <c r="U615" s="56"/>
      <c r="V615" s="56"/>
      <c r="W615" s="56"/>
      <c r="X615" s="56"/>
      <c r="Y615" s="56"/>
      <c r="Z615" s="56"/>
      <c r="AA615" s="56"/>
    </row>
    <row r="616" spans="2:27" ht="30" hidden="1" customHeight="1" x14ac:dyDescent="0.25">
      <c r="B616" s="51"/>
      <c r="C616" s="51"/>
      <c r="D616" s="51"/>
      <c r="E616" s="63" t="s">
        <v>454</v>
      </c>
      <c r="F616" s="422">
        <v>2009</v>
      </c>
      <c r="G616" s="135" t="s">
        <v>1254</v>
      </c>
      <c r="H616" s="422"/>
      <c r="I616" s="135" t="s">
        <v>460</v>
      </c>
      <c r="J616" s="135" t="s">
        <v>969</v>
      </c>
      <c r="K616" s="135" t="s">
        <v>509</v>
      </c>
      <c r="L616" s="135" t="s">
        <v>157</v>
      </c>
      <c r="M616" s="135" t="s">
        <v>159</v>
      </c>
      <c r="N616" s="135" t="s">
        <v>964</v>
      </c>
      <c r="O616" s="135" t="s">
        <v>656</v>
      </c>
      <c r="P616" s="135" t="s">
        <v>459</v>
      </c>
      <c r="Q616" s="135">
        <v>2302.48</v>
      </c>
      <c r="R616" s="187">
        <v>129</v>
      </c>
      <c r="S616" s="56"/>
      <c r="T616" s="56"/>
      <c r="U616" s="56"/>
      <c r="V616" s="56"/>
      <c r="W616" s="56"/>
      <c r="X616" s="56"/>
      <c r="Y616" s="56"/>
      <c r="Z616" s="56"/>
      <c r="AA616" s="56"/>
    </row>
    <row r="617" spans="2:27" ht="30" hidden="1" customHeight="1" x14ac:dyDescent="0.25">
      <c r="B617" s="51"/>
      <c r="C617" s="51"/>
      <c r="D617" s="51"/>
      <c r="E617" s="63" t="s">
        <v>454</v>
      </c>
      <c r="F617" s="422">
        <v>2009</v>
      </c>
      <c r="G617" s="135" t="s">
        <v>1254</v>
      </c>
      <c r="H617" s="422"/>
      <c r="I617" s="135" t="s">
        <v>460</v>
      </c>
      <c r="J617" s="135" t="s">
        <v>967</v>
      </c>
      <c r="K617" s="135" t="s">
        <v>480</v>
      </c>
      <c r="L617" s="135" t="s">
        <v>102</v>
      </c>
      <c r="M617" s="135" t="s">
        <v>103</v>
      </c>
      <c r="N617" s="135" t="s">
        <v>964</v>
      </c>
      <c r="O617" s="135" t="s">
        <v>481</v>
      </c>
      <c r="P617" s="135" t="s">
        <v>459</v>
      </c>
      <c r="Q617" s="135">
        <v>2848.1099999999997</v>
      </c>
      <c r="R617" s="187">
        <v>127</v>
      </c>
      <c r="S617" s="56"/>
      <c r="T617" s="56"/>
      <c r="U617" s="56"/>
      <c r="V617" s="56"/>
      <c r="W617" s="56"/>
      <c r="X617" s="56"/>
      <c r="Y617" s="56"/>
      <c r="Z617" s="56"/>
      <c r="AA617" s="56"/>
    </row>
    <row r="618" spans="2:27" ht="30" hidden="1" customHeight="1" x14ac:dyDescent="0.25">
      <c r="B618" s="51"/>
      <c r="C618" s="51"/>
      <c r="D618" s="51"/>
      <c r="E618" s="63" t="s">
        <v>454</v>
      </c>
      <c r="F618" s="422">
        <v>2009</v>
      </c>
      <c r="G618" s="135" t="s">
        <v>1254</v>
      </c>
      <c r="H618" s="422"/>
      <c r="I618" s="135" t="s">
        <v>460</v>
      </c>
      <c r="J618" s="135" t="s">
        <v>971</v>
      </c>
      <c r="K618" s="135" t="s">
        <v>622</v>
      </c>
      <c r="L618" s="135" t="s">
        <v>119</v>
      </c>
      <c r="M618" s="135" t="s">
        <v>120</v>
      </c>
      <c r="N618" s="135" t="s">
        <v>964</v>
      </c>
      <c r="O618" s="135" t="s">
        <v>885</v>
      </c>
      <c r="P618" s="135" t="s">
        <v>459</v>
      </c>
      <c r="Q618" s="135">
        <v>3011.41</v>
      </c>
      <c r="R618" s="187">
        <v>126</v>
      </c>
      <c r="S618" s="56"/>
      <c r="T618" s="56"/>
      <c r="U618" s="56"/>
      <c r="V618" s="56"/>
      <c r="W618" s="56"/>
      <c r="X618" s="56"/>
      <c r="Y618" s="56"/>
      <c r="Z618" s="56"/>
      <c r="AA618" s="56"/>
    </row>
    <row r="619" spans="2:27" ht="30" hidden="1" customHeight="1" x14ac:dyDescent="0.25">
      <c r="B619" s="51"/>
      <c r="C619" s="51"/>
      <c r="D619" s="51"/>
      <c r="E619" s="63" t="s">
        <v>454</v>
      </c>
      <c r="F619" s="422">
        <v>2008</v>
      </c>
      <c r="G619" s="135" t="s">
        <v>1255</v>
      </c>
      <c r="H619" s="422"/>
      <c r="I619" s="135" t="s">
        <v>460</v>
      </c>
      <c r="J619" s="135" t="s">
        <v>966</v>
      </c>
      <c r="K619" s="135" t="s">
        <v>492</v>
      </c>
      <c r="L619" s="135" t="s">
        <v>968</v>
      </c>
      <c r="M619" s="135" t="s">
        <v>153</v>
      </c>
      <c r="N619" s="135" t="s">
        <v>965</v>
      </c>
      <c r="O619" s="135" t="s">
        <v>886</v>
      </c>
      <c r="P619" s="135" t="s">
        <v>459</v>
      </c>
      <c r="Q619" s="135">
        <v>2123.56</v>
      </c>
      <c r="R619" s="187">
        <v>125</v>
      </c>
      <c r="S619" s="56"/>
      <c r="T619" s="56"/>
      <c r="U619" s="56"/>
      <c r="V619" s="56"/>
      <c r="W619" s="56"/>
      <c r="X619" s="56"/>
      <c r="Y619" s="56"/>
      <c r="Z619" s="56"/>
      <c r="AA619" s="56"/>
    </row>
    <row r="620" spans="2:27" ht="30" hidden="1" customHeight="1" x14ac:dyDescent="0.25">
      <c r="B620" s="51"/>
      <c r="C620" s="51"/>
      <c r="D620" s="51"/>
      <c r="E620" s="63" t="s">
        <v>454</v>
      </c>
      <c r="F620" s="422">
        <v>2008</v>
      </c>
      <c r="G620" s="135" t="s">
        <v>1255</v>
      </c>
      <c r="H620" s="422"/>
      <c r="I620" s="135" t="s">
        <v>460</v>
      </c>
      <c r="J620" s="135" t="s">
        <v>969</v>
      </c>
      <c r="K620" s="135" t="s">
        <v>509</v>
      </c>
      <c r="L620" s="135" t="s">
        <v>157</v>
      </c>
      <c r="M620" s="135" t="s">
        <v>165</v>
      </c>
      <c r="N620" s="135" t="s">
        <v>965</v>
      </c>
      <c r="O620" s="135" t="s">
        <v>887</v>
      </c>
      <c r="P620" s="135" t="s">
        <v>459</v>
      </c>
      <c r="Q620" s="135">
        <v>2602.2199999999998</v>
      </c>
      <c r="R620" s="187">
        <v>124</v>
      </c>
      <c r="S620" s="56"/>
      <c r="T620" s="56"/>
      <c r="U620" s="56"/>
      <c r="V620" s="56"/>
      <c r="W620" s="56"/>
      <c r="X620" s="56"/>
      <c r="Y620" s="56"/>
      <c r="Z620" s="56"/>
      <c r="AA620" s="56"/>
    </row>
    <row r="621" spans="2:27" ht="30" hidden="1" customHeight="1" x14ac:dyDescent="0.25">
      <c r="B621" s="51"/>
      <c r="C621" s="51"/>
      <c r="D621" s="51"/>
      <c r="E621" s="63" t="s">
        <v>451</v>
      </c>
      <c r="F621" s="422">
        <v>2008</v>
      </c>
      <c r="G621" s="135" t="s">
        <v>1255</v>
      </c>
      <c r="H621" s="422"/>
      <c r="I621" s="135" t="s">
        <v>460</v>
      </c>
      <c r="J621" s="135" t="s">
        <v>963</v>
      </c>
      <c r="K621" s="135" t="s">
        <v>461</v>
      </c>
      <c r="L621" s="135" t="s">
        <v>253</v>
      </c>
      <c r="M621" s="135" t="s">
        <v>258</v>
      </c>
      <c r="N621" s="135" t="s">
        <v>964</v>
      </c>
      <c r="O621" s="135" t="s">
        <v>259</v>
      </c>
      <c r="P621" s="135" t="s">
        <v>459</v>
      </c>
      <c r="Q621" s="135">
        <v>953.85</v>
      </c>
      <c r="R621" s="187">
        <v>123</v>
      </c>
      <c r="S621" s="56"/>
      <c r="T621" s="56"/>
      <c r="U621" s="56"/>
      <c r="V621" s="56"/>
      <c r="W621" s="56"/>
      <c r="X621" s="56"/>
      <c r="Y621" s="56"/>
      <c r="Z621" s="56"/>
      <c r="AA621" s="56"/>
    </row>
    <row r="622" spans="2:27" ht="30" hidden="1" customHeight="1" x14ac:dyDescent="0.25">
      <c r="B622" s="51"/>
      <c r="C622" s="51"/>
      <c r="D622" s="51"/>
      <c r="E622" s="63" t="s">
        <v>454</v>
      </c>
      <c r="F622" s="422">
        <v>2008</v>
      </c>
      <c r="G622" s="135" t="s">
        <v>1255</v>
      </c>
      <c r="H622" s="422"/>
      <c r="I622" s="135" t="s">
        <v>460</v>
      </c>
      <c r="J622" s="135" t="s">
        <v>963</v>
      </c>
      <c r="K622" s="135" t="s">
        <v>461</v>
      </c>
      <c r="L622" s="135" t="s">
        <v>253</v>
      </c>
      <c r="M622" s="135" t="s">
        <v>258</v>
      </c>
      <c r="N622" s="135" t="s">
        <v>964</v>
      </c>
      <c r="O622" s="135" t="s">
        <v>259</v>
      </c>
      <c r="P622" s="135" t="s">
        <v>459</v>
      </c>
      <c r="Q622" s="135">
        <v>4798.5200000000004</v>
      </c>
      <c r="R622" s="187">
        <v>123</v>
      </c>
      <c r="S622" s="56"/>
      <c r="T622" s="56"/>
      <c r="U622" s="56"/>
      <c r="V622" s="56"/>
      <c r="W622" s="56"/>
      <c r="X622" s="56"/>
      <c r="Y622" s="56"/>
      <c r="Z622" s="56"/>
      <c r="AA622" s="56"/>
    </row>
    <row r="623" spans="2:27" ht="30" hidden="1" customHeight="1" x14ac:dyDescent="0.25">
      <c r="B623" s="51"/>
      <c r="C623" s="51"/>
      <c r="D623" s="51"/>
      <c r="E623" s="63" t="s">
        <v>451</v>
      </c>
      <c r="F623" s="422">
        <v>2008</v>
      </c>
      <c r="G623" s="135" t="s">
        <v>1255</v>
      </c>
      <c r="H623" s="422"/>
      <c r="I623" s="135" t="s">
        <v>460</v>
      </c>
      <c r="J623" s="135" t="s">
        <v>963</v>
      </c>
      <c r="K623" s="135" t="s">
        <v>474</v>
      </c>
      <c r="L623" s="135" t="s">
        <v>95</v>
      </c>
      <c r="M623" s="135" t="s">
        <v>224</v>
      </c>
      <c r="N623" s="135" t="s">
        <v>965</v>
      </c>
      <c r="O623" s="135" t="s">
        <v>888</v>
      </c>
      <c r="P623" s="135" t="s">
        <v>459</v>
      </c>
      <c r="Q623" s="135">
        <v>571.25</v>
      </c>
      <c r="R623" s="187">
        <v>121</v>
      </c>
      <c r="S623" s="56"/>
      <c r="T623" s="56"/>
      <c r="U623" s="56"/>
      <c r="V623" s="56"/>
      <c r="W623" s="56"/>
      <c r="X623" s="56"/>
      <c r="Y623" s="56"/>
      <c r="Z623" s="56"/>
      <c r="AA623" s="56"/>
    </row>
    <row r="624" spans="2:27" ht="30" hidden="1" customHeight="1" x14ac:dyDescent="0.25">
      <c r="B624" s="51"/>
      <c r="C624" s="51"/>
      <c r="D624" s="51"/>
      <c r="E624" s="63" t="s">
        <v>454</v>
      </c>
      <c r="F624" s="422">
        <v>2008</v>
      </c>
      <c r="G624" s="135" t="s">
        <v>1255</v>
      </c>
      <c r="H624" s="422"/>
      <c r="I624" s="135" t="s">
        <v>460</v>
      </c>
      <c r="J624" s="135" t="s">
        <v>966</v>
      </c>
      <c r="K624" s="135" t="s">
        <v>499</v>
      </c>
      <c r="L624" s="135" t="s">
        <v>88</v>
      </c>
      <c r="M624" s="135" t="s">
        <v>237</v>
      </c>
      <c r="N624" s="135" t="s">
        <v>965</v>
      </c>
      <c r="O624" s="135" t="s">
        <v>238</v>
      </c>
      <c r="P624" s="135" t="s">
        <v>459</v>
      </c>
      <c r="Q624" s="135">
        <v>3000.3399999999997</v>
      </c>
      <c r="R624" s="187">
        <v>120</v>
      </c>
      <c r="S624" s="56"/>
      <c r="T624" s="56"/>
      <c r="U624" s="56"/>
      <c r="V624" s="56"/>
      <c r="W624" s="56"/>
      <c r="X624" s="56"/>
      <c r="Y624" s="56"/>
      <c r="Z624" s="56"/>
      <c r="AA624" s="56"/>
    </row>
    <row r="625" spans="2:27" ht="30" hidden="1" customHeight="1" x14ac:dyDescent="0.25">
      <c r="B625" s="51"/>
      <c r="C625" s="51"/>
      <c r="D625" s="51"/>
      <c r="E625" s="63" t="s">
        <v>454</v>
      </c>
      <c r="F625" s="422">
        <v>2008</v>
      </c>
      <c r="G625" s="135" t="s">
        <v>1255</v>
      </c>
      <c r="H625" s="422"/>
      <c r="I625" s="135" t="s">
        <v>460</v>
      </c>
      <c r="J625" s="135" t="s">
        <v>971</v>
      </c>
      <c r="K625" s="135" t="s">
        <v>539</v>
      </c>
      <c r="L625" s="135" t="s">
        <v>247</v>
      </c>
      <c r="M625" s="135" t="s">
        <v>248</v>
      </c>
      <c r="N625" s="135" t="s">
        <v>964</v>
      </c>
      <c r="O625" s="135" t="s">
        <v>249</v>
      </c>
      <c r="P625" s="135" t="s">
        <v>459</v>
      </c>
      <c r="Q625" s="135">
        <v>3018.3</v>
      </c>
      <c r="R625" s="187">
        <v>119</v>
      </c>
      <c r="S625" s="56"/>
      <c r="T625" s="56"/>
      <c r="U625" s="56"/>
      <c r="V625" s="56"/>
      <c r="W625" s="56"/>
      <c r="X625" s="56"/>
      <c r="Y625" s="56"/>
      <c r="Z625" s="56"/>
      <c r="AA625" s="56"/>
    </row>
    <row r="626" spans="2:27" ht="30" hidden="1" customHeight="1" x14ac:dyDescent="0.25">
      <c r="B626" s="51"/>
      <c r="C626" s="51"/>
      <c r="D626" s="51"/>
      <c r="E626" s="63" t="s">
        <v>454</v>
      </c>
      <c r="F626" s="422">
        <v>2008</v>
      </c>
      <c r="G626" s="135" t="s">
        <v>1255</v>
      </c>
      <c r="H626" s="422"/>
      <c r="I626" s="135" t="s">
        <v>460</v>
      </c>
      <c r="J626" s="135" t="s">
        <v>966</v>
      </c>
      <c r="K626" s="135" t="s">
        <v>469</v>
      </c>
      <c r="L626" s="135" t="s">
        <v>85</v>
      </c>
      <c r="M626" s="135" t="s">
        <v>93</v>
      </c>
      <c r="N626" s="135" t="s">
        <v>965</v>
      </c>
      <c r="O626" s="135" t="s">
        <v>889</v>
      </c>
      <c r="P626" s="135" t="s">
        <v>459</v>
      </c>
      <c r="Q626" s="135">
        <v>2756.02</v>
      </c>
      <c r="R626" s="187">
        <v>118</v>
      </c>
      <c r="S626" s="56"/>
      <c r="T626" s="56"/>
      <c r="U626" s="56"/>
      <c r="V626" s="56"/>
      <c r="W626" s="56"/>
      <c r="X626" s="56"/>
      <c r="Y626" s="56"/>
      <c r="Z626" s="56"/>
      <c r="AA626" s="56"/>
    </row>
    <row r="627" spans="2:27" ht="30" hidden="1" customHeight="1" x14ac:dyDescent="0.25">
      <c r="B627" s="51"/>
      <c r="C627" s="51"/>
      <c r="D627" s="51"/>
      <c r="E627" s="63" t="s">
        <v>454</v>
      </c>
      <c r="F627" s="422">
        <v>2008</v>
      </c>
      <c r="G627" s="135" t="s">
        <v>1255</v>
      </c>
      <c r="H627" s="422"/>
      <c r="I627" s="135" t="s">
        <v>460</v>
      </c>
      <c r="J627" s="135" t="s">
        <v>969</v>
      </c>
      <c r="K627" s="135" t="s">
        <v>509</v>
      </c>
      <c r="L627" s="135" t="s">
        <v>157</v>
      </c>
      <c r="M627" s="135" t="s">
        <v>158</v>
      </c>
      <c r="N627" s="135" t="s">
        <v>965</v>
      </c>
      <c r="O627" s="135" t="s">
        <v>654</v>
      </c>
      <c r="P627" s="135" t="s">
        <v>459</v>
      </c>
      <c r="Q627" s="135">
        <v>3074.6600000000003</v>
      </c>
      <c r="R627" s="187">
        <v>117</v>
      </c>
      <c r="S627" s="56"/>
      <c r="T627" s="56"/>
      <c r="U627" s="56"/>
      <c r="V627" s="56"/>
      <c r="W627" s="56"/>
      <c r="X627" s="56"/>
      <c r="Y627" s="56"/>
      <c r="Z627" s="56"/>
      <c r="AA627" s="56"/>
    </row>
    <row r="628" spans="2:27" ht="30" hidden="1" customHeight="1" x14ac:dyDescent="0.25">
      <c r="B628" s="51"/>
      <c r="C628" s="51"/>
      <c r="D628" s="51"/>
      <c r="E628" s="63" t="s">
        <v>454</v>
      </c>
      <c r="F628" s="422">
        <v>2008</v>
      </c>
      <c r="G628" s="135" t="s">
        <v>1256</v>
      </c>
      <c r="H628" s="422"/>
      <c r="I628" s="135" t="s">
        <v>460</v>
      </c>
      <c r="J628" s="135" t="s">
        <v>963</v>
      </c>
      <c r="K628" s="135" t="s">
        <v>474</v>
      </c>
      <c r="L628" s="135" t="s">
        <v>95</v>
      </c>
      <c r="M628" s="135" t="s">
        <v>228</v>
      </c>
      <c r="N628" s="135" t="s">
        <v>965</v>
      </c>
      <c r="O628" s="135" t="s">
        <v>890</v>
      </c>
      <c r="P628" s="135" t="s">
        <v>459</v>
      </c>
      <c r="Q628" s="135">
        <v>2181.75</v>
      </c>
      <c r="R628" s="187">
        <v>116</v>
      </c>
      <c r="S628" s="56"/>
      <c r="T628" s="56"/>
      <c r="U628" s="56"/>
      <c r="V628" s="56"/>
      <c r="W628" s="56"/>
      <c r="X628" s="56"/>
      <c r="Y628" s="56"/>
      <c r="Z628" s="56"/>
      <c r="AA628" s="56"/>
    </row>
    <row r="629" spans="2:27" ht="30" hidden="1" customHeight="1" x14ac:dyDescent="0.25">
      <c r="B629" s="51"/>
      <c r="C629" s="51"/>
      <c r="D629" s="51"/>
      <c r="E629" s="63" t="s">
        <v>454</v>
      </c>
      <c r="F629" s="422">
        <v>2008</v>
      </c>
      <c r="G629" s="135" t="s">
        <v>1256</v>
      </c>
      <c r="H629" s="422"/>
      <c r="I629" s="135" t="s">
        <v>460</v>
      </c>
      <c r="J629" s="135" t="s">
        <v>966</v>
      </c>
      <c r="K629" s="135" t="s">
        <v>469</v>
      </c>
      <c r="L629" s="135" t="s">
        <v>85</v>
      </c>
      <c r="M629" s="135" t="s">
        <v>356</v>
      </c>
      <c r="N629" s="135" t="s">
        <v>965</v>
      </c>
      <c r="O629" s="135" t="s">
        <v>891</v>
      </c>
      <c r="P629" s="135" t="s">
        <v>459</v>
      </c>
      <c r="Q629" s="135">
        <v>3054.96</v>
      </c>
      <c r="R629" s="187">
        <v>115</v>
      </c>
      <c r="S629" s="56"/>
      <c r="T629" s="56"/>
      <c r="U629" s="56"/>
      <c r="V629" s="56"/>
      <c r="W629" s="56"/>
      <c r="X629" s="56"/>
      <c r="Y629" s="56"/>
      <c r="Z629" s="56"/>
      <c r="AA629" s="56"/>
    </row>
    <row r="630" spans="2:27" ht="30" hidden="1" customHeight="1" x14ac:dyDescent="0.25">
      <c r="B630" s="51"/>
      <c r="C630" s="51"/>
      <c r="D630" s="51"/>
      <c r="E630" s="63" t="s">
        <v>454</v>
      </c>
      <c r="F630" s="422">
        <v>2008</v>
      </c>
      <c r="G630" s="135" t="s">
        <v>1257</v>
      </c>
      <c r="H630" s="422"/>
      <c r="I630" s="135" t="s">
        <v>460</v>
      </c>
      <c r="J630" s="135" t="s">
        <v>963</v>
      </c>
      <c r="K630" s="135" t="s">
        <v>474</v>
      </c>
      <c r="L630" s="135" t="s">
        <v>95</v>
      </c>
      <c r="M630" s="135" t="s">
        <v>96</v>
      </c>
      <c r="N630" s="135" t="s">
        <v>964</v>
      </c>
      <c r="O630" s="135" t="s">
        <v>892</v>
      </c>
      <c r="P630" s="135" t="s">
        <v>459</v>
      </c>
      <c r="Q630" s="135">
        <v>3142.99</v>
      </c>
      <c r="R630" s="187">
        <v>114</v>
      </c>
      <c r="S630" s="56"/>
      <c r="T630" s="56"/>
      <c r="U630" s="56"/>
      <c r="V630" s="56"/>
      <c r="W630" s="56"/>
      <c r="X630" s="56"/>
      <c r="Y630" s="56"/>
      <c r="Z630" s="56"/>
      <c r="AA630" s="56"/>
    </row>
    <row r="631" spans="2:27" ht="30" hidden="1" customHeight="1" x14ac:dyDescent="0.25">
      <c r="B631" s="51"/>
      <c r="C631" s="51"/>
      <c r="D631" s="51"/>
      <c r="E631" s="63" t="s">
        <v>454</v>
      </c>
      <c r="F631" s="422">
        <v>2008</v>
      </c>
      <c r="G631" s="135" t="s">
        <v>1257</v>
      </c>
      <c r="H631" s="422"/>
      <c r="I631" s="135" t="s">
        <v>460</v>
      </c>
      <c r="J631" s="135" t="s">
        <v>966</v>
      </c>
      <c r="K631" s="135" t="s">
        <v>499</v>
      </c>
      <c r="L631" s="135" t="s">
        <v>88</v>
      </c>
      <c r="M631" s="135" t="s">
        <v>893</v>
      </c>
      <c r="N631" s="135" t="s">
        <v>965</v>
      </c>
      <c r="O631" s="135" t="s">
        <v>372</v>
      </c>
      <c r="P631" s="135" t="s">
        <v>459</v>
      </c>
      <c r="Q631" s="135">
        <v>3070.04</v>
      </c>
      <c r="R631" s="187">
        <v>113</v>
      </c>
      <c r="S631" s="56"/>
      <c r="T631" s="56"/>
      <c r="U631" s="56"/>
      <c r="V631" s="56"/>
      <c r="W631" s="56"/>
      <c r="X631" s="56"/>
      <c r="Y631" s="56"/>
      <c r="Z631" s="56"/>
      <c r="AA631" s="56"/>
    </row>
    <row r="632" spans="2:27" ht="30" hidden="1" customHeight="1" x14ac:dyDescent="0.25">
      <c r="B632" s="51"/>
      <c r="C632" s="51"/>
      <c r="D632" s="51"/>
      <c r="E632" s="63" t="s">
        <v>454</v>
      </c>
      <c r="F632" s="422">
        <v>2008</v>
      </c>
      <c r="G632" s="135" t="s">
        <v>1257</v>
      </c>
      <c r="H632" s="422"/>
      <c r="I632" s="135" t="s">
        <v>460</v>
      </c>
      <c r="J632" s="135" t="s">
        <v>963</v>
      </c>
      <c r="K632" s="135" t="s">
        <v>474</v>
      </c>
      <c r="L632" s="135" t="s">
        <v>95</v>
      </c>
      <c r="M632" s="135" t="s">
        <v>226</v>
      </c>
      <c r="N632" s="135" t="s">
        <v>965</v>
      </c>
      <c r="O632" s="135" t="s">
        <v>725</v>
      </c>
      <c r="P632" s="135" t="s">
        <v>459</v>
      </c>
      <c r="Q632" s="135">
        <v>2701.46</v>
      </c>
      <c r="R632" s="187">
        <v>112</v>
      </c>
      <c r="S632" s="56"/>
      <c r="T632" s="56"/>
      <c r="U632" s="56"/>
      <c r="V632" s="56"/>
      <c r="W632" s="56"/>
      <c r="X632" s="56"/>
      <c r="Y632" s="56"/>
      <c r="Z632" s="56"/>
      <c r="AA632" s="56"/>
    </row>
    <row r="633" spans="2:27" ht="30" hidden="1" customHeight="1" x14ac:dyDescent="0.25">
      <c r="B633" s="51"/>
      <c r="C633" s="51"/>
      <c r="D633" s="51"/>
      <c r="E633" s="63" t="s">
        <v>454</v>
      </c>
      <c r="F633" s="422">
        <v>2008</v>
      </c>
      <c r="G633" s="135" t="s">
        <v>1257</v>
      </c>
      <c r="H633" s="422"/>
      <c r="I633" s="135" t="s">
        <v>460</v>
      </c>
      <c r="J633" s="135" t="s">
        <v>966</v>
      </c>
      <c r="K633" s="135" t="s">
        <v>469</v>
      </c>
      <c r="L633" s="135" t="s">
        <v>85</v>
      </c>
      <c r="M633" s="135" t="s">
        <v>353</v>
      </c>
      <c r="N633" s="135" t="s">
        <v>965</v>
      </c>
      <c r="O633" s="135" t="s">
        <v>354</v>
      </c>
      <c r="P633" s="135" t="s">
        <v>459</v>
      </c>
      <c r="Q633" s="135">
        <v>3236.1100000000006</v>
      </c>
      <c r="R633" s="187">
        <v>111</v>
      </c>
      <c r="S633" s="56"/>
      <c r="T633" s="56"/>
      <c r="U633" s="56"/>
      <c r="V633" s="56"/>
      <c r="W633" s="56"/>
      <c r="X633" s="56"/>
      <c r="Y633" s="56"/>
      <c r="Z633" s="56"/>
      <c r="AA633" s="56"/>
    </row>
    <row r="634" spans="2:27" ht="30" hidden="1" customHeight="1" x14ac:dyDescent="0.25">
      <c r="B634" s="51"/>
      <c r="C634" s="51"/>
      <c r="D634" s="51"/>
      <c r="E634" s="63" t="s">
        <v>454</v>
      </c>
      <c r="F634" s="422">
        <v>2008</v>
      </c>
      <c r="G634" s="135" t="s">
        <v>1257</v>
      </c>
      <c r="H634" s="422"/>
      <c r="I634" s="135" t="s">
        <v>460</v>
      </c>
      <c r="J634" s="135" t="s">
        <v>966</v>
      </c>
      <c r="K634" s="135" t="s">
        <v>562</v>
      </c>
      <c r="L634" s="135" t="s">
        <v>108</v>
      </c>
      <c r="M634" s="135" t="s">
        <v>178</v>
      </c>
      <c r="N634" s="135" t="s">
        <v>965</v>
      </c>
      <c r="O634" s="135" t="s">
        <v>701</v>
      </c>
      <c r="P634" s="135" t="s">
        <v>459</v>
      </c>
      <c r="Q634" s="135">
        <v>3420.9300000000003</v>
      </c>
      <c r="R634" s="187">
        <v>110</v>
      </c>
      <c r="S634" s="56"/>
      <c r="T634" s="56"/>
      <c r="U634" s="56"/>
      <c r="V634" s="56"/>
      <c r="W634" s="56"/>
      <c r="X634" s="56"/>
      <c r="Y634" s="56"/>
      <c r="Z634" s="56"/>
      <c r="AA634" s="56"/>
    </row>
    <row r="635" spans="2:27" ht="30" hidden="1" customHeight="1" x14ac:dyDescent="0.25">
      <c r="B635" s="51"/>
      <c r="C635" s="51"/>
      <c r="D635" s="51"/>
      <c r="E635" s="63" t="s">
        <v>454</v>
      </c>
      <c r="F635" s="422">
        <v>2008</v>
      </c>
      <c r="G635" s="135" t="s">
        <v>1258</v>
      </c>
      <c r="H635" s="422"/>
      <c r="I635" s="135" t="s">
        <v>460</v>
      </c>
      <c r="J635" s="135" t="s">
        <v>966</v>
      </c>
      <c r="K635" s="135" t="s">
        <v>469</v>
      </c>
      <c r="L635" s="135" t="s">
        <v>85</v>
      </c>
      <c r="M635" s="135" t="s">
        <v>85</v>
      </c>
      <c r="N635" s="135" t="s">
        <v>964</v>
      </c>
      <c r="O635" s="135" t="s">
        <v>894</v>
      </c>
      <c r="P635" s="135" t="s">
        <v>459</v>
      </c>
      <c r="Q635" s="135">
        <v>2883.91</v>
      </c>
      <c r="R635" s="187">
        <v>109</v>
      </c>
      <c r="S635" s="56"/>
      <c r="T635" s="56"/>
      <c r="U635" s="56"/>
      <c r="V635" s="56"/>
      <c r="W635" s="56"/>
      <c r="X635" s="56"/>
      <c r="Y635" s="56"/>
      <c r="Z635" s="56"/>
      <c r="AA635" s="56"/>
    </row>
    <row r="636" spans="2:27" ht="30" hidden="1" customHeight="1" x14ac:dyDescent="0.25">
      <c r="B636" s="51"/>
      <c r="C636" s="51"/>
      <c r="D636" s="51"/>
      <c r="E636" s="63" t="s">
        <v>451</v>
      </c>
      <c r="F636" s="422">
        <v>2007</v>
      </c>
      <c r="G636" s="135" t="s">
        <v>1259</v>
      </c>
      <c r="H636" s="422">
        <v>2020</v>
      </c>
      <c r="I636" s="135" t="s">
        <v>460</v>
      </c>
      <c r="J636" s="135" t="s">
        <v>966</v>
      </c>
      <c r="K636" s="135" t="s">
        <v>469</v>
      </c>
      <c r="L636" s="135" t="s">
        <v>85</v>
      </c>
      <c r="M636" s="135" t="s">
        <v>85</v>
      </c>
      <c r="N636" s="135" t="s">
        <v>964</v>
      </c>
      <c r="O636" s="135" t="s">
        <v>895</v>
      </c>
      <c r="P636" s="135" t="s">
        <v>459</v>
      </c>
      <c r="Q636" s="135">
        <v>522.16999999999996</v>
      </c>
      <c r="R636" s="187">
        <v>108</v>
      </c>
      <c r="S636" s="56"/>
      <c r="T636" s="56"/>
      <c r="U636" s="56"/>
      <c r="V636" s="56"/>
      <c r="W636" s="56"/>
      <c r="X636" s="56"/>
      <c r="Y636" s="56"/>
      <c r="Z636" s="56"/>
      <c r="AA636" s="56"/>
    </row>
    <row r="637" spans="2:27" ht="30" hidden="1" customHeight="1" x14ac:dyDescent="0.25">
      <c r="B637" s="51"/>
      <c r="C637" s="51"/>
      <c r="D637" s="51"/>
      <c r="E637" s="63" t="s">
        <v>454</v>
      </c>
      <c r="F637" s="422">
        <v>2007</v>
      </c>
      <c r="G637" s="135" t="s">
        <v>1259</v>
      </c>
      <c r="H637" s="422"/>
      <c r="I637" s="135" t="s">
        <v>460</v>
      </c>
      <c r="J637" s="135" t="s">
        <v>967</v>
      </c>
      <c r="K637" s="135" t="s">
        <v>632</v>
      </c>
      <c r="L637" s="135" t="s">
        <v>92</v>
      </c>
      <c r="M637" s="135" t="s">
        <v>205</v>
      </c>
      <c r="N637" s="135" t="s">
        <v>964</v>
      </c>
      <c r="O637" s="135" t="s">
        <v>722</v>
      </c>
      <c r="P637" s="135" t="s">
        <v>459</v>
      </c>
      <c r="Q637" s="135">
        <v>3538.5</v>
      </c>
      <c r="R637" s="187">
        <v>108</v>
      </c>
      <c r="S637" s="56"/>
      <c r="T637" s="56"/>
      <c r="U637" s="56"/>
      <c r="V637" s="56"/>
      <c r="W637" s="56"/>
      <c r="X637" s="56"/>
      <c r="Y637" s="56"/>
      <c r="Z637" s="56"/>
      <c r="AA637" s="56"/>
    </row>
    <row r="638" spans="2:27" ht="30" hidden="1" customHeight="1" x14ac:dyDescent="0.25">
      <c r="B638" s="51"/>
      <c r="C638" s="51"/>
      <c r="D638" s="51"/>
      <c r="E638" s="63" t="s">
        <v>454</v>
      </c>
      <c r="F638" s="422">
        <v>2007</v>
      </c>
      <c r="G638" s="135" t="s">
        <v>1259</v>
      </c>
      <c r="H638" s="422"/>
      <c r="I638" s="135" t="s">
        <v>460</v>
      </c>
      <c r="J638" s="135" t="s">
        <v>963</v>
      </c>
      <c r="K638" s="135" t="s">
        <v>461</v>
      </c>
      <c r="L638" s="135" t="s">
        <v>253</v>
      </c>
      <c r="M638" s="135" t="s">
        <v>255</v>
      </c>
      <c r="N638" s="135" t="s">
        <v>965</v>
      </c>
      <c r="O638" s="135" t="s">
        <v>896</v>
      </c>
      <c r="P638" s="135" t="s">
        <v>459</v>
      </c>
      <c r="Q638" s="135">
        <v>3193.56</v>
      </c>
      <c r="R638" s="187">
        <v>108</v>
      </c>
      <c r="S638" s="56"/>
      <c r="T638" s="56"/>
      <c r="U638" s="56"/>
      <c r="V638" s="56"/>
      <c r="W638" s="56"/>
      <c r="X638" s="56"/>
      <c r="Y638" s="56"/>
      <c r="Z638" s="56"/>
      <c r="AA638" s="56"/>
    </row>
    <row r="639" spans="2:27" ht="30" hidden="1" customHeight="1" x14ac:dyDescent="0.25">
      <c r="B639" s="51"/>
      <c r="C639" s="51"/>
      <c r="D639" s="51"/>
      <c r="E639" s="63" t="s">
        <v>454</v>
      </c>
      <c r="F639" s="422">
        <v>2007</v>
      </c>
      <c r="G639" s="135" t="s">
        <v>1259</v>
      </c>
      <c r="H639" s="422"/>
      <c r="I639" s="135" t="s">
        <v>460</v>
      </c>
      <c r="J639" s="135" t="s">
        <v>967</v>
      </c>
      <c r="K639" s="135" t="s">
        <v>553</v>
      </c>
      <c r="L639" s="135" t="s">
        <v>82</v>
      </c>
      <c r="M639" s="135" t="s">
        <v>130</v>
      </c>
      <c r="N639" s="135" t="s">
        <v>964</v>
      </c>
      <c r="O639" s="135" t="s">
        <v>706</v>
      </c>
      <c r="P639" s="135" t="s">
        <v>459</v>
      </c>
      <c r="Q639" s="135">
        <v>3000.46</v>
      </c>
      <c r="R639" s="187">
        <v>106</v>
      </c>
      <c r="S639" s="56"/>
      <c r="T639" s="56"/>
      <c r="U639" s="56"/>
      <c r="V639" s="56"/>
      <c r="W639" s="56"/>
      <c r="X639" s="56"/>
      <c r="Y639" s="56"/>
      <c r="Z639" s="56"/>
      <c r="AA639" s="56"/>
    </row>
    <row r="640" spans="2:27" ht="30" hidden="1" customHeight="1" x14ac:dyDescent="0.25">
      <c r="B640" s="51"/>
      <c r="C640" s="51"/>
      <c r="D640" s="51"/>
      <c r="E640" s="63" t="s">
        <v>454</v>
      </c>
      <c r="F640" s="422">
        <v>2007</v>
      </c>
      <c r="G640" s="135" t="s">
        <v>1259</v>
      </c>
      <c r="H640" s="422"/>
      <c r="I640" s="135" t="s">
        <v>460</v>
      </c>
      <c r="J640" s="135" t="s">
        <v>963</v>
      </c>
      <c r="K640" s="135" t="s">
        <v>474</v>
      </c>
      <c r="L640" s="135" t="s">
        <v>95</v>
      </c>
      <c r="M640" s="135" t="s">
        <v>221</v>
      </c>
      <c r="N640" s="135" t="s">
        <v>965</v>
      </c>
      <c r="O640" s="135" t="s">
        <v>897</v>
      </c>
      <c r="P640" s="135" t="s">
        <v>459</v>
      </c>
      <c r="Q640" s="135">
        <v>2002.35</v>
      </c>
      <c r="R640" s="187">
        <v>105</v>
      </c>
      <c r="S640" s="56"/>
      <c r="T640" s="56"/>
      <c r="U640" s="56"/>
      <c r="V640" s="56"/>
      <c r="W640" s="56"/>
      <c r="X640" s="56"/>
      <c r="Y640" s="56"/>
      <c r="Z640" s="56"/>
      <c r="AA640" s="56"/>
    </row>
    <row r="641" spans="2:27" ht="30" hidden="1" customHeight="1" x14ac:dyDescent="0.25">
      <c r="B641" s="51"/>
      <c r="C641" s="51"/>
      <c r="D641" s="51"/>
      <c r="E641" s="63" t="s">
        <v>454</v>
      </c>
      <c r="F641" s="422">
        <v>2007</v>
      </c>
      <c r="G641" s="135" t="s">
        <v>1259</v>
      </c>
      <c r="H641" s="422"/>
      <c r="I641" s="135" t="s">
        <v>460</v>
      </c>
      <c r="J641" s="135" t="s">
        <v>963</v>
      </c>
      <c r="K641" s="135" t="s">
        <v>465</v>
      </c>
      <c r="L641" s="135" t="s">
        <v>106</v>
      </c>
      <c r="M641" s="135" t="s">
        <v>270</v>
      </c>
      <c r="N641" s="135" t="s">
        <v>965</v>
      </c>
      <c r="O641" s="135" t="s">
        <v>898</v>
      </c>
      <c r="P641" s="135" t="s">
        <v>459</v>
      </c>
      <c r="Q641" s="135">
        <v>3947.8500000000004</v>
      </c>
      <c r="R641" s="187">
        <v>104</v>
      </c>
      <c r="S641" s="56"/>
      <c r="T641" s="56"/>
      <c r="U641" s="56"/>
      <c r="V641" s="56"/>
      <c r="W641" s="56"/>
      <c r="X641" s="56"/>
      <c r="Y641" s="56"/>
      <c r="Z641" s="56"/>
      <c r="AA641" s="56"/>
    </row>
    <row r="642" spans="2:27" ht="30" hidden="1" customHeight="1" x14ac:dyDescent="0.25">
      <c r="B642" s="51"/>
      <c r="C642" s="51"/>
      <c r="D642" s="51"/>
      <c r="E642" s="63" t="s">
        <v>454</v>
      </c>
      <c r="F642" s="422">
        <v>2007</v>
      </c>
      <c r="G642" s="135" t="s">
        <v>1259</v>
      </c>
      <c r="H642" s="422"/>
      <c r="I642" s="135" t="s">
        <v>460</v>
      </c>
      <c r="J642" s="135" t="s">
        <v>966</v>
      </c>
      <c r="K642" s="135" t="s">
        <v>469</v>
      </c>
      <c r="L642" s="135" t="s">
        <v>85</v>
      </c>
      <c r="M642" s="135" t="s">
        <v>85</v>
      </c>
      <c r="N642" s="135" t="s">
        <v>964</v>
      </c>
      <c r="O642" s="135" t="s">
        <v>292</v>
      </c>
      <c r="P642" s="135" t="s">
        <v>459</v>
      </c>
      <c r="Q642" s="135">
        <v>2484.0700000000002</v>
      </c>
      <c r="R642" s="187">
        <v>103</v>
      </c>
      <c r="S642" s="56"/>
      <c r="T642" s="56"/>
      <c r="U642" s="56"/>
      <c r="V642" s="56"/>
      <c r="W642" s="56"/>
      <c r="X642" s="56"/>
      <c r="Y642" s="56"/>
      <c r="Z642" s="56"/>
      <c r="AA642" s="56"/>
    </row>
    <row r="643" spans="2:27" ht="30" hidden="1" customHeight="1" x14ac:dyDescent="0.25">
      <c r="B643" s="51"/>
      <c r="C643" s="51"/>
      <c r="D643" s="51"/>
      <c r="E643" s="63" t="s">
        <v>454</v>
      </c>
      <c r="F643" s="422">
        <v>2007</v>
      </c>
      <c r="G643" s="135" t="s">
        <v>1259</v>
      </c>
      <c r="H643" s="422"/>
      <c r="I643" s="135" t="s">
        <v>460</v>
      </c>
      <c r="J643" s="135" t="s">
        <v>969</v>
      </c>
      <c r="K643" s="135" t="s">
        <v>575</v>
      </c>
      <c r="L643" s="135" t="s">
        <v>143</v>
      </c>
      <c r="M643" s="135" t="s">
        <v>144</v>
      </c>
      <c r="N643" s="135" t="s">
        <v>964</v>
      </c>
      <c r="O643" s="135" t="s">
        <v>605</v>
      </c>
      <c r="P643" s="135" t="s">
        <v>459</v>
      </c>
      <c r="Q643" s="135">
        <v>2903.0899999999997</v>
      </c>
      <c r="R643" s="187">
        <v>102</v>
      </c>
      <c r="S643" s="56"/>
      <c r="T643" s="56"/>
      <c r="U643" s="56"/>
      <c r="V643" s="56"/>
      <c r="W643" s="56"/>
      <c r="X643" s="56"/>
      <c r="Y643" s="56"/>
      <c r="Z643" s="56"/>
      <c r="AA643" s="56"/>
    </row>
    <row r="644" spans="2:27" ht="30" hidden="1" customHeight="1" x14ac:dyDescent="0.25">
      <c r="B644" s="51"/>
      <c r="C644" s="51"/>
      <c r="D644" s="51"/>
      <c r="E644" s="63" t="s">
        <v>454</v>
      </c>
      <c r="F644" s="422">
        <v>2007</v>
      </c>
      <c r="G644" s="135" t="s">
        <v>1260</v>
      </c>
      <c r="H644" s="422"/>
      <c r="I644" s="135" t="s">
        <v>460</v>
      </c>
      <c r="J644" s="135" t="s">
        <v>966</v>
      </c>
      <c r="K644" s="135" t="s">
        <v>562</v>
      </c>
      <c r="L644" s="135" t="s">
        <v>108</v>
      </c>
      <c r="M644" s="135" t="s">
        <v>109</v>
      </c>
      <c r="N644" s="135" t="s">
        <v>964</v>
      </c>
      <c r="O644" s="135" t="s">
        <v>175</v>
      </c>
      <c r="P644" s="135" t="s">
        <v>459</v>
      </c>
      <c r="Q644" s="135">
        <v>4005.74</v>
      </c>
      <c r="R644" s="187">
        <v>101</v>
      </c>
      <c r="S644" s="56"/>
      <c r="T644" s="56"/>
      <c r="U644" s="56"/>
      <c r="V644" s="56"/>
      <c r="W644" s="56"/>
      <c r="X644" s="56"/>
      <c r="Y644" s="56"/>
      <c r="Z644" s="56"/>
      <c r="AA644" s="56"/>
    </row>
    <row r="645" spans="2:27" ht="30" hidden="1" customHeight="1" x14ac:dyDescent="0.25">
      <c r="B645" s="51"/>
      <c r="C645" s="51"/>
      <c r="D645" s="51"/>
      <c r="E645" s="63" t="s">
        <v>451</v>
      </c>
      <c r="F645" s="422">
        <v>2007</v>
      </c>
      <c r="G645" s="135" t="s">
        <v>1260</v>
      </c>
      <c r="H645" s="422"/>
      <c r="I645" s="135" t="s">
        <v>460</v>
      </c>
      <c r="J645" s="135" t="s">
        <v>963</v>
      </c>
      <c r="K645" s="135" t="s">
        <v>461</v>
      </c>
      <c r="L645" s="135" t="s">
        <v>253</v>
      </c>
      <c r="M645" s="135" t="s">
        <v>258</v>
      </c>
      <c r="N645" s="135" t="s">
        <v>964</v>
      </c>
      <c r="O645" s="135" t="s">
        <v>261</v>
      </c>
      <c r="P645" s="135" t="s">
        <v>459</v>
      </c>
      <c r="Q645" s="135">
        <v>463</v>
      </c>
      <c r="R645" s="187">
        <v>100</v>
      </c>
      <c r="S645" s="56"/>
      <c r="T645" s="56"/>
      <c r="U645" s="56"/>
      <c r="V645" s="56"/>
      <c r="W645" s="56"/>
      <c r="X645" s="56"/>
      <c r="Y645" s="56"/>
      <c r="Z645" s="56"/>
      <c r="AA645" s="56"/>
    </row>
    <row r="646" spans="2:27" ht="30" hidden="1" customHeight="1" x14ac:dyDescent="0.25">
      <c r="B646" s="51"/>
      <c r="C646" s="51"/>
      <c r="D646" s="51"/>
      <c r="E646" s="63" t="s">
        <v>454</v>
      </c>
      <c r="F646" s="422">
        <v>2007</v>
      </c>
      <c r="G646" s="135" t="s">
        <v>1261</v>
      </c>
      <c r="H646" s="422"/>
      <c r="I646" s="135" t="s">
        <v>460</v>
      </c>
      <c r="J646" s="135" t="s">
        <v>967</v>
      </c>
      <c r="K646" s="135" t="s">
        <v>553</v>
      </c>
      <c r="L646" s="135" t="s">
        <v>82</v>
      </c>
      <c r="M646" s="135" t="s">
        <v>130</v>
      </c>
      <c r="N646" s="135" t="s">
        <v>964</v>
      </c>
      <c r="O646" s="135" t="s">
        <v>132</v>
      </c>
      <c r="P646" s="135" t="s">
        <v>459</v>
      </c>
      <c r="Q646" s="135">
        <v>4795.63</v>
      </c>
      <c r="R646" s="187">
        <v>99</v>
      </c>
      <c r="S646" s="56"/>
      <c r="T646" s="56"/>
      <c r="U646" s="56"/>
      <c r="V646" s="56"/>
      <c r="W646" s="56"/>
      <c r="X646" s="56"/>
      <c r="Y646" s="56"/>
      <c r="Z646" s="56"/>
      <c r="AA646" s="56"/>
    </row>
    <row r="647" spans="2:27" ht="30" hidden="1" customHeight="1" x14ac:dyDescent="0.25">
      <c r="B647" s="51"/>
      <c r="C647" s="51"/>
      <c r="D647" s="51"/>
      <c r="E647" s="63" t="s">
        <v>454</v>
      </c>
      <c r="F647" s="422">
        <v>2007</v>
      </c>
      <c r="G647" s="135" t="s">
        <v>1261</v>
      </c>
      <c r="H647" s="422"/>
      <c r="I647" s="135" t="s">
        <v>460</v>
      </c>
      <c r="J647" s="135" t="s">
        <v>967</v>
      </c>
      <c r="K647" s="135" t="s">
        <v>486</v>
      </c>
      <c r="L647" s="135" t="s">
        <v>283</v>
      </c>
      <c r="M647" s="135" t="s">
        <v>587</v>
      </c>
      <c r="N647" s="135" t="s">
        <v>964</v>
      </c>
      <c r="O647" s="135" t="s">
        <v>285</v>
      </c>
      <c r="P647" s="135" t="s">
        <v>459</v>
      </c>
      <c r="Q647" s="135">
        <v>3077.0700000000006</v>
      </c>
      <c r="R647" s="187">
        <v>98</v>
      </c>
      <c r="S647" s="56"/>
      <c r="T647" s="56"/>
      <c r="U647" s="56"/>
      <c r="V647" s="56"/>
      <c r="W647" s="56"/>
      <c r="X647" s="56"/>
      <c r="Y647" s="56"/>
      <c r="Z647" s="56"/>
      <c r="AA647" s="56"/>
    </row>
    <row r="648" spans="2:27" ht="30" hidden="1" customHeight="1" x14ac:dyDescent="0.25">
      <c r="B648" s="51"/>
      <c r="C648" s="51"/>
      <c r="D648" s="51"/>
      <c r="E648" s="63" t="s">
        <v>454</v>
      </c>
      <c r="F648" s="422">
        <v>2007</v>
      </c>
      <c r="G648" s="135" t="s">
        <v>1261</v>
      </c>
      <c r="H648" s="422"/>
      <c r="I648" s="135" t="s">
        <v>460</v>
      </c>
      <c r="J648" s="135" t="s">
        <v>971</v>
      </c>
      <c r="K648" s="135" t="s">
        <v>622</v>
      </c>
      <c r="L648" s="135" t="s">
        <v>119</v>
      </c>
      <c r="M648" s="135" t="s">
        <v>120</v>
      </c>
      <c r="N648" s="135" t="s">
        <v>964</v>
      </c>
      <c r="O648" s="135" t="s">
        <v>639</v>
      </c>
      <c r="P648" s="135" t="s">
        <v>459</v>
      </c>
      <c r="Q648" s="135">
        <v>2942.17</v>
      </c>
      <c r="R648" s="187">
        <v>97</v>
      </c>
      <c r="S648" s="56"/>
      <c r="T648" s="56"/>
      <c r="U648" s="56"/>
      <c r="V648" s="56"/>
      <c r="W648" s="56"/>
      <c r="X648" s="56"/>
      <c r="Y648" s="56"/>
      <c r="Z648" s="56"/>
      <c r="AA648" s="56"/>
    </row>
    <row r="649" spans="2:27" ht="30" hidden="1" customHeight="1" x14ac:dyDescent="0.25">
      <c r="B649" s="51"/>
      <c r="C649" s="51"/>
      <c r="D649" s="51"/>
      <c r="E649" s="63" t="s">
        <v>454</v>
      </c>
      <c r="F649" s="422">
        <v>2007</v>
      </c>
      <c r="G649" s="135" t="s">
        <v>1261</v>
      </c>
      <c r="H649" s="422"/>
      <c r="I649" s="135" t="s">
        <v>460</v>
      </c>
      <c r="J649" s="135" t="s">
        <v>966</v>
      </c>
      <c r="K649" s="135" t="s">
        <v>499</v>
      </c>
      <c r="L649" s="135" t="s">
        <v>88</v>
      </c>
      <c r="M649" s="135" t="s">
        <v>88</v>
      </c>
      <c r="N649" s="135" t="s">
        <v>964</v>
      </c>
      <c r="O649" s="135" t="s">
        <v>652</v>
      </c>
      <c r="P649" s="135" t="s">
        <v>459</v>
      </c>
      <c r="Q649" s="135">
        <v>2646.8199999999997</v>
      </c>
      <c r="R649" s="187">
        <v>96</v>
      </c>
      <c r="S649" s="56"/>
      <c r="T649" s="56"/>
      <c r="U649" s="56"/>
      <c r="V649" s="56"/>
      <c r="W649" s="56"/>
      <c r="X649" s="56"/>
      <c r="Y649" s="56"/>
      <c r="Z649" s="56"/>
      <c r="AA649" s="56"/>
    </row>
    <row r="650" spans="2:27" ht="30" hidden="1" customHeight="1" x14ac:dyDescent="0.25">
      <c r="B650" s="51"/>
      <c r="C650" s="51"/>
      <c r="D650" s="51"/>
      <c r="E650" s="63" t="s">
        <v>454</v>
      </c>
      <c r="F650" s="422">
        <v>2007</v>
      </c>
      <c r="G650" s="135" t="s">
        <v>1261</v>
      </c>
      <c r="H650" s="422"/>
      <c r="I650" s="135" t="s">
        <v>460</v>
      </c>
      <c r="J650" s="135" t="s">
        <v>966</v>
      </c>
      <c r="K650" s="135" t="s">
        <v>469</v>
      </c>
      <c r="L650" s="135" t="s">
        <v>85</v>
      </c>
      <c r="M650" s="135" t="s">
        <v>328</v>
      </c>
      <c r="N650" s="135" t="s">
        <v>965</v>
      </c>
      <c r="O650" s="135" t="s">
        <v>329</v>
      </c>
      <c r="P650" s="135" t="s">
        <v>459</v>
      </c>
      <c r="Q650" s="135">
        <v>2941.73</v>
      </c>
      <c r="R650" s="187">
        <v>95</v>
      </c>
      <c r="S650" s="56"/>
      <c r="T650" s="56"/>
      <c r="U650" s="56"/>
      <c r="V650" s="56"/>
      <c r="W650" s="56"/>
      <c r="X650" s="56"/>
      <c r="Y650" s="56"/>
      <c r="Z650" s="56"/>
      <c r="AA650" s="56"/>
    </row>
    <row r="651" spans="2:27" ht="30" hidden="1" customHeight="1" x14ac:dyDescent="0.25">
      <c r="B651" s="51"/>
      <c r="C651" s="51"/>
      <c r="D651" s="51"/>
      <c r="E651" s="63" t="s">
        <v>454</v>
      </c>
      <c r="F651" s="422">
        <v>2007</v>
      </c>
      <c r="G651" s="135" t="s">
        <v>1261</v>
      </c>
      <c r="H651" s="422"/>
      <c r="I651" s="135" t="s">
        <v>460</v>
      </c>
      <c r="J651" s="135" t="s">
        <v>963</v>
      </c>
      <c r="K651" s="135" t="s">
        <v>465</v>
      </c>
      <c r="L651" s="135" t="s">
        <v>106</v>
      </c>
      <c r="M651" s="135" t="s">
        <v>268</v>
      </c>
      <c r="N651" s="135" t="s">
        <v>964</v>
      </c>
      <c r="O651" s="135" t="s">
        <v>899</v>
      </c>
      <c r="P651" s="135" t="s">
        <v>459</v>
      </c>
      <c r="Q651" s="135">
        <v>2686.62</v>
      </c>
      <c r="R651" s="187">
        <v>94</v>
      </c>
      <c r="S651" s="56"/>
      <c r="T651" s="56"/>
      <c r="U651" s="56"/>
      <c r="V651" s="56"/>
      <c r="W651" s="56"/>
      <c r="X651" s="56"/>
      <c r="Y651" s="56"/>
      <c r="Z651" s="56"/>
      <c r="AA651" s="56"/>
    </row>
    <row r="652" spans="2:27" ht="30" hidden="1" customHeight="1" x14ac:dyDescent="0.25">
      <c r="B652" s="51"/>
      <c r="C652" s="51"/>
      <c r="D652" s="51"/>
      <c r="E652" s="63" t="s">
        <v>451</v>
      </c>
      <c r="F652" s="422">
        <v>2006</v>
      </c>
      <c r="G652" s="135" t="s">
        <v>1262</v>
      </c>
      <c r="H652" s="422"/>
      <c r="I652" s="135" t="s">
        <v>460</v>
      </c>
      <c r="J652" s="135" t="s">
        <v>966</v>
      </c>
      <c r="K652" s="135" t="s">
        <v>499</v>
      </c>
      <c r="L652" s="135" t="s">
        <v>88</v>
      </c>
      <c r="M652" s="135" t="s">
        <v>88</v>
      </c>
      <c r="N652" s="135" t="s">
        <v>964</v>
      </c>
      <c r="O652" s="135" t="s">
        <v>233</v>
      </c>
      <c r="P652" s="135" t="s">
        <v>459</v>
      </c>
      <c r="Q652" s="135">
        <v>568.38</v>
      </c>
      <c r="R652" s="187">
        <v>93</v>
      </c>
      <c r="S652" s="56"/>
      <c r="T652" s="56"/>
      <c r="U652" s="56"/>
      <c r="V652" s="56"/>
      <c r="W652" s="56"/>
      <c r="X652" s="56"/>
      <c r="Y652" s="56"/>
      <c r="Z652" s="56"/>
      <c r="AA652" s="56"/>
    </row>
    <row r="653" spans="2:27" ht="30" hidden="1" customHeight="1" x14ac:dyDescent="0.25">
      <c r="B653" s="51"/>
      <c r="C653" s="51"/>
      <c r="D653" s="51"/>
      <c r="E653" s="63" t="s">
        <v>454</v>
      </c>
      <c r="F653" s="422">
        <v>2006</v>
      </c>
      <c r="G653" s="135" t="s">
        <v>1262</v>
      </c>
      <c r="H653" s="422"/>
      <c r="I653" s="135" t="s">
        <v>460</v>
      </c>
      <c r="J653" s="135" t="s">
        <v>969</v>
      </c>
      <c r="K653" s="135" t="s">
        <v>509</v>
      </c>
      <c r="L653" s="135" t="s">
        <v>157</v>
      </c>
      <c r="M653" s="135" t="s">
        <v>159</v>
      </c>
      <c r="N653" s="135" t="s">
        <v>964</v>
      </c>
      <c r="O653" s="135" t="s">
        <v>900</v>
      </c>
      <c r="P653" s="135" t="s">
        <v>459</v>
      </c>
      <c r="Q653" s="135">
        <v>2477.9899999999998</v>
      </c>
      <c r="R653" s="187">
        <v>92</v>
      </c>
      <c r="S653" s="56"/>
      <c r="T653" s="56"/>
      <c r="U653" s="56"/>
      <c r="V653" s="56"/>
      <c r="W653" s="56"/>
      <c r="X653" s="56"/>
      <c r="Y653" s="56"/>
      <c r="Z653" s="56"/>
      <c r="AA653" s="56"/>
    </row>
    <row r="654" spans="2:27" ht="30" hidden="1" customHeight="1" x14ac:dyDescent="0.25">
      <c r="B654" s="51"/>
      <c r="C654" s="51"/>
      <c r="D654" s="51"/>
      <c r="E654" s="63" t="s">
        <v>454</v>
      </c>
      <c r="F654" s="422">
        <v>2006</v>
      </c>
      <c r="G654" s="135" t="s">
        <v>1262</v>
      </c>
      <c r="H654" s="422"/>
      <c r="I654" s="135" t="s">
        <v>460</v>
      </c>
      <c r="J654" s="135" t="s">
        <v>966</v>
      </c>
      <c r="K654" s="135" t="s">
        <v>499</v>
      </c>
      <c r="L654" s="135" t="s">
        <v>88</v>
      </c>
      <c r="M654" s="135" t="s">
        <v>88</v>
      </c>
      <c r="N654" s="135" t="s">
        <v>964</v>
      </c>
      <c r="O654" s="135" t="s">
        <v>901</v>
      </c>
      <c r="P654" s="135" t="s">
        <v>459</v>
      </c>
      <c r="Q654" s="135">
        <v>2431.9300000000003</v>
      </c>
      <c r="R654" s="187">
        <v>91</v>
      </c>
      <c r="S654" s="56"/>
      <c r="T654" s="56"/>
      <c r="U654" s="56"/>
      <c r="V654" s="56"/>
      <c r="W654" s="56"/>
      <c r="X654" s="56"/>
      <c r="Y654" s="56"/>
      <c r="Z654" s="56"/>
      <c r="AA654" s="56"/>
    </row>
    <row r="655" spans="2:27" ht="30" hidden="1" customHeight="1" x14ac:dyDescent="0.25">
      <c r="B655" s="51"/>
      <c r="C655" s="51"/>
      <c r="D655" s="51"/>
      <c r="E655" s="63" t="s">
        <v>454</v>
      </c>
      <c r="F655" s="422">
        <v>2006</v>
      </c>
      <c r="G655" s="135" t="s">
        <v>1262</v>
      </c>
      <c r="H655" s="422"/>
      <c r="I655" s="135" t="s">
        <v>460</v>
      </c>
      <c r="J655" s="135" t="s">
        <v>966</v>
      </c>
      <c r="K655" s="135" t="s">
        <v>469</v>
      </c>
      <c r="L655" s="135" t="s">
        <v>85</v>
      </c>
      <c r="M655" s="135" t="s">
        <v>85</v>
      </c>
      <c r="N655" s="135" t="s">
        <v>964</v>
      </c>
      <c r="O655" s="135" t="s">
        <v>290</v>
      </c>
      <c r="P655" s="135" t="s">
        <v>459</v>
      </c>
      <c r="Q655" s="135">
        <v>2434.5499999999997</v>
      </c>
      <c r="R655" s="187">
        <v>90</v>
      </c>
      <c r="S655" s="56"/>
      <c r="T655" s="56"/>
      <c r="U655" s="56"/>
      <c r="V655" s="56"/>
      <c r="W655" s="56"/>
      <c r="X655" s="56"/>
      <c r="Y655" s="56"/>
      <c r="Z655" s="56"/>
      <c r="AA655" s="56"/>
    </row>
    <row r="656" spans="2:27" ht="30" hidden="1" customHeight="1" x14ac:dyDescent="0.25">
      <c r="B656" s="51"/>
      <c r="C656" s="51"/>
      <c r="D656" s="51"/>
      <c r="E656" s="63" t="s">
        <v>454</v>
      </c>
      <c r="F656" s="422">
        <v>2006</v>
      </c>
      <c r="G656" s="135" t="s">
        <v>1262</v>
      </c>
      <c r="H656" s="422"/>
      <c r="I656" s="135" t="s">
        <v>460</v>
      </c>
      <c r="J656" s="135" t="s">
        <v>967</v>
      </c>
      <c r="K656" s="135" t="s">
        <v>553</v>
      </c>
      <c r="L656" s="135" t="s">
        <v>82</v>
      </c>
      <c r="M656" s="135" t="s">
        <v>130</v>
      </c>
      <c r="N656" s="135" t="s">
        <v>964</v>
      </c>
      <c r="O656" s="135" t="s">
        <v>736</v>
      </c>
      <c r="P656" s="135" t="s">
        <v>459</v>
      </c>
      <c r="Q656" s="135">
        <v>4724.53</v>
      </c>
      <c r="R656" s="187">
        <v>89</v>
      </c>
      <c r="S656" s="56"/>
      <c r="T656" s="56"/>
      <c r="U656" s="56"/>
      <c r="V656" s="56"/>
      <c r="W656" s="56"/>
      <c r="X656" s="56"/>
      <c r="Y656" s="56"/>
      <c r="Z656" s="56"/>
      <c r="AA656" s="56"/>
    </row>
    <row r="657" spans="2:27" ht="30" hidden="1" customHeight="1" x14ac:dyDescent="0.25">
      <c r="B657" s="51"/>
      <c r="C657" s="51"/>
      <c r="D657" s="51"/>
      <c r="E657" s="63" t="s">
        <v>454</v>
      </c>
      <c r="F657" s="422">
        <v>2006</v>
      </c>
      <c r="G657" s="135" t="s">
        <v>1262</v>
      </c>
      <c r="H657" s="422"/>
      <c r="I657" s="135" t="s">
        <v>460</v>
      </c>
      <c r="J657" s="135" t="s">
        <v>966</v>
      </c>
      <c r="K657" s="135" t="s">
        <v>499</v>
      </c>
      <c r="L657" s="135" t="s">
        <v>88</v>
      </c>
      <c r="M657" s="135" t="s">
        <v>88</v>
      </c>
      <c r="N657" s="135" t="s">
        <v>964</v>
      </c>
      <c r="O657" s="135" t="s">
        <v>902</v>
      </c>
      <c r="P657" s="135" t="s">
        <v>459</v>
      </c>
      <c r="Q657" s="135">
        <v>3517.6899999999996</v>
      </c>
      <c r="R657" s="187">
        <v>88</v>
      </c>
      <c r="S657" s="56"/>
      <c r="T657" s="56"/>
      <c r="U657" s="56"/>
      <c r="V657" s="56"/>
      <c r="W657" s="56"/>
      <c r="X657" s="56"/>
      <c r="Y657" s="56"/>
      <c r="Z657" s="56"/>
      <c r="AA657" s="56"/>
    </row>
    <row r="658" spans="2:27" ht="30" hidden="1" customHeight="1" x14ac:dyDescent="0.25">
      <c r="B658" s="51"/>
      <c r="C658" s="51"/>
      <c r="D658" s="51"/>
      <c r="E658" s="63" t="s">
        <v>454</v>
      </c>
      <c r="F658" s="422">
        <v>2006</v>
      </c>
      <c r="G658" s="135" t="s">
        <v>1262</v>
      </c>
      <c r="H658" s="422"/>
      <c r="I658" s="135" t="s">
        <v>460</v>
      </c>
      <c r="J658" s="135" t="s">
        <v>963</v>
      </c>
      <c r="K658" s="135" t="s">
        <v>465</v>
      </c>
      <c r="L658" s="135" t="s">
        <v>106</v>
      </c>
      <c r="M658" s="135" t="s">
        <v>282</v>
      </c>
      <c r="N658" s="135" t="s">
        <v>965</v>
      </c>
      <c r="O658" s="135" t="s">
        <v>903</v>
      </c>
      <c r="P658" s="135" t="s">
        <v>459</v>
      </c>
      <c r="Q658" s="135">
        <v>2952.25</v>
      </c>
      <c r="R658" s="187">
        <v>87</v>
      </c>
      <c r="S658" s="56"/>
      <c r="T658" s="56"/>
      <c r="U658" s="56"/>
      <c r="V658" s="56"/>
      <c r="W658" s="56"/>
      <c r="X658" s="56"/>
      <c r="Y658" s="56"/>
      <c r="Z658" s="56"/>
      <c r="AA658" s="56"/>
    </row>
    <row r="659" spans="2:27" ht="30" hidden="1" customHeight="1" x14ac:dyDescent="0.25">
      <c r="B659" s="51"/>
      <c r="C659" s="51"/>
      <c r="D659" s="51"/>
      <c r="E659" s="63" t="s">
        <v>454</v>
      </c>
      <c r="F659" s="422">
        <v>2006</v>
      </c>
      <c r="G659" s="135" t="s">
        <v>1263</v>
      </c>
      <c r="H659" s="422"/>
      <c r="I659" s="135" t="s">
        <v>460</v>
      </c>
      <c r="J659" s="135" t="s">
        <v>967</v>
      </c>
      <c r="K659" s="135" t="s">
        <v>478</v>
      </c>
      <c r="L659" s="135" t="s">
        <v>207</v>
      </c>
      <c r="M659" s="135" t="s">
        <v>211</v>
      </c>
      <c r="N659" s="135" t="s">
        <v>964</v>
      </c>
      <c r="O659" s="135" t="s">
        <v>548</v>
      </c>
      <c r="P659" s="135" t="s">
        <v>459</v>
      </c>
      <c r="Q659" s="135">
        <v>4919.46</v>
      </c>
      <c r="R659" s="187">
        <v>86</v>
      </c>
      <c r="S659" s="56"/>
      <c r="T659" s="56"/>
      <c r="U659" s="56"/>
      <c r="V659" s="56"/>
      <c r="W659" s="56"/>
      <c r="X659" s="56"/>
      <c r="Y659" s="56"/>
      <c r="Z659" s="56"/>
      <c r="AA659" s="56"/>
    </row>
    <row r="660" spans="2:27" ht="30" hidden="1" customHeight="1" x14ac:dyDescent="0.25">
      <c r="B660" s="51"/>
      <c r="C660" s="51"/>
      <c r="D660" s="51"/>
      <c r="E660" s="63" t="s">
        <v>454</v>
      </c>
      <c r="F660" s="422">
        <v>2006</v>
      </c>
      <c r="G660" s="135" t="s">
        <v>1263</v>
      </c>
      <c r="H660" s="422"/>
      <c r="I660" s="135" t="s">
        <v>460</v>
      </c>
      <c r="J660" s="135" t="s">
        <v>966</v>
      </c>
      <c r="K660" s="135" t="s">
        <v>469</v>
      </c>
      <c r="L660" s="135" t="s">
        <v>85</v>
      </c>
      <c r="M660" s="135" t="s">
        <v>85</v>
      </c>
      <c r="N660" s="135" t="s">
        <v>964</v>
      </c>
      <c r="O660" s="135" t="s">
        <v>742</v>
      </c>
      <c r="P660" s="135" t="s">
        <v>459</v>
      </c>
      <c r="Q660" s="135">
        <v>2285.14</v>
      </c>
      <c r="R660" s="187">
        <v>85</v>
      </c>
      <c r="S660" s="56"/>
      <c r="T660" s="56"/>
      <c r="U660" s="56"/>
      <c r="V660" s="56"/>
      <c r="W660" s="56"/>
      <c r="X660" s="56"/>
      <c r="Y660" s="56"/>
      <c r="Z660" s="56"/>
      <c r="AA660" s="56"/>
    </row>
    <row r="661" spans="2:27" ht="30" hidden="1" customHeight="1" x14ac:dyDescent="0.25">
      <c r="B661" s="51"/>
      <c r="C661" s="51"/>
      <c r="D661" s="51"/>
      <c r="E661" s="63" t="s">
        <v>454</v>
      </c>
      <c r="F661" s="422">
        <v>2006</v>
      </c>
      <c r="G661" s="135" t="s">
        <v>1263</v>
      </c>
      <c r="H661" s="422"/>
      <c r="I661" s="135" t="s">
        <v>460</v>
      </c>
      <c r="J661" s="135" t="s">
        <v>963</v>
      </c>
      <c r="K661" s="135" t="s">
        <v>461</v>
      </c>
      <c r="L661" s="135" t="s">
        <v>253</v>
      </c>
      <c r="M661" s="135" t="s">
        <v>904</v>
      </c>
      <c r="N661" s="135" t="s">
        <v>965</v>
      </c>
      <c r="O661" s="135" t="s">
        <v>905</v>
      </c>
      <c r="P661" s="135" t="s">
        <v>459</v>
      </c>
      <c r="Q661" s="135">
        <v>2748</v>
      </c>
      <c r="R661" s="187">
        <v>84</v>
      </c>
      <c r="S661" s="56"/>
      <c r="T661" s="56"/>
      <c r="U661" s="56"/>
      <c r="V661" s="56"/>
      <c r="W661" s="56"/>
      <c r="X661" s="56"/>
      <c r="Y661" s="56"/>
      <c r="Z661" s="56"/>
      <c r="AA661" s="56"/>
    </row>
    <row r="662" spans="2:27" ht="30" hidden="1" customHeight="1" x14ac:dyDescent="0.25">
      <c r="B662" s="51"/>
      <c r="C662" s="51"/>
      <c r="D662" s="51"/>
      <c r="E662" s="63" t="s">
        <v>454</v>
      </c>
      <c r="F662" s="422">
        <v>2006</v>
      </c>
      <c r="G662" s="135" t="s">
        <v>1264</v>
      </c>
      <c r="H662" s="422"/>
      <c r="I662" s="135" t="s">
        <v>460</v>
      </c>
      <c r="J662" s="135" t="s">
        <v>967</v>
      </c>
      <c r="K662" s="135" t="s">
        <v>488</v>
      </c>
      <c r="L662" s="135" t="s">
        <v>135</v>
      </c>
      <c r="M662" s="135" t="s">
        <v>136</v>
      </c>
      <c r="N662" s="135" t="s">
        <v>964</v>
      </c>
      <c r="O662" s="135" t="s">
        <v>906</v>
      </c>
      <c r="P662" s="135" t="s">
        <v>459</v>
      </c>
      <c r="Q662" s="135">
        <v>3025.78</v>
      </c>
      <c r="R662" s="187">
        <v>83</v>
      </c>
      <c r="S662" s="56"/>
      <c r="T662" s="56"/>
      <c r="U662" s="56"/>
      <c r="V662" s="56"/>
      <c r="W662" s="56"/>
      <c r="X662" s="56"/>
      <c r="Y662" s="56"/>
      <c r="Z662" s="56"/>
      <c r="AA662" s="56"/>
    </row>
    <row r="663" spans="2:27" ht="30" hidden="1" customHeight="1" x14ac:dyDescent="0.25">
      <c r="B663" s="51"/>
      <c r="C663" s="51"/>
      <c r="D663" s="51"/>
      <c r="E663" s="63" t="s">
        <v>454</v>
      </c>
      <c r="F663" s="422">
        <v>2006</v>
      </c>
      <c r="G663" s="135" t="s">
        <v>1264</v>
      </c>
      <c r="H663" s="422"/>
      <c r="I663" s="135" t="s">
        <v>460</v>
      </c>
      <c r="J663" s="135" t="s">
        <v>966</v>
      </c>
      <c r="K663" s="135" t="s">
        <v>469</v>
      </c>
      <c r="L663" s="135" t="s">
        <v>85</v>
      </c>
      <c r="M663" s="135" t="s">
        <v>316</v>
      </c>
      <c r="N663" s="135" t="s">
        <v>965</v>
      </c>
      <c r="O663" s="135" t="s">
        <v>907</v>
      </c>
      <c r="P663" s="135" t="s">
        <v>459</v>
      </c>
      <c r="Q663" s="135">
        <v>3015.3199999999997</v>
      </c>
      <c r="R663" s="187">
        <v>82</v>
      </c>
      <c r="S663" s="56"/>
      <c r="T663" s="56"/>
      <c r="U663" s="56"/>
      <c r="V663" s="56"/>
      <c r="W663" s="56"/>
      <c r="X663" s="56"/>
      <c r="Y663" s="56"/>
      <c r="Z663" s="56"/>
      <c r="AA663" s="56"/>
    </row>
    <row r="664" spans="2:27" ht="30" hidden="1" customHeight="1" x14ac:dyDescent="0.25">
      <c r="B664" s="51"/>
      <c r="C664" s="51"/>
      <c r="D664" s="51"/>
      <c r="E664" s="63" t="s">
        <v>454</v>
      </c>
      <c r="F664" s="422">
        <v>2006</v>
      </c>
      <c r="G664" s="135" t="s">
        <v>1264</v>
      </c>
      <c r="H664" s="422"/>
      <c r="I664" s="135" t="s">
        <v>460</v>
      </c>
      <c r="J664" s="135" t="s">
        <v>967</v>
      </c>
      <c r="K664" s="135" t="s">
        <v>488</v>
      </c>
      <c r="L664" s="135" t="s">
        <v>135</v>
      </c>
      <c r="M664" s="135" t="s">
        <v>136</v>
      </c>
      <c r="N664" s="135" t="s">
        <v>964</v>
      </c>
      <c r="O664" s="135" t="s">
        <v>908</v>
      </c>
      <c r="P664" s="135" t="s">
        <v>459</v>
      </c>
      <c r="Q664" s="135">
        <v>4734.8599999999997</v>
      </c>
      <c r="R664" s="187">
        <v>81</v>
      </c>
      <c r="S664" s="56"/>
      <c r="T664" s="56"/>
      <c r="U664" s="56"/>
      <c r="V664" s="56"/>
      <c r="W664" s="56"/>
      <c r="X664" s="56"/>
      <c r="Y664" s="56"/>
      <c r="Z664" s="56"/>
      <c r="AA664" s="56"/>
    </row>
    <row r="665" spans="2:27" ht="30" hidden="1" customHeight="1" x14ac:dyDescent="0.25">
      <c r="B665" s="51"/>
      <c r="C665" s="51"/>
      <c r="D665" s="51"/>
      <c r="E665" s="63" t="s">
        <v>454</v>
      </c>
      <c r="F665" s="422">
        <v>2006</v>
      </c>
      <c r="G665" s="135" t="s">
        <v>1264</v>
      </c>
      <c r="H665" s="422"/>
      <c r="I665" s="135" t="s">
        <v>460</v>
      </c>
      <c r="J665" s="135" t="s">
        <v>963</v>
      </c>
      <c r="K665" s="135" t="s">
        <v>474</v>
      </c>
      <c r="L665" s="135" t="s">
        <v>95</v>
      </c>
      <c r="M665" s="135" t="s">
        <v>96</v>
      </c>
      <c r="N665" s="135" t="s">
        <v>964</v>
      </c>
      <c r="O665" s="135" t="s">
        <v>222</v>
      </c>
      <c r="P665" s="135" t="s">
        <v>459</v>
      </c>
      <c r="Q665" s="135">
        <v>2409.5299999999997</v>
      </c>
      <c r="R665" s="187">
        <v>80</v>
      </c>
      <c r="S665" s="56"/>
      <c r="T665" s="56"/>
      <c r="U665" s="56"/>
      <c r="V665" s="56"/>
      <c r="W665" s="56"/>
      <c r="X665" s="56"/>
      <c r="Y665" s="56"/>
      <c r="Z665" s="56"/>
      <c r="AA665" s="56"/>
    </row>
    <row r="666" spans="2:27" ht="30" hidden="1" customHeight="1" x14ac:dyDescent="0.25">
      <c r="B666" s="51"/>
      <c r="C666" s="51"/>
      <c r="D666" s="51"/>
      <c r="E666" s="63" t="s">
        <v>451</v>
      </c>
      <c r="F666" s="422">
        <v>2006</v>
      </c>
      <c r="G666" s="135" t="s">
        <v>1264</v>
      </c>
      <c r="H666" s="422"/>
      <c r="I666" s="135" t="s">
        <v>460</v>
      </c>
      <c r="J666" s="135" t="s">
        <v>963</v>
      </c>
      <c r="K666" s="135" t="s">
        <v>461</v>
      </c>
      <c r="L666" s="135" t="s">
        <v>253</v>
      </c>
      <c r="M666" s="135" t="s">
        <v>258</v>
      </c>
      <c r="N666" s="135" t="s">
        <v>964</v>
      </c>
      <c r="O666" s="135" t="s">
        <v>137</v>
      </c>
      <c r="P666" s="135" t="s">
        <v>459</v>
      </c>
      <c r="Q666" s="135">
        <v>947.95</v>
      </c>
      <c r="R666" s="187">
        <v>79</v>
      </c>
      <c r="S666" s="56"/>
      <c r="T666" s="56"/>
      <c r="U666" s="56"/>
      <c r="V666" s="56"/>
      <c r="W666" s="56"/>
      <c r="X666" s="56"/>
      <c r="Y666" s="56"/>
      <c r="Z666" s="56"/>
      <c r="AA666" s="56"/>
    </row>
    <row r="667" spans="2:27" ht="30" hidden="1" customHeight="1" x14ac:dyDescent="0.25">
      <c r="B667" s="51"/>
      <c r="C667" s="51"/>
      <c r="D667" s="51"/>
      <c r="E667" s="63" t="s">
        <v>454</v>
      </c>
      <c r="F667" s="422">
        <v>2006</v>
      </c>
      <c r="G667" s="135" t="s">
        <v>1265</v>
      </c>
      <c r="H667" s="422">
        <v>2017</v>
      </c>
      <c r="I667" s="135" t="s">
        <v>460</v>
      </c>
      <c r="J667" s="135" t="s">
        <v>967</v>
      </c>
      <c r="K667" s="135" t="s">
        <v>478</v>
      </c>
      <c r="L667" s="135" t="s">
        <v>207</v>
      </c>
      <c r="M667" s="135" t="s">
        <v>211</v>
      </c>
      <c r="N667" s="135" t="s">
        <v>964</v>
      </c>
      <c r="O667" s="135" t="s">
        <v>909</v>
      </c>
      <c r="P667" s="135" t="s">
        <v>464</v>
      </c>
      <c r="Q667" s="135">
        <v>5221.3999999999996</v>
      </c>
      <c r="R667" s="187">
        <v>78</v>
      </c>
      <c r="S667" s="56"/>
      <c r="T667" s="56"/>
      <c r="U667" s="56"/>
      <c r="V667" s="56"/>
      <c r="W667" s="56"/>
      <c r="X667" s="56"/>
      <c r="Y667" s="56"/>
      <c r="Z667" s="56"/>
      <c r="AA667" s="56"/>
    </row>
    <row r="668" spans="2:27" ht="30" hidden="1" customHeight="1" x14ac:dyDescent="0.25">
      <c r="B668" s="51"/>
      <c r="C668" s="51"/>
      <c r="D668" s="51"/>
      <c r="E668" s="63" t="s">
        <v>454</v>
      </c>
      <c r="F668" s="422">
        <v>2006</v>
      </c>
      <c r="G668" s="135" t="s">
        <v>1265</v>
      </c>
      <c r="H668" s="422"/>
      <c r="I668" s="135" t="s">
        <v>460</v>
      </c>
      <c r="J668" s="135" t="s">
        <v>967</v>
      </c>
      <c r="K668" s="135" t="s">
        <v>478</v>
      </c>
      <c r="L668" s="135" t="s">
        <v>207</v>
      </c>
      <c r="M668" s="135" t="s">
        <v>214</v>
      </c>
      <c r="N668" s="135" t="s">
        <v>965</v>
      </c>
      <c r="O668" s="135" t="s">
        <v>215</v>
      </c>
      <c r="P668" s="135" t="s">
        <v>459</v>
      </c>
      <c r="Q668" s="135">
        <v>3196.0699999999997</v>
      </c>
      <c r="R668" s="187">
        <v>78</v>
      </c>
      <c r="S668" s="56"/>
      <c r="T668" s="56"/>
      <c r="U668" s="56"/>
      <c r="V668" s="56"/>
      <c r="W668" s="56"/>
      <c r="X668" s="56"/>
      <c r="Y668" s="56"/>
      <c r="Z668" s="56"/>
      <c r="AA668" s="56"/>
    </row>
    <row r="669" spans="2:27" ht="30" hidden="1" customHeight="1" x14ac:dyDescent="0.25">
      <c r="B669" s="51"/>
      <c r="C669" s="51"/>
      <c r="D669" s="51"/>
      <c r="E669" s="63" t="s">
        <v>451</v>
      </c>
      <c r="F669" s="422">
        <v>2006</v>
      </c>
      <c r="G669" s="135" t="s">
        <v>1265</v>
      </c>
      <c r="H669" s="422"/>
      <c r="I669" s="135" t="s">
        <v>460</v>
      </c>
      <c r="J669" s="135" t="s">
        <v>963</v>
      </c>
      <c r="K669" s="135" t="s">
        <v>474</v>
      </c>
      <c r="L669" s="135" t="s">
        <v>95</v>
      </c>
      <c r="M669" s="135" t="s">
        <v>96</v>
      </c>
      <c r="N669" s="135" t="s">
        <v>964</v>
      </c>
      <c r="O669" s="135" t="s">
        <v>910</v>
      </c>
      <c r="P669" s="135" t="s">
        <v>459</v>
      </c>
      <c r="Q669" s="135">
        <v>510.63</v>
      </c>
      <c r="R669" s="187">
        <v>77</v>
      </c>
      <c r="S669" s="56"/>
      <c r="T669" s="56"/>
      <c r="U669" s="56"/>
      <c r="V669" s="56"/>
      <c r="W669" s="56"/>
      <c r="X669" s="56"/>
      <c r="Y669" s="56"/>
      <c r="Z669" s="56"/>
      <c r="AA669" s="56"/>
    </row>
    <row r="670" spans="2:27" ht="30" hidden="1" customHeight="1" x14ac:dyDescent="0.25">
      <c r="B670" s="51"/>
      <c r="C670" s="51"/>
      <c r="D670" s="51"/>
      <c r="E670" s="63" t="s">
        <v>454</v>
      </c>
      <c r="F670" s="422">
        <v>2005</v>
      </c>
      <c r="G670" s="135" t="s">
        <v>1266</v>
      </c>
      <c r="H670" s="422"/>
      <c r="I670" s="135" t="s">
        <v>460</v>
      </c>
      <c r="J670" s="135" t="s">
        <v>963</v>
      </c>
      <c r="K670" s="135" t="s">
        <v>461</v>
      </c>
      <c r="L670" s="135" t="s">
        <v>253</v>
      </c>
      <c r="M670" s="135" t="s">
        <v>686</v>
      </c>
      <c r="N670" s="135" t="s">
        <v>965</v>
      </c>
      <c r="O670" s="135" t="s">
        <v>911</v>
      </c>
      <c r="P670" s="135" t="s">
        <v>459</v>
      </c>
      <c r="Q670" s="135">
        <v>3017.62</v>
      </c>
      <c r="R670" s="187">
        <v>76</v>
      </c>
      <c r="S670" s="56"/>
      <c r="T670" s="56"/>
      <c r="U670" s="56"/>
      <c r="V670" s="56"/>
      <c r="W670" s="56"/>
      <c r="X670" s="56"/>
      <c r="Y670" s="56"/>
      <c r="Z670" s="56"/>
      <c r="AA670" s="56"/>
    </row>
    <row r="671" spans="2:27" ht="30" hidden="1" customHeight="1" x14ac:dyDescent="0.25">
      <c r="B671" s="51"/>
      <c r="C671" s="51"/>
      <c r="D671" s="51"/>
      <c r="E671" s="63" t="s">
        <v>454</v>
      </c>
      <c r="F671" s="422">
        <v>2005</v>
      </c>
      <c r="G671" s="135" t="s">
        <v>1266</v>
      </c>
      <c r="H671" s="422"/>
      <c r="I671" s="135" t="s">
        <v>460</v>
      </c>
      <c r="J671" s="135" t="s">
        <v>966</v>
      </c>
      <c r="K671" s="135" t="s">
        <v>469</v>
      </c>
      <c r="L671" s="135" t="s">
        <v>85</v>
      </c>
      <c r="M671" s="135" t="s">
        <v>324</v>
      </c>
      <c r="N671" s="135" t="s">
        <v>965</v>
      </c>
      <c r="O671" s="135" t="s">
        <v>912</v>
      </c>
      <c r="P671" s="135" t="s">
        <v>459</v>
      </c>
      <c r="Q671" s="135">
        <v>1710.02</v>
      </c>
      <c r="R671" s="187">
        <v>75</v>
      </c>
      <c r="S671" s="56"/>
      <c r="T671" s="56"/>
      <c r="U671" s="56"/>
      <c r="V671" s="56"/>
      <c r="W671" s="56"/>
      <c r="X671" s="56"/>
      <c r="Y671" s="56"/>
      <c r="Z671" s="56"/>
      <c r="AA671" s="56"/>
    </row>
    <row r="672" spans="2:27" ht="30" hidden="1" customHeight="1" x14ac:dyDescent="0.25">
      <c r="B672" s="51"/>
      <c r="C672" s="51"/>
      <c r="D672" s="51"/>
      <c r="E672" s="63" t="s">
        <v>454</v>
      </c>
      <c r="F672" s="422">
        <v>2005</v>
      </c>
      <c r="G672" s="135" t="s">
        <v>1267</v>
      </c>
      <c r="H672" s="422"/>
      <c r="I672" s="135" t="s">
        <v>460</v>
      </c>
      <c r="J672" s="135" t="s">
        <v>963</v>
      </c>
      <c r="K672" s="135" t="s">
        <v>474</v>
      </c>
      <c r="L672" s="135" t="s">
        <v>95</v>
      </c>
      <c r="M672" s="135" t="s">
        <v>224</v>
      </c>
      <c r="N672" s="135" t="s">
        <v>965</v>
      </c>
      <c r="O672" s="135" t="s">
        <v>913</v>
      </c>
      <c r="P672" s="135" t="s">
        <v>459</v>
      </c>
      <c r="Q672" s="135">
        <v>3158.2799999999997</v>
      </c>
      <c r="R672" s="187">
        <v>74</v>
      </c>
      <c r="S672" s="56"/>
      <c r="T672" s="56"/>
      <c r="U672" s="56"/>
      <c r="V672" s="56"/>
      <c r="W672" s="56"/>
      <c r="X672" s="56"/>
      <c r="Y672" s="56"/>
      <c r="Z672" s="56"/>
      <c r="AA672" s="56"/>
    </row>
    <row r="673" spans="2:27" ht="30" hidden="1" customHeight="1" x14ac:dyDescent="0.25">
      <c r="B673" s="51"/>
      <c r="C673" s="51"/>
      <c r="D673" s="51"/>
      <c r="E673" s="63" t="s">
        <v>454</v>
      </c>
      <c r="F673" s="422">
        <v>2005</v>
      </c>
      <c r="G673" s="135" t="s">
        <v>1267</v>
      </c>
      <c r="H673" s="422"/>
      <c r="I673" s="135" t="s">
        <v>460</v>
      </c>
      <c r="J673" s="135" t="s">
        <v>969</v>
      </c>
      <c r="K673" s="135" t="s">
        <v>519</v>
      </c>
      <c r="L673" s="135" t="s">
        <v>186</v>
      </c>
      <c r="M673" s="135" t="s">
        <v>187</v>
      </c>
      <c r="N673" s="135" t="s">
        <v>964</v>
      </c>
      <c r="O673" s="135" t="s">
        <v>520</v>
      </c>
      <c r="P673" s="135" t="s">
        <v>459</v>
      </c>
      <c r="Q673" s="135">
        <v>3711.4900000000002</v>
      </c>
      <c r="R673" s="187">
        <v>73</v>
      </c>
      <c r="S673" s="56"/>
      <c r="T673" s="56"/>
      <c r="U673" s="56"/>
      <c r="V673" s="56"/>
      <c r="W673" s="56"/>
      <c r="X673" s="56"/>
      <c r="Y673" s="56"/>
      <c r="Z673" s="56"/>
      <c r="AA673" s="56"/>
    </row>
    <row r="674" spans="2:27" ht="30" hidden="1" customHeight="1" x14ac:dyDescent="0.25">
      <c r="B674" s="51"/>
      <c r="C674" s="51"/>
      <c r="D674" s="51"/>
      <c r="E674" s="63" t="s">
        <v>451</v>
      </c>
      <c r="F674" s="422">
        <v>2005</v>
      </c>
      <c r="G674" s="135" t="s">
        <v>1267</v>
      </c>
      <c r="H674" s="422">
        <v>2016</v>
      </c>
      <c r="I674" s="135" t="s">
        <v>460</v>
      </c>
      <c r="J674" s="135" t="s">
        <v>966</v>
      </c>
      <c r="K674" s="135" t="s">
        <v>469</v>
      </c>
      <c r="L674" s="135" t="s">
        <v>85</v>
      </c>
      <c r="M674" s="135" t="s">
        <v>85</v>
      </c>
      <c r="N674" s="135" t="s">
        <v>964</v>
      </c>
      <c r="O674" s="135" t="s">
        <v>914</v>
      </c>
      <c r="P674" s="135" t="s">
        <v>459</v>
      </c>
      <c r="Q674" s="135">
        <v>822.05</v>
      </c>
      <c r="R674" s="187">
        <v>72</v>
      </c>
      <c r="S674" s="56"/>
      <c r="T674" s="56"/>
      <c r="U674" s="56"/>
      <c r="V674" s="56"/>
      <c r="W674" s="56"/>
      <c r="X674" s="56"/>
      <c r="Y674" s="56"/>
      <c r="Z674" s="56"/>
      <c r="AA674" s="56"/>
    </row>
    <row r="675" spans="2:27" ht="30" hidden="1" customHeight="1" x14ac:dyDescent="0.25">
      <c r="B675" s="51"/>
      <c r="C675" s="51"/>
      <c r="D675" s="51"/>
      <c r="E675" s="63" t="s">
        <v>454</v>
      </c>
      <c r="F675" s="422">
        <v>2004</v>
      </c>
      <c r="G675" s="135" t="s">
        <v>1268</v>
      </c>
      <c r="H675" s="422"/>
      <c r="I675" s="135" t="s">
        <v>460</v>
      </c>
      <c r="J675" s="135" t="s">
        <v>969</v>
      </c>
      <c r="K675" s="135" t="s">
        <v>503</v>
      </c>
      <c r="L675" s="135" t="s">
        <v>970</v>
      </c>
      <c r="M675" s="135" t="s">
        <v>190</v>
      </c>
      <c r="N675" s="135" t="s">
        <v>964</v>
      </c>
      <c r="O675" s="135" t="s">
        <v>781</v>
      </c>
      <c r="P675" s="135" t="s">
        <v>459</v>
      </c>
      <c r="Q675" s="135">
        <v>2888.69</v>
      </c>
      <c r="R675" s="187">
        <v>72</v>
      </c>
      <c r="S675" s="56"/>
      <c r="T675" s="56"/>
      <c r="U675" s="56"/>
      <c r="V675" s="56"/>
      <c r="W675" s="56"/>
      <c r="X675" s="56"/>
      <c r="Y675" s="56"/>
      <c r="Z675" s="56"/>
      <c r="AA675" s="56"/>
    </row>
    <row r="676" spans="2:27" ht="30" customHeight="1" x14ac:dyDescent="0.25">
      <c r="B676" s="51"/>
      <c r="C676" s="51"/>
      <c r="D676" s="51"/>
      <c r="E676" s="63" t="s">
        <v>451</v>
      </c>
      <c r="F676" s="422">
        <v>2004</v>
      </c>
      <c r="G676" s="135" t="s">
        <v>1268</v>
      </c>
      <c r="H676" s="422">
        <v>2023</v>
      </c>
      <c r="I676" s="135" t="s">
        <v>460</v>
      </c>
      <c r="J676" s="135" t="s">
        <v>966</v>
      </c>
      <c r="K676" s="135" t="s">
        <v>499</v>
      </c>
      <c r="L676" s="135" t="s">
        <v>88</v>
      </c>
      <c r="M676" s="135" t="s">
        <v>88</v>
      </c>
      <c r="N676" s="135" t="s">
        <v>964</v>
      </c>
      <c r="O676" s="135" t="s">
        <v>1186</v>
      </c>
      <c r="P676" s="135" t="s">
        <v>459</v>
      </c>
      <c r="Q676" s="135">
        <v>526.21</v>
      </c>
      <c r="R676" s="187">
        <v>71</v>
      </c>
      <c r="S676" s="56"/>
      <c r="T676" s="56"/>
      <c r="U676" s="56"/>
      <c r="V676" s="56"/>
      <c r="W676" s="56"/>
      <c r="X676" s="56"/>
      <c r="Y676" s="56"/>
      <c r="Z676" s="56"/>
      <c r="AA676" s="56"/>
    </row>
    <row r="677" spans="2:27" ht="30" hidden="1" customHeight="1" x14ac:dyDescent="0.25">
      <c r="B677" s="51"/>
      <c r="C677" s="51"/>
      <c r="D677" s="51"/>
      <c r="E677" s="63" t="s">
        <v>451</v>
      </c>
      <c r="F677" s="422">
        <v>2004</v>
      </c>
      <c r="G677" s="135" t="s">
        <v>1268</v>
      </c>
      <c r="H677" s="422">
        <v>2015</v>
      </c>
      <c r="I677" s="135" t="s">
        <v>460</v>
      </c>
      <c r="J677" s="135" t="s">
        <v>966</v>
      </c>
      <c r="K677" s="135" t="s">
        <v>469</v>
      </c>
      <c r="L677" s="135" t="s">
        <v>85</v>
      </c>
      <c r="M677" s="135" t="s">
        <v>85</v>
      </c>
      <c r="N677" s="135" t="s">
        <v>964</v>
      </c>
      <c r="O677" s="135" t="s">
        <v>915</v>
      </c>
      <c r="P677" s="135" t="s">
        <v>459</v>
      </c>
      <c r="Q677" s="135">
        <v>1034</v>
      </c>
      <c r="R677" s="187">
        <v>71</v>
      </c>
      <c r="S677" s="56"/>
      <c r="T677" s="56"/>
      <c r="U677" s="56"/>
      <c r="V677" s="56"/>
      <c r="W677" s="56"/>
      <c r="X677" s="56"/>
      <c r="Y677" s="56"/>
      <c r="Z677" s="56"/>
      <c r="AA677" s="56"/>
    </row>
    <row r="678" spans="2:27" ht="30" hidden="1" customHeight="1" x14ac:dyDescent="0.25">
      <c r="B678" s="51"/>
      <c r="C678" s="51"/>
      <c r="D678" s="51"/>
      <c r="E678" s="63" t="s">
        <v>454</v>
      </c>
      <c r="F678" s="422">
        <v>2004</v>
      </c>
      <c r="G678" s="135" t="s">
        <v>1269</v>
      </c>
      <c r="H678" s="422"/>
      <c r="I678" s="135" t="s">
        <v>460</v>
      </c>
      <c r="J678" s="135" t="s">
        <v>966</v>
      </c>
      <c r="K678" s="135" t="s">
        <v>469</v>
      </c>
      <c r="L678" s="135" t="s">
        <v>85</v>
      </c>
      <c r="M678" s="135" t="s">
        <v>93</v>
      </c>
      <c r="N678" s="135" t="s">
        <v>965</v>
      </c>
      <c r="O678" s="135" t="s">
        <v>753</v>
      </c>
      <c r="P678" s="135" t="s">
        <v>459</v>
      </c>
      <c r="Q678" s="135">
        <v>3109.02</v>
      </c>
      <c r="R678" s="187">
        <v>71</v>
      </c>
      <c r="S678" s="56"/>
      <c r="T678" s="56"/>
      <c r="U678" s="56"/>
      <c r="V678" s="56"/>
      <c r="W678" s="56"/>
      <c r="X678" s="56"/>
      <c r="Y678" s="56"/>
      <c r="Z678" s="56"/>
      <c r="AA678" s="56"/>
    </row>
    <row r="679" spans="2:27" ht="30" customHeight="1" x14ac:dyDescent="0.25">
      <c r="B679" s="51"/>
      <c r="C679" s="51"/>
      <c r="D679" s="51"/>
      <c r="E679" s="63" t="s">
        <v>454</v>
      </c>
      <c r="F679" s="422">
        <v>2004</v>
      </c>
      <c r="G679" s="135" t="s">
        <v>1270</v>
      </c>
      <c r="H679" s="422">
        <v>2023</v>
      </c>
      <c r="I679" s="135" t="s">
        <v>460</v>
      </c>
      <c r="J679" s="135" t="s">
        <v>966</v>
      </c>
      <c r="K679" s="135" t="s">
        <v>562</v>
      </c>
      <c r="L679" s="135" t="s">
        <v>108</v>
      </c>
      <c r="M679" s="135" t="s">
        <v>109</v>
      </c>
      <c r="N679" s="135" t="s">
        <v>964</v>
      </c>
      <c r="O679" s="135" t="s">
        <v>1187</v>
      </c>
      <c r="P679" s="135" t="s">
        <v>464</v>
      </c>
      <c r="Q679" s="135">
        <v>2840.71</v>
      </c>
      <c r="R679" s="187">
        <v>70</v>
      </c>
      <c r="S679" s="56"/>
      <c r="T679" s="56"/>
      <c r="U679" s="56"/>
      <c r="V679" s="56"/>
      <c r="W679" s="56"/>
      <c r="X679" s="56"/>
      <c r="Y679" s="56"/>
      <c r="Z679" s="56"/>
      <c r="AA679" s="56"/>
    </row>
    <row r="680" spans="2:27" ht="30" hidden="1" customHeight="1" x14ac:dyDescent="0.25">
      <c r="B680" s="51"/>
      <c r="C680" s="51"/>
      <c r="D680" s="51"/>
      <c r="E680" s="63" t="s">
        <v>454</v>
      </c>
      <c r="F680" s="422">
        <v>2004</v>
      </c>
      <c r="G680" s="135" t="s">
        <v>1271</v>
      </c>
      <c r="H680" s="422"/>
      <c r="I680" s="135" t="s">
        <v>460</v>
      </c>
      <c r="J680" s="135" t="s">
        <v>966</v>
      </c>
      <c r="K680" s="135" t="s">
        <v>562</v>
      </c>
      <c r="L680" s="135" t="s">
        <v>108</v>
      </c>
      <c r="M680" s="135" t="s">
        <v>176</v>
      </c>
      <c r="N680" s="135" t="s">
        <v>965</v>
      </c>
      <c r="O680" s="135" t="s">
        <v>916</v>
      </c>
      <c r="P680" s="135" t="s">
        <v>459</v>
      </c>
      <c r="Q680" s="135">
        <v>2838.51</v>
      </c>
      <c r="R680" s="187">
        <v>70</v>
      </c>
      <c r="S680" s="56"/>
      <c r="T680" s="56"/>
      <c r="U680" s="56"/>
      <c r="V680" s="56"/>
      <c r="W680" s="56"/>
      <c r="X680" s="56"/>
      <c r="Y680" s="56"/>
      <c r="Z680" s="56"/>
      <c r="AA680" s="56"/>
    </row>
    <row r="681" spans="2:27" ht="30" hidden="1" customHeight="1" x14ac:dyDescent="0.25">
      <c r="B681" s="51"/>
      <c r="C681" s="51"/>
      <c r="D681" s="51"/>
      <c r="E681" s="63" t="s">
        <v>451</v>
      </c>
      <c r="F681" s="422">
        <v>2003</v>
      </c>
      <c r="G681" s="135" t="s">
        <v>1272</v>
      </c>
      <c r="H681" s="422"/>
      <c r="I681" s="135" t="s">
        <v>460</v>
      </c>
      <c r="J681" s="135" t="s">
        <v>963</v>
      </c>
      <c r="K681" s="135" t="s">
        <v>474</v>
      </c>
      <c r="L681" s="135" t="s">
        <v>95</v>
      </c>
      <c r="M681" s="135" t="s">
        <v>96</v>
      </c>
      <c r="N681" s="135" t="s">
        <v>964</v>
      </c>
      <c r="O681" s="135" t="s">
        <v>97</v>
      </c>
      <c r="P681" s="135" t="s">
        <v>459</v>
      </c>
      <c r="Q681" s="135">
        <v>545.53</v>
      </c>
      <c r="R681" s="187">
        <v>69</v>
      </c>
      <c r="S681" s="56"/>
      <c r="T681" s="56"/>
      <c r="U681" s="56"/>
      <c r="V681" s="56"/>
      <c r="W681" s="56"/>
      <c r="X681" s="56"/>
      <c r="Y681" s="56"/>
      <c r="Z681" s="56"/>
      <c r="AA681" s="56"/>
    </row>
    <row r="682" spans="2:27" ht="30" hidden="1" customHeight="1" x14ac:dyDescent="0.25">
      <c r="B682" s="51"/>
      <c r="C682" s="51"/>
      <c r="D682" s="51"/>
      <c r="E682" s="63" t="s">
        <v>454</v>
      </c>
      <c r="F682" s="422">
        <v>2003</v>
      </c>
      <c r="G682" s="135" t="s">
        <v>1272</v>
      </c>
      <c r="H682" s="422"/>
      <c r="I682" s="135" t="s">
        <v>460</v>
      </c>
      <c r="J682" s="135" t="s">
        <v>963</v>
      </c>
      <c r="K682" s="135" t="s">
        <v>474</v>
      </c>
      <c r="L682" s="135" t="s">
        <v>95</v>
      </c>
      <c r="M682" s="135" t="s">
        <v>96</v>
      </c>
      <c r="N682" s="135" t="s">
        <v>964</v>
      </c>
      <c r="O682" s="135" t="s">
        <v>917</v>
      </c>
      <c r="P682" s="135" t="s">
        <v>459</v>
      </c>
      <c r="Q682" s="135">
        <v>4317.08</v>
      </c>
      <c r="R682" s="187">
        <v>69</v>
      </c>
      <c r="S682" s="56"/>
      <c r="T682" s="56"/>
      <c r="U682" s="56"/>
      <c r="V682" s="56"/>
      <c r="W682" s="56"/>
      <c r="X682" s="56"/>
      <c r="Y682" s="56"/>
      <c r="Z682" s="56"/>
      <c r="AA682" s="56"/>
    </row>
    <row r="683" spans="2:27" ht="30" hidden="1" customHeight="1" x14ac:dyDescent="0.25">
      <c r="B683" s="51"/>
      <c r="C683" s="51"/>
      <c r="D683" s="51"/>
      <c r="E683" s="63" t="s">
        <v>454</v>
      </c>
      <c r="F683" s="422">
        <v>2003</v>
      </c>
      <c r="G683" s="135" t="s">
        <v>1272</v>
      </c>
      <c r="H683" s="422"/>
      <c r="I683" s="135" t="s">
        <v>460</v>
      </c>
      <c r="J683" s="135" t="s">
        <v>966</v>
      </c>
      <c r="K683" s="135" t="s">
        <v>499</v>
      </c>
      <c r="L683" s="135" t="s">
        <v>88</v>
      </c>
      <c r="M683" s="135" t="s">
        <v>88</v>
      </c>
      <c r="N683" s="135" t="s">
        <v>964</v>
      </c>
      <c r="O683" s="135" t="s">
        <v>233</v>
      </c>
      <c r="P683" s="135" t="s">
        <v>459</v>
      </c>
      <c r="Q683" s="135">
        <v>3737.18</v>
      </c>
      <c r="R683" s="187">
        <v>67</v>
      </c>
      <c r="S683" s="56"/>
      <c r="T683" s="56"/>
      <c r="U683" s="56"/>
      <c r="V683" s="56"/>
      <c r="W683" s="56"/>
      <c r="X683" s="56"/>
      <c r="Y683" s="56"/>
      <c r="Z683" s="56"/>
      <c r="AA683" s="56"/>
    </row>
    <row r="684" spans="2:27" ht="30" hidden="1" customHeight="1" x14ac:dyDescent="0.25">
      <c r="B684" s="51"/>
      <c r="C684" s="51"/>
      <c r="D684" s="51"/>
      <c r="E684" s="63" t="s">
        <v>454</v>
      </c>
      <c r="F684" s="422">
        <v>2003</v>
      </c>
      <c r="G684" s="135" t="s">
        <v>1273</v>
      </c>
      <c r="H684" s="422"/>
      <c r="I684" s="135" t="s">
        <v>460</v>
      </c>
      <c r="J684" s="135" t="s">
        <v>966</v>
      </c>
      <c r="K684" s="135" t="s">
        <v>492</v>
      </c>
      <c r="L684" s="135" t="s">
        <v>968</v>
      </c>
      <c r="M684" s="135" t="s">
        <v>155</v>
      </c>
      <c r="N684" s="135" t="s">
        <v>964</v>
      </c>
      <c r="O684" s="135" t="s">
        <v>156</v>
      </c>
      <c r="P684" s="135" t="s">
        <v>459</v>
      </c>
      <c r="Q684" s="135">
        <v>2594.6</v>
      </c>
      <c r="R684" s="187">
        <v>66</v>
      </c>
      <c r="S684" s="56"/>
      <c r="T684" s="56"/>
      <c r="U684" s="56"/>
      <c r="V684" s="56"/>
      <c r="W684" s="56"/>
      <c r="X684" s="56"/>
      <c r="Y684" s="56"/>
      <c r="Z684" s="56"/>
      <c r="AA684" s="56"/>
    </row>
    <row r="685" spans="2:27" ht="30" hidden="1" customHeight="1" x14ac:dyDescent="0.25">
      <c r="B685" s="51"/>
      <c r="C685" s="51"/>
      <c r="D685" s="51"/>
      <c r="E685" s="63" t="s">
        <v>454</v>
      </c>
      <c r="F685" s="422">
        <v>2003</v>
      </c>
      <c r="G685" s="135" t="s">
        <v>1273</v>
      </c>
      <c r="H685" s="422"/>
      <c r="I685" s="135" t="s">
        <v>460</v>
      </c>
      <c r="J685" s="135" t="s">
        <v>966</v>
      </c>
      <c r="K685" s="135" t="s">
        <v>469</v>
      </c>
      <c r="L685" s="135" t="s">
        <v>85</v>
      </c>
      <c r="M685" s="135" t="s">
        <v>85</v>
      </c>
      <c r="N685" s="135" t="s">
        <v>964</v>
      </c>
      <c r="O685" s="135" t="s">
        <v>918</v>
      </c>
      <c r="P685" s="135" t="s">
        <v>459</v>
      </c>
      <c r="Q685" s="135">
        <v>4197.6899999999996</v>
      </c>
      <c r="R685" s="187">
        <v>65</v>
      </c>
      <c r="S685" s="56"/>
      <c r="T685" s="56"/>
      <c r="U685" s="56"/>
      <c r="V685" s="56"/>
      <c r="W685" s="56"/>
      <c r="X685" s="56"/>
      <c r="Y685" s="56"/>
      <c r="Z685" s="56"/>
      <c r="AA685" s="56"/>
    </row>
    <row r="686" spans="2:27" ht="30" hidden="1" customHeight="1" x14ac:dyDescent="0.25">
      <c r="B686" s="51"/>
      <c r="C686" s="51"/>
      <c r="D686" s="51"/>
      <c r="E686" s="63" t="s">
        <v>451</v>
      </c>
      <c r="F686" s="422">
        <v>2003</v>
      </c>
      <c r="G686" s="135" t="s">
        <v>1273</v>
      </c>
      <c r="H686" s="422"/>
      <c r="I686" s="135" t="s">
        <v>460</v>
      </c>
      <c r="J686" s="135" t="s">
        <v>966</v>
      </c>
      <c r="K686" s="135" t="s">
        <v>469</v>
      </c>
      <c r="L686" s="135" t="s">
        <v>85</v>
      </c>
      <c r="M686" s="135" t="s">
        <v>93</v>
      </c>
      <c r="N686" s="135" t="s">
        <v>965</v>
      </c>
      <c r="O686" s="135" t="s">
        <v>137</v>
      </c>
      <c r="P686" s="135" t="s">
        <v>459</v>
      </c>
      <c r="Q686" s="135">
        <v>827.34</v>
      </c>
      <c r="R686" s="187">
        <v>64</v>
      </c>
      <c r="S686" s="56"/>
      <c r="T686" s="56"/>
      <c r="U686" s="56"/>
      <c r="V686" s="56"/>
      <c r="W686" s="56"/>
      <c r="X686" s="56"/>
      <c r="Y686" s="56"/>
      <c r="Z686" s="56"/>
      <c r="AA686" s="56"/>
    </row>
    <row r="687" spans="2:27" ht="30" hidden="1" customHeight="1" x14ac:dyDescent="0.25">
      <c r="B687" s="51"/>
      <c r="C687" s="51"/>
      <c r="D687" s="51"/>
      <c r="E687" s="63" t="s">
        <v>454</v>
      </c>
      <c r="F687" s="422">
        <v>2001</v>
      </c>
      <c r="G687" s="135" t="s">
        <v>1274</v>
      </c>
      <c r="H687" s="422"/>
      <c r="I687" s="135" t="s">
        <v>460</v>
      </c>
      <c r="J687" s="135" t="s">
        <v>966</v>
      </c>
      <c r="K687" s="135" t="s">
        <v>469</v>
      </c>
      <c r="L687" s="135" t="s">
        <v>85</v>
      </c>
      <c r="M687" s="135" t="s">
        <v>343</v>
      </c>
      <c r="N687" s="135" t="s">
        <v>965</v>
      </c>
      <c r="O687" s="135" t="s">
        <v>919</v>
      </c>
      <c r="P687" s="135" t="s">
        <v>459</v>
      </c>
      <c r="Q687" s="135">
        <v>4605.8600000000006</v>
      </c>
      <c r="R687" s="187">
        <v>63</v>
      </c>
      <c r="S687" s="56"/>
      <c r="T687" s="56"/>
      <c r="U687" s="56"/>
      <c r="V687" s="56"/>
      <c r="W687" s="56"/>
      <c r="X687" s="56"/>
      <c r="Y687" s="56"/>
      <c r="Z687" s="56"/>
      <c r="AA687" s="56"/>
    </row>
    <row r="688" spans="2:27" ht="30" hidden="1" customHeight="1" x14ac:dyDescent="0.25">
      <c r="B688" s="51"/>
      <c r="C688" s="51"/>
      <c r="D688" s="51"/>
      <c r="E688" s="63" t="s">
        <v>454</v>
      </c>
      <c r="F688" s="422">
        <v>2001</v>
      </c>
      <c r="G688" s="135" t="s">
        <v>1275</v>
      </c>
      <c r="H688" s="422"/>
      <c r="I688" s="135" t="s">
        <v>460</v>
      </c>
      <c r="J688" s="135" t="s">
        <v>966</v>
      </c>
      <c r="K688" s="135" t="s">
        <v>499</v>
      </c>
      <c r="L688" s="135" t="s">
        <v>88</v>
      </c>
      <c r="M688" s="135" t="s">
        <v>88</v>
      </c>
      <c r="N688" s="135" t="s">
        <v>964</v>
      </c>
      <c r="O688" s="135" t="s">
        <v>920</v>
      </c>
      <c r="P688" s="135" t="s">
        <v>459</v>
      </c>
      <c r="Q688" s="135">
        <v>2867.67</v>
      </c>
      <c r="R688" s="187">
        <v>62</v>
      </c>
      <c r="S688" s="56"/>
      <c r="T688" s="56"/>
      <c r="U688" s="56"/>
      <c r="V688" s="56"/>
      <c r="W688" s="56"/>
      <c r="X688" s="56"/>
      <c r="Y688" s="56"/>
      <c r="Z688" s="56"/>
      <c r="AA688" s="56"/>
    </row>
    <row r="689" spans="2:27" ht="30" hidden="1" customHeight="1" x14ac:dyDescent="0.25">
      <c r="B689" s="51"/>
      <c r="C689" s="51"/>
      <c r="D689" s="51"/>
      <c r="E689" s="63" t="s">
        <v>454</v>
      </c>
      <c r="F689" s="422">
        <v>2001</v>
      </c>
      <c r="G689" s="135" t="s">
        <v>1276</v>
      </c>
      <c r="H689" s="422"/>
      <c r="I689" s="135" t="s">
        <v>460</v>
      </c>
      <c r="J689" s="135" t="s">
        <v>969</v>
      </c>
      <c r="K689" s="135" t="s">
        <v>575</v>
      </c>
      <c r="L689" s="135" t="s">
        <v>143</v>
      </c>
      <c r="M689" s="135" t="s">
        <v>144</v>
      </c>
      <c r="N689" s="135" t="s">
        <v>964</v>
      </c>
      <c r="O689" s="135" t="s">
        <v>147</v>
      </c>
      <c r="P689" s="135" t="s">
        <v>459</v>
      </c>
      <c r="Q689" s="135">
        <v>4975.72</v>
      </c>
      <c r="R689" s="187">
        <v>61</v>
      </c>
      <c r="S689" s="56"/>
      <c r="T689" s="56"/>
      <c r="U689" s="56"/>
      <c r="V689" s="56"/>
      <c r="W689" s="56"/>
      <c r="X689" s="56"/>
      <c r="Y689" s="56"/>
      <c r="Z689" s="56"/>
      <c r="AA689" s="56"/>
    </row>
    <row r="690" spans="2:27" ht="30" hidden="1" customHeight="1" x14ac:dyDescent="0.25">
      <c r="B690" s="51"/>
      <c r="C690" s="51"/>
      <c r="D690" s="51"/>
      <c r="E690" s="63" t="s">
        <v>454</v>
      </c>
      <c r="F690" s="422">
        <v>2001</v>
      </c>
      <c r="G690" s="135" t="s">
        <v>1276</v>
      </c>
      <c r="H690" s="422"/>
      <c r="I690" s="135" t="s">
        <v>460</v>
      </c>
      <c r="J690" s="135" t="s">
        <v>966</v>
      </c>
      <c r="K690" s="135" t="s">
        <v>562</v>
      </c>
      <c r="L690" s="135" t="s">
        <v>108</v>
      </c>
      <c r="M690" s="135" t="s">
        <v>109</v>
      </c>
      <c r="N690" s="135" t="s">
        <v>964</v>
      </c>
      <c r="O690" s="135" t="s">
        <v>174</v>
      </c>
      <c r="P690" s="135" t="s">
        <v>459</v>
      </c>
      <c r="Q690" s="135">
        <v>3106.47</v>
      </c>
      <c r="R690" s="187">
        <v>60</v>
      </c>
      <c r="S690" s="56"/>
      <c r="T690" s="56"/>
      <c r="U690" s="56"/>
      <c r="V690" s="56"/>
      <c r="W690" s="56"/>
      <c r="X690" s="56"/>
      <c r="Y690" s="56"/>
      <c r="Z690" s="56"/>
      <c r="AA690" s="56"/>
    </row>
    <row r="691" spans="2:27" ht="30" hidden="1" customHeight="1" x14ac:dyDescent="0.25">
      <c r="B691" s="51"/>
      <c r="C691" s="51"/>
      <c r="D691" s="51"/>
      <c r="E691" s="63" t="s">
        <v>454</v>
      </c>
      <c r="F691" s="422">
        <v>2001</v>
      </c>
      <c r="G691" s="135" t="s">
        <v>1277</v>
      </c>
      <c r="H691" s="422"/>
      <c r="I691" s="135" t="s">
        <v>460</v>
      </c>
      <c r="J691" s="135" t="s">
        <v>963</v>
      </c>
      <c r="K691" s="135" t="s">
        <v>465</v>
      </c>
      <c r="L691" s="135" t="s">
        <v>106</v>
      </c>
      <c r="M691" s="135" t="s">
        <v>365</v>
      </c>
      <c r="N691" s="135" t="s">
        <v>965</v>
      </c>
      <c r="O691" s="135" t="s">
        <v>776</v>
      </c>
      <c r="P691" s="135" t="s">
        <v>459</v>
      </c>
      <c r="Q691" s="135">
        <v>3715</v>
      </c>
      <c r="R691" s="187">
        <v>59</v>
      </c>
      <c r="S691" s="56"/>
      <c r="T691" s="56"/>
      <c r="U691" s="56"/>
      <c r="V691" s="56"/>
      <c r="W691" s="56"/>
      <c r="X691" s="56"/>
      <c r="Y691" s="56"/>
      <c r="Z691" s="56"/>
      <c r="AA691" s="56"/>
    </row>
    <row r="692" spans="2:27" ht="30" hidden="1" customHeight="1" x14ac:dyDescent="0.25">
      <c r="B692" s="51"/>
      <c r="C692" s="51"/>
      <c r="D692" s="51"/>
      <c r="E692" s="63" t="s">
        <v>454</v>
      </c>
      <c r="F692" s="422">
        <v>2000</v>
      </c>
      <c r="G692" s="135" t="s">
        <v>1278</v>
      </c>
      <c r="H692" s="422"/>
      <c r="I692" s="135" t="s">
        <v>460</v>
      </c>
      <c r="J692" s="135" t="s">
        <v>969</v>
      </c>
      <c r="K692" s="135" t="s">
        <v>575</v>
      </c>
      <c r="L692" s="135" t="s">
        <v>143</v>
      </c>
      <c r="M692" s="135" t="s">
        <v>144</v>
      </c>
      <c r="N692" s="135" t="s">
        <v>964</v>
      </c>
      <c r="O692" s="135" t="s">
        <v>148</v>
      </c>
      <c r="P692" s="135" t="s">
        <v>459</v>
      </c>
      <c r="Q692" s="135">
        <v>3259.96</v>
      </c>
      <c r="R692" s="187">
        <v>58</v>
      </c>
      <c r="S692" s="56"/>
      <c r="T692" s="56"/>
      <c r="U692" s="56"/>
      <c r="V692" s="56"/>
      <c r="W692" s="56"/>
      <c r="X692" s="56"/>
      <c r="Y692" s="56"/>
      <c r="Z692" s="56"/>
      <c r="AA692" s="56"/>
    </row>
    <row r="693" spans="2:27" ht="30" hidden="1" customHeight="1" x14ac:dyDescent="0.25">
      <c r="B693" s="51"/>
      <c r="C693" s="51"/>
      <c r="D693" s="51"/>
      <c r="E693" s="63" t="s">
        <v>454</v>
      </c>
      <c r="F693" s="422">
        <v>2000</v>
      </c>
      <c r="G693" s="135" t="s">
        <v>1278</v>
      </c>
      <c r="H693" s="422"/>
      <c r="I693" s="135" t="s">
        <v>460</v>
      </c>
      <c r="J693" s="135" t="s">
        <v>966</v>
      </c>
      <c r="K693" s="135" t="s">
        <v>562</v>
      </c>
      <c r="L693" s="135" t="s">
        <v>108</v>
      </c>
      <c r="M693" s="135" t="s">
        <v>183</v>
      </c>
      <c r="N693" s="135" t="s">
        <v>965</v>
      </c>
      <c r="O693" s="135" t="s">
        <v>846</v>
      </c>
      <c r="P693" s="135" t="s">
        <v>459</v>
      </c>
      <c r="Q693" s="135">
        <v>3541.4500000000003</v>
      </c>
      <c r="R693" s="187">
        <v>57</v>
      </c>
      <c r="S693" s="56"/>
      <c r="T693" s="56"/>
      <c r="U693" s="56"/>
      <c r="V693" s="56"/>
      <c r="W693" s="56"/>
      <c r="X693" s="56"/>
      <c r="Y693" s="56"/>
      <c r="Z693" s="56"/>
      <c r="AA693" s="56"/>
    </row>
    <row r="694" spans="2:27" ht="30" hidden="1" customHeight="1" x14ac:dyDescent="0.25">
      <c r="B694" s="51"/>
      <c r="C694" s="51"/>
      <c r="D694" s="51"/>
      <c r="E694" s="63" t="s">
        <v>451</v>
      </c>
      <c r="F694" s="422">
        <v>2000</v>
      </c>
      <c r="G694" s="135" t="s">
        <v>1279</v>
      </c>
      <c r="H694" s="422">
        <v>2016</v>
      </c>
      <c r="I694" s="135" t="s">
        <v>460</v>
      </c>
      <c r="J694" s="135" t="s">
        <v>966</v>
      </c>
      <c r="K694" s="135" t="s">
        <v>469</v>
      </c>
      <c r="L694" s="135" t="s">
        <v>85</v>
      </c>
      <c r="M694" s="135" t="s">
        <v>85</v>
      </c>
      <c r="N694" s="135" t="s">
        <v>964</v>
      </c>
      <c r="O694" s="135" t="s">
        <v>921</v>
      </c>
      <c r="P694" s="135" t="s">
        <v>459</v>
      </c>
      <c r="Q694" s="135">
        <v>604.33000000000004</v>
      </c>
      <c r="R694" s="187">
        <v>56</v>
      </c>
      <c r="S694" s="56"/>
      <c r="T694" s="56"/>
      <c r="U694" s="56"/>
      <c r="V694" s="56"/>
      <c r="W694" s="56"/>
      <c r="X694" s="56"/>
      <c r="Y694" s="56"/>
      <c r="Z694" s="56"/>
      <c r="AA694" s="56"/>
    </row>
    <row r="695" spans="2:27" ht="30" hidden="1" customHeight="1" x14ac:dyDescent="0.25">
      <c r="B695" s="51"/>
      <c r="C695" s="51"/>
      <c r="D695" s="51"/>
      <c r="E695" s="63" t="s">
        <v>454</v>
      </c>
      <c r="F695" s="422">
        <v>2000</v>
      </c>
      <c r="G695" s="135" t="s">
        <v>1279</v>
      </c>
      <c r="H695" s="422"/>
      <c r="I695" s="135" t="s">
        <v>460</v>
      </c>
      <c r="J695" s="135" t="s">
        <v>966</v>
      </c>
      <c r="K695" s="135" t="s">
        <v>469</v>
      </c>
      <c r="L695" s="135" t="s">
        <v>85</v>
      </c>
      <c r="M695" s="135" t="s">
        <v>93</v>
      </c>
      <c r="N695" s="135" t="s">
        <v>965</v>
      </c>
      <c r="O695" s="135" t="s">
        <v>922</v>
      </c>
      <c r="P695" s="135" t="s">
        <v>459</v>
      </c>
      <c r="Q695" s="135">
        <v>4515.82</v>
      </c>
      <c r="R695" s="187">
        <v>56</v>
      </c>
      <c r="S695" s="56"/>
      <c r="T695" s="56"/>
      <c r="U695" s="56"/>
      <c r="V695" s="56"/>
      <c r="W695" s="56"/>
      <c r="X695" s="56"/>
      <c r="Y695" s="56"/>
      <c r="Z695" s="56"/>
      <c r="AA695" s="56"/>
    </row>
    <row r="696" spans="2:27" ht="30" hidden="1" customHeight="1" x14ac:dyDescent="0.25">
      <c r="B696" s="51"/>
      <c r="C696" s="51"/>
      <c r="D696" s="51"/>
      <c r="E696" s="63" t="s">
        <v>451</v>
      </c>
      <c r="F696" s="422">
        <v>2000</v>
      </c>
      <c r="G696" s="135" t="s">
        <v>1279</v>
      </c>
      <c r="H696" s="422"/>
      <c r="I696" s="135" t="s">
        <v>460</v>
      </c>
      <c r="J696" s="135" t="s">
        <v>966</v>
      </c>
      <c r="K696" s="135" t="s">
        <v>469</v>
      </c>
      <c r="L696" s="135" t="s">
        <v>85</v>
      </c>
      <c r="M696" s="135" t="s">
        <v>85</v>
      </c>
      <c r="N696" s="135" t="s">
        <v>964</v>
      </c>
      <c r="O696" s="135" t="s">
        <v>923</v>
      </c>
      <c r="P696" s="135" t="s">
        <v>459</v>
      </c>
      <c r="Q696" s="135">
        <v>632.86</v>
      </c>
      <c r="R696" s="187">
        <v>55</v>
      </c>
      <c r="S696" s="56"/>
      <c r="T696" s="56"/>
      <c r="U696" s="56"/>
      <c r="V696" s="56"/>
      <c r="W696" s="56"/>
      <c r="X696" s="56"/>
      <c r="Y696" s="56"/>
      <c r="Z696" s="56"/>
      <c r="AA696" s="56"/>
    </row>
    <row r="697" spans="2:27" ht="30" hidden="1" customHeight="1" x14ac:dyDescent="0.25">
      <c r="B697" s="51"/>
      <c r="C697" s="51"/>
      <c r="D697" s="51"/>
      <c r="E697" s="63" t="s">
        <v>454</v>
      </c>
      <c r="F697" s="422">
        <v>2000</v>
      </c>
      <c r="G697" s="135" t="s">
        <v>1280</v>
      </c>
      <c r="H697" s="422"/>
      <c r="I697" s="135" t="s">
        <v>460</v>
      </c>
      <c r="J697" s="135" t="s">
        <v>966</v>
      </c>
      <c r="K697" s="135" t="s">
        <v>469</v>
      </c>
      <c r="L697" s="135" t="s">
        <v>85</v>
      </c>
      <c r="M697" s="135" t="s">
        <v>85</v>
      </c>
      <c r="N697" s="135" t="s">
        <v>964</v>
      </c>
      <c r="O697" s="135" t="s">
        <v>680</v>
      </c>
      <c r="P697" s="135" t="s">
        <v>459</v>
      </c>
      <c r="Q697" s="135">
        <v>5081.0300000000007</v>
      </c>
      <c r="R697" s="187">
        <v>54</v>
      </c>
      <c r="S697" s="56"/>
      <c r="T697" s="56"/>
      <c r="U697" s="56"/>
      <c r="V697" s="56"/>
      <c r="W697" s="56"/>
      <c r="X697" s="56"/>
      <c r="Y697" s="56"/>
      <c r="Z697" s="56"/>
      <c r="AA697" s="56"/>
    </row>
    <row r="698" spans="2:27" ht="30" hidden="1" customHeight="1" x14ac:dyDescent="0.25">
      <c r="B698" s="51"/>
      <c r="C698" s="51"/>
      <c r="D698" s="51"/>
      <c r="E698" s="63" t="s">
        <v>454</v>
      </c>
      <c r="F698" s="422">
        <v>2000</v>
      </c>
      <c r="G698" s="135" t="s">
        <v>1280</v>
      </c>
      <c r="H698" s="422"/>
      <c r="I698" s="135" t="s">
        <v>460</v>
      </c>
      <c r="J698" s="135" t="s">
        <v>966</v>
      </c>
      <c r="K698" s="135" t="s">
        <v>469</v>
      </c>
      <c r="L698" s="135" t="s">
        <v>85</v>
      </c>
      <c r="M698" s="135" t="s">
        <v>85</v>
      </c>
      <c r="N698" s="135" t="s">
        <v>964</v>
      </c>
      <c r="O698" s="135" t="s">
        <v>288</v>
      </c>
      <c r="P698" s="135" t="s">
        <v>459</v>
      </c>
      <c r="Q698" s="135">
        <v>3118.3199999999997</v>
      </c>
      <c r="R698" s="187">
        <v>53</v>
      </c>
      <c r="S698" s="56"/>
      <c r="T698" s="56"/>
      <c r="U698" s="56"/>
      <c r="V698" s="56"/>
      <c r="W698" s="56"/>
      <c r="X698" s="56"/>
      <c r="Y698" s="56"/>
      <c r="Z698" s="56"/>
      <c r="AA698" s="56"/>
    </row>
    <row r="699" spans="2:27" ht="30" hidden="1" customHeight="1" x14ac:dyDescent="0.25">
      <c r="B699" s="51"/>
      <c r="C699" s="51"/>
      <c r="D699" s="51"/>
      <c r="E699" s="63" t="s">
        <v>454</v>
      </c>
      <c r="F699" s="422">
        <v>2000</v>
      </c>
      <c r="G699" s="135" t="s">
        <v>1280</v>
      </c>
      <c r="H699" s="422"/>
      <c r="I699" s="135" t="s">
        <v>460</v>
      </c>
      <c r="J699" s="135" t="s">
        <v>963</v>
      </c>
      <c r="K699" s="135" t="s">
        <v>474</v>
      </c>
      <c r="L699" s="135" t="s">
        <v>95</v>
      </c>
      <c r="M699" s="135" t="s">
        <v>96</v>
      </c>
      <c r="N699" s="135" t="s">
        <v>964</v>
      </c>
      <c r="O699" s="135" t="s">
        <v>910</v>
      </c>
      <c r="P699" s="135" t="s">
        <v>459</v>
      </c>
      <c r="Q699" s="135">
        <v>3151.7700000000004</v>
      </c>
      <c r="R699" s="187">
        <v>52</v>
      </c>
      <c r="S699" s="56"/>
      <c r="T699" s="56"/>
      <c r="U699" s="56"/>
      <c r="V699" s="56"/>
      <c r="W699" s="56"/>
      <c r="X699" s="56"/>
      <c r="Y699" s="56"/>
      <c r="Z699" s="56"/>
      <c r="AA699" s="56"/>
    </row>
    <row r="700" spans="2:27" ht="30" hidden="1" customHeight="1" x14ac:dyDescent="0.25">
      <c r="B700" s="51"/>
      <c r="C700" s="51"/>
      <c r="D700" s="51"/>
      <c r="E700" s="63" t="s">
        <v>454</v>
      </c>
      <c r="F700" s="422">
        <v>2000</v>
      </c>
      <c r="G700" s="135" t="s">
        <v>1280</v>
      </c>
      <c r="H700" s="422"/>
      <c r="I700" s="135" t="s">
        <v>460</v>
      </c>
      <c r="J700" s="135" t="s">
        <v>966</v>
      </c>
      <c r="K700" s="135" t="s">
        <v>469</v>
      </c>
      <c r="L700" s="135" t="s">
        <v>85</v>
      </c>
      <c r="M700" s="135" t="s">
        <v>348</v>
      </c>
      <c r="N700" s="135" t="s">
        <v>965</v>
      </c>
      <c r="O700" s="135" t="s">
        <v>924</v>
      </c>
      <c r="P700" s="135" t="s">
        <v>459</v>
      </c>
      <c r="Q700" s="135">
        <v>3137.38</v>
      </c>
      <c r="R700" s="187">
        <v>51</v>
      </c>
      <c r="S700" s="56"/>
      <c r="T700" s="56"/>
      <c r="U700" s="56"/>
      <c r="V700" s="56"/>
      <c r="W700" s="56"/>
      <c r="X700" s="56"/>
      <c r="Y700" s="56"/>
      <c r="Z700" s="56"/>
      <c r="AA700" s="56"/>
    </row>
    <row r="701" spans="2:27" ht="30" hidden="1" customHeight="1" x14ac:dyDescent="0.25">
      <c r="B701" s="51"/>
      <c r="C701" s="51"/>
      <c r="D701" s="51"/>
      <c r="E701" s="63" t="s">
        <v>454</v>
      </c>
      <c r="F701" s="422">
        <v>2000</v>
      </c>
      <c r="G701" s="135" t="s">
        <v>1280</v>
      </c>
      <c r="H701" s="422"/>
      <c r="I701" s="135" t="s">
        <v>460</v>
      </c>
      <c r="J701" s="135" t="s">
        <v>966</v>
      </c>
      <c r="K701" s="135" t="s">
        <v>469</v>
      </c>
      <c r="L701" s="135" t="s">
        <v>85</v>
      </c>
      <c r="M701" s="135" t="s">
        <v>345</v>
      </c>
      <c r="N701" s="135" t="s">
        <v>965</v>
      </c>
      <c r="O701" s="135" t="s">
        <v>346</v>
      </c>
      <c r="P701" s="135" t="s">
        <v>459</v>
      </c>
      <c r="Q701" s="135">
        <v>2637.47</v>
      </c>
      <c r="R701" s="187">
        <v>50</v>
      </c>
      <c r="S701" s="56"/>
      <c r="T701" s="56"/>
      <c r="U701" s="56"/>
      <c r="V701" s="56"/>
      <c r="W701" s="56"/>
      <c r="X701" s="56"/>
      <c r="Y701" s="56"/>
      <c r="Z701" s="56"/>
      <c r="AA701" s="56"/>
    </row>
    <row r="702" spans="2:27" ht="30" hidden="1" customHeight="1" x14ac:dyDescent="0.25">
      <c r="B702" s="51"/>
      <c r="C702" s="51"/>
      <c r="D702" s="51"/>
      <c r="E702" s="63" t="s">
        <v>454</v>
      </c>
      <c r="F702" s="422">
        <v>2000</v>
      </c>
      <c r="G702" s="135" t="s">
        <v>1280</v>
      </c>
      <c r="H702" s="422"/>
      <c r="I702" s="135" t="s">
        <v>460</v>
      </c>
      <c r="J702" s="135" t="s">
        <v>969</v>
      </c>
      <c r="K702" s="135" t="s">
        <v>509</v>
      </c>
      <c r="L702" s="135" t="s">
        <v>157</v>
      </c>
      <c r="M702" s="135" t="s">
        <v>159</v>
      </c>
      <c r="N702" s="135" t="s">
        <v>964</v>
      </c>
      <c r="O702" s="135" t="s">
        <v>925</v>
      </c>
      <c r="P702" s="135" t="s">
        <v>459</v>
      </c>
      <c r="Q702" s="135">
        <v>4118.09</v>
      </c>
      <c r="R702" s="187">
        <v>49</v>
      </c>
      <c r="S702" s="56"/>
      <c r="T702" s="56"/>
      <c r="U702" s="56"/>
      <c r="V702" s="56"/>
      <c r="W702" s="56"/>
      <c r="X702" s="56"/>
      <c r="Y702" s="56"/>
      <c r="Z702" s="56"/>
      <c r="AA702" s="56"/>
    </row>
    <row r="703" spans="2:27" ht="30" hidden="1" customHeight="1" x14ac:dyDescent="0.25">
      <c r="B703" s="51"/>
      <c r="C703" s="51"/>
      <c r="D703" s="51"/>
      <c r="E703" s="63" t="s">
        <v>454</v>
      </c>
      <c r="F703" s="422">
        <v>2000</v>
      </c>
      <c r="G703" s="135" t="s">
        <v>1280</v>
      </c>
      <c r="H703" s="422"/>
      <c r="I703" s="135" t="s">
        <v>460</v>
      </c>
      <c r="J703" s="135" t="s">
        <v>966</v>
      </c>
      <c r="K703" s="135" t="s">
        <v>469</v>
      </c>
      <c r="L703" s="135" t="s">
        <v>85</v>
      </c>
      <c r="M703" s="135" t="s">
        <v>85</v>
      </c>
      <c r="N703" s="135" t="s">
        <v>964</v>
      </c>
      <c r="O703" s="135" t="s">
        <v>105</v>
      </c>
      <c r="P703" s="135" t="s">
        <v>459</v>
      </c>
      <c r="Q703" s="135">
        <v>5153.1400000000012</v>
      </c>
      <c r="R703" s="187">
        <v>48</v>
      </c>
      <c r="S703" s="56"/>
      <c r="T703" s="56"/>
      <c r="U703" s="56"/>
      <c r="V703" s="56"/>
      <c r="W703" s="56"/>
      <c r="X703" s="56"/>
      <c r="Y703" s="56"/>
      <c r="Z703" s="56"/>
      <c r="AA703" s="56"/>
    </row>
    <row r="704" spans="2:27" ht="30" hidden="1" customHeight="1" x14ac:dyDescent="0.25">
      <c r="B704" s="51"/>
      <c r="C704" s="51"/>
      <c r="D704" s="51"/>
      <c r="E704" s="63" t="s">
        <v>454</v>
      </c>
      <c r="F704" s="422">
        <v>2000</v>
      </c>
      <c r="G704" s="135" t="s">
        <v>1280</v>
      </c>
      <c r="H704" s="422"/>
      <c r="I704" s="135" t="s">
        <v>460</v>
      </c>
      <c r="J704" s="135" t="s">
        <v>966</v>
      </c>
      <c r="K704" s="135" t="s">
        <v>469</v>
      </c>
      <c r="L704" s="135" t="s">
        <v>85</v>
      </c>
      <c r="M704" s="135" t="s">
        <v>93</v>
      </c>
      <c r="N704" s="135" t="s">
        <v>965</v>
      </c>
      <c r="O704" s="135" t="s">
        <v>926</v>
      </c>
      <c r="P704" s="135" t="s">
        <v>464</v>
      </c>
      <c r="Q704" s="135">
        <v>8251.5</v>
      </c>
      <c r="R704" s="187">
        <v>47</v>
      </c>
      <c r="S704" s="56"/>
      <c r="T704" s="56"/>
      <c r="U704" s="56"/>
      <c r="V704" s="56"/>
      <c r="W704" s="56"/>
      <c r="X704" s="56"/>
      <c r="Y704" s="56"/>
      <c r="Z704" s="56"/>
      <c r="AA704" s="56"/>
    </row>
    <row r="705" spans="2:27" ht="30" hidden="1" customHeight="1" x14ac:dyDescent="0.25">
      <c r="B705" s="51"/>
      <c r="C705" s="51"/>
      <c r="D705" s="51"/>
      <c r="E705" s="63" t="s">
        <v>454</v>
      </c>
      <c r="F705" s="422">
        <v>2000</v>
      </c>
      <c r="G705" s="135" t="s">
        <v>1280</v>
      </c>
      <c r="H705" s="422"/>
      <c r="I705" s="135" t="s">
        <v>460</v>
      </c>
      <c r="J705" s="135" t="s">
        <v>966</v>
      </c>
      <c r="K705" s="135" t="s">
        <v>469</v>
      </c>
      <c r="L705" s="135" t="s">
        <v>85</v>
      </c>
      <c r="M705" s="135" t="s">
        <v>85</v>
      </c>
      <c r="N705" s="135" t="s">
        <v>964</v>
      </c>
      <c r="O705" s="135" t="s">
        <v>927</v>
      </c>
      <c r="P705" s="135" t="s">
        <v>459</v>
      </c>
      <c r="Q705" s="135">
        <v>3583.36</v>
      </c>
      <c r="R705" s="187">
        <v>46</v>
      </c>
      <c r="S705" s="56"/>
      <c r="T705" s="56"/>
      <c r="U705" s="56"/>
      <c r="V705" s="56"/>
      <c r="W705" s="56"/>
      <c r="X705" s="56"/>
      <c r="Y705" s="56"/>
      <c r="Z705" s="56"/>
      <c r="AA705" s="56"/>
    </row>
    <row r="706" spans="2:27" ht="30" hidden="1" customHeight="1" x14ac:dyDescent="0.25">
      <c r="B706" s="51"/>
      <c r="C706" s="51"/>
      <c r="D706" s="51"/>
      <c r="E706" s="63" t="s">
        <v>454</v>
      </c>
      <c r="F706" s="422">
        <v>2000</v>
      </c>
      <c r="G706" s="135" t="s">
        <v>1281</v>
      </c>
      <c r="H706" s="422"/>
      <c r="I706" s="135" t="s">
        <v>460</v>
      </c>
      <c r="J706" s="135" t="s">
        <v>966</v>
      </c>
      <c r="K706" s="135" t="s">
        <v>469</v>
      </c>
      <c r="L706" s="135" t="s">
        <v>85</v>
      </c>
      <c r="M706" s="135" t="s">
        <v>85</v>
      </c>
      <c r="N706" s="135" t="s">
        <v>964</v>
      </c>
      <c r="O706" s="135" t="s">
        <v>89</v>
      </c>
      <c r="P706" s="135" t="s">
        <v>459</v>
      </c>
      <c r="Q706" s="135">
        <v>5372.2</v>
      </c>
      <c r="R706" s="187">
        <v>45</v>
      </c>
      <c r="S706" s="56"/>
      <c r="T706" s="56"/>
      <c r="U706" s="56"/>
      <c r="V706" s="56"/>
      <c r="W706" s="56"/>
      <c r="X706" s="56"/>
      <c r="Y706" s="56"/>
      <c r="Z706" s="56"/>
      <c r="AA706" s="56"/>
    </row>
    <row r="707" spans="2:27" ht="30" hidden="1" customHeight="1" x14ac:dyDescent="0.25">
      <c r="B707" s="51"/>
      <c r="C707" s="51"/>
      <c r="D707" s="51"/>
      <c r="E707" s="63" t="s">
        <v>454</v>
      </c>
      <c r="F707" s="422">
        <v>2000</v>
      </c>
      <c r="G707" s="135" t="s">
        <v>1281</v>
      </c>
      <c r="H707" s="422"/>
      <c r="I707" s="135" t="s">
        <v>460</v>
      </c>
      <c r="J707" s="135" t="s">
        <v>966</v>
      </c>
      <c r="K707" s="135" t="s">
        <v>469</v>
      </c>
      <c r="L707" s="135" t="s">
        <v>85</v>
      </c>
      <c r="M707" s="135" t="s">
        <v>85</v>
      </c>
      <c r="N707" s="135" t="s">
        <v>964</v>
      </c>
      <c r="O707" s="135" t="s">
        <v>928</v>
      </c>
      <c r="P707" s="135" t="s">
        <v>459</v>
      </c>
      <c r="Q707" s="135">
        <v>2371.9499999999998</v>
      </c>
      <c r="R707" s="187">
        <v>44</v>
      </c>
      <c r="S707" s="56"/>
      <c r="T707" s="56"/>
      <c r="U707" s="56"/>
      <c r="V707" s="56"/>
      <c r="W707" s="56"/>
      <c r="X707" s="56"/>
      <c r="Y707" s="56"/>
      <c r="Z707" s="56"/>
      <c r="AA707" s="56"/>
    </row>
    <row r="708" spans="2:27" ht="30" hidden="1" customHeight="1" x14ac:dyDescent="0.25">
      <c r="B708" s="51"/>
      <c r="C708" s="51"/>
      <c r="D708" s="51"/>
      <c r="E708" s="63" t="s">
        <v>451</v>
      </c>
      <c r="F708" s="422">
        <v>2000</v>
      </c>
      <c r="G708" s="135" t="s">
        <v>1281</v>
      </c>
      <c r="H708" s="422"/>
      <c r="I708" s="135" t="s">
        <v>460</v>
      </c>
      <c r="J708" s="135" t="s">
        <v>966</v>
      </c>
      <c r="K708" s="135" t="s">
        <v>469</v>
      </c>
      <c r="L708" s="135" t="s">
        <v>85</v>
      </c>
      <c r="M708" s="135" t="s">
        <v>85</v>
      </c>
      <c r="N708" s="135" t="s">
        <v>964</v>
      </c>
      <c r="O708" s="135" t="s">
        <v>929</v>
      </c>
      <c r="P708" s="135" t="s">
        <v>459</v>
      </c>
      <c r="Q708" s="135">
        <v>803.7</v>
      </c>
      <c r="R708" s="187">
        <v>43</v>
      </c>
      <c r="S708" s="56"/>
      <c r="T708" s="56"/>
      <c r="U708" s="56"/>
      <c r="V708" s="56"/>
      <c r="W708" s="56"/>
      <c r="X708" s="56"/>
      <c r="Y708" s="56"/>
      <c r="Z708" s="56"/>
      <c r="AA708" s="56"/>
    </row>
    <row r="709" spans="2:27" ht="30" hidden="1" customHeight="1" x14ac:dyDescent="0.25">
      <c r="B709" s="51"/>
      <c r="C709" s="51"/>
      <c r="D709" s="51"/>
      <c r="E709" s="63" t="s">
        <v>454</v>
      </c>
      <c r="F709" s="422">
        <v>1999</v>
      </c>
      <c r="G709" s="135" t="s">
        <v>1282</v>
      </c>
      <c r="H709" s="422"/>
      <c r="I709" s="135" t="s">
        <v>460</v>
      </c>
      <c r="J709" s="135" t="s">
        <v>966</v>
      </c>
      <c r="K709" s="135" t="s">
        <v>469</v>
      </c>
      <c r="L709" s="135" t="s">
        <v>85</v>
      </c>
      <c r="M709" s="135" t="s">
        <v>348</v>
      </c>
      <c r="N709" s="135" t="s">
        <v>965</v>
      </c>
      <c r="O709" s="135" t="s">
        <v>930</v>
      </c>
      <c r="P709" s="135" t="s">
        <v>459</v>
      </c>
      <c r="Q709" s="135">
        <v>3135.2</v>
      </c>
      <c r="R709" s="187">
        <v>42</v>
      </c>
      <c r="S709" s="56"/>
      <c r="T709" s="56"/>
      <c r="U709" s="56"/>
      <c r="V709" s="56"/>
      <c r="W709" s="56"/>
      <c r="X709" s="56"/>
      <c r="Y709" s="56"/>
      <c r="Z709" s="56"/>
      <c r="AA709" s="56"/>
    </row>
    <row r="710" spans="2:27" ht="30" hidden="1" customHeight="1" x14ac:dyDescent="0.25">
      <c r="B710" s="51"/>
      <c r="C710" s="51"/>
      <c r="D710" s="51"/>
      <c r="E710" s="63" t="s">
        <v>454</v>
      </c>
      <c r="F710" s="422">
        <v>1999</v>
      </c>
      <c r="G710" s="135" t="s">
        <v>1282</v>
      </c>
      <c r="H710" s="422"/>
      <c r="I710" s="135" t="s">
        <v>460</v>
      </c>
      <c r="J710" s="135" t="s">
        <v>966</v>
      </c>
      <c r="K710" s="135" t="s">
        <v>499</v>
      </c>
      <c r="L710" s="135" t="s">
        <v>88</v>
      </c>
      <c r="M710" s="135" t="s">
        <v>360</v>
      </c>
      <c r="N710" s="135" t="s">
        <v>965</v>
      </c>
      <c r="O710" s="135" t="s">
        <v>931</v>
      </c>
      <c r="P710" s="135" t="s">
        <v>459</v>
      </c>
      <c r="Q710" s="135">
        <v>3819.92</v>
      </c>
      <c r="R710" s="187">
        <v>41</v>
      </c>
      <c r="S710" s="56"/>
      <c r="T710" s="56"/>
      <c r="U710" s="56"/>
      <c r="V710" s="56"/>
      <c r="W710" s="56"/>
      <c r="X710" s="56"/>
      <c r="Y710" s="56"/>
      <c r="Z710" s="56"/>
      <c r="AA710" s="56"/>
    </row>
    <row r="711" spans="2:27" ht="30" hidden="1" customHeight="1" x14ac:dyDescent="0.25">
      <c r="B711" s="51"/>
      <c r="C711" s="51"/>
      <c r="D711" s="51"/>
      <c r="E711" s="63" t="s">
        <v>454</v>
      </c>
      <c r="F711" s="422">
        <v>1999</v>
      </c>
      <c r="G711" s="135" t="s">
        <v>1282</v>
      </c>
      <c r="H711" s="422"/>
      <c r="I711" s="135" t="s">
        <v>460</v>
      </c>
      <c r="J711" s="135" t="s">
        <v>969</v>
      </c>
      <c r="K711" s="135" t="s">
        <v>575</v>
      </c>
      <c r="L711" s="135" t="s">
        <v>143</v>
      </c>
      <c r="M711" s="135" t="s">
        <v>144</v>
      </c>
      <c r="N711" s="135" t="s">
        <v>964</v>
      </c>
      <c r="O711" s="135" t="s">
        <v>146</v>
      </c>
      <c r="P711" s="135" t="s">
        <v>459</v>
      </c>
      <c r="Q711" s="135">
        <v>6061.93</v>
      </c>
      <c r="R711" s="187">
        <v>40</v>
      </c>
      <c r="S711" s="56"/>
      <c r="T711" s="56"/>
      <c r="U711" s="56"/>
      <c r="V711" s="56"/>
      <c r="W711" s="56"/>
      <c r="X711" s="56"/>
      <c r="Y711" s="56"/>
      <c r="Z711" s="56"/>
      <c r="AA711" s="56"/>
    </row>
    <row r="712" spans="2:27" ht="30" hidden="1" customHeight="1" x14ac:dyDescent="0.25">
      <c r="B712" s="51"/>
      <c r="C712" s="51"/>
      <c r="D712" s="51"/>
      <c r="E712" s="63" t="s">
        <v>454</v>
      </c>
      <c r="F712" s="422">
        <v>1999</v>
      </c>
      <c r="G712" s="135" t="s">
        <v>1282</v>
      </c>
      <c r="H712" s="422"/>
      <c r="I712" s="135" t="s">
        <v>460</v>
      </c>
      <c r="J712" s="135" t="s">
        <v>966</v>
      </c>
      <c r="K712" s="135" t="s">
        <v>499</v>
      </c>
      <c r="L712" s="135" t="s">
        <v>88</v>
      </c>
      <c r="M712" s="135" t="s">
        <v>240</v>
      </c>
      <c r="N712" s="135" t="s">
        <v>965</v>
      </c>
      <c r="O712" s="135" t="s">
        <v>932</v>
      </c>
      <c r="P712" s="135" t="s">
        <v>459</v>
      </c>
      <c r="Q712" s="135">
        <v>4128.2699999999995</v>
      </c>
      <c r="R712" s="187">
        <v>39</v>
      </c>
      <c r="S712" s="56"/>
      <c r="T712" s="56"/>
      <c r="U712" s="56"/>
      <c r="V712" s="56"/>
      <c r="W712" s="56"/>
      <c r="X712" s="56"/>
      <c r="Y712" s="56"/>
      <c r="Z712" s="56"/>
      <c r="AA712" s="56"/>
    </row>
    <row r="713" spans="2:27" ht="30" hidden="1" customHeight="1" x14ac:dyDescent="0.25">
      <c r="B713" s="51"/>
      <c r="C713" s="51"/>
      <c r="D713" s="51"/>
      <c r="E713" s="63" t="s">
        <v>454</v>
      </c>
      <c r="F713" s="422">
        <v>1999</v>
      </c>
      <c r="G713" s="135" t="s">
        <v>1282</v>
      </c>
      <c r="H713" s="422"/>
      <c r="I713" s="135" t="s">
        <v>460</v>
      </c>
      <c r="J713" s="135" t="s">
        <v>966</v>
      </c>
      <c r="K713" s="135" t="s">
        <v>499</v>
      </c>
      <c r="L713" s="135" t="s">
        <v>88</v>
      </c>
      <c r="M713" s="135" t="s">
        <v>88</v>
      </c>
      <c r="N713" s="135" t="s">
        <v>964</v>
      </c>
      <c r="O713" s="135" t="s">
        <v>100</v>
      </c>
      <c r="P713" s="135" t="s">
        <v>459</v>
      </c>
      <c r="Q713" s="135">
        <v>7243.41</v>
      </c>
      <c r="R713" s="187">
        <v>38</v>
      </c>
      <c r="S713" s="56"/>
      <c r="T713" s="56"/>
      <c r="U713" s="56"/>
      <c r="V713" s="56"/>
      <c r="W713" s="56"/>
      <c r="X713" s="56"/>
      <c r="Y713" s="56"/>
      <c r="Z713" s="56"/>
      <c r="AA713" s="56"/>
    </row>
    <row r="714" spans="2:27" ht="30" hidden="1" customHeight="1" x14ac:dyDescent="0.25">
      <c r="B714" s="51"/>
      <c r="C714" s="51"/>
      <c r="D714" s="51"/>
      <c r="E714" s="63" t="s">
        <v>454</v>
      </c>
      <c r="F714" s="422">
        <v>1999</v>
      </c>
      <c r="G714" s="135" t="s">
        <v>1282</v>
      </c>
      <c r="H714" s="422"/>
      <c r="I714" s="135" t="s">
        <v>460</v>
      </c>
      <c r="J714" s="135" t="s">
        <v>966</v>
      </c>
      <c r="K714" s="135" t="s">
        <v>499</v>
      </c>
      <c r="L714" s="135" t="s">
        <v>88</v>
      </c>
      <c r="M714" s="135" t="s">
        <v>88</v>
      </c>
      <c r="N714" s="135" t="s">
        <v>964</v>
      </c>
      <c r="O714" s="135" t="s">
        <v>933</v>
      </c>
      <c r="P714" s="135" t="s">
        <v>459</v>
      </c>
      <c r="Q714" s="135">
        <v>6347.04</v>
      </c>
      <c r="R714" s="187">
        <v>37</v>
      </c>
      <c r="S714" s="56"/>
      <c r="T714" s="56"/>
      <c r="U714" s="56"/>
      <c r="V714" s="56"/>
      <c r="W714" s="56"/>
      <c r="X714" s="56"/>
      <c r="Y714" s="56"/>
      <c r="Z714" s="56"/>
      <c r="AA714" s="56"/>
    </row>
    <row r="715" spans="2:27" ht="30" hidden="1" customHeight="1" thickBot="1" x14ac:dyDescent="0.3">
      <c r="B715" s="51"/>
      <c r="C715" s="51"/>
      <c r="D715" s="51"/>
      <c r="E715" s="123" t="s">
        <v>454</v>
      </c>
      <c r="F715" s="423">
        <v>1999</v>
      </c>
      <c r="G715" s="260" t="s">
        <v>1282</v>
      </c>
      <c r="H715" s="423"/>
      <c r="I715" s="260" t="s">
        <v>460</v>
      </c>
      <c r="J715" s="260" t="s">
        <v>966</v>
      </c>
      <c r="K715" s="260" t="s">
        <v>562</v>
      </c>
      <c r="L715" s="260" t="s">
        <v>108</v>
      </c>
      <c r="M715" s="260" t="s">
        <v>109</v>
      </c>
      <c r="N715" s="260" t="s">
        <v>964</v>
      </c>
      <c r="O715" s="260" t="s">
        <v>110</v>
      </c>
      <c r="P715" s="260" t="s">
        <v>459</v>
      </c>
      <c r="Q715" s="260">
        <v>4712.5199999999995</v>
      </c>
      <c r="R715" s="261">
        <v>36</v>
      </c>
      <c r="S715" s="56"/>
      <c r="T715" s="56"/>
      <c r="U715" s="56"/>
      <c r="V715" s="56"/>
      <c r="W715" s="56"/>
      <c r="X715" s="56"/>
      <c r="Y715" s="56"/>
      <c r="Z715" s="56"/>
      <c r="AA715" s="56"/>
    </row>
    <row r="716" spans="2:27" ht="30" hidden="1" customHeight="1" x14ac:dyDescent="0.25">
      <c r="B716" s="51"/>
      <c r="C716" s="51"/>
      <c r="D716" s="51"/>
      <c r="E716" s="63" t="s">
        <v>454</v>
      </c>
      <c r="F716" s="422">
        <v>1999</v>
      </c>
      <c r="G716" s="135" t="s">
        <v>1282</v>
      </c>
      <c r="H716" s="422"/>
      <c r="I716" s="135" t="s">
        <v>460</v>
      </c>
      <c r="J716" s="135" t="s">
        <v>966</v>
      </c>
      <c r="K716" s="135" t="s">
        <v>469</v>
      </c>
      <c r="L716" s="135" t="s">
        <v>85</v>
      </c>
      <c r="M716" s="135" t="s">
        <v>85</v>
      </c>
      <c r="N716" s="135" t="s">
        <v>964</v>
      </c>
      <c r="O716" s="135" t="s">
        <v>90</v>
      </c>
      <c r="P716" s="135" t="s">
        <v>459</v>
      </c>
      <c r="Q716" s="135">
        <v>2485</v>
      </c>
      <c r="R716" s="187">
        <v>35</v>
      </c>
      <c r="S716" s="56"/>
      <c r="T716" s="56"/>
      <c r="U716" s="56"/>
      <c r="V716" s="56"/>
      <c r="W716" s="56"/>
      <c r="X716" s="56"/>
      <c r="Y716" s="56"/>
      <c r="Z716" s="56"/>
      <c r="AA716" s="56"/>
    </row>
    <row r="717" spans="2:27" ht="30" hidden="1" customHeight="1" x14ac:dyDescent="0.25">
      <c r="B717" s="51"/>
      <c r="C717" s="51"/>
      <c r="D717" s="51"/>
      <c r="E717" s="63" t="s">
        <v>454</v>
      </c>
      <c r="F717" s="422">
        <v>1999</v>
      </c>
      <c r="G717" s="135" t="s">
        <v>1282</v>
      </c>
      <c r="H717" s="422"/>
      <c r="I717" s="135" t="s">
        <v>460</v>
      </c>
      <c r="J717" s="135" t="s">
        <v>966</v>
      </c>
      <c r="K717" s="135" t="s">
        <v>499</v>
      </c>
      <c r="L717" s="135" t="s">
        <v>88</v>
      </c>
      <c r="M717" s="135" t="s">
        <v>88</v>
      </c>
      <c r="N717" s="135" t="s">
        <v>964</v>
      </c>
      <c r="O717" s="135" t="s">
        <v>934</v>
      </c>
      <c r="P717" s="135" t="s">
        <v>459</v>
      </c>
      <c r="Q717" s="135">
        <v>3639.6800000000003</v>
      </c>
      <c r="R717" s="187">
        <v>34</v>
      </c>
      <c r="S717" s="56"/>
      <c r="T717" s="56"/>
      <c r="U717" s="56"/>
      <c r="V717" s="56"/>
      <c r="W717" s="56"/>
      <c r="X717" s="56"/>
      <c r="Y717" s="56"/>
      <c r="Z717" s="56"/>
      <c r="AA717" s="56"/>
    </row>
    <row r="718" spans="2:27" ht="30" hidden="1" customHeight="1" x14ac:dyDescent="0.25">
      <c r="B718" s="51"/>
      <c r="C718" s="51"/>
      <c r="D718" s="51"/>
      <c r="E718" s="63" t="s">
        <v>454</v>
      </c>
      <c r="F718" s="422">
        <v>1999</v>
      </c>
      <c r="G718" s="135" t="s">
        <v>1282</v>
      </c>
      <c r="H718" s="422"/>
      <c r="I718" s="135" t="s">
        <v>460</v>
      </c>
      <c r="J718" s="135" t="s">
        <v>966</v>
      </c>
      <c r="K718" s="135" t="s">
        <v>469</v>
      </c>
      <c r="L718" s="135" t="s">
        <v>85</v>
      </c>
      <c r="M718" s="135" t="s">
        <v>85</v>
      </c>
      <c r="N718" s="135" t="s">
        <v>964</v>
      </c>
      <c r="O718" s="135" t="s">
        <v>758</v>
      </c>
      <c r="P718" s="135" t="s">
        <v>459</v>
      </c>
      <c r="Q718" s="135">
        <v>3761.04</v>
      </c>
      <c r="R718" s="187">
        <v>33</v>
      </c>
      <c r="S718" s="56"/>
      <c r="T718" s="56"/>
      <c r="U718" s="56"/>
      <c r="V718" s="56"/>
      <c r="W718" s="56"/>
      <c r="X718" s="56"/>
      <c r="Y718" s="56"/>
      <c r="Z718" s="56"/>
      <c r="AA718" s="56"/>
    </row>
    <row r="719" spans="2:27" ht="30" hidden="1" customHeight="1" x14ac:dyDescent="0.25">
      <c r="B719" s="51"/>
      <c r="C719" s="51"/>
      <c r="D719" s="51"/>
      <c r="E719" s="63" t="s">
        <v>451</v>
      </c>
      <c r="F719" s="422">
        <v>1999</v>
      </c>
      <c r="G719" s="135" t="s">
        <v>1282</v>
      </c>
      <c r="H719" s="422"/>
      <c r="I719" s="135" t="s">
        <v>460</v>
      </c>
      <c r="J719" s="135" t="s">
        <v>966</v>
      </c>
      <c r="K719" s="135" t="s">
        <v>469</v>
      </c>
      <c r="L719" s="135" t="s">
        <v>85</v>
      </c>
      <c r="M719" s="135" t="s">
        <v>85</v>
      </c>
      <c r="N719" s="135" t="s">
        <v>964</v>
      </c>
      <c r="O719" s="135" t="s">
        <v>935</v>
      </c>
      <c r="P719" s="135" t="s">
        <v>459</v>
      </c>
      <c r="Q719" s="135">
        <v>458.09</v>
      </c>
      <c r="R719" s="187">
        <v>32</v>
      </c>
      <c r="S719" s="56"/>
      <c r="T719" s="56"/>
      <c r="U719" s="56"/>
      <c r="V719" s="56"/>
      <c r="W719" s="56"/>
      <c r="X719" s="56"/>
      <c r="Y719" s="56"/>
      <c r="Z719" s="56"/>
      <c r="AA719" s="56"/>
    </row>
    <row r="720" spans="2:27" ht="30" hidden="1" customHeight="1" x14ac:dyDescent="0.25">
      <c r="B720" s="51"/>
      <c r="C720" s="51"/>
      <c r="D720" s="51"/>
      <c r="E720" s="63" t="s">
        <v>454</v>
      </c>
      <c r="F720" s="422">
        <v>1999</v>
      </c>
      <c r="G720" s="135" t="s">
        <v>1282</v>
      </c>
      <c r="H720" s="422"/>
      <c r="I720" s="135" t="s">
        <v>460</v>
      </c>
      <c r="J720" s="135" t="s">
        <v>966</v>
      </c>
      <c r="K720" s="135" t="s">
        <v>499</v>
      </c>
      <c r="L720" s="135" t="s">
        <v>88</v>
      </c>
      <c r="M720" s="135" t="s">
        <v>88</v>
      </c>
      <c r="N720" s="135" t="s">
        <v>964</v>
      </c>
      <c r="O720" s="135" t="s">
        <v>936</v>
      </c>
      <c r="P720" s="135" t="s">
        <v>459</v>
      </c>
      <c r="Q720" s="135">
        <v>3165.13</v>
      </c>
      <c r="R720" s="187">
        <v>32</v>
      </c>
      <c r="S720" s="56"/>
      <c r="T720" s="56"/>
      <c r="U720" s="56"/>
      <c r="V720" s="56"/>
      <c r="W720" s="56"/>
      <c r="X720" s="56"/>
      <c r="Y720" s="56"/>
      <c r="Z720" s="56"/>
      <c r="AA720" s="56"/>
    </row>
    <row r="721" spans="2:27" ht="30" hidden="1" customHeight="1" x14ac:dyDescent="0.25">
      <c r="B721" s="51"/>
      <c r="C721" s="51"/>
      <c r="D721" s="51"/>
      <c r="E721" s="63" t="s">
        <v>454</v>
      </c>
      <c r="F721" s="422">
        <v>1999</v>
      </c>
      <c r="G721" s="135" t="s">
        <v>1283</v>
      </c>
      <c r="H721" s="422"/>
      <c r="I721" s="135" t="s">
        <v>460</v>
      </c>
      <c r="J721" s="135" t="s">
        <v>966</v>
      </c>
      <c r="K721" s="135" t="s">
        <v>469</v>
      </c>
      <c r="L721" s="135" t="s">
        <v>85</v>
      </c>
      <c r="M721" s="135" t="s">
        <v>85</v>
      </c>
      <c r="N721" s="135" t="s">
        <v>964</v>
      </c>
      <c r="O721" s="135" t="s">
        <v>937</v>
      </c>
      <c r="P721" s="135" t="s">
        <v>459</v>
      </c>
      <c r="Q721" s="135">
        <v>3561.16</v>
      </c>
      <c r="R721" s="187">
        <v>30</v>
      </c>
      <c r="S721" s="56"/>
      <c r="T721" s="56"/>
      <c r="U721" s="56"/>
      <c r="V721" s="56"/>
      <c r="W721" s="56"/>
      <c r="X721" s="56"/>
      <c r="Y721" s="56"/>
      <c r="Z721" s="56"/>
      <c r="AA721" s="56"/>
    </row>
    <row r="722" spans="2:27" ht="30" hidden="1" customHeight="1" x14ac:dyDescent="0.25">
      <c r="B722" s="51"/>
      <c r="C722" s="51"/>
      <c r="D722" s="51"/>
      <c r="E722" s="63" t="s">
        <v>454</v>
      </c>
      <c r="F722" s="422">
        <v>1999</v>
      </c>
      <c r="G722" s="135" t="s">
        <v>1284</v>
      </c>
      <c r="H722" s="422"/>
      <c r="I722" s="135" t="s">
        <v>460</v>
      </c>
      <c r="J722" s="135" t="s">
        <v>966</v>
      </c>
      <c r="K722" s="135" t="s">
        <v>469</v>
      </c>
      <c r="L722" s="135" t="s">
        <v>85</v>
      </c>
      <c r="M722" s="135" t="s">
        <v>331</v>
      </c>
      <c r="N722" s="135" t="s">
        <v>965</v>
      </c>
      <c r="O722" s="135" t="s">
        <v>333</v>
      </c>
      <c r="P722" s="135" t="s">
        <v>459</v>
      </c>
      <c r="Q722" s="135">
        <v>4524.92</v>
      </c>
      <c r="R722" s="187">
        <v>29</v>
      </c>
      <c r="S722" s="56"/>
      <c r="T722" s="56"/>
      <c r="U722" s="56"/>
      <c r="V722" s="56"/>
      <c r="W722" s="56"/>
      <c r="X722" s="56"/>
      <c r="Y722" s="56"/>
      <c r="Z722" s="56"/>
      <c r="AA722" s="56"/>
    </row>
    <row r="723" spans="2:27" ht="30" hidden="1" customHeight="1" x14ac:dyDescent="0.25">
      <c r="B723" s="51"/>
      <c r="C723" s="51"/>
      <c r="D723" s="51"/>
      <c r="E723" s="63" t="s">
        <v>454</v>
      </c>
      <c r="F723" s="422">
        <v>1999</v>
      </c>
      <c r="G723" s="135" t="s">
        <v>1284</v>
      </c>
      <c r="H723" s="422"/>
      <c r="I723" s="135" t="s">
        <v>460</v>
      </c>
      <c r="J723" s="135" t="s">
        <v>966</v>
      </c>
      <c r="K723" s="135" t="s">
        <v>469</v>
      </c>
      <c r="L723" s="135" t="s">
        <v>85</v>
      </c>
      <c r="M723" s="135" t="s">
        <v>341</v>
      </c>
      <c r="N723" s="135" t="s">
        <v>965</v>
      </c>
      <c r="O723" s="135" t="s">
        <v>832</v>
      </c>
      <c r="P723" s="135" t="s">
        <v>459</v>
      </c>
      <c r="Q723" s="135">
        <v>3925.9599999999996</v>
      </c>
      <c r="R723" s="187">
        <v>28</v>
      </c>
      <c r="S723" s="56"/>
      <c r="T723" s="56"/>
      <c r="U723" s="56"/>
      <c r="V723" s="56"/>
      <c r="W723" s="56"/>
      <c r="X723" s="56"/>
      <c r="Y723" s="56"/>
      <c r="Z723" s="56"/>
      <c r="AA723" s="56"/>
    </row>
    <row r="724" spans="2:27" ht="30" hidden="1" customHeight="1" x14ac:dyDescent="0.25">
      <c r="B724" s="51"/>
      <c r="C724" s="51"/>
      <c r="D724" s="51"/>
      <c r="E724" s="63" t="s">
        <v>451</v>
      </c>
      <c r="F724" s="422">
        <v>1999</v>
      </c>
      <c r="G724" s="135" t="s">
        <v>1285</v>
      </c>
      <c r="H724" s="422"/>
      <c r="I724" s="135" t="s">
        <v>460</v>
      </c>
      <c r="J724" s="135" t="s">
        <v>966</v>
      </c>
      <c r="K724" s="135" t="s">
        <v>469</v>
      </c>
      <c r="L724" s="135" t="s">
        <v>85</v>
      </c>
      <c r="M724" s="135" t="s">
        <v>311</v>
      </c>
      <c r="N724" s="135" t="s">
        <v>965</v>
      </c>
      <c r="O724" s="135" t="s">
        <v>938</v>
      </c>
      <c r="P724" s="135" t="s">
        <v>459</v>
      </c>
      <c r="Q724" s="135">
        <v>316.66000000000003</v>
      </c>
      <c r="R724" s="187">
        <v>27</v>
      </c>
      <c r="S724" s="56"/>
      <c r="T724" s="56"/>
      <c r="U724" s="56"/>
      <c r="V724" s="56"/>
      <c r="W724" s="56"/>
      <c r="X724" s="56"/>
      <c r="Y724" s="56"/>
      <c r="Z724" s="56"/>
      <c r="AA724" s="56"/>
    </row>
    <row r="725" spans="2:27" ht="30" hidden="1" customHeight="1" x14ac:dyDescent="0.25">
      <c r="B725" s="51"/>
      <c r="C725" s="51"/>
      <c r="D725" s="51"/>
      <c r="E725" s="63" t="s">
        <v>451</v>
      </c>
      <c r="F725" s="422">
        <v>1999</v>
      </c>
      <c r="G725" s="135" t="s">
        <v>1285</v>
      </c>
      <c r="H725" s="422"/>
      <c r="I725" s="135" t="s">
        <v>460</v>
      </c>
      <c r="J725" s="135" t="s">
        <v>966</v>
      </c>
      <c r="K725" s="135" t="s">
        <v>469</v>
      </c>
      <c r="L725" s="135" t="s">
        <v>85</v>
      </c>
      <c r="M725" s="135" t="s">
        <v>85</v>
      </c>
      <c r="N725" s="135" t="s">
        <v>964</v>
      </c>
      <c r="O725" s="135" t="s">
        <v>86</v>
      </c>
      <c r="P725" s="135" t="s">
        <v>459</v>
      </c>
      <c r="Q725" s="135">
        <v>694.16</v>
      </c>
      <c r="R725" s="187">
        <v>26</v>
      </c>
      <c r="S725" s="56"/>
      <c r="T725" s="56"/>
      <c r="U725" s="56"/>
      <c r="V725" s="56"/>
      <c r="W725" s="56"/>
      <c r="X725" s="56"/>
      <c r="Y725" s="56"/>
      <c r="Z725" s="56"/>
      <c r="AA725" s="56"/>
    </row>
    <row r="726" spans="2:27" ht="30" hidden="1" customHeight="1" x14ac:dyDescent="0.25">
      <c r="B726" s="51"/>
      <c r="C726" s="51"/>
      <c r="D726" s="51"/>
      <c r="E726" s="63" t="s">
        <v>454</v>
      </c>
      <c r="F726" s="422">
        <v>1998</v>
      </c>
      <c r="G726" s="135" t="s">
        <v>1286</v>
      </c>
      <c r="H726" s="422"/>
      <c r="I726" s="135" t="s">
        <v>460</v>
      </c>
      <c r="J726" s="135" t="s">
        <v>966</v>
      </c>
      <c r="K726" s="135" t="s">
        <v>469</v>
      </c>
      <c r="L726" s="135" t="s">
        <v>85</v>
      </c>
      <c r="M726" s="135" t="s">
        <v>311</v>
      </c>
      <c r="N726" s="135" t="s">
        <v>965</v>
      </c>
      <c r="O726" s="135" t="s">
        <v>939</v>
      </c>
      <c r="P726" s="135" t="s">
        <v>459</v>
      </c>
      <c r="Q726" s="135">
        <v>3078.04</v>
      </c>
      <c r="R726" s="187">
        <v>25</v>
      </c>
      <c r="S726" s="56"/>
      <c r="T726" s="56"/>
      <c r="U726" s="56"/>
      <c r="V726" s="56"/>
      <c r="W726" s="56"/>
      <c r="X726" s="56"/>
      <c r="Y726" s="56"/>
      <c r="Z726" s="56"/>
      <c r="AA726" s="56"/>
    </row>
    <row r="727" spans="2:27" ht="30" hidden="1" customHeight="1" x14ac:dyDescent="0.25">
      <c r="B727" s="51"/>
      <c r="C727" s="51"/>
      <c r="D727" s="51"/>
      <c r="E727" s="63" t="s">
        <v>454</v>
      </c>
      <c r="F727" s="422">
        <v>1998</v>
      </c>
      <c r="G727" s="135" t="s">
        <v>1286</v>
      </c>
      <c r="H727" s="422"/>
      <c r="I727" s="135" t="s">
        <v>460</v>
      </c>
      <c r="J727" s="135" t="s">
        <v>963</v>
      </c>
      <c r="K727" s="135" t="s">
        <v>474</v>
      </c>
      <c r="L727" s="135" t="s">
        <v>95</v>
      </c>
      <c r="M727" s="135" t="s">
        <v>96</v>
      </c>
      <c r="N727" s="135" t="s">
        <v>964</v>
      </c>
      <c r="O727" s="135" t="s">
        <v>940</v>
      </c>
      <c r="P727" s="135" t="s">
        <v>464</v>
      </c>
      <c r="Q727" s="135">
        <v>4053.16</v>
      </c>
      <c r="R727" s="187">
        <v>24</v>
      </c>
      <c r="S727" s="56"/>
      <c r="T727" s="56"/>
      <c r="U727" s="56"/>
      <c r="V727" s="56"/>
      <c r="W727" s="56"/>
      <c r="X727" s="56"/>
      <c r="Y727" s="56"/>
      <c r="Z727" s="56"/>
      <c r="AA727" s="56"/>
    </row>
    <row r="728" spans="2:27" ht="33.6" hidden="1" customHeight="1" x14ac:dyDescent="0.25">
      <c r="B728" s="51"/>
      <c r="C728" s="51"/>
      <c r="D728" s="51"/>
      <c r="E728" s="63" t="s">
        <v>454</v>
      </c>
      <c r="F728" s="422">
        <v>1998</v>
      </c>
      <c r="G728" s="135" t="s">
        <v>1287</v>
      </c>
      <c r="H728" s="422"/>
      <c r="I728" s="135" t="s">
        <v>460</v>
      </c>
      <c r="J728" s="135" t="s">
        <v>966</v>
      </c>
      <c r="K728" s="135" t="s">
        <v>469</v>
      </c>
      <c r="L728" s="135" t="s">
        <v>85</v>
      </c>
      <c r="M728" s="135" t="s">
        <v>85</v>
      </c>
      <c r="N728" s="135" t="s">
        <v>964</v>
      </c>
      <c r="O728" s="135" t="s">
        <v>87</v>
      </c>
      <c r="P728" s="135" t="s">
        <v>459</v>
      </c>
      <c r="Q728" s="135">
        <v>4723.43</v>
      </c>
      <c r="R728" s="187">
        <v>23</v>
      </c>
      <c r="S728" s="56"/>
      <c r="T728" s="56"/>
      <c r="U728" s="56"/>
      <c r="V728" s="56"/>
      <c r="W728" s="56"/>
      <c r="X728" s="56"/>
      <c r="Y728" s="56"/>
      <c r="Z728" s="56"/>
      <c r="AA728" s="56"/>
    </row>
    <row r="729" spans="2:27" ht="29.45" hidden="1" customHeight="1" x14ac:dyDescent="0.25">
      <c r="B729" s="51"/>
      <c r="C729" s="51"/>
      <c r="D729" s="51"/>
      <c r="E729" s="63" t="s">
        <v>454</v>
      </c>
      <c r="F729" s="422">
        <v>1998</v>
      </c>
      <c r="G729" s="135" t="s">
        <v>1288</v>
      </c>
      <c r="H729" s="422"/>
      <c r="I729" s="135" t="s">
        <v>460</v>
      </c>
      <c r="J729" s="135" t="s">
        <v>966</v>
      </c>
      <c r="K729" s="135" t="s">
        <v>469</v>
      </c>
      <c r="L729" s="135" t="s">
        <v>85</v>
      </c>
      <c r="M729" s="135" t="s">
        <v>104</v>
      </c>
      <c r="N729" s="135" t="s">
        <v>965</v>
      </c>
      <c r="O729" s="135" t="s">
        <v>941</v>
      </c>
      <c r="P729" s="135" t="s">
        <v>459</v>
      </c>
      <c r="Q729" s="135">
        <v>3779.0099999999998</v>
      </c>
      <c r="R729" s="187">
        <v>22</v>
      </c>
      <c r="S729" s="56"/>
      <c r="T729" s="56"/>
      <c r="U729" s="56"/>
      <c r="V729" s="56"/>
      <c r="W729" s="56"/>
      <c r="X729" s="56"/>
      <c r="Y729" s="56"/>
      <c r="Z729" s="56"/>
      <c r="AA729" s="56"/>
    </row>
    <row r="730" spans="2:27" ht="29.45" hidden="1" customHeight="1" x14ac:dyDescent="0.25">
      <c r="B730" s="51"/>
      <c r="C730" s="51"/>
      <c r="D730" s="51"/>
      <c r="E730" s="63" t="s">
        <v>454</v>
      </c>
      <c r="F730" s="422">
        <v>1998</v>
      </c>
      <c r="G730" s="135" t="s">
        <v>1288</v>
      </c>
      <c r="H730" s="422"/>
      <c r="I730" s="135" t="s">
        <v>460</v>
      </c>
      <c r="J730" s="135" t="s">
        <v>963</v>
      </c>
      <c r="K730" s="135" t="s">
        <v>461</v>
      </c>
      <c r="L730" s="135" t="s">
        <v>253</v>
      </c>
      <c r="M730" s="135" t="s">
        <v>254</v>
      </c>
      <c r="N730" s="135" t="s">
        <v>965</v>
      </c>
      <c r="O730" s="135" t="s">
        <v>942</v>
      </c>
      <c r="P730" s="135" t="s">
        <v>459</v>
      </c>
      <c r="Q730" s="135">
        <v>4320.8599999999997</v>
      </c>
      <c r="R730" s="187">
        <v>21</v>
      </c>
      <c r="S730" s="56"/>
      <c r="T730" s="56"/>
      <c r="U730" s="56"/>
      <c r="V730" s="56"/>
      <c r="W730" s="56"/>
      <c r="X730" s="56"/>
      <c r="Y730" s="56"/>
      <c r="Z730" s="56"/>
      <c r="AA730" s="56"/>
    </row>
    <row r="731" spans="2:27" ht="29.45" hidden="1" customHeight="1" x14ac:dyDescent="0.25">
      <c r="B731" s="51"/>
      <c r="C731" s="51"/>
      <c r="D731" s="51"/>
      <c r="E731" s="63" t="s">
        <v>451</v>
      </c>
      <c r="F731" s="422">
        <v>1998</v>
      </c>
      <c r="G731" s="135" t="s">
        <v>1289</v>
      </c>
      <c r="H731" s="422"/>
      <c r="I731" s="135" t="s">
        <v>460</v>
      </c>
      <c r="J731" s="135" t="s">
        <v>966</v>
      </c>
      <c r="K731" s="135" t="s">
        <v>469</v>
      </c>
      <c r="L731" s="135" t="s">
        <v>85</v>
      </c>
      <c r="M731" s="135" t="s">
        <v>85</v>
      </c>
      <c r="N731" s="135" t="s">
        <v>964</v>
      </c>
      <c r="O731" s="135" t="s">
        <v>105</v>
      </c>
      <c r="P731" s="135" t="s">
        <v>459</v>
      </c>
      <c r="Q731" s="135">
        <v>688.36</v>
      </c>
      <c r="R731" s="187">
        <v>20</v>
      </c>
      <c r="S731" s="56"/>
      <c r="T731" s="56"/>
      <c r="U731" s="56"/>
      <c r="V731" s="56"/>
      <c r="W731" s="56"/>
      <c r="X731" s="56"/>
      <c r="Y731" s="56"/>
      <c r="Z731" s="56"/>
      <c r="AA731" s="56"/>
    </row>
    <row r="732" spans="2:27" ht="29.45" hidden="1" customHeight="1" x14ac:dyDescent="0.25">
      <c r="B732" s="51"/>
      <c r="C732" s="51"/>
      <c r="D732" s="51"/>
      <c r="E732" s="63" t="s">
        <v>454</v>
      </c>
      <c r="F732" s="422">
        <v>1997</v>
      </c>
      <c r="G732" s="135" t="s">
        <v>1290</v>
      </c>
      <c r="H732" s="422"/>
      <c r="I732" s="135" t="s">
        <v>460</v>
      </c>
      <c r="J732" s="135" t="s">
        <v>963</v>
      </c>
      <c r="K732" s="135" t="s">
        <v>465</v>
      </c>
      <c r="L732" s="135" t="s">
        <v>106</v>
      </c>
      <c r="M732" s="135" t="s">
        <v>272</v>
      </c>
      <c r="N732" s="135" t="s">
        <v>965</v>
      </c>
      <c r="O732" s="135" t="s">
        <v>943</v>
      </c>
      <c r="P732" s="135" t="s">
        <v>459</v>
      </c>
      <c r="Q732" s="135">
        <v>3967.39</v>
      </c>
      <c r="R732" s="187">
        <v>19</v>
      </c>
      <c r="S732" s="56"/>
      <c r="T732" s="56"/>
      <c r="U732" s="56"/>
      <c r="V732" s="56"/>
      <c r="W732" s="56"/>
      <c r="X732" s="56"/>
      <c r="Y732" s="56"/>
      <c r="Z732" s="56"/>
      <c r="AA732" s="56"/>
    </row>
    <row r="733" spans="2:27" ht="29.45" hidden="1" customHeight="1" x14ac:dyDescent="0.25">
      <c r="B733" s="51"/>
      <c r="C733" s="51"/>
      <c r="D733" s="51"/>
      <c r="E733" s="63" t="s">
        <v>454</v>
      </c>
      <c r="F733" s="422">
        <v>1997</v>
      </c>
      <c r="G733" s="135" t="s">
        <v>1290</v>
      </c>
      <c r="H733" s="422"/>
      <c r="I733" s="135" t="s">
        <v>460</v>
      </c>
      <c r="J733" s="135" t="s">
        <v>966</v>
      </c>
      <c r="K733" s="135" t="s">
        <v>469</v>
      </c>
      <c r="L733" s="135" t="s">
        <v>85</v>
      </c>
      <c r="M733" s="135" t="s">
        <v>85</v>
      </c>
      <c r="N733" s="135" t="s">
        <v>964</v>
      </c>
      <c r="O733" s="135" t="s">
        <v>944</v>
      </c>
      <c r="P733" s="135" t="s">
        <v>459</v>
      </c>
      <c r="Q733" s="135">
        <v>2481.8000000000002</v>
      </c>
      <c r="R733" s="187">
        <v>18</v>
      </c>
    </row>
    <row r="734" spans="2:27" ht="29.45" hidden="1" customHeight="1" x14ac:dyDescent="0.25">
      <c r="B734" s="51"/>
      <c r="C734" s="51"/>
      <c r="D734" s="51"/>
      <c r="E734" s="63" t="s">
        <v>454</v>
      </c>
      <c r="F734" s="422">
        <v>1997</v>
      </c>
      <c r="G734" s="135" t="s">
        <v>1290</v>
      </c>
      <c r="H734" s="422"/>
      <c r="I734" s="135" t="s">
        <v>460</v>
      </c>
      <c r="J734" s="135" t="s">
        <v>966</v>
      </c>
      <c r="K734" s="135" t="s">
        <v>469</v>
      </c>
      <c r="L734" s="135" t="s">
        <v>85</v>
      </c>
      <c r="M734" s="135" t="s">
        <v>334</v>
      </c>
      <c r="N734" s="135" t="s">
        <v>965</v>
      </c>
      <c r="O734" s="135" t="s">
        <v>721</v>
      </c>
      <c r="P734" s="135" t="s">
        <v>459</v>
      </c>
      <c r="Q734" s="135">
        <v>4283.16</v>
      </c>
      <c r="R734" s="187">
        <v>17</v>
      </c>
    </row>
    <row r="735" spans="2:27" ht="29.45" hidden="1" customHeight="1" x14ac:dyDescent="0.25">
      <c r="B735" s="51"/>
      <c r="C735" s="51"/>
      <c r="D735" s="51"/>
      <c r="E735" s="63" t="s">
        <v>454</v>
      </c>
      <c r="F735" s="422">
        <v>1996</v>
      </c>
      <c r="G735" s="135" t="s">
        <v>1291</v>
      </c>
      <c r="H735" s="422"/>
      <c r="I735" s="135" t="s">
        <v>460</v>
      </c>
      <c r="J735" s="135" t="s">
        <v>963</v>
      </c>
      <c r="K735" s="135" t="s">
        <v>461</v>
      </c>
      <c r="L735" s="135" t="s">
        <v>253</v>
      </c>
      <c r="M735" s="135" t="s">
        <v>255</v>
      </c>
      <c r="N735" s="135" t="s">
        <v>965</v>
      </c>
      <c r="O735" s="135" t="s">
        <v>945</v>
      </c>
      <c r="P735" s="135" t="s">
        <v>459</v>
      </c>
      <c r="Q735" s="135">
        <v>3128.06</v>
      </c>
      <c r="R735" s="187">
        <v>16</v>
      </c>
    </row>
    <row r="736" spans="2:27" ht="29.45" hidden="1" customHeight="1" x14ac:dyDescent="0.25">
      <c r="B736" s="51"/>
      <c r="C736" s="51"/>
      <c r="D736" s="51"/>
      <c r="E736" s="63" t="s">
        <v>454</v>
      </c>
      <c r="F736" s="422">
        <v>1996</v>
      </c>
      <c r="G736" s="135" t="s">
        <v>1292</v>
      </c>
      <c r="H736" s="422"/>
      <c r="I736" s="135" t="s">
        <v>460</v>
      </c>
      <c r="J736" s="135" t="s">
        <v>963</v>
      </c>
      <c r="K736" s="135" t="s">
        <v>474</v>
      </c>
      <c r="L736" s="135" t="s">
        <v>95</v>
      </c>
      <c r="M736" s="135" t="s">
        <v>96</v>
      </c>
      <c r="N736" s="135" t="s">
        <v>964</v>
      </c>
      <c r="O736" s="135" t="s">
        <v>223</v>
      </c>
      <c r="P736" s="135" t="s">
        <v>459</v>
      </c>
      <c r="Q736" s="135">
        <v>3237.67</v>
      </c>
      <c r="R736" s="187">
        <v>15</v>
      </c>
    </row>
    <row r="737" spans="2:18" ht="29.45" hidden="1" customHeight="1" x14ac:dyDescent="0.25">
      <c r="B737" s="51"/>
      <c r="C737" s="51"/>
      <c r="D737" s="51"/>
      <c r="E737" s="63" t="s">
        <v>451</v>
      </c>
      <c r="F737" s="422">
        <v>1996</v>
      </c>
      <c r="G737" s="135" t="s">
        <v>1293</v>
      </c>
      <c r="H737" s="422"/>
      <c r="I737" s="135" t="s">
        <v>460</v>
      </c>
      <c r="J737" s="135" t="s">
        <v>966</v>
      </c>
      <c r="K737" s="135" t="s">
        <v>469</v>
      </c>
      <c r="L737" s="135" t="s">
        <v>85</v>
      </c>
      <c r="M737" s="135" t="s">
        <v>85</v>
      </c>
      <c r="N737" s="135" t="s">
        <v>964</v>
      </c>
      <c r="O737" s="135" t="s">
        <v>87</v>
      </c>
      <c r="P737" s="135" t="s">
        <v>459</v>
      </c>
      <c r="Q737" s="135">
        <v>411.71</v>
      </c>
      <c r="R737" s="187">
        <v>14</v>
      </c>
    </row>
    <row r="738" spans="2:18" ht="29.45" hidden="1" customHeight="1" x14ac:dyDescent="0.25">
      <c r="B738" s="51"/>
      <c r="C738" s="51"/>
      <c r="D738" s="51"/>
      <c r="E738" s="63" t="s">
        <v>454</v>
      </c>
      <c r="F738" s="422">
        <v>1995</v>
      </c>
      <c r="G738" s="135" t="s">
        <v>1294</v>
      </c>
      <c r="H738" s="422"/>
      <c r="I738" s="135" t="s">
        <v>460</v>
      </c>
      <c r="J738" s="135" t="s">
        <v>963</v>
      </c>
      <c r="K738" s="135" t="s">
        <v>465</v>
      </c>
      <c r="L738" s="135" t="s">
        <v>106</v>
      </c>
      <c r="M738" s="135" t="s">
        <v>107</v>
      </c>
      <c r="N738" s="135" t="s">
        <v>965</v>
      </c>
      <c r="O738" s="135" t="s">
        <v>910</v>
      </c>
      <c r="P738" s="135" t="s">
        <v>459</v>
      </c>
      <c r="Q738" s="135">
        <v>3390.01</v>
      </c>
      <c r="R738" s="187">
        <v>13</v>
      </c>
    </row>
    <row r="739" spans="2:18" ht="29.45" hidden="1" customHeight="1" x14ac:dyDescent="0.25">
      <c r="B739" s="51"/>
      <c r="C739" s="51"/>
      <c r="D739" s="51"/>
      <c r="E739" s="63" t="s">
        <v>454</v>
      </c>
      <c r="F739" s="422">
        <v>1994</v>
      </c>
      <c r="G739" s="135" t="s">
        <v>1295</v>
      </c>
      <c r="H739" s="422"/>
      <c r="I739" s="135" t="s">
        <v>460</v>
      </c>
      <c r="J739" s="135" t="s">
        <v>963</v>
      </c>
      <c r="K739" s="135" t="s">
        <v>465</v>
      </c>
      <c r="L739" s="135" t="s">
        <v>106</v>
      </c>
      <c r="M739" s="135" t="s">
        <v>268</v>
      </c>
      <c r="N739" s="135" t="s">
        <v>964</v>
      </c>
      <c r="O739" s="135" t="s">
        <v>946</v>
      </c>
      <c r="P739" s="135" t="s">
        <v>459</v>
      </c>
      <c r="Q739" s="135">
        <v>5163.93</v>
      </c>
      <c r="R739" s="187">
        <v>12</v>
      </c>
    </row>
    <row r="740" spans="2:18" ht="29.45" hidden="1" customHeight="1" x14ac:dyDescent="0.25">
      <c r="B740" s="51"/>
      <c r="C740" s="51"/>
      <c r="D740" s="51"/>
      <c r="E740" s="63" t="s">
        <v>454</v>
      </c>
      <c r="F740" s="422">
        <v>1993</v>
      </c>
      <c r="G740" s="135" t="s">
        <v>1296</v>
      </c>
      <c r="H740" s="422"/>
      <c r="I740" s="135" t="s">
        <v>460</v>
      </c>
      <c r="J740" s="135" t="s">
        <v>963</v>
      </c>
      <c r="K740" s="135" t="s">
        <v>461</v>
      </c>
      <c r="L740" s="135" t="s">
        <v>253</v>
      </c>
      <c r="M740" s="135" t="s">
        <v>258</v>
      </c>
      <c r="N740" s="135" t="s">
        <v>964</v>
      </c>
      <c r="O740" s="135" t="s">
        <v>629</v>
      </c>
      <c r="P740" s="135" t="s">
        <v>459</v>
      </c>
      <c r="Q740" s="135">
        <v>5655.08</v>
      </c>
      <c r="R740" s="187">
        <v>11</v>
      </c>
    </row>
    <row r="741" spans="2:18" ht="29.45" hidden="1" customHeight="1" x14ac:dyDescent="0.25">
      <c r="B741" s="51"/>
      <c r="C741" s="51"/>
      <c r="D741" s="51"/>
      <c r="E741" s="63" t="s">
        <v>454</v>
      </c>
      <c r="F741" s="422">
        <v>1991</v>
      </c>
      <c r="G741" s="135" t="s">
        <v>1297</v>
      </c>
      <c r="H741" s="422"/>
      <c r="I741" s="135" t="s">
        <v>460</v>
      </c>
      <c r="J741" s="135" t="s">
        <v>963</v>
      </c>
      <c r="K741" s="135" t="s">
        <v>461</v>
      </c>
      <c r="L741" s="135" t="s">
        <v>253</v>
      </c>
      <c r="M741" s="135" t="s">
        <v>782</v>
      </c>
      <c r="N741" s="135" t="s">
        <v>965</v>
      </c>
      <c r="O741" s="135" t="s">
        <v>947</v>
      </c>
      <c r="P741" s="135" t="s">
        <v>459</v>
      </c>
      <c r="Q741" s="135">
        <v>4369.83</v>
      </c>
      <c r="R741" s="187">
        <v>10</v>
      </c>
    </row>
    <row r="742" spans="2:18" ht="29.45" hidden="1" customHeight="1" x14ac:dyDescent="0.25">
      <c r="B742" s="51"/>
      <c r="C742" s="51"/>
      <c r="D742" s="51"/>
      <c r="E742" s="63" t="s">
        <v>451</v>
      </c>
      <c r="F742" s="422">
        <v>1987</v>
      </c>
      <c r="G742" s="135" t="s">
        <v>1298</v>
      </c>
      <c r="H742" s="422"/>
      <c r="I742" s="135" t="s">
        <v>460</v>
      </c>
      <c r="J742" s="135" t="s">
        <v>966</v>
      </c>
      <c r="K742" s="135" t="s">
        <v>469</v>
      </c>
      <c r="L742" s="135" t="s">
        <v>85</v>
      </c>
      <c r="M742" s="135" t="s">
        <v>85</v>
      </c>
      <c r="N742" s="135" t="s">
        <v>964</v>
      </c>
      <c r="O742" s="135" t="s">
        <v>948</v>
      </c>
      <c r="P742" s="135" t="s">
        <v>459</v>
      </c>
      <c r="Q742" s="135">
        <v>1341.26</v>
      </c>
      <c r="R742" s="187">
        <v>9</v>
      </c>
    </row>
    <row r="743" spans="2:18" ht="29.45" hidden="1" customHeight="1" x14ac:dyDescent="0.25">
      <c r="B743" s="51"/>
      <c r="C743" s="51"/>
      <c r="D743" s="51"/>
      <c r="E743" s="63" t="s">
        <v>451</v>
      </c>
      <c r="F743" s="422">
        <v>1987</v>
      </c>
      <c r="G743" s="135" t="s">
        <v>1299</v>
      </c>
      <c r="H743" s="422"/>
      <c r="I743" s="135" t="s">
        <v>460</v>
      </c>
      <c r="J743" s="135" t="s">
        <v>966</v>
      </c>
      <c r="K743" s="135" t="s">
        <v>469</v>
      </c>
      <c r="L743" s="135" t="s">
        <v>85</v>
      </c>
      <c r="M743" s="135" t="s">
        <v>85</v>
      </c>
      <c r="N743" s="135" t="s">
        <v>964</v>
      </c>
      <c r="O743" s="135" t="s">
        <v>99</v>
      </c>
      <c r="P743" s="135" t="s">
        <v>459</v>
      </c>
      <c r="Q743" s="135">
        <v>675.76</v>
      </c>
      <c r="R743" s="187">
        <v>8</v>
      </c>
    </row>
    <row r="744" spans="2:18" ht="29.45" hidden="1" customHeight="1" x14ac:dyDescent="0.25">
      <c r="B744" s="51"/>
      <c r="C744" s="51"/>
      <c r="D744" s="51"/>
      <c r="E744" s="63" t="s">
        <v>454</v>
      </c>
      <c r="F744" s="422">
        <v>1985</v>
      </c>
      <c r="G744" s="135" t="s">
        <v>1300</v>
      </c>
      <c r="H744" s="422"/>
      <c r="I744" s="135" t="s">
        <v>460</v>
      </c>
      <c r="J744" s="135" t="s">
        <v>963</v>
      </c>
      <c r="K744" s="135" t="s">
        <v>461</v>
      </c>
      <c r="L744" s="135" t="s">
        <v>253</v>
      </c>
      <c r="M744" s="135" t="s">
        <v>264</v>
      </c>
      <c r="N744" s="135" t="s">
        <v>965</v>
      </c>
      <c r="O744" s="135" t="s">
        <v>949</v>
      </c>
      <c r="P744" s="135" t="s">
        <v>464</v>
      </c>
      <c r="Q744" s="135">
        <v>2575.8000000000002</v>
      </c>
      <c r="R744" s="187">
        <v>7</v>
      </c>
    </row>
    <row r="745" spans="2:18" ht="29.45" hidden="1" customHeight="1" x14ac:dyDescent="0.25">
      <c r="B745" s="51"/>
      <c r="C745" s="51"/>
      <c r="D745" s="51"/>
      <c r="E745" s="63" t="s">
        <v>454</v>
      </c>
      <c r="F745" s="422">
        <v>1983</v>
      </c>
      <c r="G745" s="135" t="s">
        <v>1301</v>
      </c>
      <c r="H745" s="422"/>
      <c r="I745" s="135" t="s">
        <v>460</v>
      </c>
      <c r="J745" s="135" t="s">
        <v>963</v>
      </c>
      <c r="K745" s="135" t="s">
        <v>461</v>
      </c>
      <c r="L745" s="135" t="s">
        <v>253</v>
      </c>
      <c r="M745" s="135" t="s">
        <v>258</v>
      </c>
      <c r="N745" s="135" t="s">
        <v>964</v>
      </c>
      <c r="O745" s="135" t="s">
        <v>950</v>
      </c>
      <c r="P745" s="135" t="s">
        <v>459</v>
      </c>
      <c r="Q745" s="135">
        <v>6579.35</v>
      </c>
      <c r="R745" s="187">
        <v>6</v>
      </c>
    </row>
    <row r="746" spans="2:18" ht="29.45" hidden="1" customHeight="1" x14ac:dyDescent="0.25">
      <c r="B746" s="51"/>
      <c r="C746" s="51"/>
      <c r="D746" s="51"/>
      <c r="E746" s="63" t="s">
        <v>454</v>
      </c>
      <c r="F746" s="422">
        <v>1980</v>
      </c>
      <c r="G746" s="135" t="s">
        <v>1302</v>
      </c>
      <c r="H746" s="422"/>
      <c r="I746" s="135" t="s">
        <v>460</v>
      </c>
      <c r="J746" s="135" t="s">
        <v>963</v>
      </c>
      <c r="K746" s="135" t="s">
        <v>461</v>
      </c>
      <c r="L746" s="135" t="s">
        <v>253</v>
      </c>
      <c r="M746" s="135" t="s">
        <v>262</v>
      </c>
      <c r="N746" s="135" t="s">
        <v>965</v>
      </c>
      <c r="O746" s="135" t="s">
        <v>266</v>
      </c>
      <c r="P746" s="135" t="s">
        <v>464</v>
      </c>
      <c r="Q746" s="135">
        <v>4733.41</v>
      </c>
      <c r="R746" s="187">
        <v>5</v>
      </c>
    </row>
    <row r="747" spans="2:18" ht="29.45" hidden="1" customHeight="1" x14ac:dyDescent="0.25">
      <c r="B747" s="51"/>
      <c r="C747" s="51"/>
      <c r="D747" s="51"/>
      <c r="E747" s="63" t="s">
        <v>454</v>
      </c>
      <c r="F747" s="422">
        <v>1977</v>
      </c>
      <c r="G747" s="135" t="s">
        <v>1303</v>
      </c>
      <c r="H747" s="422"/>
      <c r="I747" s="135" t="s">
        <v>460</v>
      </c>
      <c r="J747" s="135" t="s">
        <v>963</v>
      </c>
      <c r="K747" s="135" t="s">
        <v>461</v>
      </c>
      <c r="L747" s="135" t="s">
        <v>253</v>
      </c>
      <c r="M747" s="135" t="s">
        <v>258</v>
      </c>
      <c r="N747" s="135" t="s">
        <v>964</v>
      </c>
      <c r="O747" s="135" t="s">
        <v>951</v>
      </c>
      <c r="P747" s="135" t="s">
        <v>464</v>
      </c>
      <c r="Q747" s="135">
        <v>10337</v>
      </c>
      <c r="R747" s="187">
        <v>4</v>
      </c>
    </row>
    <row r="748" spans="2:18" ht="29.45" hidden="1" customHeight="1" x14ac:dyDescent="0.25">
      <c r="B748" s="51"/>
      <c r="C748" s="51"/>
      <c r="D748" s="51"/>
      <c r="E748" s="63" t="s">
        <v>454</v>
      </c>
      <c r="F748" s="422">
        <v>1976</v>
      </c>
      <c r="G748" s="135" t="s">
        <v>1304</v>
      </c>
      <c r="H748" s="422"/>
      <c r="I748" s="135" t="s">
        <v>460</v>
      </c>
      <c r="J748" s="135" t="s">
        <v>963</v>
      </c>
      <c r="K748" s="135" t="s">
        <v>461</v>
      </c>
      <c r="L748" s="135" t="s">
        <v>253</v>
      </c>
      <c r="M748" s="135" t="s">
        <v>254</v>
      </c>
      <c r="N748" s="135" t="s">
        <v>965</v>
      </c>
      <c r="O748" s="135" t="s">
        <v>952</v>
      </c>
      <c r="P748" s="135" t="s">
        <v>459</v>
      </c>
      <c r="Q748" s="135">
        <v>2485.2199999999998</v>
      </c>
      <c r="R748" s="187">
        <v>3</v>
      </c>
    </row>
    <row r="749" spans="2:18" ht="29.45" hidden="1" customHeight="1" x14ac:dyDescent="0.25">
      <c r="B749" s="51"/>
      <c r="C749" s="51"/>
      <c r="D749" s="51"/>
      <c r="E749" s="63" t="s">
        <v>454</v>
      </c>
      <c r="F749" s="422">
        <v>1970</v>
      </c>
      <c r="G749" s="135" t="s">
        <v>1305</v>
      </c>
      <c r="H749" s="422"/>
      <c r="I749" s="135" t="s">
        <v>460</v>
      </c>
      <c r="J749" s="135" t="s">
        <v>963</v>
      </c>
      <c r="K749" s="135" t="s">
        <v>461</v>
      </c>
      <c r="L749" s="135" t="s">
        <v>253</v>
      </c>
      <c r="M749" s="135" t="s">
        <v>258</v>
      </c>
      <c r="N749" s="135" t="s">
        <v>964</v>
      </c>
      <c r="O749" s="135" t="s">
        <v>953</v>
      </c>
      <c r="P749" s="135" t="s">
        <v>459</v>
      </c>
      <c r="Q749" s="135">
        <v>2592.35</v>
      </c>
      <c r="R749" s="187">
        <v>2</v>
      </c>
    </row>
    <row r="750" spans="2:18" ht="29.45" hidden="1" customHeight="1" x14ac:dyDescent="0.25">
      <c r="B750" s="51"/>
      <c r="C750" s="51"/>
      <c r="D750" s="51"/>
      <c r="E750" s="63" t="s">
        <v>454</v>
      </c>
      <c r="F750" s="422">
        <v>1967</v>
      </c>
      <c r="G750" s="135" t="s">
        <v>1306</v>
      </c>
      <c r="H750" s="422"/>
      <c r="I750" s="135" t="s">
        <v>460</v>
      </c>
      <c r="J750" s="135" t="s">
        <v>963</v>
      </c>
      <c r="K750" s="135" t="s">
        <v>461</v>
      </c>
      <c r="L750" s="135" t="s">
        <v>253</v>
      </c>
      <c r="M750" s="135" t="s">
        <v>256</v>
      </c>
      <c r="N750" s="135" t="s">
        <v>965</v>
      </c>
      <c r="O750" s="135" t="s">
        <v>954</v>
      </c>
      <c r="P750" s="135" t="s">
        <v>464</v>
      </c>
      <c r="Q750" s="135">
        <v>3155.51</v>
      </c>
      <c r="R750" s="187">
        <v>1</v>
      </c>
    </row>
    <row r="751" spans="2:18" ht="29.45" customHeight="1" x14ac:dyDescent="0.25"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</row>
    <row r="752" spans="2:18" ht="29.45" customHeight="1" x14ac:dyDescent="0.25"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</row>
    <row r="753" spans="2:18" ht="29.45" customHeight="1" x14ac:dyDescent="0.25"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</row>
    <row r="754" spans="2:18" ht="29.45" customHeight="1" x14ac:dyDescent="0.25"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 ht="29.45" customHeight="1" x14ac:dyDescent="0.25"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</row>
    <row r="756" spans="2:18" ht="29.45" customHeight="1" x14ac:dyDescent="0.25"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</row>
    <row r="757" spans="2:18" ht="29.45" customHeight="1" x14ac:dyDescent="0.25"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</row>
    <row r="758" spans="2:18" ht="77.45" customHeight="1" x14ac:dyDescent="0.25"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 ht="77.45" customHeight="1" x14ac:dyDescent="0.25"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</row>
    <row r="760" spans="2:18" ht="77.45" customHeight="1" x14ac:dyDescent="0.25"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</row>
    <row r="761" spans="2:18" ht="77.45" customHeight="1" x14ac:dyDescent="0.25"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</row>
    <row r="762" spans="2:18" ht="77.45" customHeight="1" x14ac:dyDescent="0.25"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 ht="77.45" customHeight="1" x14ac:dyDescent="0.25"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</row>
    <row r="764" spans="2:18" ht="77.45" customHeight="1" x14ac:dyDescent="0.25"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</row>
    <row r="765" spans="2:18" ht="77.45" customHeight="1" x14ac:dyDescent="0.25"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</row>
    <row r="766" spans="2:18" ht="77.45" customHeight="1" x14ac:dyDescent="0.25"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 ht="77.45" customHeight="1" x14ac:dyDescent="0.25"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</row>
    <row r="768" spans="2:18" ht="77.45" customHeight="1" x14ac:dyDescent="0.25"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</row>
    <row r="769" spans="2:18" ht="77.45" customHeight="1" x14ac:dyDescent="0.25"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</row>
    <row r="770" spans="2:18" ht="77.45" customHeight="1" x14ac:dyDescent="0.25"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 ht="77.45" customHeight="1" x14ac:dyDescent="0.25"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</row>
    <row r="772" spans="2:18" ht="77.45" customHeight="1" x14ac:dyDescent="0.25"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</row>
    <row r="773" spans="2:18" ht="77.45" customHeight="1" x14ac:dyDescent="0.25"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</row>
    <row r="774" spans="2:18" ht="77.45" customHeight="1" x14ac:dyDescent="0.25"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 ht="77.45" customHeight="1" x14ac:dyDescent="0.25"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</row>
    <row r="776" spans="2:18" ht="77.45" customHeight="1" x14ac:dyDescent="0.25"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</row>
    <row r="777" spans="2:18" ht="77.45" customHeight="1" x14ac:dyDescent="0.25"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</row>
    <row r="778" spans="2:18" ht="77.45" customHeight="1" x14ac:dyDescent="0.25"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 ht="77.45" customHeight="1" x14ac:dyDescent="0.25"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</row>
    <row r="780" spans="2:18" ht="77.45" customHeight="1" x14ac:dyDescent="0.25"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</row>
    <row r="781" spans="2:18" ht="77.45" customHeight="1" x14ac:dyDescent="0.25"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</row>
    <row r="782" spans="2:18" ht="77.45" customHeight="1" x14ac:dyDescent="0.25"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 ht="77.45" customHeight="1" x14ac:dyDescent="0.25"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</row>
    <row r="784" spans="2:18" ht="77.45" customHeight="1" x14ac:dyDescent="0.25"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</row>
    <row r="785" spans="2:18" ht="77.45" customHeight="1" x14ac:dyDescent="0.25"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</row>
    <row r="786" spans="2:18" ht="77.45" customHeight="1" x14ac:dyDescent="0.25"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 ht="77.45" customHeight="1" x14ac:dyDescent="0.25"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</row>
    <row r="788" spans="2:18" ht="77.45" customHeight="1" x14ac:dyDescent="0.25"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</row>
    <row r="789" spans="2:18" ht="77.45" customHeight="1" x14ac:dyDescent="0.25"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</row>
    <row r="790" spans="2:18" ht="77.45" customHeight="1" x14ac:dyDescent="0.25"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 ht="77.45" customHeight="1" x14ac:dyDescent="0.25"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</row>
    <row r="792" spans="2:18" ht="77.45" customHeight="1" x14ac:dyDescent="0.25"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</row>
    <row r="793" spans="2:18" ht="77.45" customHeight="1" x14ac:dyDescent="0.25"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</row>
    <row r="794" spans="2:18" ht="77.45" customHeight="1" x14ac:dyDescent="0.25"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 ht="77.45" customHeight="1" x14ac:dyDescent="0.25"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</row>
    <row r="796" spans="2:18" ht="77.45" customHeight="1" x14ac:dyDescent="0.25"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</row>
    <row r="797" spans="2:18" ht="77.45" customHeight="1" x14ac:dyDescent="0.25"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</row>
    <row r="798" spans="2:18" ht="77.45" customHeight="1" x14ac:dyDescent="0.25"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 ht="77.45" customHeight="1" x14ac:dyDescent="0.25"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</row>
    <row r="800" spans="2:18" ht="77.45" customHeight="1" x14ac:dyDescent="0.25"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</row>
    <row r="801" spans="2:18" ht="77.45" customHeight="1" x14ac:dyDescent="0.25"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</row>
    <row r="802" spans="2:18" ht="77.45" customHeight="1" x14ac:dyDescent="0.25"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 ht="77.45" customHeight="1" x14ac:dyDescent="0.25"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</row>
    <row r="804" spans="2:18" ht="77.45" customHeight="1" x14ac:dyDescent="0.25"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</row>
    <row r="805" spans="2:18" ht="77.45" customHeight="1" x14ac:dyDescent="0.25"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</row>
    <row r="806" spans="2:18" ht="77.45" customHeight="1" x14ac:dyDescent="0.25"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 ht="77.45" customHeight="1" x14ac:dyDescent="0.25"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</row>
    <row r="808" spans="2:18" ht="77.45" customHeight="1" x14ac:dyDescent="0.25"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</row>
    <row r="809" spans="2:18" ht="77.45" customHeight="1" x14ac:dyDescent="0.25"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</row>
    <row r="810" spans="2:18" ht="77.45" customHeight="1" x14ac:dyDescent="0.25"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 ht="77.45" customHeight="1" x14ac:dyDescent="0.25"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</row>
    <row r="812" spans="2:18" ht="77.45" customHeight="1" x14ac:dyDescent="0.25"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</row>
    <row r="813" spans="2:18" ht="77.45" customHeight="1" x14ac:dyDescent="0.25"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</row>
    <row r="814" spans="2:18" ht="77.45" customHeight="1" x14ac:dyDescent="0.25"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 ht="77.45" customHeight="1" x14ac:dyDescent="0.25"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</row>
    <row r="816" spans="2:18" ht="77.45" customHeight="1" x14ac:dyDescent="0.25"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</row>
    <row r="817" spans="2:18" ht="77.45" customHeight="1" x14ac:dyDescent="0.25"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</row>
    <row r="818" spans="2:18" ht="77.45" customHeight="1" x14ac:dyDescent="0.25"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 ht="77.45" customHeight="1" x14ac:dyDescent="0.25"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</row>
    <row r="820" spans="2:18" ht="77.45" customHeight="1" x14ac:dyDescent="0.25"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</row>
    <row r="821" spans="2:18" ht="77.45" customHeight="1" x14ac:dyDescent="0.25"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</row>
    <row r="822" spans="2:18" ht="77.45" customHeight="1" x14ac:dyDescent="0.25"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 ht="77.45" customHeight="1" x14ac:dyDescent="0.25"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</row>
    <row r="824" spans="2:18" ht="77.45" customHeight="1" x14ac:dyDescent="0.25"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</row>
    <row r="825" spans="2:18" ht="77.45" customHeight="1" x14ac:dyDescent="0.25"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</row>
    <row r="826" spans="2:18" ht="77.45" customHeight="1" x14ac:dyDescent="0.25"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 ht="77.45" customHeight="1" x14ac:dyDescent="0.25"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</row>
    <row r="828" spans="2:18" ht="77.45" customHeight="1" x14ac:dyDescent="0.25"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</row>
    <row r="829" spans="2:18" ht="77.45" customHeight="1" x14ac:dyDescent="0.25"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</row>
    <row r="830" spans="2:18" ht="77.45" customHeight="1" x14ac:dyDescent="0.25"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 ht="77.45" customHeight="1" x14ac:dyDescent="0.25"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</row>
    <row r="832" spans="2:18" ht="77.45" customHeight="1" x14ac:dyDescent="0.25"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</row>
    <row r="833" spans="2:18" ht="77.45" customHeight="1" x14ac:dyDescent="0.25"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</row>
    <row r="834" spans="2:18" ht="77.45" customHeight="1" x14ac:dyDescent="0.25"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 ht="77.45" customHeight="1" x14ac:dyDescent="0.25"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</row>
    <row r="836" spans="2:18" ht="77.45" customHeight="1" x14ac:dyDescent="0.25"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</row>
    <row r="837" spans="2:18" ht="77.45" customHeight="1" x14ac:dyDescent="0.25"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</row>
    <row r="838" spans="2:18" ht="77.45" customHeight="1" x14ac:dyDescent="0.25"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 ht="77.45" customHeight="1" x14ac:dyDescent="0.25"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</row>
    <row r="840" spans="2:18" ht="77.45" customHeight="1" x14ac:dyDescent="0.25"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</row>
    <row r="841" spans="2:18" ht="77.45" customHeight="1" x14ac:dyDescent="0.25"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</row>
    <row r="842" spans="2:18" ht="77.45" customHeight="1" x14ac:dyDescent="0.25"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 ht="77.45" customHeight="1" x14ac:dyDescent="0.25"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</row>
    <row r="844" spans="2:18" ht="77.45" customHeight="1" x14ac:dyDescent="0.25"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</row>
    <row r="845" spans="2:18" ht="77.45" customHeight="1" x14ac:dyDescent="0.25"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</row>
    <row r="846" spans="2:18" ht="77.45" customHeight="1" x14ac:dyDescent="0.25"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 ht="77.45" customHeight="1" x14ac:dyDescent="0.25"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</row>
    <row r="848" spans="2:18" ht="77.45" customHeight="1" x14ac:dyDescent="0.25"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</row>
    <row r="849" spans="2:18" ht="77.45" customHeight="1" x14ac:dyDescent="0.25"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</row>
    <row r="850" spans="2:18" ht="77.45" customHeight="1" x14ac:dyDescent="0.25"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 ht="77.45" customHeight="1" x14ac:dyDescent="0.25"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</row>
    <row r="852" spans="2:18" ht="77.45" customHeight="1" x14ac:dyDescent="0.25"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</row>
    <row r="853" spans="2:18" ht="77.45" customHeight="1" x14ac:dyDescent="0.25"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</row>
    <row r="854" spans="2:18" ht="77.45" customHeight="1" x14ac:dyDescent="0.25"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 ht="77.45" customHeight="1" x14ac:dyDescent="0.25"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</row>
    <row r="856" spans="2:18" ht="77.45" customHeight="1" x14ac:dyDescent="0.25"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</row>
    <row r="857" spans="2:18" ht="77.45" customHeight="1" x14ac:dyDescent="0.25"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</row>
    <row r="858" spans="2:18" ht="77.45" customHeight="1" x14ac:dyDescent="0.25"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 ht="77.45" customHeight="1" x14ac:dyDescent="0.25"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</row>
    <row r="860" spans="2:18" ht="77.45" customHeight="1" x14ac:dyDescent="0.25"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</row>
    <row r="861" spans="2:18" ht="77.45" customHeight="1" x14ac:dyDescent="0.25"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</row>
    <row r="862" spans="2:18" ht="77.45" customHeight="1" x14ac:dyDescent="0.25"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 ht="77.45" customHeight="1" x14ac:dyDescent="0.25"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</row>
    <row r="864" spans="2:18" ht="77.45" customHeight="1" x14ac:dyDescent="0.25"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</row>
    <row r="865" spans="2:18" ht="77.45" customHeight="1" x14ac:dyDescent="0.25"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</row>
    <row r="866" spans="2:18" ht="77.45" customHeight="1" x14ac:dyDescent="0.25"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 ht="77.45" customHeight="1" x14ac:dyDescent="0.25"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</row>
    <row r="868" spans="2:18" ht="77.45" customHeight="1" x14ac:dyDescent="0.25"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</row>
    <row r="869" spans="2:18" ht="77.45" customHeight="1" x14ac:dyDescent="0.25"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</row>
    <row r="870" spans="2:18" ht="77.45" customHeight="1" x14ac:dyDescent="0.25"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 ht="77.45" customHeight="1" x14ac:dyDescent="0.25"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</row>
    <row r="872" spans="2:18" ht="77.45" customHeight="1" x14ac:dyDescent="0.25"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</row>
    <row r="873" spans="2:18" ht="77.45" customHeight="1" x14ac:dyDescent="0.25"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</row>
    <row r="874" spans="2:18" ht="77.45" customHeight="1" x14ac:dyDescent="0.25"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 ht="77.45" customHeight="1" x14ac:dyDescent="0.25"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</row>
    <row r="876" spans="2:18" ht="77.45" customHeight="1" x14ac:dyDescent="0.25"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</row>
    <row r="877" spans="2:18" ht="77.45" customHeight="1" x14ac:dyDescent="0.25"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</row>
    <row r="878" spans="2:18" ht="77.45" customHeight="1" x14ac:dyDescent="0.25"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 ht="77.45" customHeight="1" x14ac:dyDescent="0.25"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</row>
    <row r="880" spans="2:18" ht="77.45" customHeight="1" x14ac:dyDescent="0.25"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</row>
    <row r="881" spans="2:18" ht="77.45" customHeight="1" x14ac:dyDescent="0.25"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</row>
    <row r="882" spans="2:18" ht="77.45" customHeight="1" x14ac:dyDescent="0.25"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 ht="77.45" customHeight="1" x14ac:dyDescent="0.25"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</row>
    <row r="884" spans="2:18" ht="77.45" customHeight="1" x14ac:dyDescent="0.25"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</row>
    <row r="885" spans="2:18" ht="77.45" customHeight="1" x14ac:dyDescent="0.25"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</row>
    <row r="886" spans="2:18" ht="77.45" customHeight="1" x14ac:dyDescent="0.25"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 ht="77.45" customHeight="1" x14ac:dyDescent="0.25"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</row>
    <row r="888" spans="2:18" ht="77.45" customHeight="1" x14ac:dyDescent="0.25"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</row>
    <row r="889" spans="2:18" ht="77.45" customHeight="1" x14ac:dyDescent="0.25"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</row>
    <row r="890" spans="2:18" ht="77.45" customHeight="1" x14ac:dyDescent="0.25"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 ht="77.45" customHeight="1" x14ac:dyDescent="0.25"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</row>
    <row r="892" spans="2:18" ht="77.45" customHeight="1" x14ac:dyDescent="0.25"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</row>
    <row r="893" spans="2:18" ht="77.45" customHeight="1" x14ac:dyDescent="0.25"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</row>
    <row r="894" spans="2:18" ht="77.45" customHeight="1" x14ac:dyDescent="0.25"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 ht="77.45" customHeight="1" x14ac:dyDescent="0.25"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</row>
    <row r="896" spans="2:18" ht="77.45" customHeight="1" x14ac:dyDescent="0.25"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</row>
    <row r="897" spans="2:18" ht="77.45" customHeight="1" x14ac:dyDescent="0.25"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</row>
    <row r="898" spans="2:18" ht="77.45" customHeight="1" x14ac:dyDescent="0.25"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 ht="77.45" customHeight="1" x14ac:dyDescent="0.25"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</row>
    <row r="900" spans="2:18" ht="77.45" customHeight="1" x14ac:dyDescent="0.25"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</row>
    <row r="901" spans="2:18" ht="77.45" customHeight="1" x14ac:dyDescent="0.25"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</row>
    <row r="902" spans="2:18" ht="77.45" customHeight="1" x14ac:dyDescent="0.25"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 ht="77.45" customHeight="1" x14ac:dyDescent="0.25"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</row>
    <row r="904" spans="2:18" ht="77.45" customHeight="1" x14ac:dyDescent="0.25"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</row>
    <row r="905" spans="2:18" ht="77.45" customHeight="1" x14ac:dyDescent="0.25"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</row>
    <row r="906" spans="2:18" ht="77.45" customHeight="1" x14ac:dyDescent="0.25"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 ht="77.45" customHeight="1" x14ac:dyDescent="0.25"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</row>
    <row r="908" spans="2:18" ht="77.45" customHeight="1" x14ac:dyDescent="0.25"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</row>
    <row r="909" spans="2:18" ht="77.45" customHeight="1" x14ac:dyDescent="0.25"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</row>
    <row r="910" spans="2:18" ht="77.45" customHeight="1" x14ac:dyDescent="0.25"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 ht="77.45" customHeight="1" x14ac:dyDescent="0.25"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</row>
    <row r="912" spans="2:18" ht="77.45" customHeight="1" x14ac:dyDescent="0.25"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</row>
    <row r="913" spans="2:18" ht="77.45" customHeight="1" x14ac:dyDescent="0.25"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</row>
    <row r="914" spans="2:18" ht="77.45" customHeight="1" x14ac:dyDescent="0.25"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 ht="77.45" customHeight="1" x14ac:dyDescent="0.25"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</row>
    <row r="916" spans="2:18" ht="77.45" customHeight="1" x14ac:dyDescent="0.25"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</row>
    <row r="917" spans="2:18" ht="77.45" customHeight="1" x14ac:dyDescent="0.25"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</row>
    <row r="918" spans="2:18" ht="77.45" customHeight="1" x14ac:dyDescent="0.25"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 ht="77.45" customHeight="1" x14ac:dyDescent="0.25"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</row>
    <row r="920" spans="2:18" ht="77.45" customHeight="1" x14ac:dyDescent="0.25"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</row>
    <row r="921" spans="2:18" ht="77.45" customHeight="1" x14ac:dyDescent="0.25"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</row>
    <row r="922" spans="2:18" ht="77.45" customHeight="1" x14ac:dyDescent="0.25"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 ht="77.45" customHeight="1" x14ac:dyDescent="0.25"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</row>
    <row r="924" spans="2:18" ht="77.45" customHeight="1" x14ac:dyDescent="0.25"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</row>
    <row r="925" spans="2:18" ht="77.45" customHeight="1" x14ac:dyDescent="0.25"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</row>
    <row r="926" spans="2:18" ht="77.45" customHeight="1" x14ac:dyDescent="0.25"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 ht="77.45" customHeight="1" x14ac:dyDescent="0.25"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</row>
    <row r="928" spans="2:18" ht="77.45" customHeight="1" x14ac:dyDescent="0.25"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</row>
    <row r="929" spans="2:18" ht="77.45" customHeight="1" x14ac:dyDescent="0.25"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</row>
    <row r="930" spans="2:18" ht="77.45" customHeight="1" x14ac:dyDescent="0.25"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 ht="77.45" customHeight="1" x14ac:dyDescent="0.25"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</row>
    <row r="932" spans="2:18" ht="77.45" customHeight="1" x14ac:dyDescent="0.25"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</row>
    <row r="933" spans="2:18" ht="77.45" customHeight="1" x14ac:dyDescent="0.25"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</row>
    <row r="934" spans="2:18" ht="77.45" customHeight="1" x14ac:dyDescent="0.25"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 ht="77.45" customHeight="1" x14ac:dyDescent="0.25"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</row>
    <row r="936" spans="2:18" ht="77.45" customHeight="1" x14ac:dyDescent="0.25"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</row>
    <row r="937" spans="2:18" ht="77.45" customHeight="1" x14ac:dyDescent="0.25"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</row>
    <row r="938" spans="2:18" ht="77.45" customHeight="1" x14ac:dyDescent="0.25"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 ht="77.45" customHeight="1" x14ac:dyDescent="0.25"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</row>
    <row r="940" spans="2:18" ht="77.45" customHeight="1" x14ac:dyDescent="0.25"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</row>
    <row r="941" spans="2:18" ht="77.45" customHeight="1" x14ac:dyDescent="0.25"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</row>
    <row r="942" spans="2:18" ht="77.45" customHeight="1" x14ac:dyDescent="0.25"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 ht="77.45" customHeight="1" x14ac:dyDescent="0.25"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</row>
    <row r="944" spans="2:18" ht="77.45" customHeight="1" x14ac:dyDescent="0.25"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</row>
    <row r="945" spans="2:18" ht="77.45" customHeight="1" x14ac:dyDescent="0.25"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</row>
    <row r="946" spans="2:18" ht="77.45" customHeight="1" x14ac:dyDescent="0.25"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 ht="77.45" customHeight="1" x14ac:dyDescent="0.25"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</row>
    <row r="948" spans="2:18" ht="77.45" customHeight="1" x14ac:dyDescent="0.25"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</row>
    <row r="949" spans="2:18" ht="77.45" customHeight="1" x14ac:dyDescent="0.25"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</row>
    <row r="950" spans="2:18" ht="77.45" customHeight="1" x14ac:dyDescent="0.25"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 ht="77.45" customHeight="1" x14ac:dyDescent="0.25"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</row>
    <row r="952" spans="2:18" ht="77.45" customHeight="1" x14ac:dyDescent="0.25"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</row>
    <row r="953" spans="2:18" ht="77.45" customHeight="1" x14ac:dyDescent="0.25"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</row>
    <row r="954" spans="2:18" ht="77.45" customHeight="1" x14ac:dyDescent="0.25"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 ht="77.45" customHeight="1" x14ac:dyDescent="0.25"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</row>
    <row r="956" spans="2:18" ht="77.45" customHeight="1" x14ac:dyDescent="0.25"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</row>
    <row r="957" spans="2:18" ht="77.45" customHeight="1" x14ac:dyDescent="0.25"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</row>
    <row r="958" spans="2:18" ht="77.45" customHeight="1" x14ac:dyDescent="0.25"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 ht="77.45" customHeight="1" x14ac:dyDescent="0.25"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</row>
    <row r="960" spans="2:18" ht="77.45" customHeight="1" x14ac:dyDescent="0.25"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</row>
    <row r="961" spans="2:18" ht="77.45" customHeight="1" x14ac:dyDescent="0.25"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</row>
    <row r="962" spans="2:18" ht="77.45" customHeight="1" x14ac:dyDescent="0.25"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 ht="77.45" customHeight="1" x14ac:dyDescent="0.25"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</row>
    <row r="964" spans="2:18" ht="77.45" customHeight="1" x14ac:dyDescent="0.25"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</row>
    <row r="965" spans="2:18" ht="77.45" customHeight="1" x14ac:dyDescent="0.25"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</row>
    <row r="966" spans="2:18" ht="77.45" customHeight="1" x14ac:dyDescent="0.25"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 ht="77.45" customHeight="1" x14ac:dyDescent="0.25"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</row>
    <row r="968" spans="2:18" ht="77.45" customHeight="1" x14ac:dyDescent="0.25"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</row>
    <row r="969" spans="2:18" ht="77.45" customHeight="1" x14ac:dyDescent="0.25"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</row>
    <row r="970" spans="2:18" ht="77.45" customHeight="1" x14ac:dyDescent="0.25"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 ht="77.45" customHeight="1" x14ac:dyDescent="0.25"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</row>
    <row r="972" spans="2:18" ht="77.45" customHeight="1" x14ac:dyDescent="0.25"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</row>
    <row r="973" spans="2:18" ht="77.45" customHeight="1" x14ac:dyDescent="0.25"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</row>
    <row r="974" spans="2:18" ht="77.45" customHeight="1" x14ac:dyDescent="0.25"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 ht="77.45" customHeight="1" x14ac:dyDescent="0.25"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</row>
    <row r="976" spans="2:18" ht="77.45" customHeight="1" x14ac:dyDescent="0.25"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</row>
    <row r="977" spans="2:18" ht="77.45" customHeight="1" x14ac:dyDescent="0.25"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</row>
    <row r="978" spans="2:18" ht="77.45" customHeight="1" x14ac:dyDescent="0.25"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 ht="77.45" customHeight="1" x14ac:dyDescent="0.25"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</row>
    <row r="980" spans="2:18" ht="77.45" customHeight="1" x14ac:dyDescent="0.25"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</row>
    <row r="981" spans="2:18" ht="77.45" customHeight="1" x14ac:dyDescent="0.25"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</row>
    <row r="982" spans="2:18" ht="77.45" customHeight="1" x14ac:dyDescent="0.25"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 ht="77.45" customHeight="1" x14ac:dyDescent="0.25"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</row>
    <row r="984" spans="2:18" ht="77.45" customHeight="1" x14ac:dyDescent="0.25"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</row>
    <row r="985" spans="2:18" ht="77.45" customHeight="1" x14ac:dyDescent="0.25"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</row>
    <row r="986" spans="2:18" ht="77.45" customHeight="1" x14ac:dyDescent="0.25"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 ht="77.45" customHeight="1" x14ac:dyDescent="0.25"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</row>
    <row r="988" spans="2:18" ht="77.45" customHeight="1" x14ac:dyDescent="0.25"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</row>
    <row r="989" spans="2:18" ht="77.45" customHeight="1" x14ac:dyDescent="0.25"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</row>
    <row r="990" spans="2:18" ht="77.45" customHeight="1" x14ac:dyDescent="0.25"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 ht="77.45" customHeight="1" x14ac:dyDescent="0.25"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</row>
    <row r="992" spans="2:18" ht="77.45" customHeight="1" x14ac:dyDescent="0.25"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</row>
    <row r="993" spans="2:18" ht="77.45" customHeight="1" x14ac:dyDescent="0.25"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</row>
    <row r="994" spans="2:18" ht="77.45" customHeight="1" x14ac:dyDescent="0.25"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 ht="77.45" customHeight="1" x14ac:dyDescent="0.25"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</row>
    <row r="996" spans="2:18" ht="77.45" customHeight="1" x14ac:dyDescent="0.25"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</row>
    <row r="997" spans="2:18" ht="77.45" customHeight="1" x14ac:dyDescent="0.25"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</row>
    <row r="998" spans="2:18" ht="77.45" customHeight="1" x14ac:dyDescent="0.25"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 ht="77.45" customHeight="1" x14ac:dyDescent="0.25"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</row>
    <row r="1000" spans="2:18" ht="77.45" customHeight="1" x14ac:dyDescent="0.25"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</row>
    <row r="1001" spans="2:18" ht="77.45" customHeight="1" x14ac:dyDescent="0.25"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</row>
    <row r="1002" spans="2:18" ht="77.45" customHeight="1" x14ac:dyDescent="0.25"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 ht="77.45" customHeight="1" x14ac:dyDescent="0.25"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</row>
    <row r="1004" spans="2:18" ht="77.45" customHeight="1" x14ac:dyDescent="0.25"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</row>
    <row r="1005" spans="2:18" ht="77.45" customHeight="1" x14ac:dyDescent="0.25"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</row>
    <row r="1006" spans="2:18" ht="77.45" customHeight="1" x14ac:dyDescent="0.25"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 ht="77.45" customHeight="1" x14ac:dyDescent="0.25">
      <c r="B1007" s="51"/>
      <c r="C1007" s="51"/>
      <c r="D1007" s="51"/>
      <c r="E1007" s="51"/>
      <c r="F1007" s="51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  <c r="Q1007" s="51"/>
      <c r="R1007" s="51"/>
    </row>
    <row r="1008" spans="2:18" ht="77.45" customHeight="1" x14ac:dyDescent="0.25">
      <c r="B1008" s="51"/>
      <c r="C1008" s="51"/>
      <c r="D1008" s="51"/>
      <c r="E1008" s="51"/>
      <c r="F1008" s="51"/>
      <c r="G1008" s="51"/>
      <c r="H1008" s="51"/>
      <c r="I1008" s="51"/>
      <c r="J1008" s="51"/>
      <c r="K1008" s="51"/>
      <c r="L1008" s="51"/>
      <c r="M1008" s="51"/>
      <c r="N1008" s="51"/>
      <c r="O1008" s="51"/>
      <c r="P1008" s="51"/>
      <c r="Q1008" s="51"/>
      <c r="R1008" s="51"/>
    </row>
    <row r="1009" spans="2:18" ht="77.45" customHeight="1" x14ac:dyDescent="0.25">
      <c r="B1009" s="51"/>
      <c r="C1009" s="51"/>
      <c r="D1009" s="51"/>
      <c r="E1009" s="51"/>
      <c r="F1009" s="51"/>
      <c r="G1009" s="51"/>
      <c r="H1009" s="51"/>
      <c r="I1009" s="51"/>
      <c r="J1009" s="51"/>
      <c r="K1009" s="51"/>
      <c r="L1009" s="51"/>
      <c r="M1009" s="51"/>
      <c r="N1009" s="51"/>
      <c r="O1009" s="51"/>
      <c r="P1009" s="51"/>
      <c r="Q1009" s="51"/>
      <c r="R1009" s="51"/>
    </row>
    <row r="1010" spans="2:18" ht="77.45" customHeight="1" x14ac:dyDescent="0.25">
      <c r="B1010" s="51"/>
      <c r="C1010" s="51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 ht="77.45" customHeight="1" x14ac:dyDescent="0.25">
      <c r="B1011" s="51"/>
      <c r="C1011" s="51"/>
      <c r="D1011" s="51"/>
      <c r="E1011" s="51"/>
      <c r="F1011" s="51"/>
      <c r="G1011" s="51"/>
      <c r="H1011" s="51"/>
      <c r="I1011" s="51"/>
      <c r="J1011" s="51"/>
      <c r="K1011" s="51"/>
      <c r="L1011" s="51"/>
      <c r="M1011" s="51"/>
      <c r="N1011" s="51"/>
      <c r="O1011" s="51"/>
      <c r="P1011" s="51"/>
      <c r="Q1011" s="51"/>
      <c r="R1011" s="51"/>
    </row>
    <row r="1012" spans="2:18" ht="77.45" customHeight="1" x14ac:dyDescent="0.25">
      <c r="B1012" s="51"/>
      <c r="C1012" s="51"/>
      <c r="D1012" s="51"/>
      <c r="E1012" s="51"/>
      <c r="F1012" s="51"/>
      <c r="G1012" s="51"/>
      <c r="H1012" s="51"/>
      <c r="I1012" s="51"/>
      <c r="J1012" s="51"/>
      <c r="K1012" s="51"/>
      <c r="L1012" s="51"/>
      <c r="M1012" s="51"/>
      <c r="N1012" s="51"/>
      <c r="O1012" s="51"/>
      <c r="P1012" s="51"/>
      <c r="Q1012" s="51"/>
      <c r="R1012" s="51"/>
    </row>
    <row r="1013" spans="2:18" ht="77.45" customHeight="1" x14ac:dyDescent="0.25">
      <c r="B1013" s="51"/>
      <c r="C1013" s="51"/>
      <c r="D1013" s="51"/>
      <c r="E1013" s="51"/>
      <c r="F1013" s="51"/>
      <c r="G1013" s="51"/>
      <c r="H1013" s="51"/>
      <c r="I1013" s="51"/>
      <c r="J1013" s="51"/>
      <c r="K1013" s="51"/>
      <c r="L1013" s="51"/>
      <c r="M1013" s="51"/>
      <c r="N1013" s="51"/>
      <c r="O1013" s="51"/>
      <c r="P1013" s="51"/>
      <c r="Q1013" s="51"/>
      <c r="R1013" s="51"/>
    </row>
    <row r="1014" spans="2:18" ht="77.45" customHeight="1" x14ac:dyDescent="0.25">
      <c r="B1014" s="51"/>
      <c r="C1014" s="51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 ht="77.45" customHeight="1" x14ac:dyDescent="0.25">
      <c r="B1015" s="51"/>
      <c r="C1015" s="51"/>
      <c r="D1015" s="51"/>
      <c r="E1015" s="51"/>
      <c r="F1015" s="51"/>
      <c r="G1015" s="51"/>
      <c r="H1015" s="51"/>
      <c r="I1015" s="51"/>
      <c r="J1015" s="51"/>
      <c r="K1015" s="51"/>
      <c r="L1015" s="51"/>
      <c r="M1015" s="51"/>
      <c r="N1015" s="51"/>
      <c r="O1015" s="51"/>
      <c r="P1015" s="51"/>
      <c r="Q1015" s="51"/>
      <c r="R1015" s="51"/>
    </row>
    <row r="1016" spans="2:18" ht="77.45" customHeight="1" x14ac:dyDescent="0.25">
      <c r="B1016" s="51"/>
      <c r="C1016" s="51"/>
      <c r="D1016" s="51"/>
      <c r="E1016" s="51"/>
      <c r="F1016" s="51"/>
      <c r="G1016" s="51"/>
      <c r="H1016" s="51"/>
      <c r="I1016" s="51"/>
      <c r="J1016" s="51"/>
      <c r="K1016" s="51"/>
      <c r="L1016" s="51"/>
      <c r="M1016" s="51"/>
      <c r="N1016" s="51"/>
      <c r="O1016" s="51"/>
      <c r="P1016" s="51"/>
      <c r="Q1016" s="51"/>
      <c r="R1016" s="51"/>
    </row>
    <row r="1017" spans="2:18" ht="77.45" customHeight="1" x14ac:dyDescent="0.25">
      <c r="B1017" s="51"/>
      <c r="C1017" s="51"/>
      <c r="D1017" s="51"/>
      <c r="E1017" s="51"/>
      <c r="F1017" s="51"/>
      <c r="G1017" s="51"/>
      <c r="H1017" s="51"/>
      <c r="I1017" s="51"/>
      <c r="J1017" s="51"/>
      <c r="K1017" s="51"/>
      <c r="L1017" s="51"/>
      <c r="M1017" s="51"/>
      <c r="N1017" s="51"/>
      <c r="O1017" s="51"/>
      <c r="P1017" s="51"/>
      <c r="Q1017" s="51"/>
      <c r="R1017" s="51"/>
    </row>
    <row r="1018" spans="2:18" ht="77.45" customHeight="1" x14ac:dyDescent="0.25">
      <c r="B1018" s="51"/>
      <c r="C1018" s="51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 ht="77.45" customHeight="1" x14ac:dyDescent="0.25">
      <c r="B1019" s="51"/>
      <c r="C1019" s="51"/>
      <c r="D1019" s="51"/>
      <c r="E1019" s="51"/>
      <c r="F1019" s="51"/>
      <c r="G1019" s="51"/>
      <c r="H1019" s="51"/>
      <c r="I1019" s="51"/>
      <c r="J1019" s="51"/>
      <c r="K1019" s="51"/>
      <c r="L1019" s="51"/>
      <c r="M1019" s="51"/>
      <c r="N1019" s="51"/>
      <c r="O1019" s="51"/>
      <c r="P1019" s="51"/>
      <c r="Q1019" s="51"/>
      <c r="R1019" s="51"/>
    </row>
    <row r="1020" spans="2:18" ht="77.45" customHeight="1" x14ac:dyDescent="0.25">
      <c r="B1020" s="51"/>
      <c r="C1020" s="51"/>
      <c r="D1020" s="51"/>
      <c r="E1020" s="51"/>
      <c r="F1020" s="51"/>
      <c r="G1020" s="51"/>
      <c r="H1020" s="51"/>
      <c r="I1020" s="51"/>
      <c r="J1020" s="51"/>
      <c r="K1020" s="51"/>
      <c r="L1020" s="51"/>
      <c r="M1020" s="51"/>
      <c r="N1020" s="51"/>
      <c r="O1020" s="51"/>
      <c r="P1020" s="51"/>
      <c r="Q1020" s="51"/>
      <c r="R1020" s="51"/>
    </row>
    <row r="1021" spans="2:18" ht="77.45" customHeight="1" x14ac:dyDescent="0.25">
      <c r="B1021" s="51"/>
      <c r="C1021" s="51"/>
      <c r="D1021" s="51"/>
      <c r="E1021" s="51"/>
      <c r="F1021" s="51"/>
      <c r="G1021" s="51"/>
      <c r="H1021" s="51"/>
      <c r="I1021" s="51"/>
      <c r="J1021" s="51"/>
      <c r="K1021" s="51"/>
      <c r="L1021" s="51"/>
      <c r="M1021" s="51"/>
      <c r="N1021" s="51"/>
      <c r="O1021" s="51"/>
      <c r="P1021" s="51"/>
      <c r="Q1021" s="51"/>
      <c r="R1021" s="51"/>
    </row>
    <row r="1022" spans="2:18" ht="77.45" customHeight="1" x14ac:dyDescent="0.25">
      <c r="B1022" s="51"/>
      <c r="C1022" s="51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 ht="77.45" customHeight="1" x14ac:dyDescent="0.25">
      <c r="B1023" s="51"/>
      <c r="C1023" s="51"/>
      <c r="D1023" s="51"/>
      <c r="E1023" s="51"/>
      <c r="F1023" s="51"/>
      <c r="G1023" s="51"/>
      <c r="H1023" s="51"/>
      <c r="I1023" s="51"/>
      <c r="J1023" s="51"/>
      <c r="K1023" s="51"/>
      <c r="L1023" s="51"/>
      <c r="M1023" s="51"/>
      <c r="N1023" s="51"/>
      <c r="O1023" s="51"/>
      <c r="P1023" s="51"/>
      <c r="Q1023" s="51"/>
      <c r="R1023" s="51"/>
    </row>
    <row r="1024" spans="2:18" ht="77.45" customHeight="1" x14ac:dyDescent="0.25">
      <c r="B1024" s="51"/>
      <c r="C1024" s="51"/>
      <c r="D1024" s="51"/>
      <c r="E1024" s="51"/>
      <c r="F1024" s="51"/>
      <c r="G1024" s="51"/>
      <c r="H1024" s="51"/>
      <c r="I1024" s="51"/>
      <c r="J1024" s="51"/>
      <c r="K1024" s="51"/>
      <c r="L1024" s="51"/>
      <c r="M1024" s="51"/>
      <c r="N1024" s="51"/>
      <c r="O1024" s="51"/>
      <c r="P1024" s="51"/>
      <c r="Q1024" s="51"/>
      <c r="R1024" s="51"/>
    </row>
    <row r="1025" spans="2:18" ht="77.45" customHeight="1" x14ac:dyDescent="0.25">
      <c r="B1025" s="51"/>
      <c r="C1025" s="51"/>
      <c r="D1025" s="51"/>
      <c r="E1025" s="51"/>
      <c r="F1025" s="51"/>
      <c r="G1025" s="51"/>
      <c r="H1025" s="51"/>
      <c r="I1025" s="51"/>
      <c r="J1025" s="51"/>
      <c r="K1025" s="51"/>
      <c r="L1025" s="51"/>
      <c r="M1025" s="51"/>
      <c r="N1025" s="51"/>
      <c r="O1025" s="51"/>
      <c r="P1025" s="51"/>
      <c r="Q1025" s="51"/>
      <c r="R1025" s="51"/>
    </row>
    <row r="1026" spans="2:18" ht="77.45" customHeight="1" x14ac:dyDescent="0.25">
      <c r="B1026" s="51"/>
      <c r="C1026" s="51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 ht="77.45" customHeight="1" x14ac:dyDescent="0.25">
      <c r="B1027" s="51"/>
      <c r="C1027" s="51"/>
      <c r="D1027" s="51"/>
      <c r="E1027" s="51"/>
      <c r="F1027" s="51"/>
      <c r="G1027" s="51"/>
      <c r="H1027" s="51"/>
      <c r="I1027" s="51"/>
      <c r="J1027" s="51"/>
      <c r="K1027" s="51"/>
      <c r="L1027" s="51"/>
      <c r="M1027" s="51"/>
      <c r="N1027" s="51"/>
      <c r="O1027" s="51"/>
      <c r="P1027" s="51"/>
      <c r="Q1027" s="51"/>
      <c r="R1027" s="51"/>
    </row>
    <row r="1028" spans="2:18" ht="77.45" customHeight="1" x14ac:dyDescent="0.25">
      <c r="B1028" s="51"/>
      <c r="C1028" s="51"/>
      <c r="D1028" s="51"/>
      <c r="E1028" s="51"/>
      <c r="F1028" s="51"/>
      <c r="G1028" s="51"/>
      <c r="H1028" s="51"/>
      <c r="I1028" s="51"/>
      <c r="J1028" s="51"/>
      <c r="K1028" s="51"/>
      <c r="L1028" s="51"/>
      <c r="M1028" s="51"/>
      <c r="N1028" s="51"/>
      <c r="O1028" s="51"/>
      <c r="P1028" s="51"/>
      <c r="Q1028" s="51"/>
      <c r="R1028" s="51"/>
    </row>
    <row r="1029" spans="2:18" ht="77.45" customHeight="1" x14ac:dyDescent="0.25">
      <c r="B1029" s="51"/>
      <c r="C1029" s="51"/>
      <c r="D1029" s="51"/>
      <c r="E1029" s="51"/>
      <c r="F1029" s="51"/>
      <c r="G1029" s="51"/>
      <c r="H1029" s="51"/>
      <c r="I1029" s="51"/>
      <c r="J1029" s="51"/>
      <c r="K1029" s="51"/>
      <c r="L1029" s="51"/>
      <c r="M1029" s="51"/>
      <c r="N1029" s="51"/>
      <c r="O1029" s="51"/>
      <c r="P1029" s="51"/>
      <c r="Q1029" s="51"/>
      <c r="R1029" s="51"/>
    </row>
    <row r="1030" spans="2:18" ht="77.45" customHeight="1" x14ac:dyDescent="0.25">
      <c r="B1030" s="51"/>
      <c r="C1030" s="51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 ht="77.45" customHeight="1" x14ac:dyDescent="0.25">
      <c r="B1031" s="51"/>
      <c r="C1031" s="51"/>
      <c r="D1031" s="51"/>
      <c r="E1031" s="51"/>
      <c r="F1031" s="51"/>
      <c r="G1031" s="51"/>
      <c r="H1031" s="51"/>
      <c r="I1031" s="51"/>
      <c r="J1031" s="51"/>
      <c r="K1031" s="51"/>
      <c r="L1031" s="51"/>
      <c r="M1031" s="51"/>
      <c r="N1031" s="51"/>
      <c r="O1031" s="51"/>
      <c r="P1031" s="51"/>
      <c r="Q1031" s="51"/>
      <c r="R1031" s="51"/>
    </row>
    <row r="1032" spans="2:18" ht="77.45" customHeight="1" x14ac:dyDescent="0.25">
      <c r="B1032" s="51"/>
      <c r="C1032" s="51"/>
      <c r="D1032" s="51"/>
      <c r="E1032" s="51"/>
      <c r="F1032" s="51"/>
      <c r="G1032" s="51"/>
      <c r="H1032" s="51"/>
      <c r="I1032" s="51"/>
      <c r="J1032" s="51"/>
      <c r="K1032" s="51"/>
      <c r="L1032" s="51"/>
      <c r="M1032" s="51"/>
      <c r="N1032" s="51"/>
      <c r="O1032" s="51"/>
      <c r="P1032" s="51"/>
      <c r="Q1032" s="51"/>
      <c r="R1032" s="51"/>
    </row>
    <row r="1033" spans="2:18" ht="77.45" customHeight="1" x14ac:dyDescent="0.25">
      <c r="B1033" s="51"/>
      <c r="C1033" s="51"/>
      <c r="D1033" s="51"/>
      <c r="E1033" s="51"/>
      <c r="F1033" s="51"/>
      <c r="G1033" s="51"/>
      <c r="H1033" s="51"/>
      <c r="I1033" s="51"/>
      <c r="J1033" s="51"/>
      <c r="K1033" s="51"/>
      <c r="L1033" s="51"/>
      <c r="M1033" s="51"/>
      <c r="N1033" s="51"/>
      <c r="O1033" s="51"/>
      <c r="P1033" s="51"/>
      <c r="Q1033" s="51"/>
      <c r="R1033" s="51"/>
    </row>
    <row r="1034" spans="2:18" ht="77.45" customHeight="1" x14ac:dyDescent="0.25">
      <c r="B1034" s="51"/>
      <c r="C1034" s="51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 ht="77.45" customHeight="1" x14ac:dyDescent="0.25">
      <c r="B1035" s="51"/>
      <c r="C1035" s="51"/>
      <c r="D1035" s="51"/>
      <c r="E1035" s="51"/>
      <c r="F1035" s="51"/>
      <c r="G1035" s="51"/>
      <c r="H1035" s="51"/>
      <c r="I1035" s="51"/>
      <c r="J1035" s="51"/>
      <c r="K1035" s="51"/>
      <c r="L1035" s="51"/>
      <c r="M1035" s="51"/>
      <c r="N1035" s="51"/>
      <c r="O1035" s="51"/>
      <c r="P1035" s="51"/>
      <c r="Q1035" s="51"/>
      <c r="R1035" s="51"/>
    </row>
    <row r="1036" spans="2:18" ht="77.45" customHeight="1" x14ac:dyDescent="0.25">
      <c r="B1036" s="51"/>
      <c r="C1036" s="51"/>
      <c r="D1036" s="51"/>
      <c r="E1036" s="51"/>
      <c r="F1036" s="51"/>
      <c r="G1036" s="51"/>
      <c r="H1036" s="51"/>
      <c r="I1036" s="51"/>
      <c r="J1036" s="51"/>
      <c r="K1036" s="51"/>
      <c r="L1036" s="51"/>
      <c r="M1036" s="51"/>
      <c r="N1036" s="51"/>
      <c r="O1036" s="51"/>
      <c r="P1036" s="51"/>
      <c r="Q1036" s="51"/>
      <c r="R1036" s="51"/>
    </row>
    <row r="1037" spans="2:18" ht="77.45" customHeight="1" x14ac:dyDescent="0.25">
      <c r="B1037" s="51"/>
      <c r="C1037" s="51"/>
      <c r="D1037" s="51"/>
      <c r="E1037" s="51"/>
      <c r="F1037" s="51"/>
      <c r="G1037" s="51"/>
      <c r="H1037" s="51"/>
      <c r="I1037" s="51"/>
      <c r="J1037" s="51"/>
      <c r="K1037" s="51"/>
      <c r="L1037" s="51"/>
      <c r="M1037" s="51"/>
      <c r="N1037" s="51"/>
      <c r="O1037" s="51"/>
      <c r="P1037" s="51"/>
      <c r="Q1037" s="51"/>
      <c r="R1037" s="51"/>
    </row>
    <row r="1038" spans="2:18" ht="77.45" customHeight="1" x14ac:dyDescent="0.25">
      <c r="B1038" s="51"/>
      <c r="C1038" s="51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 ht="77.45" customHeight="1" x14ac:dyDescent="0.25">
      <c r="B1039" s="51"/>
      <c r="C1039" s="51"/>
      <c r="D1039" s="51"/>
      <c r="E1039" s="51"/>
      <c r="F1039" s="51"/>
      <c r="G1039" s="51"/>
      <c r="H1039" s="51"/>
      <c r="I1039" s="51"/>
      <c r="J1039" s="51"/>
      <c r="K1039" s="51"/>
      <c r="L1039" s="51"/>
      <c r="M1039" s="51"/>
      <c r="N1039" s="51"/>
      <c r="O1039" s="51"/>
      <c r="P1039" s="51"/>
      <c r="Q1039" s="51"/>
      <c r="R1039" s="51"/>
    </row>
    <row r="1040" spans="2:18" ht="77.45" customHeight="1" x14ac:dyDescent="0.25">
      <c r="B1040" s="51"/>
      <c r="C1040" s="51"/>
      <c r="D1040" s="51"/>
      <c r="E1040" s="51"/>
      <c r="F1040" s="51"/>
      <c r="G1040" s="51"/>
      <c r="H1040" s="51"/>
      <c r="I1040" s="51"/>
      <c r="J1040" s="51"/>
      <c r="K1040" s="51"/>
      <c r="L1040" s="51"/>
      <c r="M1040" s="51"/>
      <c r="N1040" s="51"/>
      <c r="O1040" s="51"/>
      <c r="P1040" s="51"/>
      <c r="Q1040" s="51"/>
      <c r="R1040" s="51"/>
    </row>
    <row r="1041" spans="2:18" ht="77.45" customHeight="1" x14ac:dyDescent="0.25">
      <c r="B1041" s="51"/>
      <c r="C1041" s="51"/>
      <c r="D1041" s="51"/>
      <c r="E1041" s="51"/>
      <c r="F1041" s="51"/>
      <c r="G1041" s="51"/>
      <c r="H1041" s="51"/>
      <c r="I1041" s="51"/>
      <c r="J1041" s="51"/>
      <c r="K1041" s="51"/>
      <c r="L1041" s="51"/>
      <c r="M1041" s="51"/>
      <c r="N1041" s="51"/>
      <c r="O1041" s="51"/>
      <c r="P1041" s="51"/>
      <c r="Q1041" s="51"/>
      <c r="R1041" s="51"/>
    </row>
    <row r="1042" spans="2:18" ht="77.45" customHeight="1" x14ac:dyDescent="0.25">
      <c r="B1042" s="51"/>
      <c r="C1042" s="51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 ht="77.45" customHeight="1" x14ac:dyDescent="0.25">
      <c r="B1043" s="51"/>
      <c r="C1043" s="51"/>
      <c r="D1043" s="51"/>
      <c r="E1043" s="51"/>
      <c r="F1043" s="51"/>
      <c r="G1043" s="51"/>
      <c r="H1043" s="51"/>
      <c r="I1043" s="51"/>
      <c r="J1043" s="51"/>
      <c r="K1043" s="51"/>
      <c r="L1043" s="51"/>
      <c r="M1043" s="51"/>
      <c r="N1043" s="51"/>
      <c r="O1043" s="51"/>
      <c r="P1043" s="51"/>
      <c r="Q1043" s="51"/>
      <c r="R1043" s="51"/>
    </row>
    <row r="1044" spans="2:18" ht="77.45" customHeight="1" x14ac:dyDescent="0.25">
      <c r="B1044" s="51"/>
      <c r="C1044" s="51"/>
      <c r="D1044" s="51"/>
      <c r="E1044" s="51"/>
      <c r="F1044" s="51"/>
      <c r="G1044" s="51"/>
      <c r="H1044" s="51"/>
      <c r="I1044" s="51"/>
      <c r="J1044" s="51"/>
      <c r="K1044" s="51"/>
      <c r="L1044" s="51"/>
      <c r="M1044" s="51"/>
      <c r="N1044" s="51"/>
      <c r="O1044" s="51"/>
      <c r="P1044" s="51"/>
      <c r="Q1044" s="51"/>
      <c r="R1044" s="51"/>
    </row>
    <row r="1045" spans="2:18" ht="77.45" customHeight="1" x14ac:dyDescent="0.25">
      <c r="B1045" s="51"/>
      <c r="C1045" s="51"/>
      <c r="D1045" s="51"/>
      <c r="E1045" s="51"/>
      <c r="F1045" s="51"/>
      <c r="G1045" s="51"/>
      <c r="H1045" s="51"/>
      <c r="I1045" s="51"/>
      <c r="J1045" s="51"/>
      <c r="K1045" s="51"/>
      <c r="L1045" s="51"/>
      <c r="M1045" s="51"/>
      <c r="N1045" s="51"/>
      <c r="O1045" s="51"/>
      <c r="P1045" s="51"/>
      <c r="Q1045" s="51"/>
      <c r="R1045" s="51"/>
    </row>
    <row r="1046" spans="2:18" ht="77.45" customHeight="1" x14ac:dyDescent="0.25">
      <c r="B1046" s="51"/>
      <c r="C1046" s="51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 ht="77.45" customHeight="1" x14ac:dyDescent="0.25">
      <c r="B1047" s="51"/>
      <c r="C1047" s="51"/>
      <c r="D1047" s="51"/>
      <c r="E1047" s="51"/>
      <c r="F1047" s="51"/>
      <c r="G1047" s="51"/>
      <c r="H1047" s="51"/>
      <c r="I1047" s="51"/>
      <c r="J1047" s="51"/>
      <c r="K1047" s="51"/>
      <c r="L1047" s="51"/>
      <c r="M1047" s="51"/>
      <c r="N1047" s="51"/>
      <c r="O1047" s="51"/>
      <c r="P1047" s="51"/>
      <c r="Q1047" s="51"/>
      <c r="R1047" s="51"/>
    </row>
    <row r="1048" spans="2:18" ht="77.45" customHeight="1" x14ac:dyDescent="0.25">
      <c r="B1048" s="51"/>
      <c r="C1048" s="51"/>
      <c r="D1048" s="51"/>
      <c r="E1048" s="51"/>
      <c r="F1048" s="51"/>
      <c r="G1048" s="51"/>
      <c r="H1048" s="51"/>
      <c r="I1048" s="51"/>
      <c r="J1048" s="51"/>
      <c r="K1048" s="51"/>
      <c r="L1048" s="51"/>
      <c r="M1048" s="51"/>
      <c r="N1048" s="51"/>
      <c r="O1048" s="51"/>
      <c r="P1048" s="51"/>
      <c r="Q1048" s="51"/>
      <c r="R1048" s="51"/>
    </row>
    <row r="1049" spans="2:18" ht="77.45" customHeight="1" x14ac:dyDescent="0.25">
      <c r="B1049" s="51"/>
      <c r="C1049" s="51"/>
      <c r="D1049" s="51"/>
      <c r="E1049" s="51"/>
      <c r="F1049" s="51"/>
      <c r="G1049" s="51"/>
      <c r="H1049" s="51"/>
      <c r="I1049" s="51"/>
      <c r="J1049" s="51"/>
      <c r="K1049" s="51"/>
      <c r="L1049" s="51"/>
      <c r="M1049" s="51"/>
      <c r="N1049" s="51"/>
      <c r="O1049" s="51"/>
      <c r="P1049" s="51"/>
      <c r="Q1049" s="51"/>
      <c r="R1049" s="51"/>
    </row>
    <row r="1050" spans="2:18" ht="77.45" customHeight="1" x14ac:dyDescent="0.25">
      <c r="B1050" s="51"/>
      <c r="C1050" s="51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 ht="77.45" customHeight="1" x14ac:dyDescent="0.25">
      <c r="B1051" s="51"/>
      <c r="C1051" s="51"/>
      <c r="D1051" s="51"/>
      <c r="E1051" s="51"/>
      <c r="F1051" s="51"/>
      <c r="G1051" s="51"/>
      <c r="H1051" s="51"/>
      <c r="I1051" s="51"/>
      <c r="J1051" s="51"/>
      <c r="K1051" s="51"/>
      <c r="L1051" s="51"/>
      <c r="M1051" s="51"/>
      <c r="N1051" s="51"/>
      <c r="O1051" s="51"/>
      <c r="P1051" s="51"/>
      <c r="Q1051" s="51"/>
      <c r="R1051" s="51"/>
    </row>
    <row r="1052" spans="2:18" ht="77.45" customHeight="1" x14ac:dyDescent="0.25">
      <c r="B1052" s="51"/>
      <c r="C1052" s="51"/>
      <c r="D1052" s="51"/>
      <c r="E1052" s="51"/>
      <c r="F1052" s="51"/>
      <c r="G1052" s="51"/>
      <c r="H1052" s="51"/>
      <c r="I1052" s="51"/>
      <c r="J1052" s="51"/>
      <c r="K1052" s="51"/>
      <c r="L1052" s="51"/>
      <c r="M1052" s="51"/>
      <c r="N1052" s="51"/>
      <c r="O1052" s="51"/>
      <c r="P1052" s="51"/>
      <c r="Q1052" s="51"/>
      <c r="R1052" s="51"/>
    </row>
    <row r="1053" spans="2:18" ht="77.45" customHeight="1" x14ac:dyDescent="0.25">
      <c r="B1053" s="51"/>
      <c r="C1053" s="51"/>
      <c r="D1053" s="51"/>
      <c r="E1053" s="51"/>
      <c r="F1053" s="51"/>
      <c r="G1053" s="51"/>
      <c r="H1053" s="51"/>
      <c r="I1053" s="51"/>
      <c r="J1053" s="51"/>
      <c r="K1053" s="51"/>
      <c r="L1053" s="51"/>
      <c r="M1053" s="51"/>
      <c r="N1053" s="51"/>
      <c r="O1053" s="51"/>
      <c r="P1053" s="51"/>
      <c r="Q1053" s="51"/>
      <c r="R1053" s="51"/>
    </row>
    <row r="1054" spans="2:18" ht="77.45" customHeight="1" x14ac:dyDescent="0.25">
      <c r="B1054" s="51"/>
      <c r="C1054" s="51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 ht="77.45" customHeight="1" x14ac:dyDescent="0.25">
      <c r="B1055" s="51"/>
      <c r="C1055" s="51"/>
      <c r="D1055" s="51"/>
      <c r="E1055" s="51"/>
      <c r="F1055" s="51"/>
      <c r="G1055" s="51"/>
      <c r="H1055" s="51"/>
      <c r="I1055" s="51"/>
      <c r="J1055" s="51"/>
      <c r="K1055" s="51"/>
      <c r="L1055" s="51"/>
      <c r="M1055" s="51"/>
      <c r="N1055" s="51"/>
      <c r="O1055" s="51"/>
      <c r="P1055" s="51"/>
      <c r="Q1055" s="51"/>
      <c r="R1055" s="51"/>
    </row>
    <row r="1056" spans="2:18" ht="77.45" customHeight="1" x14ac:dyDescent="0.25">
      <c r="B1056" s="51"/>
      <c r="C1056" s="51"/>
      <c r="D1056" s="51"/>
      <c r="E1056" s="51"/>
      <c r="F1056" s="51"/>
      <c r="G1056" s="51"/>
      <c r="H1056" s="51"/>
      <c r="I1056" s="51"/>
      <c r="J1056" s="51"/>
      <c r="K1056" s="51"/>
      <c r="L1056" s="51"/>
      <c r="M1056" s="51"/>
      <c r="N1056" s="51"/>
      <c r="O1056" s="51"/>
      <c r="P1056" s="51"/>
      <c r="Q1056" s="51"/>
      <c r="R1056" s="51"/>
    </row>
    <row r="1057" spans="2:18" ht="77.45" customHeight="1" x14ac:dyDescent="0.25">
      <c r="B1057" s="51"/>
      <c r="C1057" s="51"/>
      <c r="D1057" s="51"/>
      <c r="E1057" s="51"/>
      <c r="F1057" s="51"/>
      <c r="G1057" s="51"/>
      <c r="H1057" s="51"/>
      <c r="I1057" s="51"/>
      <c r="J1057" s="51"/>
      <c r="K1057" s="51"/>
      <c r="L1057" s="51"/>
      <c r="M1057" s="51"/>
      <c r="N1057" s="51"/>
      <c r="O1057" s="51"/>
      <c r="P1057" s="51"/>
      <c r="Q1057" s="51"/>
      <c r="R1057" s="51"/>
    </row>
    <row r="1058" spans="2:18" ht="77.45" customHeight="1" x14ac:dyDescent="0.25">
      <c r="B1058" s="51"/>
      <c r="C1058" s="51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 ht="77.45" customHeight="1" x14ac:dyDescent="0.25">
      <c r="B1059" s="51"/>
      <c r="C1059" s="51"/>
      <c r="D1059" s="51"/>
      <c r="E1059" s="51"/>
      <c r="F1059" s="51"/>
      <c r="G1059" s="51"/>
      <c r="H1059" s="51"/>
      <c r="I1059" s="51"/>
      <c r="J1059" s="51"/>
      <c r="K1059" s="51"/>
      <c r="L1059" s="51"/>
      <c r="M1059" s="51"/>
      <c r="N1059" s="51"/>
      <c r="O1059" s="51"/>
      <c r="P1059" s="51"/>
      <c r="Q1059" s="51"/>
      <c r="R1059" s="51"/>
    </row>
    <row r="1060" spans="2:18" ht="77.45" customHeight="1" x14ac:dyDescent="0.25">
      <c r="B1060" s="51"/>
      <c r="C1060" s="51"/>
      <c r="D1060" s="51"/>
      <c r="E1060" s="51"/>
      <c r="F1060" s="51"/>
      <c r="G1060" s="51"/>
      <c r="H1060" s="51"/>
      <c r="I1060" s="51"/>
      <c r="J1060" s="51"/>
      <c r="K1060" s="51"/>
      <c r="L1060" s="51"/>
      <c r="M1060" s="51"/>
      <c r="N1060" s="51"/>
      <c r="O1060" s="51"/>
      <c r="P1060" s="51"/>
      <c r="Q1060" s="51"/>
      <c r="R1060" s="51"/>
    </row>
    <row r="1061" spans="2:18" ht="77.45" customHeight="1" x14ac:dyDescent="0.25">
      <c r="B1061" s="51"/>
      <c r="C1061" s="51"/>
      <c r="D1061" s="51"/>
      <c r="E1061" s="51"/>
      <c r="F1061" s="51"/>
      <c r="G1061" s="51"/>
      <c r="H1061" s="51"/>
      <c r="I1061" s="51"/>
      <c r="J1061" s="51"/>
      <c r="K1061" s="51"/>
      <c r="L1061" s="51"/>
      <c r="M1061" s="51"/>
      <c r="N1061" s="51"/>
      <c r="O1061" s="51"/>
      <c r="P1061" s="51"/>
      <c r="Q1061" s="51"/>
      <c r="R1061" s="51"/>
    </row>
    <row r="1062" spans="2:18" ht="77.45" customHeight="1" x14ac:dyDescent="0.25">
      <c r="B1062" s="51"/>
      <c r="C1062" s="51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 ht="77.45" customHeight="1" x14ac:dyDescent="0.25">
      <c r="B1063" s="51"/>
      <c r="C1063" s="51"/>
      <c r="D1063" s="51"/>
      <c r="E1063" s="51"/>
      <c r="F1063" s="51"/>
      <c r="G1063" s="51"/>
      <c r="H1063" s="51"/>
      <c r="I1063" s="51"/>
      <c r="J1063" s="51"/>
      <c r="K1063" s="51"/>
      <c r="L1063" s="51"/>
      <c r="M1063" s="51"/>
      <c r="N1063" s="51"/>
      <c r="O1063" s="51"/>
      <c r="P1063" s="51"/>
      <c r="Q1063" s="51"/>
      <c r="R1063" s="51"/>
    </row>
    <row r="1064" spans="2:18" ht="77.45" customHeight="1" x14ac:dyDescent="0.25">
      <c r="B1064" s="51"/>
      <c r="C1064" s="51"/>
      <c r="D1064" s="51"/>
      <c r="E1064" s="51"/>
      <c r="F1064" s="51"/>
      <c r="G1064" s="51"/>
      <c r="H1064" s="51"/>
      <c r="I1064" s="51"/>
      <c r="J1064" s="51"/>
      <c r="K1064" s="51"/>
      <c r="L1064" s="51"/>
      <c r="M1064" s="51"/>
      <c r="N1064" s="51"/>
      <c r="O1064" s="51"/>
      <c r="P1064" s="51"/>
      <c r="Q1064" s="51"/>
      <c r="R1064" s="51"/>
    </row>
    <row r="1065" spans="2:18" ht="77.45" customHeight="1" x14ac:dyDescent="0.25">
      <c r="B1065" s="51"/>
      <c r="C1065" s="51"/>
      <c r="D1065" s="51"/>
      <c r="E1065" s="51"/>
      <c r="F1065" s="51"/>
      <c r="G1065" s="51"/>
      <c r="H1065" s="51"/>
      <c r="I1065" s="51"/>
      <c r="J1065" s="51"/>
      <c r="K1065" s="51"/>
      <c r="L1065" s="51"/>
      <c r="M1065" s="51"/>
      <c r="N1065" s="51"/>
      <c r="O1065" s="51"/>
      <c r="P1065" s="51"/>
      <c r="Q1065" s="51"/>
      <c r="R1065" s="51"/>
    </row>
    <row r="1066" spans="2:18" ht="77.45" customHeight="1" x14ac:dyDescent="0.25">
      <c r="B1066" s="51"/>
      <c r="C1066" s="51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 ht="77.45" customHeight="1" x14ac:dyDescent="0.25">
      <c r="B1067" s="51"/>
      <c r="C1067" s="51"/>
      <c r="D1067" s="51"/>
      <c r="E1067" s="51"/>
      <c r="F1067" s="51"/>
      <c r="G1067" s="51"/>
      <c r="H1067" s="51"/>
      <c r="I1067" s="51"/>
      <c r="J1067" s="51"/>
      <c r="K1067" s="51"/>
      <c r="L1067" s="51"/>
      <c r="M1067" s="51"/>
      <c r="N1067" s="51"/>
      <c r="O1067" s="51"/>
      <c r="P1067" s="51"/>
      <c r="Q1067" s="51"/>
      <c r="R1067" s="51"/>
    </row>
    <row r="1068" spans="2:18" ht="77.45" customHeight="1" x14ac:dyDescent="0.25">
      <c r="B1068" s="51"/>
      <c r="C1068" s="51"/>
      <c r="D1068" s="51"/>
      <c r="E1068" s="51"/>
      <c r="F1068" s="51"/>
      <c r="G1068" s="51"/>
      <c r="H1068" s="51"/>
      <c r="I1068" s="51"/>
      <c r="J1068" s="51"/>
      <c r="K1068" s="51"/>
      <c r="L1068" s="51"/>
      <c r="M1068" s="51"/>
      <c r="N1068" s="51"/>
      <c r="O1068" s="51"/>
      <c r="P1068" s="51"/>
      <c r="Q1068" s="51"/>
      <c r="R1068" s="51"/>
    </row>
    <row r="1069" spans="2:18" ht="77.45" customHeight="1" x14ac:dyDescent="0.25">
      <c r="B1069" s="51"/>
      <c r="C1069" s="51"/>
      <c r="D1069" s="51"/>
      <c r="E1069" s="51"/>
      <c r="F1069" s="51"/>
      <c r="G1069" s="51"/>
      <c r="H1069" s="51"/>
      <c r="I1069" s="51"/>
      <c r="J1069" s="51"/>
      <c r="K1069" s="51"/>
      <c r="L1069" s="51"/>
      <c r="M1069" s="51"/>
      <c r="N1069" s="51"/>
      <c r="O1069" s="51"/>
      <c r="P1069" s="51"/>
      <c r="Q1069" s="51"/>
      <c r="R1069" s="51"/>
    </row>
    <row r="1070" spans="2:18" ht="77.45" customHeight="1" x14ac:dyDescent="0.25">
      <c r="B1070" s="51"/>
      <c r="C1070" s="51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 ht="77.45" customHeight="1" x14ac:dyDescent="0.25">
      <c r="B1071" s="51"/>
      <c r="C1071" s="51"/>
      <c r="D1071" s="51"/>
      <c r="E1071" s="51"/>
      <c r="F1071" s="51"/>
      <c r="G1071" s="51"/>
      <c r="H1071" s="51"/>
      <c r="I1071" s="51"/>
      <c r="J1071" s="51"/>
      <c r="K1071" s="51"/>
      <c r="L1071" s="51"/>
      <c r="M1071" s="51"/>
      <c r="N1071" s="51"/>
      <c r="O1071" s="51"/>
      <c r="P1071" s="51"/>
      <c r="Q1071" s="51"/>
      <c r="R1071" s="51"/>
    </row>
    <row r="1072" spans="2:18" ht="77.45" customHeight="1" x14ac:dyDescent="0.25">
      <c r="B1072" s="51"/>
      <c r="C1072" s="51"/>
      <c r="D1072" s="51"/>
      <c r="E1072" s="51"/>
      <c r="F1072" s="51"/>
      <c r="G1072" s="51"/>
      <c r="H1072" s="51"/>
      <c r="I1072" s="51"/>
      <c r="J1072" s="51"/>
      <c r="K1072" s="51"/>
      <c r="L1072" s="51"/>
      <c r="M1072" s="51"/>
      <c r="N1072" s="51"/>
      <c r="O1072" s="51"/>
      <c r="P1072" s="51"/>
      <c r="Q1072" s="51"/>
      <c r="R1072" s="51"/>
    </row>
    <row r="1073" spans="2:18" ht="77.45" customHeight="1" x14ac:dyDescent="0.25">
      <c r="B1073" s="51"/>
      <c r="C1073" s="51"/>
      <c r="D1073" s="51"/>
      <c r="E1073" s="51"/>
      <c r="F1073" s="51"/>
      <c r="G1073" s="51"/>
      <c r="H1073" s="51"/>
      <c r="I1073" s="51"/>
      <c r="J1073" s="51"/>
      <c r="K1073" s="51"/>
      <c r="L1073" s="51"/>
      <c r="M1073" s="51"/>
      <c r="N1073" s="51"/>
      <c r="O1073" s="51"/>
      <c r="P1073" s="51"/>
      <c r="Q1073" s="51"/>
      <c r="R1073" s="51"/>
    </row>
    <row r="1074" spans="2:18" ht="77.45" customHeight="1" x14ac:dyDescent="0.25">
      <c r="B1074" s="51"/>
      <c r="C1074" s="51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 ht="77.45" customHeight="1" x14ac:dyDescent="0.25">
      <c r="B1075" s="51"/>
      <c r="C1075" s="51"/>
      <c r="D1075" s="51"/>
      <c r="E1075" s="51"/>
      <c r="F1075" s="51"/>
      <c r="G1075" s="51"/>
      <c r="H1075" s="51"/>
      <c r="I1075" s="51"/>
      <c r="J1075" s="51"/>
      <c r="K1075" s="51"/>
      <c r="L1075" s="51"/>
      <c r="M1075" s="51"/>
      <c r="N1075" s="51"/>
      <c r="O1075" s="51"/>
      <c r="P1075" s="51"/>
      <c r="Q1075" s="51"/>
      <c r="R1075" s="51"/>
    </row>
    <row r="1076" spans="2:18" ht="77.45" customHeight="1" x14ac:dyDescent="0.25">
      <c r="B1076" s="51"/>
      <c r="C1076" s="51"/>
      <c r="D1076" s="51"/>
      <c r="E1076" s="51"/>
      <c r="F1076" s="51"/>
      <c r="G1076" s="51"/>
      <c r="H1076" s="51"/>
      <c r="I1076" s="51"/>
      <c r="J1076" s="51"/>
      <c r="K1076" s="51"/>
      <c r="L1076" s="51"/>
      <c r="M1076" s="51"/>
      <c r="N1076" s="51"/>
      <c r="O1076" s="51"/>
      <c r="P1076" s="51"/>
      <c r="Q1076" s="51"/>
      <c r="R1076" s="51"/>
    </row>
    <row r="1077" spans="2:18" ht="77.45" customHeight="1" x14ac:dyDescent="0.25">
      <c r="B1077" s="51"/>
      <c r="C1077" s="51"/>
      <c r="D1077" s="51"/>
      <c r="E1077" s="51"/>
      <c r="F1077" s="51"/>
      <c r="G1077" s="51"/>
      <c r="H1077" s="51"/>
      <c r="I1077" s="51"/>
      <c r="J1077" s="51"/>
      <c r="K1077" s="51"/>
      <c r="L1077" s="51"/>
      <c r="M1077" s="51"/>
      <c r="N1077" s="51"/>
      <c r="O1077" s="51"/>
      <c r="P1077" s="51"/>
      <c r="Q1077" s="51"/>
      <c r="R1077" s="51"/>
    </row>
    <row r="1078" spans="2:18" ht="77.45" customHeight="1" x14ac:dyDescent="0.25">
      <c r="B1078" s="51"/>
      <c r="C1078" s="51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 ht="77.45" customHeight="1" x14ac:dyDescent="0.25">
      <c r="B1079" s="51"/>
      <c r="C1079" s="51"/>
      <c r="D1079" s="51"/>
      <c r="E1079" s="51"/>
      <c r="F1079" s="51"/>
      <c r="G1079" s="51"/>
      <c r="H1079" s="51"/>
      <c r="I1079" s="51"/>
      <c r="J1079" s="51"/>
      <c r="K1079" s="51"/>
      <c r="L1079" s="51"/>
      <c r="M1079" s="51"/>
      <c r="N1079" s="51"/>
      <c r="O1079" s="51"/>
      <c r="P1079" s="51"/>
      <c r="Q1079" s="51"/>
      <c r="R1079" s="51"/>
    </row>
    <row r="1080" spans="2:18" ht="77.45" customHeight="1" x14ac:dyDescent="0.25">
      <c r="B1080" s="51"/>
      <c r="C1080" s="51"/>
      <c r="D1080" s="51"/>
      <c r="E1080" s="51"/>
      <c r="F1080" s="51"/>
      <c r="G1080" s="51"/>
      <c r="H1080" s="51"/>
      <c r="I1080" s="51"/>
      <c r="J1080" s="51"/>
      <c r="K1080" s="51"/>
      <c r="L1080" s="51"/>
      <c r="M1080" s="51"/>
      <c r="N1080" s="51"/>
      <c r="O1080" s="51"/>
      <c r="P1080" s="51"/>
      <c r="Q1080" s="51"/>
      <c r="R1080" s="51"/>
    </row>
    <row r="1081" spans="2:18" ht="77.45" customHeight="1" x14ac:dyDescent="0.25">
      <c r="B1081" s="51"/>
      <c r="C1081" s="51"/>
      <c r="D1081" s="51"/>
      <c r="E1081" s="51"/>
      <c r="F1081" s="51"/>
      <c r="G1081" s="51"/>
      <c r="H1081" s="51"/>
      <c r="I1081" s="51"/>
      <c r="J1081" s="51"/>
      <c r="K1081" s="51"/>
      <c r="L1081" s="51"/>
      <c r="M1081" s="51"/>
      <c r="N1081" s="51"/>
      <c r="O1081" s="51"/>
      <c r="P1081" s="51"/>
      <c r="Q1081" s="51"/>
      <c r="R1081" s="51"/>
    </row>
    <row r="1082" spans="2:18" ht="77.45" customHeight="1" x14ac:dyDescent="0.25">
      <c r="B1082" s="51"/>
      <c r="C1082" s="51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 ht="77.45" customHeight="1" x14ac:dyDescent="0.25">
      <c r="B1083" s="51"/>
      <c r="C1083" s="51"/>
      <c r="D1083" s="51"/>
      <c r="E1083" s="51"/>
      <c r="F1083" s="51"/>
      <c r="G1083" s="51"/>
      <c r="H1083" s="51"/>
      <c r="I1083" s="51"/>
      <c r="J1083" s="51"/>
      <c r="K1083" s="51"/>
      <c r="L1083" s="51"/>
      <c r="M1083" s="51"/>
      <c r="N1083" s="51"/>
      <c r="O1083" s="51"/>
      <c r="P1083" s="51"/>
      <c r="Q1083" s="51"/>
      <c r="R1083" s="51"/>
    </row>
    <row r="1084" spans="2:18" ht="77.45" customHeight="1" x14ac:dyDescent="0.25">
      <c r="B1084" s="51"/>
      <c r="C1084" s="51"/>
      <c r="D1084" s="51"/>
      <c r="E1084" s="51"/>
      <c r="F1084" s="51"/>
      <c r="G1084" s="51"/>
      <c r="H1084" s="51"/>
      <c r="I1084" s="51"/>
      <c r="J1084" s="51"/>
      <c r="K1084" s="51"/>
      <c r="L1084" s="51"/>
      <c r="M1084" s="51"/>
      <c r="N1084" s="51"/>
      <c r="O1084" s="51"/>
      <c r="P1084" s="51"/>
      <c r="Q1084" s="51"/>
      <c r="R1084" s="51"/>
    </row>
    <row r="1085" spans="2:18" ht="77.45" customHeight="1" x14ac:dyDescent="0.25">
      <c r="B1085" s="51"/>
      <c r="C1085" s="51"/>
      <c r="D1085" s="51"/>
      <c r="E1085" s="51"/>
      <c r="F1085" s="51"/>
      <c r="G1085" s="51"/>
      <c r="H1085" s="51"/>
      <c r="I1085" s="51"/>
      <c r="J1085" s="51"/>
      <c r="K1085" s="51"/>
      <c r="L1085" s="51"/>
      <c r="M1085" s="51"/>
      <c r="N1085" s="51"/>
      <c r="O1085" s="51"/>
      <c r="P1085" s="51"/>
      <c r="Q1085" s="51"/>
      <c r="R1085" s="51"/>
    </row>
    <row r="1086" spans="2:18" ht="77.45" customHeight="1" x14ac:dyDescent="0.25">
      <c r="B1086" s="51"/>
      <c r="C1086" s="51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 ht="77.45" customHeight="1" x14ac:dyDescent="0.25">
      <c r="B1087" s="51"/>
      <c r="C1087" s="51"/>
      <c r="D1087" s="51"/>
      <c r="E1087" s="51"/>
      <c r="F1087" s="51"/>
      <c r="G1087" s="51"/>
      <c r="H1087" s="51"/>
      <c r="I1087" s="51"/>
      <c r="J1087" s="51"/>
      <c r="K1087" s="51"/>
      <c r="L1087" s="51"/>
      <c r="M1087" s="51"/>
      <c r="N1087" s="51"/>
      <c r="O1087" s="51"/>
      <c r="P1087" s="51"/>
      <c r="Q1087" s="51"/>
      <c r="R1087" s="51"/>
    </row>
    <row r="1088" spans="2:18" ht="77.45" customHeight="1" x14ac:dyDescent="0.25">
      <c r="B1088" s="51"/>
      <c r="C1088" s="51"/>
      <c r="D1088" s="51"/>
      <c r="E1088" s="51"/>
      <c r="F1088" s="51"/>
      <c r="G1088" s="51"/>
      <c r="H1088" s="51"/>
      <c r="I1088" s="51"/>
      <c r="J1088" s="51"/>
      <c r="K1088" s="51"/>
      <c r="L1088" s="51"/>
      <c r="M1088" s="51"/>
      <c r="N1088" s="51"/>
      <c r="O1088" s="51"/>
      <c r="P1088" s="51"/>
      <c r="Q1088" s="51"/>
      <c r="R1088" s="51"/>
    </row>
    <row r="1089" spans="2:18" ht="77.45" customHeight="1" x14ac:dyDescent="0.25">
      <c r="B1089" s="51"/>
      <c r="C1089" s="51"/>
      <c r="D1089" s="51"/>
      <c r="E1089" s="51"/>
      <c r="F1089" s="51"/>
      <c r="G1089" s="51"/>
      <c r="H1089" s="51"/>
      <c r="I1089" s="51"/>
      <c r="J1089" s="51"/>
      <c r="K1089" s="51"/>
      <c r="L1089" s="51"/>
      <c r="M1089" s="51"/>
      <c r="N1089" s="51"/>
      <c r="O1089" s="51"/>
      <c r="P1089" s="51"/>
      <c r="Q1089" s="51"/>
      <c r="R1089" s="51"/>
    </row>
    <row r="1090" spans="2:18" ht="77.45" customHeight="1" x14ac:dyDescent="0.25">
      <c r="B1090" s="51"/>
      <c r="C1090" s="51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 ht="77.45" customHeight="1" x14ac:dyDescent="0.25">
      <c r="B1091" s="51"/>
      <c r="C1091" s="51"/>
      <c r="D1091" s="51"/>
      <c r="E1091" s="51"/>
      <c r="F1091" s="51"/>
      <c r="G1091" s="51"/>
      <c r="H1091" s="51"/>
      <c r="I1091" s="51"/>
      <c r="J1091" s="51"/>
      <c r="K1091" s="51"/>
      <c r="L1091" s="51"/>
      <c r="M1091" s="51"/>
      <c r="N1091" s="51"/>
      <c r="O1091" s="51"/>
      <c r="P1091" s="51"/>
      <c r="Q1091" s="51"/>
      <c r="R1091" s="51"/>
    </row>
    <row r="1092" spans="2:18" ht="77.45" customHeight="1" x14ac:dyDescent="0.25">
      <c r="B1092" s="51"/>
      <c r="C1092" s="51"/>
      <c r="D1092" s="51"/>
      <c r="E1092" s="51"/>
      <c r="F1092" s="51"/>
      <c r="G1092" s="51"/>
      <c r="H1092" s="51"/>
      <c r="I1092" s="51"/>
      <c r="J1092" s="51"/>
      <c r="K1092" s="51"/>
      <c r="L1092" s="51"/>
      <c r="M1092" s="51"/>
      <c r="N1092" s="51"/>
      <c r="O1092" s="51"/>
      <c r="P1092" s="51"/>
      <c r="Q1092" s="51"/>
      <c r="R1092" s="51"/>
    </row>
    <row r="1093" spans="2:18" ht="77.45" customHeight="1" x14ac:dyDescent="0.25">
      <c r="B1093" s="51"/>
      <c r="C1093" s="51"/>
      <c r="D1093" s="51"/>
      <c r="E1093" s="51"/>
      <c r="F1093" s="51"/>
      <c r="G1093" s="51"/>
      <c r="H1093" s="51"/>
      <c r="I1093" s="51"/>
      <c r="J1093" s="51"/>
      <c r="K1093" s="51"/>
      <c r="L1093" s="51"/>
      <c r="M1093" s="51"/>
      <c r="N1093" s="51"/>
      <c r="O1093" s="51"/>
      <c r="P1093" s="51"/>
      <c r="Q1093" s="51"/>
      <c r="R1093" s="51"/>
    </row>
    <row r="1094" spans="2:18" ht="77.45" customHeight="1" x14ac:dyDescent="0.25">
      <c r="B1094" s="51"/>
      <c r="C1094" s="51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 ht="77.45" customHeight="1" x14ac:dyDescent="0.25">
      <c r="B1095" s="51"/>
      <c r="C1095" s="51"/>
      <c r="D1095" s="51"/>
      <c r="E1095" s="51"/>
      <c r="F1095" s="51"/>
      <c r="G1095" s="51"/>
      <c r="H1095" s="51"/>
      <c r="I1095" s="51"/>
      <c r="J1095" s="51"/>
      <c r="K1095" s="51"/>
      <c r="L1095" s="51"/>
      <c r="M1095" s="51"/>
      <c r="N1095" s="51"/>
      <c r="O1095" s="51"/>
      <c r="P1095" s="51"/>
      <c r="Q1095" s="51"/>
      <c r="R1095" s="51"/>
    </row>
    <row r="1096" spans="2:18" ht="77.45" customHeight="1" x14ac:dyDescent="0.25">
      <c r="B1096" s="51"/>
      <c r="C1096" s="51"/>
      <c r="D1096" s="51"/>
      <c r="E1096" s="51"/>
      <c r="F1096" s="51"/>
      <c r="G1096" s="51"/>
      <c r="H1096" s="51"/>
      <c r="I1096" s="51"/>
      <c r="J1096" s="51"/>
      <c r="K1096" s="51"/>
      <c r="L1096" s="51"/>
      <c r="M1096" s="51"/>
      <c r="N1096" s="51"/>
      <c r="O1096" s="51"/>
      <c r="P1096" s="51"/>
      <c r="Q1096" s="51"/>
      <c r="R1096" s="51"/>
    </row>
    <row r="1097" spans="2:18" ht="77.45" customHeight="1" x14ac:dyDescent="0.25">
      <c r="B1097" s="51"/>
      <c r="C1097" s="51"/>
      <c r="D1097" s="51"/>
      <c r="E1097" s="51"/>
      <c r="F1097" s="51"/>
      <c r="G1097" s="51"/>
      <c r="H1097" s="51"/>
      <c r="I1097" s="51"/>
      <c r="J1097" s="51"/>
      <c r="K1097" s="51"/>
      <c r="L1097" s="51"/>
      <c r="M1097" s="51"/>
      <c r="N1097" s="51"/>
      <c r="O1097" s="51"/>
      <c r="P1097" s="51"/>
      <c r="Q1097" s="51"/>
      <c r="R1097" s="51"/>
    </row>
    <row r="1098" spans="2:18" ht="77.45" customHeight="1" x14ac:dyDescent="0.25">
      <c r="B1098" s="51"/>
      <c r="C1098" s="51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 ht="77.45" customHeight="1" x14ac:dyDescent="0.25">
      <c r="B1099" s="51"/>
      <c r="C1099" s="51"/>
      <c r="D1099" s="51"/>
      <c r="E1099" s="51"/>
      <c r="F1099" s="51"/>
      <c r="G1099" s="51"/>
      <c r="H1099" s="51"/>
      <c r="I1099" s="51"/>
      <c r="J1099" s="51"/>
      <c r="K1099" s="51"/>
      <c r="L1099" s="51"/>
      <c r="M1099" s="51"/>
      <c r="N1099" s="51"/>
      <c r="O1099" s="51"/>
      <c r="P1099" s="51"/>
      <c r="Q1099" s="51"/>
      <c r="R1099" s="51"/>
    </row>
    <row r="1100" spans="2:18" ht="77.45" customHeight="1" x14ac:dyDescent="0.25">
      <c r="B1100" s="51"/>
      <c r="C1100" s="51"/>
      <c r="D1100" s="51"/>
      <c r="E1100" s="51"/>
      <c r="F1100" s="51"/>
      <c r="G1100" s="51"/>
      <c r="H1100" s="51"/>
      <c r="I1100" s="51"/>
      <c r="J1100" s="51"/>
      <c r="K1100" s="51"/>
      <c r="L1100" s="51"/>
      <c r="M1100" s="51"/>
      <c r="N1100" s="51"/>
      <c r="O1100" s="51"/>
      <c r="P1100" s="51"/>
      <c r="Q1100" s="51"/>
      <c r="R1100" s="51"/>
    </row>
    <row r="1101" spans="2:18" ht="77.45" customHeight="1" x14ac:dyDescent="0.25">
      <c r="B1101" s="51"/>
      <c r="C1101" s="51"/>
      <c r="D1101" s="51"/>
      <c r="E1101" s="51"/>
      <c r="F1101" s="51"/>
      <c r="G1101" s="51"/>
      <c r="H1101" s="51"/>
      <c r="I1101" s="51"/>
      <c r="J1101" s="51"/>
      <c r="K1101" s="51"/>
      <c r="L1101" s="51"/>
      <c r="M1101" s="51"/>
      <c r="N1101" s="51"/>
      <c r="O1101" s="51"/>
      <c r="P1101" s="51"/>
      <c r="Q1101" s="51"/>
      <c r="R1101" s="51"/>
    </row>
    <row r="1102" spans="2:18" ht="77.45" customHeight="1" x14ac:dyDescent="0.25">
      <c r="B1102" s="51"/>
      <c r="C1102" s="51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 ht="77.45" customHeight="1" x14ac:dyDescent="0.25">
      <c r="B1103" s="51"/>
      <c r="C1103" s="51"/>
      <c r="D1103" s="51"/>
      <c r="E1103" s="51"/>
      <c r="F1103" s="51"/>
      <c r="G1103" s="51"/>
      <c r="H1103" s="51"/>
      <c r="I1103" s="51"/>
      <c r="J1103" s="51"/>
      <c r="K1103" s="51"/>
      <c r="L1103" s="51"/>
      <c r="M1103" s="51"/>
      <c r="N1103" s="51"/>
      <c r="O1103" s="51"/>
      <c r="P1103" s="51"/>
      <c r="Q1103" s="51"/>
      <c r="R1103" s="51"/>
    </row>
    <row r="1104" spans="2:18" ht="77.45" customHeight="1" x14ac:dyDescent="0.25">
      <c r="B1104" s="51"/>
      <c r="C1104" s="51"/>
      <c r="D1104" s="51"/>
      <c r="E1104" s="51"/>
      <c r="F1104" s="51"/>
      <c r="G1104" s="51"/>
      <c r="H1104" s="51"/>
      <c r="I1104" s="51"/>
      <c r="J1104" s="51"/>
      <c r="K1104" s="51"/>
      <c r="L1104" s="51"/>
      <c r="M1104" s="51"/>
      <c r="N1104" s="51"/>
      <c r="O1104" s="51"/>
      <c r="P1104" s="51"/>
      <c r="Q1104" s="51"/>
      <c r="R1104" s="51"/>
    </row>
    <row r="1105" spans="2:18" ht="77.45" customHeight="1" x14ac:dyDescent="0.25">
      <c r="B1105" s="51"/>
      <c r="C1105" s="51"/>
      <c r="D1105" s="51"/>
      <c r="E1105" s="51"/>
      <c r="F1105" s="51"/>
      <c r="G1105" s="51"/>
      <c r="H1105" s="51"/>
      <c r="I1105" s="51"/>
      <c r="J1105" s="51"/>
      <c r="K1105" s="51"/>
      <c r="L1105" s="51"/>
      <c r="M1105" s="51"/>
      <c r="N1105" s="51"/>
      <c r="O1105" s="51"/>
      <c r="P1105" s="51"/>
      <c r="Q1105" s="51"/>
      <c r="R1105" s="51"/>
    </row>
    <row r="1106" spans="2:18" ht="77.45" customHeight="1" x14ac:dyDescent="0.25">
      <c r="B1106" s="51"/>
      <c r="C1106" s="51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 ht="77.45" customHeight="1" x14ac:dyDescent="0.25">
      <c r="B1107" s="51"/>
      <c r="C1107" s="51"/>
      <c r="D1107" s="51"/>
      <c r="E1107" s="51"/>
      <c r="F1107" s="51"/>
      <c r="G1107" s="51"/>
      <c r="H1107" s="51"/>
      <c r="I1107" s="51"/>
      <c r="J1107" s="51"/>
      <c r="K1107" s="51"/>
      <c r="L1107" s="51"/>
      <c r="M1107" s="51"/>
      <c r="N1107" s="51"/>
      <c r="O1107" s="51"/>
      <c r="P1107" s="51"/>
      <c r="Q1107" s="51"/>
      <c r="R1107" s="51"/>
    </row>
    <row r="1108" spans="2:18" ht="77.45" customHeight="1" x14ac:dyDescent="0.25">
      <c r="B1108" s="51"/>
      <c r="C1108" s="51"/>
      <c r="D1108" s="51"/>
      <c r="E1108" s="51"/>
      <c r="F1108" s="51"/>
      <c r="G1108" s="51"/>
      <c r="H1108" s="51"/>
      <c r="I1108" s="51"/>
      <c r="J1108" s="51"/>
      <c r="K1108" s="51"/>
      <c r="L1108" s="51"/>
      <c r="M1108" s="51"/>
      <c r="N1108" s="51"/>
      <c r="O1108" s="51"/>
      <c r="P1108" s="51"/>
      <c r="Q1108" s="51"/>
      <c r="R1108" s="51"/>
    </row>
    <row r="1109" spans="2:18" ht="77.45" customHeight="1" x14ac:dyDescent="0.25">
      <c r="B1109" s="51"/>
      <c r="C1109" s="51"/>
      <c r="D1109" s="51"/>
      <c r="E1109" s="51"/>
      <c r="F1109" s="51"/>
      <c r="G1109" s="51"/>
      <c r="H1109" s="51"/>
      <c r="I1109" s="51"/>
      <c r="J1109" s="51"/>
      <c r="K1109" s="51"/>
      <c r="L1109" s="51"/>
      <c r="M1109" s="51"/>
      <c r="N1109" s="51"/>
      <c r="O1109" s="51"/>
      <c r="P1109" s="51"/>
      <c r="Q1109" s="51"/>
      <c r="R1109" s="51"/>
    </row>
    <row r="1110" spans="2:18" ht="77.45" customHeight="1" x14ac:dyDescent="0.25">
      <c r="B1110" s="51"/>
      <c r="C1110" s="51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 ht="77.45" customHeight="1" x14ac:dyDescent="0.25">
      <c r="B1111" s="51"/>
      <c r="C1111" s="51"/>
      <c r="D1111" s="51"/>
      <c r="E1111" s="51"/>
      <c r="F1111" s="51"/>
      <c r="G1111" s="51"/>
      <c r="H1111" s="51"/>
      <c r="I1111" s="51"/>
      <c r="J1111" s="51"/>
      <c r="K1111" s="51"/>
      <c r="L1111" s="51"/>
      <c r="M1111" s="51"/>
      <c r="N1111" s="51"/>
      <c r="O1111" s="51"/>
      <c r="P1111" s="51"/>
      <c r="Q1111" s="51"/>
      <c r="R1111" s="51"/>
    </row>
    <row r="1112" spans="2:18" ht="77.45" customHeight="1" x14ac:dyDescent="0.25">
      <c r="B1112" s="51"/>
      <c r="C1112" s="51"/>
      <c r="D1112" s="51"/>
      <c r="E1112" s="51"/>
      <c r="F1112" s="51"/>
      <c r="G1112" s="51"/>
      <c r="H1112" s="51"/>
      <c r="I1112" s="51"/>
      <c r="J1112" s="51"/>
      <c r="K1112" s="51"/>
      <c r="L1112" s="51"/>
      <c r="M1112" s="51"/>
      <c r="N1112" s="51"/>
      <c r="O1112" s="51"/>
      <c r="P1112" s="51"/>
      <c r="Q1112" s="51"/>
      <c r="R1112" s="51"/>
    </row>
    <row r="1113" spans="2:18" ht="77.45" customHeight="1" x14ac:dyDescent="0.25">
      <c r="B1113" s="51"/>
      <c r="C1113" s="51"/>
      <c r="D1113" s="51"/>
      <c r="E1113" s="51"/>
      <c r="F1113" s="51"/>
      <c r="G1113" s="51"/>
      <c r="H1113" s="51"/>
      <c r="I1113" s="51"/>
      <c r="J1113" s="51"/>
      <c r="K1113" s="51"/>
      <c r="L1113" s="51"/>
      <c r="M1113" s="51"/>
      <c r="N1113" s="51"/>
      <c r="O1113" s="51"/>
      <c r="P1113" s="51"/>
      <c r="Q1113" s="51"/>
      <c r="R1113" s="51"/>
    </row>
    <row r="1114" spans="2:18" ht="77.45" customHeight="1" x14ac:dyDescent="0.25">
      <c r="B1114" s="51"/>
      <c r="C1114" s="51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 ht="77.45" customHeight="1" x14ac:dyDescent="0.25">
      <c r="B1115" s="51"/>
      <c r="C1115" s="51"/>
      <c r="D1115" s="51"/>
      <c r="E1115" s="51"/>
      <c r="F1115" s="51"/>
      <c r="G1115" s="51"/>
      <c r="H1115" s="51"/>
      <c r="I1115" s="51"/>
      <c r="J1115" s="51"/>
      <c r="K1115" s="51"/>
      <c r="L1115" s="51"/>
      <c r="M1115" s="51"/>
      <c r="N1115" s="51"/>
      <c r="O1115" s="51"/>
      <c r="P1115" s="51"/>
      <c r="Q1115" s="51"/>
      <c r="R1115" s="51"/>
    </row>
    <row r="1116" spans="2:18" ht="77.45" customHeight="1" x14ac:dyDescent="0.25">
      <c r="B1116" s="51"/>
      <c r="C1116" s="51"/>
      <c r="D1116" s="51"/>
      <c r="E1116" s="51"/>
      <c r="F1116" s="51"/>
      <c r="G1116" s="51"/>
      <c r="H1116" s="51"/>
      <c r="I1116" s="51"/>
      <c r="J1116" s="51"/>
      <c r="K1116" s="51"/>
      <c r="L1116" s="51"/>
      <c r="M1116" s="51"/>
      <c r="N1116" s="51"/>
      <c r="O1116" s="51"/>
      <c r="P1116" s="51"/>
      <c r="Q1116" s="51"/>
      <c r="R1116" s="51"/>
    </row>
    <row r="1117" spans="2:18" ht="77.45" customHeight="1" x14ac:dyDescent="0.25">
      <c r="B1117" s="51"/>
      <c r="C1117" s="51"/>
      <c r="D1117" s="51"/>
      <c r="E1117" s="51"/>
      <c r="F1117" s="51"/>
      <c r="G1117" s="51"/>
      <c r="H1117" s="51"/>
      <c r="I1117" s="51"/>
      <c r="J1117" s="51"/>
      <c r="K1117" s="51"/>
      <c r="L1117" s="51"/>
      <c r="M1117" s="51"/>
      <c r="N1117" s="51"/>
      <c r="O1117" s="51"/>
      <c r="P1117" s="51"/>
      <c r="Q1117" s="51"/>
      <c r="R1117" s="51"/>
    </row>
    <row r="1118" spans="2:18" ht="77.45" customHeight="1" x14ac:dyDescent="0.25">
      <c r="B1118" s="51"/>
      <c r="C1118" s="51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 ht="77.45" customHeight="1" x14ac:dyDescent="0.25">
      <c r="B1119" s="51"/>
      <c r="C1119" s="51"/>
      <c r="D1119" s="51"/>
      <c r="E1119" s="51"/>
      <c r="F1119" s="51"/>
      <c r="G1119" s="51"/>
      <c r="H1119" s="51"/>
      <c r="I1119" s="51"/>
      <c r="J1119" s="51"/>
      <c r="K1119" s="51"/>
      <c r="L1119" s="51"/>
      <c r="M1119" s="51"/>
      <c r="N1119" s="51"/>
      <c r="O1119" s="51"/>
      <c r="P1119" s="51"/>
      <c r="Q1119" s="51"/>
      <c r="R1119" s="51"/>
    </row>
    <row r="1120" spans="2:18" ht="77.45" customHeight="1" x14ac:dyDescent="0.25">
      <c r="B1120" s="51"/>
      <c r="C1120" s="51"/>
      <c r="D1120" s="51"/>
      <c r="E1120" s="51"/>
      <c r="F1120" s="51"/>
      <c r="G1120" s="51"/>
      <c r="H1120" s="51"/>
      <c r="I1120" s="51"/>
      <c r="J1120" s="51"/>
      <c r="K1120" s="51"/>
      <c r="L1120" s="51"/>
      <c r="M1120" s="51"/>
      <c r="N1120" s="51"/>
      <c r="O1120" s="51"/>
      <c r="P1120" s="51"/>
      <c r="Q1120" s="51"/>
      <c r="R1120" s="51"/>
    </row>
    <row r="1121" spans="2:18" ht="77.45" customHeight="1" x14ac:dyDescent="0.25">
      <c r="B1121" s="51"/>
      <c r="C1121" s="51"/>
      <c r="D1121" s="51"/>
      <c r="E1121" s="51"/>
      <c r="F1121" s="51"/>
      <c r="G1121" s="51"/>
      <c r="H1121" s="51"/>
      <c r="I1121" s="51"/>
      <c r="J1121" s="51"/>
      <c r="K1121" s="51"/>
      <c r="L1121" s="51"/>
      <c r="M1121" s="51"/>
      <c r="N1121" s="51"/>
      <c r="O1121" s="51"/>
      <c r="P1121" s="51"/>
      <c r="Q1121" s="51"/>
      <c r="R1121" s="51"/>
    </row>
    <row r="1122" spans="2:18" ht="77.45" customHeight="1" x14ac:dyDescent="0.25">
      <c r="B1122" s="51"/>
      <c r="C1122" s="51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 ht="77.45" customHeight="1" x14ac:dyDescent="0.25">
      <c r="B1123" s="51"/>
      <c r="C1123" s="51"/>
      <c r="D1123" s="51"/>
      <c r="E1123" s="51"/>
      <c r="F1123" s="51"/>
      <c r="G1123" s="51"/>
      <c r="H1123" s="51"/>
      <c r="I1123" s="51"/>
      <c r="J1123" s="51"/>
      <c r="K1123" s="51"/>
      <c r="L1123" s="51"/>
      <c r="M1123" s="51"/>
      <c r="N1123" s="51"/>
      <c r="O1123" s="51"/>
      <c r="P1123" s="51"/>
      <c r="Q1123" s="51"/>
      <c r="R1123" s="51"/>
    </row>
    <row r="1124" spans="2:18" ht="77.45" customHeight="1" x14ac:dyDescent="0.25">
      <c r="B1124" s="51"/>
      <c r="C1124" s="51"/>
      <c r="D1124" s="51"/>
      <c r="E1124" s="51"/>
      <c r="F1124" s="51"/>
      <c r="G1124" s="51"/>
      <c r="H1124" s="51"/>
      <c r="I1124" s="51"/>
      <c r="J1124" s="51"/>
      <c r="K1124" s="51"/>
      <c r="L1124" s="51"/>
      <c r="M1124" s="51"/>
      <c r="N1124" s="51"/>
      <c r="O1124" s="51"/>
      <c r="P1124" s="51"/>
      <c r="Q1124" s="51"/>
      <c r="R1124" s="51"/>
    </row>
    <row r="1125" spans="2:18" ht="77.45" customHeight="1" x14ac:dyDescent="0.25">
      <c r="B1125" s="51"/>
      <c r="C1125" s="51"/>
      <c r="D1125" s="51"/>
      <c r="E1125" s="51"/>
      <c r="F1125" s="51"/>
      <c r="G1125" s="51"/>
      <c r="H1125" s="51"/>
      <c r="I1125" s="51"/>
      <c r="J1125" s="51"/>
      <c r="K1125" s="51"/>
      <c r="L1125" s="51"/>
      <c r="M1125" s="51"/>
      <c r="N1125" s="51"/>
      <c r="O1125" s="51"/>
      <c r="P1125" s="51"/>
      <c r="Q1125" s="51"/>
      <c r="R1125" s="51"/>
    </row>
    <row r="1126" spans="2:18" ht="77.45" customHeight="1" x14ac:dyDescent="0.25">
      <c r="B1126" s="51"/>
      <c r="C1126" s="51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 ht="77.45" customHeight="1" x14ac:dyDescent="0.25">
      <c r="B1127" s="51"/>
      <c r="C1127" s="51"/>
      <c r="D1127" s="51"/>
      <c r="E1127" s="51"/>
      <c r="F1127" s="51"/>
      <c r="G1127" s="51"/>
      <c r="H1127" s="51"/>
      <c r="I1127" s="51"/>
      <c r="J1127" s="51"/>
      <c r="K1127" s="51"/>
      <c r="L1127" s="51"/>
      <c r="M1127" s="51"/>
      <c r="N1127" s="51"/>
      <c r="O1127" s="51"/>
      <c r="P1127" s="51"/>
      <c r="Q1127" s="51"/>
      <c r="R1127" s="51"/>
    </row>
    <row r="1128" spans="2:18" ht="77.45" customHeight="1" x14ac:dyDescent="0.25">
      <c r="B1128" s="51"/>
      <c r="C1128" s="51"/>
      <c r="D1128" s="51"/>
      <c r="E1128" s="51"/>
      <c r="F1128" s="51"/>
      <c r="G1128" s="51"/>
      <c r="H1128" s="51"/>
      <c r="I1128" s="51"/>
      <c r="J1128" s="51"/>
      <c r="K1128" s="51"/>
      <c r="L1128" s="51"/>
      <c r="M1128" s="51"/>
      <c r="N1128" s="51"/>
      <c r="O1128" s="51"/>
      <c r="P1128" s="51"/>
      <c r="Q1128" s="51"/>
      <c r="R1128" s="51"/>
    </row>
    <row r="1129" spans="2:18" ht="77.45" customHeight="1" x14ac:dyDescent="0.25">
      <c r="B1129" s="51"/>
      <c r="C1129" s="51"/>
      <c r="D1129" s="51"/>
      <c r="E1129" s="51"/>
      <c r="F1129" s="51"/>
      <c r="G1129" s="51"/>
      <c r="H1129" s="51"/>
      <c r="I1129" s="51"/>
      <c r="J1129" s="51"/>
      <c r="K1129" s="51"/>
      <c r="L1129" s="51"/>
      <c r="M1129" s="51"/>
      <c r="N1129" s="51"/>
      <c r="O1129" s="51"/>
      <c r="P1129" s="51"/>
      <c r="Q1129" s="51"/>
      <c r="R1129" s="51"/>
    </row>
    <row r="1130" spans="2:18" ht="77.45" customHeight="1" x14ac:dyDescent="0.25">
      <c r="B1130" s="51"/>
      <c r="C1130" s="51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 ht="77.45" customHeight="1" x14ac:dyDescent="0.25">
      <c r="B1131" s="51"/>
      <c r="C1131" s="51"/>
      <c r="D1131" s="51"/>
      <c r="E1131" s="51"/>
      <c r="F1131" s="51"/>
      <c r="G1131" s="51"/>
      <c r="H1131" s="51"/>
      <c r="I1131" s="51"/>
      <c r="J1131" s="51"/>
      <c r="K1131" s="51"/>
      <c r="L1131" s="51"/>
      <c r="M1131" s="51"/>
      <c r="N1131" s="51"/>
      <c r="O1131" s="51"/>
      <c r="P1131" s="51"/>
      <c r="Q1131" s="51"/>
      <c r="R1131" s="51"/>
    </row>
    <row r="1132" spans="2:18" ht="77.45" customHeight="1" x14ac:dyDescent="0.25">
      <c r="B1132" s="51"/>
      <c r="C1132" s="51"/>
      <c r="D1132" s="51"/>
      <c r="E1132" s="51"/>
      <c r="F1132" s="51"/>
      <c r="G1132" s="51"/>
      <c r="H1132" s="51"/>
      <c r="I1132" s="51"/>
      <c r="J1132" s="51"/>
      <c r="K1132" s="51"/>
      <c r="L1132" s="51"/>
      <c r="M1132" s="51"/>
      <c r="N1132" s="51"/>
      <c r="O1132" s="51"/>
      <c r="P1132" s="51"/>
      <c r="Q1132" s="51"/>
      <c r="R1132" s="51"/>
    </row>
    <row r="1133" spans="2:18" ht="77.45" customHeight="1" x14ac:dyDescent="0.25">
      <c r="B1133" s="51"/>
      <c r="C1133" s="51"/>
      <c r="D1133" s="51"/>
      <c r="E1133" s="51"/>
      <c r="F1133" s="51"/>
      <c r="G1133" s="51"/>
      <c r="H1133" s="51"/>
      <c r="I1133" s="51"/>
      <c r="J1133" s="51"/>
      <c r="K1133" s="51"/>
      <c r="L1133" s="51"/>
      <c r="M1133" s="51"/>
      <c r="N1133" s="51"/>
      <c r="O1133" s="51"/>
      <c r="P1133" s="51"/>
      <c r="Q1133" s="51"/>
      <c r="R1133" s="51"/>
    </row>
    <row r="1134" spans="2:18" ht="77.45" customHeight="1" x14ac:dyDescent="0.25">
      <c r="B1134" s="51"/>
      <c r="C1134" s="51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 ht="77.45" customHeight="1" x14ac:dyDescent="0.25">
      <c r="B1135" s="51"/>
      <c r="C1135" s="51"/>
      <c r="D1135" s="51"/>
      <c r="E1135" s="51"/>
      <c r="F1135" s="51"/>
      <c r="G1135" s="51"/>
      <c r="H1135" s="51"/>
      <c r="I1135" s="51"/>
      <c r="J1135" s="51"/>
      <c r="K1135" s="51"/>
      <c r="L1135" s="51"/>
      <c r="M1135" s="51"/>
      <c r="N1135" s="51"/>
      <c r="O1135" s="51"/>
      <c r="P1135" s="51"/>
      <c r="Q1135" s="51"/>
      <c r="R1135" s="51"/>
    </row>
    <row r="1136" spans="2:18" ht="77.45" customHeight="1" x14ac:dyDescent="0.25">
      <c r="B1136" s="51"/>
      <c r="C1136" s="51"/>
      <c r="D1136" s="51"/>
      <c r="E1136" s="51"/>
      <c r="F1136" s="51"/>
      <c r="G1136" s="51"/>
      <c r="H1136" s="51"/>
      <c r="I1136" s="51"/>
      <c r="J1136" s="51"/>
      <c r="K1136" s="51"/>
      <c r="L1136" s="51"/>
      <c r="M1136" s="51"/>
      <c r="N1136" s="51"/>
      <c r="O1136" s="51"/>
      <c r="P1136" s="51"/>
      <c r="Q1136" s="51"/>
      <c r="R1136" s="51"/>
    </row>
    <row r="1137" spans="2:18" ht="77.45" customHeight="1" x14ac:dyDescent="0.25">
      <c r="B1137" s="51"/>
      <c r="C1137" s="51"/>
      <c r="D1137" s="51"/>
      <c r="E1137" s="51"/>
      <c r="F1137" s="51"/>
      <c r="G1137" s="51"/>
      <c r="H1137" s="51"/>
      <c r="I1137" s="51"/>
      <c r="J1137" s="51"/>
      <c r="K1137" s="51"/>
      <c r="L1137" s="51"/>
      <c r="M1137" s="51"/>
      <c r="N1137" s="51"/>
      <c r="O1137" s="51"/>
      <c r="P1137" s="51"/>
      <c r="Q1137" s="51"/>
      <c r="R1137" s="51"/>
    </row>
    <row r="1138" spans="2:18" ht="77.45" customHeight="1" x14ac:dyDescent="0.25">
      <c r="B1138" s="51"/>
      <c r="C1138" s="51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 ht="77.45" customHeight="1" x14ac:dyDescent="0.25">
      <c r="B1139" s="51"/>
      <c r="C1139" s="51"/>
      <c r="D1139" s="51"/>
      <c r="E1139" s="51"/>
      <c r="F1139" s="51"/>
      <c r="G1139" s="51"/>
      <c r="H1139" s="51"/>
      <c r="I1139" s="51"/>
      <c r="J1139" s="51"/>
      <c r="K1139" s="51"/>
      <c r="L1139" s="51"/>
      <c r="M1139" s="51"/>
      <c r="N1139" s="51"/>
      <c r="O1139" s="51"/>
      <c r="P1139" s="51"/>
      <c r="Q1139" s="51"/>
      <c r="R1139" s="51"/>
    </row>
    <row r="1140" spans="2:18" ht="77.45" customHeight="1" x14ac:dyDescent="0.25">
      <c r="B1140" s="51"/>
      <c r="C1140" s="51"/>
      <c r="D1140" s="51"/>
      <c r="E1140" s="51"/>
      <c r="F1140" s="51"/>
      <c r="G1140" s="51"/>
      <c r="H1140" s="51"/>
      <c r="I1140" s="51"/>
      <c r="J1140" s="51"/>
      <c r="K1140" s="51"/>
      <c r="L1140" s="51"/>
      <c r="M1140" s="51"/>
      <c r="N1140" s="51"/>
      <c r="O1140" s="51"/>
      <c r="P1140" s="51"/>
      <c r="Q1140" s="51"/>
      <c r="R1140" s="51"/>
    </row>
    <row r="1141" spans="2:18" ht="77.45" customHeight="1" x14ac:dyDescent="0.25">
      <c r="B1141" s="51"/>
      <c r="C1141" s="51"/>
      <c r="D1141" s="51"/>
      <c r="E1141" s="51"/>
      <c r="F1141" s="51"/>
      <c r="G1141" s="51"/>
      <c r="H1141" s="51"/>
      <c r="I1141" s="51"/>
      <c r="J1141" s="51"/>
      <c r="K1141" s="51"/>
      <c r="L1141" s="51"/>
      <c r="M1141" s="51"/>
      <c r="N1141" s="51"/>
      <c r="O1141" s="51"/>
      <c r="P1141" s="51"/>
      <c r="Q1141" s="51"/>
      <c r="R1141" s="51"/>
    </row>
    <row r="1142" spans="2:18" ht="77.45" customHeight="1" x14ac:dyDescent="0.25">
      <c r="B1142" s="51"/>
      <c r="C1142" s="51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 ht="77.45" customHeight="1" x14ac:dyDescent="0.25">
      <c r="B1143" s="51"/>
      <c r="C1143" s="51"/>
      <c r="D1143" s="51"/>
      <c r="E1143" s="51"/>
      <c r="F1143" s="51"/>
      <c r="G1143" s="51"/>
      <c r="H1143" s="51"/>
      <c r="I1143" s="51"/>
      <c r="J1143" s="51"/>
      <c r="K1143" s="51"/>
      <c r="L1143" s="51"/>
      <c r="M1143" s="51"/>
      <c r="N1143" s="51"/>
      <c r="O1143" s="51"/>
      <c r="P1143" s="51"/>
      <c r="Q1143" s="51"/>
      <c r="R1143" s="51"/>
    </row>
    <row r="1144" spans="2:18" ht="77.45" customHeight="1" x14ac:dyDescent="0.25">
      <c r="B1144" s="51"/>
      <c r="C1144" s="51"/>
      <c r="D1144" s="51"/>
      <c r="E1144" s="51"/>
      <c r="F1144" s="51"/>
      <c r="G1144" s="51"/>
      <c r="H1144" s="51"/>
      <c r="I1144" s="51"/>
      <c r="J1144" s="51"/>
      <c r="K1144" s="51"/>
      <c r="L1144" s="51"/>
      <c r="M1144" s="51"/>
      <c r="N1144" s="51"/>
      <c r="O1144" s="51"/>
      <c r="P1144" s="51"/>
      <c r="Q1144" s="51"/>
      <c r="R1144" s="51"/>
    </row>
    <row r="1145" spans="2:18" ht="77.45" customHeight="1" x14ac:dyDescent="0.25">
      <c r="B1145" s="51"/>
      <c r="C1145" s="51"/>
      <c r="D1145" s="51"/>
      <c r="E1145" s="51"/>
      <c r="F1145" s="51"/>
      <c r="G1145" s="51"/>
      <c r="H1145" s="51"/>
      <c r="I1145" s="51"/>
      <c r="J1145" s="51"/>
      <c r="K1145" s="51"/>
      <c r="L1145" s="51"/>
      <c r="M1145" s="51"/>
      <c r="N1145" s="51"/>
      <c r="O1145" s="51"/>
      <c r="P1145" s="51"/>
      <c r="Q1145" s="51"/>
      <c r="R1145" s="51"/>
    </row>
    <row r="1146" spans="2:18" ht="77.45" customHeight="1" x14ac:dyDescent="0.25">
      <c r="B1146" s="51"/>
      <c r="C1146" s="51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 ht="77.45" customHeight="1" x14ac:dyDescent="0.25">
      <c r="B1147" s="51"/>
      <c r="C1147" s="51"/>
      <c r="D1147" s="51"/>
      <c r="E1147" s="51"/>
      <c r="F1147" s="51"/>
      <c r="G1147" s="51"/>
      <c r="H1147" s="51"/>
      <c r="I1147" s="51"/>
      <c r="J1147" s="51"/>
      <c r="K1147" s="51"/>
      <c r="L1147" s="51"/>
      <c r="M1147" s="51"/>
      <c r="N1147" s="51"/>
      <c r="O1147" s="51"/>
      <c r="P1147" s="51"/>
      <c r="Q1147" s="51"/>
      <c r="R1147" s="51"/>
    </row>
    <row r="1148" spans="2:18" ht="77.45" customHeight="1" x14ac:dyDescent="0.25">
      <c r="B1148" s="51"/>
      <c r="C1148" s="51"/>
      <c r="D1148" s="51"/>
      <c r="E1148" s="51"/>
      <c r="F1148" s="51"/>
      <c r="G1148" s="51"/>
      <c r="H1148" s="51"/>
      <c r="I1148" s="51"/>
      <c r="J1148" s="51"/>
      <c r="K1148" s="51"/>
      <c r="L1148" s="51"/>
      <c r="M1148" s="51"/>
      <c r="N1148" s="51"/>
      <c r="O1148" s="51"/>
      <c r="P1148" s="51"/>
      <c r="Q1148" s="51"/>
      <c r="R1148" s="51"/>
    </row>
    <row r="1149" spans="2:18" ht="77.45" customHeight="1" x14ac:dyDescent="0.25">
      <c r="B1149" s="51"/>
      <c r="C1149" s="51"/>
      <c r="D1149" s="51"/>
      <c r="E1149" s="51"/>
      <c r="F1149" s="51"/>
      <c r="G1149" s="51"/>
      <c r="H1149" s="51"/>
      <c r="I1149" s="51"/>
      <c r="J1149" s="51"/>
      <c r="K1149" s="51"/>
      <c r="L1149" s="51"/>
      <c r="M1149" s="51"/>
      <c r="N1149" s="51"/>
      <c r="O1149" s="51"/>
      <c r="P1149" s="51"/>
      <c r="Q1149" s="51"/>
      <c r="R1149" s="51"/>
    </row>
    <row r="1150" spans="2:18" ht="77.45" customHeight="1" x14ac:dyDescent="0.25">
      <c r="B1150" s="51"/>
      <c r="C1150" s="51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 ht="77.45" customHeight="1" x14ac:dyDescent="0.25">
      <c r="B1151" s="51"/>
      <c r="C1151" s="51"/>
      <c r="D1151" s="51"/>
      <c r="E1151" s="51"/>
      <c r="F1151" s="51"/>
      <c r="G1151" s="51"/>
      <c r="H1151" s="51"/>
      <c r="I1151" s="51"/>
      <c r="J1151" s="51"/>
      <c r="K1151" s="51"/>
      <c r="L1151" s="51"/>
      <c r="M1151" s="51"/>
      <c r="N1151" s="51"/>
      <c r="O1151" s="51"/>
      <c r="P1151" s="51"/>
      <c r="Q1151" s="51"/>
      <c r="R1151" s="51"/>
    </row>
    <row r="1152" spans="2:18" ht="77.45" customHeight="1" x14ac:dyDescent="0.25">
      <c r="B1152" s="51"/>
      <c r="C1152" s="51"/>
      <c r="D1152" s="51"/>
      <c r="E1152" s="51"/>
      <c r="F1152" s="51"/>
      <c r="G1152" s="51"/>
      <c r="H1152" s="51"/>
      <c r="I1152" s="51"/>
      <c r="J1152" s="51"/>
      <c r="K1152" s="51"/>
      <c r="L1152" s="51"/>
      <c r="M1152" s="51"/>
      <c r="N1152" s="51"/>
      <c r="O1152" s="51"/>
      <c r="P1152" s="51"/>
      <c r="Q1152" s="51"/>
      <c r="R1152" s="51"/>
    </row>
    <row r="1153" spans="2:18" ht="77.45" customHeight="1" x14ac:dyDescent="0.25">
      <c r="B1153" s="51"/>
      <c r="C1153" s="51"/>
      <c r="D1153" s="51"/>
      <c r="E1153" s="51"/>
      <c r="F1153" s="51"/>
      <c r="G1153" s="51"/>
      <c r="H1153" s="51"/>
      <c r="I1153" s="51"/>
      <c r="J1153" s="51"/>
      <c r="K1153" s="51"/>
      <c r="L1153" s="51"/>
      <c r="M1153" s="51"/>
      <c r="N1153" s="51"/>
      <c r="O1153" s="51"/>
      <c r="P1153" s="51"/>
      <c r="Q1153" s="51"/>
      <c r="R1153" s="51"/>
    </row>
    <row r="1154" spans="2:18" ht="77.45" customHeight="1" x14ac:dyDescent="0.25">
      <c r="B1154" s="51"/>
      <c r="C1154" s="51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 ht="77.45" customHeight="1" x14ac:dyDescent="0.25">
      <c r="B1155" s="51"/>
      <c r="C1155" s="51"/>
      <c r="D1155" s="51"/>
      <c r="E1155" s="51"/>
      <c r="F1155" s="51"/>
      <c r="G1155" s="51"/>
      <c r="H1155" s="51"/>
      <c r="I1155" s="51"/>
      <c r="J1155" s="51"/>
      <c r="K1155" s="51"/>
      <c r="L1155" s="51"/>
      <c r="M1155" s="51"/>
      <c r="N1155" s="51"/>
      <c r="O1155" s="51"/>
      <c r="P1155" s="51"/>
      <c r="Q1155" s="51"/>
      <c r="R1155" s="51"/>
    </row>
    <row r="1156" spans="2:18" ht="77.45" customHeight="1" x14ac:dyDescent="0.25">
      <c r="B1156" s="51"/>
      <c r="C1156" s="51"/>
      <c r="D1156" s="51"/>
      <c r="E1156" s="51"/>
      <c r="F1156" s="51"/>
      <c r="G1156" s="51"/>
      <c r="H1156" s="51"/>
      <c r="I1156" s="51"/>
      <c r="J1156" s="51"/>
      <c r="K1156" s="51"/>
      <c r="L1156" s="51"/>
      <c r="M1156" s="51"/>
      <c r="N1156" s="51"/>
      <c r="O1156" s="51"/>
      <c r="P1156" s="51"/>
      <c r="Q1156" s="51"/>
      <c r="R1156" s="51"/>
    </row>
    <row r="1157" spans="2:18" ht="77.45" customHeight="1" x14ac:dyDescent="0.25">
      <c r="B1157" s="51"/>
      <c r="C1157" s="51"/>
      <c r="D1157" s="51"/>
      <c r="E1157" s="51"/>
      <c r="F1157" s="51"/>
      <c r="G1157" s="51"/>
      <c r="H1157" s="51"/>
      <c r="I1157" s="51"/>
      <c r="J1157" s="51"/>
      <c r="K1157" s="51"/>
      <c r="L1157" s="51"/>
      <c r="M1157" s="51"/>
      <c r="N1157" s="51"/>
      <c r="O1157" s="51"/>
      <c r="P1157" s="51"/>
      <c r="Q1157" s="51"/>
      <c r="R1157" s="51"/>
    </row>
    <row r="1158" spans="2:18" ht="77.45" customHeight="1" x14ac:dyDescent="0.25">
      <c r="B1158" s="51"/>
      <c r="C1158" s="51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 ht="77.45" customHeight="1" x14ac:dyDescent="0.25">
      <c r="B1159" s="51"/>
      <c r="C1159" s="51"/>
      <c r="D1159" s="51"/>
      <c r="E1159" s="51"/>
      <c r="F1159" s="51"/>
      <c r="G1159" s="51"/>
      <c r="H1159" s="51"/>
      <c r="I1159" s="51"/>
      <c r="J1159" s="51"/>
      <c r="K1159" s="51"/>
      <c r="L1159" s="51"/>
      <c r="M1159" s="51"/>
      <c r="N1159" s="51"/>
      <c r="O1159" s="51"/>
      <c r="P1159" s="51"/>
      <c r="Q1159" s="51"/>
      <c r="R1159" s="51"/>
    </row>
    <row r="1160" spans="2:18" ht="77.45" customHeight="1" x14ac:dyDescent="0.25">
      <c r="B1160" s="51"/>
      <c r="C1160" s="51"/>
      <c r="D1160" s="51"/>
      <c r="E1160" s="51"/>
      <c r="F1160" s="51"/>
      <c r="G1160" s="51"/>
      <c r="H1160" s="51"/>
      <c r="I1160" s="51"/>
      <c r="J1160" s="51"/>
      <c r="K1160" s="51"/>
      <c r="L1160" s="51"/>
      <c r="M1160" s="51"/>
      <c r="N1160" s="51"/>
      <c r="O1160" s="51"/>
      <c r="P1160" s="51"/>
      <c r="Q1160" s="51"/>
      <c r="R1160" s="51"/>
    </row>
    <row r="1161" spans="2:18" ht="77.45" customHeight="1" x14ac:dyDescent="0.25">
      <c r="B1161" s="51"/>
      <c r="C1161" s="51"/>
      <c r="D1161" s="51"/>
      <c r="E1161" s="51"/>
      <c r="F1161" s="51"/>
      <c r="G1161" s="51"/>
      <c r="H1161" s="51"/>
      <c r="I1161" s="51"/>
      <c r="J1161" s="51"/>
      <c r="K1161" s="51"/>
      <c r="L1161" s="51"/>
      <c r="M1161" s="51"/>
      <c r="N1161" s="51"/>
      <c r="O1161" s="51"/>
      <c r="P1161" s="51"/>
      <c r="Q1161" s="51"/>
      <c r="R1161" s="51"/>
    </row>
    <row r="1162" spans="2:18" ht="77.45" customHeight="1" x14ac:dyDescent="0.25">
      <c r="B1162" s="51"/>
      <c r="C1162" s="51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 ht="77.45" customHeight="1" x14ac:dyDescent="0.25">
      <c r="B1163" s="51"/>
      <c r="C1163" s="51"/>
      <c r="D1163" s="51"/>
      <c r="E1163" s="51"/>
      <c r="F1163" s="51"/>
      <c r="G1163" s="51"/>
      <c r="H1163" s="51"/>
      <c r="I1163" s="51"/>
      <c r="J1163" s="51"/>
      <c r="K1163" s="51"/>
      <c r="L1163" s="51"/>
      <c r="M1163" s="51"/>
      <c r="N1163" s="51"/>
      <c r="O1163" s="51"/>
      <c r="P1163" s="51"/>
      <c r="Q1163" s="51"/>
      <c r="R1163" s="51"/>
    </row>
    <row r="1164" spans="2:18" ht="77.45" customHeight="1" x14ac:dyDescent="0.25">
      <c r="B1164" s="51"/>
      <c r="C1164" s="51"/>
      <c r="D1164" s="51"/>
      <c r="E1164" s="51"/>
      <c r="F1164" s="51"/>
      <c r="G1164" s="51"/>
      <c r="H1164" s="51"/>
      <c r="I1164" s="51"/>
      <c r="J1164" s="51"/>
      <c r="K1164" s="51"/>
      <c r="L1164" s="51"/>
      <c r="M1164" s="51"/>
      <c r="N1164" s="51"/>
      <c r="O1164" s="51"/>
      <c r="P1164" s="51"/>
      <c r="Q1164" s="51"/>
      <c r="R1164" s="51"/>
    </row>
    <row r="1165" spans="2:18" ht="77.45" customHeight="1" x14ac:dyDescent="0.25">
      <c r="B1165" s="51"/>
      <c r="C1165" s="51"/>
      <c r="D1165" s="51"/>
      <c r="E1165" s="51"/>
      <c r="F1165" s="51"/>
      <c r="G1165" s="51"/>
      <c r="H1165" s="51"/>
      <c r="I1165" s="51"/>
      <c r="J1165" s="51"/>
      <c r="K1165" s="51"/>
      <c r="L1165" s="51"/>
      <c r="M1165" s="51"/>
      <c r="N1165" s="51"/>
      <c r="O1165" s="51"/>
      <c r="P1165" s="51"/>
      <c r="Q1165" s="51"/>
      <c r="R1165" s="51"/>
    </row>
    <row r="1166" spans="2:18" ht="77.45" customHeight="1" x14ac:dyDescent="0.25">
      <c r="B1166" s="51"/>
      <c r="C1166" s="51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 ht="77.45" customHeight="1" x14ac:dyDescent="0.25">
      <c r="B1167" s="51"/>
      <c r="C1167" s="51"/>
      <c r="D1167" s="51"/>
      <c r="E1167" s="51"/>
      <c r="F1167" s="51"/>
      <c r="G1167" s="51"/>
      <c r="H1167" s="51"/>
      <c r="I1167" s="51"/>
      <c r="J1167" s="51"/>
      <c r="K1167" s="51"/>
      <c r="L1167" s="51"/>
      <c r="M1167" s="51"/>
      <c r="N1167" s="51"/>
      <c r="O1167" s="51"/>
      <c r="P1167" s="51"/>
      <c r="Q1167" s="51"/>
      <c r="R1167" s="51"/>
    </row>
    <row r="1168" spans="2:18" ht="77.45" customHeight="1" x14ac:dyDescent="0.25">
      <c r="B1168" s="51"/>
      <c r="C1168" s="51"/>
      <c r="D1168" s="51"/>
      <c r="E1168" s="51"/>
      <c r="F1168" s="51"/>
      <c r="G1168" s="51"/>
      <c r="H1168" s="51"/>
      <c r="I1168" s="51"/>
      <c r="J1168" s="51"/>
      <c r="K1168" s="51"/>
      <c r="L1168" s="51"/>
      <c r="M1168" s="51"/>
      <c r="N1168" s="51"/>
      <c r="O1168" s="51"/>
      <c r="P1168" s="51"/>
      <c r="Q1168" s="51"/>
      <c r="R1168" s="51"/>
    </row>
    <row r="1169" spans="2:18" ht="77.45" customHeight="1" x14ac:dyDescent="0.25">
      <c r="B1169" s="51"/>
      <c r="C1169" s="51"/>
      <c r="D1169" s="51"/>
      <c r="E1169" s="51"/>
      <c r="F1169" s="51"/>
      <c r="G1169" s="51"/>
      <c r="H1169" s="51"/>
      <c r="I1169" s="51"/>
      <c r="J1169" s="51"/>
      <c r="K1169" s="51"/>
      <c r="L1169" s="51"/>
      <c r="M1169" s="51"/>
      <c r="N1169" s="51"/>
      <c r="O1169" s="51"/>
      <c r="P1169" s="51"/>
      <c r="Q1169" s="51"/>
      <c r="R1169" s="51"/>
    </row>
    <row r="1170" spans="2:18" ht="77.45" customHeight="1" x14ac:dyDescent="0.25">
      <c r="B1170" s="51"/>
      <c r="C1170" s="51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 ht="77.45" customHeight="1" x14ac:dyDescent="0.25">
      <c r="B1171" s="51"/>
      <c r="C1171" s="51"/>
      <c r="D1171" s="51"/>
      <c r="E1171" s="51"/>
      <c r="F1171" s="51"/>
      <c r="G1171" s="51"/>
      <c r="H1171" s="51"/>
      <c r="I1171" s="51"/>
      <c r="J1171" s="51"/>
      <c r="K1171" s="51"/>
      <c r="L1171" s="51"/>
      <c r="M1171" s="51"/>
      <c r="N1171" s="51"/>
      <c r="O1171" s="51"/>
      <c r="P1171" s="51"/>
      <c r="Q1171" s="51"/>
      <c r="R1171" s="51"/>
    </row>
    <row r="1172" spans="2:18" ht="77.45" customHeight="1" x14ac:dyDescent="0.25">
      <c r="B1172" s="51"/>
      <c r="C1172" s="51"/>
      <c r="D1172" s="51"/>
      <c r="E1172" s="51"/>
      <c r="F1172" s="51"/>
      <c r="G1172" s="51"/>
      <c r="H1172" s="51"/>
      <c r="I1172" s="51"/>
      <c r="J1172" s="51"/>
      <c r="K1172" s="51"/>
      <c r="L1172" s="51"/>
      <c r="M1172" s="51"/>
      <c r="N1172" s="51"/>
      <c r="O1172" s="51"/>
      <c r="P1172" s="51"/>
      <c r="Q1172" s="51"/>
      <c r="R1172" s="51"/>
    </row>
    <row r="1173" spans="2:18" ht="77.45" customHeight="1" x14ac:dyDescent="0.25">
      <c r="B1173" s="51"/>
      <c r="C1173" s="51"/>
      <c r="D1173" s="51"/>
      <c r="E1173" s="51"/>
      <c r="F1173" s="51"/>
      <c r="G1173" s="51"/>
      <c r="H1173" s="51"/>
      <c r="I1173" s="51"/>
      <c r="J1173" s="51"/>
      <c r="K1173" s="51"/>
      <c r="L1173" s="51"/>
      <c r="M1173" s="51"/>
      <c r="N1173" s="51"/>
      <c r="O1173" s="51"/>
      <c r="P1173" s="51"/>
      <c r="Q1173" s="51"/>
      <c r="R1173" s="51"/>
    </row>
    <row r="1174" spans="2:18" ht="77.45" customHeight="1" x14ac:dyDescent="0.25">
      <c r="B1174" s="51"/>
      <c r="C1174" s="51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 ht="77.45" customHeight="1" x14ac:dyDescent="0.25">
      <c r="B1175" s="51"/>
      <c r="C1175" s="51"/>
      <c r="D1175" s="51"/>
      <c r="E1175" s="51"/>
      <c r="F1175" s="51"/>
      <c r="G1175" s="51"/>
      <c r="H1175" s="51"/>
      <c r="I1175" s="51"/>
      <c r="J1175" s="51"/>
      <c r="K1175" s="51"/>
      <c r="L1175" s="51"/>
      <c r="M1175" s="51"/>
      <c r="N1175" s="51"/>
      <c r="O1175" s="51"/>
      <c r="P1175" s="51"/>
      <c r="Q1175" s="51"/>
      <c r="R1175" s="51"/>
    </row>
    <row r="1176" spans="2:18" ht="77.45" customHeight="1" x14ac:dyDescent="0.25">
      <c r="B1176" s="51"/>
      <c r="C1176" s="51"/>
      <c r="D1176" s="51"/>
      <c r="E1176" s="51"/>
      <c r="F1176" s="51"/>
      <c r="G1176" s="51"/>
      <c r="H1176" s="51"/>
      <c r="I1176" s="51"/>
      <c r="J1176" s="51"/>
      <c r="K1176" s="51"/>
      <c r="L1176" s="51"/>
      <c r="M1176" s="51"/>
      <c r="N1176" s="51"/>
      <c r="O1176" s="51"/>
      <c r="P1176" s="51"/>
      <c r="Q1176" s="51"/>
      <c r="R1176" s="51"/>
    </row>
    <row r="1177" spans="2:18" ht="77.45" customHeight="1" x14ac:dyDescent="0.25">
      <c r="B1177" s="51"/>
      <c r="C1177" s="51"/>
      <c r="D1177" s="51"/>
      <c r="E1177" s="51"/>
      <c r="F1177" s="51"/>
      <c r="G1177" s="51"/>
      <c r="H1177" s="51"/>
      <c r="I1177" s="51"/>
      <c r="J1177" s="51"/>
      <c r="K1177" s="51"/>
      <c r="L1177" s="51"/>
      <c r="M1177" s="51"/>
      <c r="N1177" s="51"/>
      <c r="O1177" s="51"/>
      <c r="P1177" s="51"/>
      <c r="Q1177" s="51"/>
      <c r="R1177" s="51"/>
    </row>
    <row r="1178" spans="2:18" ht="77.45" customHeight="1" x14ac:dyDescent="0.25">
      <c r="B1178" s="51"/>
      <c r="C1178" s="51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 ht="77.45" customHeight="1" x14ac:dyDescent="0.25">
      <c r="B1179" s="51"/>
      <c r="C1179" s="51"/>
      <c r="D1179" s="51"/>
      <c r="E1179" s="51"/>
      <c r="F1179" s="51"/>
      <c r="G1179" s="51"/>
      <c r="H1179" s="51"/>
      <c r="I1179" s="51"/>
      <c r="J1179" s="51"/>
      <c r="K1179" s="51"/>
      <c r="L1179" s="51"/>
      <c r="M1179" s="51"/>
      <c r="N1179" s="51"/>
      <c r="O1179" s="51"/>
      <c r="P1179" s="51"/>
      <c r="Q1179" s="51"/>
      <c r="R1179" s="51"/>
    </row>
    <row r="1180" spans="2:18" ht="77.45" customHeight="1" x14ac:dyDescent="0.25">
      <c r="B1180" s="51"/>
      <c r="C1180" s="51"/>
      <c r="D1180" s="51"/>
      <c r="E1180" s="51"/>
      <c r="F1180" s="51"/>
      <c r="G1180" s="51"/>
      <c r="H1180" s="51"/>
      <c r="I1180" s="51"/>
      <c r="J1180" s="51"/>
      <c r="K1180" s="51"/>
      <c r="L1180" s="51"/>
      <c r="M1180" s="51"/>
      <c r="N1180" s="51"/>
      <c r="O1180" s="51"/>
      <c r="P1180" s="51"/>
      <c r="Q1180" s="51"/>
      <c r="R1180" s="51"/>
    </row>
    <row r="1181" spans="2:18" ht="77.45" customHeight="1" x14ac:dyDescent="0.25">
      <c r="B1181" s="51"/>
      <c r="C1181" s="51"/>
      <c r="D1181" s="51"/>
      <c r="E1181" s="51"/>
      <c r="F1181" s="51"/>
      <c r="G1181" s="51"/>
      <c r="H1181" s="51"/>
      <c r="I1181" s="51"/>
      <c r="J1181" s="51"/>
      <c r="K1181" s="51"/>
      <c r="L1181" s="51"/>
      <c r="M1181" s="51"/>
      <c r="N1181" s="51"/>
      <c r="O1181" s="51"/>
      <c r="P1181" s="51"/>
      <c r="Q1181" s="51"/>
      <c r="R1181" s="51"/>
    </row>
    <row r="1182" spans="2:18" ht="77.45" customHeight="1" x14ac:dyDescent="0.25">
      <c r="B1182" s="51"/>
      <c r="C1182" s="51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 ht="77.45" customHeight="1" x14ac:dyDescent="0.25">
      <c r="B1183" s="51"/>
      <c r="C1183" s="51"/>
      <c r="D1183" s="51"/>
      <c r="E1183" s="51"/>
      <c r="F1183" s="51"/>
      <c r="G1183" s="51"/>
      <c r="H1183" s="51"/>
      <c r="I1183" s="51"/>
      <c r="J1183" s="51"/>
      <c r="K1183" s="51"/>
      <c r="L1183" s="51"/>
      <c r="M1183" s="51"/>
      <c r="N1183" s="51"/>
      <c r="O1183" s="51"/>
      <c r="P1183" s="51"/>
      <c r="Q1183" s="51"/>
      <c r="R1183" s="51"/>
    </row>
    <row r="1184" spans="2:18" ht="77.45" customHeight="1" x14ac:dyDescent="0.25">
      <c r="B1184" s="51"/>
      <c r="C1184" s="51"/>
      <c r="D1184" s="51"/>
      <c r="E1184" s="51"/>
      <c r="F1184" s="51"/>
      <c r="G1184" s="51"/>
      <c r="H1184" s="51"/>
      <c r="I1184" s="51"/>
      <c r="J1184" s="51"/>
      <c r="K1184" s="51"/>
      <c r="L1184" s="51"/>
      <c r="M1184" s="51"/>
      <c r="N1184" s="51"/>
      <c r="O1184" s="51"/>
      <c r="P1184" s="51"/>
      <c r="Q1184" s="51"/>
      <c r="R1184" s="51"/>
    </row>
    <row r="1185" spans="2:18" ht="77.45" customHeight="1" x14ac:dyDescent="0.25">
      <c r="B1185" s="51"/>
      <c r="C1185" s="51"/>
      <c r="D1185" s="51"/>
      <c r="E1185" s="51"/>
      <c r="F1185" s="51"/>
      <c r="G1185" s="51"/>
      <c r="H1185" s="51"/>
      <c r="I1185" s="51"/>
      <c r="J1185" s="51"/>
      <c r="K1185" s="51"/>
      <c r="L1185" s="51"/>
      <c r="M1185" s="51"/>
      <c r="N1185" s="51"/>
      <c r="O1185" s="51"/>
      <c r="P1185" s="51"/>
      <c r="Q1185" s="51"/>
      <c r="R1185" s="51"/>
    </row>
    <row r="1186" spans="2:18" ht="77.45" customHeight="1" x14ac:dyDescent="0.25">
      <c r="B1186" s="51"/>
      <c r="C1186" s="51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 ht="77.45" customHeight="1" x14ac:dyDescent="0.25">
      <c r="B1187" s="51"/>
      <c r="C1187" s="51"/>
      <c r="D1187" s="51"/>
      <c r="E1187" s="51"/>
      <c r="F1187" s="51"/>
      <c r="G1187" s="51"/>
      <c r="H1187" s="51"/>
      <c r="I1187" s="51"/>
      <c r="J1187" s="51"/>
      <c r="K1187" s="51"/>
      <c r="L1187" s="51"/>
      <c r="M1187" s="51"/>
      <c r="N1187" s="51"/>
      <c r="O1187" s="51"/>
      <c r="P1187" s="51"/>
      <c r="Q1187" s="51"/>
      <c r="R1187" s="51"/>
    </row>
    <row r="1188" spans="2:18" ht="77.45" customHeight="1" x14ac:dyDescent="0.25">
      <c r="B1188" s="51"/>
      <c r="C1188" s="51"/>
      <c r="D1188" s="51"/>
      <c r="E1188" s="51"/>
      <c r="F1188" s="51"/>
      <c r="G1188" s="51"/>
      <c r="H1188" s="51"/>
      <c r="I1188" s="51"/>
      <c r="J1188" s="51"/>
      <c r="K1188" s="51"/>
      <c r="L1188" s="51"/>
      <c r="M1188" s="51"/>
      <c r="N1188" s="51"/>
      <c r="O1188" s="51"/>
      <c r="P1188" s="51"/>
      <c r="Q1188" s="51"/>
      <c r="R1188" s="51"/>
    </row>
    <row r="1189" spans="2:18" ht="77.45" customHeight="1" x14ac:dyDescent="0.25">
      <c r="B1189" s="51"/>
      <c r="C1189" s="51"/>
      <c r="D1189" s="51"/>
      <c r="E1189" s="51"/>
      <c r="F1189" s="51"/>
      <c r="G1189" s="51"/>
      <c r="H1189" s="51"/>
      <c r="I1189" s="51"/>
      <c r="J1189" s="51"/>
      <c r="K1189" s="51"/>
      <c r="L1189" s="51"/>
      <c r="M1189" s="51"/>
      <c r="N1189" s="51"/>
      <c r="O1189" s="51"/>
      <c r="P1189" s="51"/>
      <c r="Q1189" s="51"/>
      <c r="R1189" s="51"/>
    </row>
    <row r="1190" spans="2:18" ht="77.45" customHeight="1" x14ac:dyDescent="0.25">
      <c r="B1190" s="51"/>
      <c r="C1190" s="51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 ht="77.45" customHeight="1" x14ac:dyDescent="0.25">
      <c r="B1191" s="51"/>
      <c r="C1191" s="51"/>
      <c r="D1191" s="51"/>
      <c r="E1191" s="51"/>
      <c r="F1191" s="51"/>
      <c r="G1191" s="51"/>
      <c r="H1191" s="51"/>
      <c r="I1191" s="51"/>
      <c r="J1191" s="51"/>
      <c r="K1191" s="51"/>
      <c r="L1191" s="51"/>
      <c r="M1191" s="51"/>
      <c r="N1191" s="51"/>
      <c r="O1191" s="51"/>
      <c r="P1191" s="51"/>
      <c r="Q1191" s="51"/>
      <c r="R1191" s="51"/>
    </row>
    <row r="1192" spans="2:18" ht="77.45" customHeight="1" x14ac:dyDescent="0.25">
      <c r="B1192" s="51"/>
      <c r="C1192" s="51"/>
      <c r="D1192" s="51"/>
      <c r="E1192" s="51"/>
      <c r="F1192" s="51"/>
      <c r="G1192" s="51"/>
      <c r="H1192" s="51"/>
      <c r="I1192" s="51"/>
      <c r="J1192" s="51"/>
      <c r="K1192" s="51"/>
      <c r="L1192" s="51"/>
      <c r="M1192" s="51"/>
      <c r="N1192" s="51"/>
      <c r="O1192" s="51"/>
      <c r="P1192" s="51"/>
      <c r="Q1192" s="51"/>
      <c r="R1192" s="51"/>
    </row>
    <row r="1193" spans="2:18" ht="77.45" customHeight="1" x14ac:dyDescent="0.25">
      <c r="B1193" s="51"/>
      <c r="C1193" s="51"/>
      <c r="D1193" s="51"/>
      <c r="E1193" s="51"/>
      <c r="F1193" s="51"/>
      <c r="G1193" s="51"/>
      <c r="H1193" s="51"/>
      <c r="I1193" s="51"/>
      <c r="J1193" s="51"/>
      <c r="K1193" s="51"/>
      <c r="L1193" s="51"/>
      <c r="M1193" s="51"/>
      <c r="N1193" s="51"/>
      <c r="O1193" s="51"/>
      <c r="P1193" s="51"/>
      <c r="Q1193" s="51"/>
      <c r="R1193" s="51"/>
    </row>
    <row r="1194" spans="2:18" ht="77.45" customHeight="1" x14ac:dyDescent="0.25">
      <c r="B1194" s="51"/>
      <c r="C1194" s="51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 ht="77.45" customHeight="1" x14ac:dyDescent="0.25">
      <c r="B1195" s="51"/>
      <c r="C1195" s="51"/>
      <c r="D1195" s="51"/>
      <c r="E1195" s="51"/>
      <c r="F1195" s="51"/>
      <c r="G1195" s="51"/>
      <c r="H1195" s="51"/>
      <c r="I1195" s="51"/>
      <c r="J1195" s="51"/>
      <c r="K1195" s="51"/>
      <c r="L1195" s="51"/>
      <c r="M1195" s="51"/>
      <c r="N1195" s="51"/>
      <c r="O1195" s="51"/>
      <c r="P1195" s="51"/>
      <c r="Q1195" s="51"/>
      <c r="R1195" s="51"/>
    </row>
    <row r="1196" spans="2:18" ht="77.45" customHeight="1" x14ac:dyDescent="0.25">
      <c r="B1196" s="51"/>
      <c r="C1196" s="51"/>
      <c r="D1196" s="51"/>
      <c r="E1196" s="51"/>
      <c r="F1196" s="51"/>
      <c r="G1196" s="51"/>
      <c r="H1196" s="51"/>
      <c r="I1196" s="51"/>
      <c r="J1196" s="51"/>
      <c r="K1196" s="51"/>
      <c r="L1196" s="51"/>
      <c r="M1196" s="51"/>
      <c r="N1196" s="51"/>
      <c r="O1196" s="51"/>
      <c r="P1196" s="51"/>
      <c r="Q1196" s="51"/>
      <c r="R1196" s="51"/>
    </row>
    <row r="1197" spans="2:18" ht="77.45" customHeight="1" x14ac:dyDescent="0.25">
      <c r="B1197" s="51"/>
      <c r="C1197" s="51"/>
      <c r="D1197" s="51"/>
      <c r="E1197" s="51"/>
      <c r="F1197" s="51"/>
      <c r="G1197" s="51"/>
      <c r="H1197" s="51"/>
      <c r="I1197" s="51"/>
      <c r="J1197" s="51"/>
      <c r="K1197" s="51"/>
      <c r="L1197" s="51"/>
      <c r="M1197" s="51"/>
      <c r="N1197" s="51"/>
      <c r="O1197" s="51"/>
      <c r="P1197" s="51"/>
      <c r="Q1197" s="51"/>
      <c r="R1197" s="51"/>
    </row>
    <row r="1198" spans="2:18" ht="77.45" customHeight="1" x14ac:dyDescent="0.25">
      <c r="B1198" s="51"/>
      <c r="C1198" s="51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 ht="77.45" customHeight="1" x14ac:dyDescent="0.25">
      <c r="B1199" s="51"/>
      <c r="C1199" s="51"/>
      <c r="D1199" s="51"/>
      <c r="E1199" s="51"/>
      <c r="F1199" s="51"/>
      <c r="G1199" s="51"/>
      <c r="H1199" s="51"/>
      <c r="I1199" s="51"/>
      <c r="J1199" s="51"/>
      <c r="K1199" s="51"/>
      <c r="L1199" s="51"/>
      <c r="M1199" s="51"/>
      <c r="N1199" s="51"/>
      <c r="O1199" s="51"/>
      <c r="P1199" s="51"/>
      <c r="Q1199" s="51"/>
      <c r="R1199" s="51"/>
    </row>
    <row r="1200" spans="2:18" ht="77.45" customHeight="1" x14ac:dyDescent="0.25">
      <c r="B1200" s="51"/>
      <c r="C1200" s="51"/>
      <c r="D1200" s="51"/>
      <c r="E1200" s="51"/>
      <c r="F1200" s="51"/>
      <c r="G1200" s="51"/>
      <c r="H1200" s="51"/>
      <c r="I1200" s="51"/>
      <c r="J1200" s="51"/>
      <c r="K1200" s="51"/>
      <c r="L1200" s="51"/>
      <c r="M1200" s="51"/>
      <c r="N1200" s="51"/>
      <c r="O1200" s="51"/>
      <c r="P1200" s="51"/>
      <c r="Q1200" s="51"/>
      <c r="R1200" s="51"/>
    </row>
    <row r="1201" spans="2:18" ht="77.45" customHeight="1" x14ac:dyDescent="0.25">
      <c r="B1201" s="51"/>
      <c r="C1201" s="51"/>
      <c r="D1201" s="51"/>
      <c r="E1201" s="51"/>
      <c r="F1201" s="51"/>
      <c r="G1201" s="51"/>
      <c r="H1201" s="51"/>
      <c r="I1201" s="51"/>
      <c r="J1201" s="51"/>
      <c r="K1201" s="51"/>
      <c r="L1201" s="51"/>
      <c r="M1201" s="51"/>
      <c r="N1201" s="51"/>
      <c r="O1201" s="51"/>
      <c r="P1201" s="51"/>
      <c r="Q1201" s="51"/>
      <c r="R1201" s="51"/>
    </row>
    <row r="1202" spans="2:18" ht="77.45" customHeight="1" x14ac:dyDescent="0.25">
      <c r="B1202" s="51"/>
      <c r="C1202" s="51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 ht="77.45" customHeight="1" x14ac:dyDescent="0.25">
      <c r="B1203" s="51"/>
      <c r="C1203" s="51"/>
      <c r="D1203" s="51"/>
      <c r="E1203" s="51"/>
      <c r="F1203" s="51"/>
      <c r="G1203" s="51"/>
      <c r="H1203" s="51"/>
      <c r="I1203" s="51"/>
      <c r="J1203" s="51"/>
      <c r="K1203" s="51"/>
      <c r="L1203" s="51"/>
      <c r="M1203" s="51"/>
      <c r="N1203" s="51"/>
      <c r="O1203" s="51"/>
      <c r="P1203" s="51"/>
      <c r="Q1203" s="51"/>
      <c r="R1203" s="51"/>
    </row>
    <row r="1204" spans="2:18" ht="77.45" customHeight="1" x14ac:dyDescent="0.25">
      <c r="B1204" s="51"/>
      <c r="C1204" s="51"/>
      <c r="D1204" s="51"/>
      <c r="E1204" s="51"/>
      <c r="F1204" s="51"/>
      <c r="G1204" s="51"/>
      <c r="H1204" s="51"/>
      <c r="I1204" s="51"/>
      <c r="J1204" s="51"/>
      <c r="K1204" s="51"/>
      <c r="L1204" s="51"/>
      <c r="M1204" s="51"/>
      <c r="N1204" s="51"/>
      <c r="O1204" s="51"/>
      <c r="P1204" s="51"/>
      <c r="Q1204" s="51"/>
      <c r="R1204" s="51"/>
    </row>
    <row r="1205" spans="2:18" ht="77.45" customHeight="1" x14ac:dyDescent="0.25">
      <c r="B1205" s="51"/>
      <c r="C1205" s="51"/>
      <c r="D1205" s="51"/>
      <c r="E1205" s="51"/>
      <c r="F1205" s="51"/>
      <c r="G1205" s="51"/>
      <c r="H1205" s="51"/>
      <c r="I1205" s="51"/>
      <c r="J1205" s="51"/>
      <c r="K1205" s="51"/>
      <c r="L1205" s="51"/>
      <c r="M1205" s="51"/>
      <c r="N1205" s="51"/>
      <c r="O1205" s="51"/>
      <c r="P1205" s="51"/>
      <c r="Q1205" s="51"/>
      <c r="R1205" s="51"/>
    </row>
    <row r="1206" spans="2:18" ht="77.45" customHeight="1" x14ac:dyDescent="0.25">
      <c r="B1206" s="51"/>
      <c r="C1206" s="51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 ht="77.45" customHeight="1" x14ac:dyDescent="0.25">
      <c r="B1207" s="51"/>
      <c r="C1207" s="51"/>
      <c r="D1207" s="51"/>
      <c r="E1207" s="51"/>
      <c r="F1207" s="51"/>
      <c r="G1207" s="51"/>
      <c r="H1207" s="51"/>
      <c r="I1207" s="51"/>
      <c r="J1207" s="51"/>
      <c r="K1207" s="51"/>
      <c r="L1207" s="51"/>
      <c r="M1207" s="51"/>
      <c r="N1207" s="51"/>
      <c r="O1207" s="51"/>
      <c r="P1207" s="51"/>
      <c r="Q1207" s="51"/>
      <c r="R1207" s="51"/>
    </row>
    <row r="1208" spans="2:18" ht="77.45" customHeight="1" x14ac:dyDescent="0.25">
      <c r="B1208" s="51"/>
      <c r="C1208" s="51"/>
      <c r="D1208" s="51"/>
      <c r="E1208" s="51"/>
      <c r="F1208" s="51"/>
      <c r="G1208" s="51"/>
      <c r="H1208" s="51"/>
      <c r="I1208" s="51"/>
      <c r="J1208" s="51"/>
      <c r="K1208" s="51"/>
      <c r="L1208" s="51"/>
      <c r="M1208" s="51"/>
      <c r="N1208" s="51"/>
      <c r="O1208" s="51"/>
      <c r="P1208" s="51"/>
      <c r="Q1208" s="51"/>
      <c r="R1208" s="51"/>
    </row>
    <row r="1209" spans="2:18" ht="77.45" customHeight="1" x14ac:dyDescent="0.25">
      <c r="B1209" s="51"/>
      <c r="C1209" s="51"/>
      <c r="D1209" s="51"/>
      <c r="E1209" s="51"/>
      <c r="F1209" s="51"/>
      <c r="G1209" s="51"/>
      <c r="H1209" s="51"/>
      <c r="I1209" s="51"/>
      <c r="J1209" s="51"/>
      <c r="K1209" s="51"/>
      <c r="L1209" s="51"/>
      <c r="M1209" s="51"/>
      <c r="N1209" s="51"/>
      <c r="O1209" s="51"/>
      <c r="P1209" s="51"/>
      <c r="Q1209" s="51"/>
      <c r="R1209" s="51"/>
    </row>
    <row r="1210" spans="2:18" ht="77.45" customHeight="1" x14ac:dyDescent="0.25">
      <c r="B1210" s="51"/>
      <c r="C1210" s="51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 ht="77.45" customHeight="1" x14ac:dyDescent="0.25">
      <c r="B1211" s="51"/>
      <c r="C1211" s="51"/>
      <c r="D1211" s="51"/>
      <c r="E1211" s="51"/>
      <c r="F1211" s="51"/>
      <c r="G1211" s="51"/>
      <c r="H1211" s="51"/>
      <c r="I1211" s="51"/>
      <c r="J1211" s="51"/>
      <c r="K1211" s="51"/>
      <c r="L1211" s="51"/>
      <c r="M1211" s="51"/>
      <c r="N1211" s="51"/>
      <c r="O1211" s="51"/>
      <c r="P1211" s="51"/>
      <c r="Q1211" s="51"/>
      <c r="R1211" s="51"/>
    </row>
    <row r="1212" spans="2:18" ht="77.45" customHeight="1" x14ac:dyDescent="0.25">
      <c r="B1212" s="51"/>
      <c r="C1212" s="51"/>
      <c r="D1212" s="51"/>
      <c r="E1212" s="51"/>
      <c r="F1212" s="51"/>
      <c r="G1212" s="51"/>
      <c r="H1212" s="51"/>
      <c r="I1212" s="51"/>
      <c r="J1212" s="51"/>
      <c r="K1212" s="51"/>
      <c r="L1212" s="51"/>
      <c r="M1212" s="51"/>
      <c r="N1212" s="51"/>
      <c r="O1212" s="51"/>
      <c r="P1212" s="51"/>
      <c r="Q1212" s="51"/>
      <c r="R1212" s="51"/>
    </row>
    <row r="1213" spans="2:18" ht="77.45" customHeight="1" x14ac:dyDescent="0.25">
      <c r="B1213" s="51"/>
      <c r="C1213" s="51"/>
      <c r="D1213" s="51"/>
      <c r="E1213" s="51"/>
      <c r="F1213" s="51"/>
      <c r="G1213" s="51"/>
      <c r="H1213" s="51"/>
      <c r="I1213" s="51"/>
      <c r="J1213" s="51"/>
      <c r="K1213" s="51"/>
      <c r="L1213" s="51"/>
      <c r="M1213" s="51"/>
      <c r="N1213" s="51"/>
      <c r="O1213" s="51"/>
      <c r="P1213" s="51"/>
      <c r="Q1213" s="51"/>
      <c r="R1213" s="51"/>
    </row>
    <row r="1214" spans="2:18" ht="77.45" customHeight="1" x14ac:dyDescent="0.25">
      <c r="B1214" s="51"/>
      <c r="C1214" s="51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 ht="77.45" customHeight="1" x14ac:dyDescent="0.25">
      <c r="B1215" s="51"/>
      <c r="C1215" s="51"/>
      <c r="D1215" s="51"/>
      <c r="E1215" s="51"/>
      <c r="F1215" s="51"/>
      <c r="G1215" s="51"/>
      <c r="H1215" s="51"/>
      <c r="I1215" s="51"/>
      <c r="J1215" s="51"/>
      <c r="K1215" s="51"/>
      <c r="L1215" s="51"/>
      <c r="M1215" s="51"/>
      <c r="N1215" s="51"/>
      <c r="O1215" s="51"/>
      <c r="P1215" s="51"/>
      <c r="Q1215" s="51"/>
      <c r="R1215" s="51"/>
    </row>
    <row r="1216" spans="2:18" ht="77.45" customHeight="1" x14ac:dyDescent="0.25">
      <c r="B1216" s="51"/>
      <c r="C1216" s="51"/>
      <c r="D1216" s="51"/>
      <c r="E1216" s="51"/>
      <c r="F1216" s="51"/>
      <c r="G1216" s="51"/>
      <c r="H1216" s="51"/>
      <c r="I1216" s="51"/>
      <c r="J1216" s="51"/>
      <c r="K1216" s="51"/>
      <c r="L1216" s="51"/>
      <c r="M1216" s="51"/>
      <c r="N1216" s="51"/>
      <c r="O1216" s="51"/>
      <c r="P1216" s="51"/>
      <c r="Q1216" s="51"/>
      <c r="R1216" s="51"/>
    </row>
    <row r="1217" spans="2:18" ht="77.45" customHeight="1" x14ac:dyDescent="0.25">
      <c r="B1217" s="51"/>
      <c r="C1217" s="51"/>
      <c r="D1217" s="51"/>
      <c r="E1217" s="51"/>
      <c r="F1217" s="51"/>
      <c r="G1217" s="51"/>
      <c r="H1217" s="51"/>
      <c r="I1217" s="51"/>
      <c r="J1217" s="51"/>
      <c r="K1217" s="51"/>
      <c r="L1217" s="51"/>
      <c r="M1217" s="51"/>
      <c r="N1217" s="51"/>
      <c r="O1217" s="51"/>
      <c r="P1217" s="51"/>
      <c r="Q1217" s="51"/>
      <c r="R1217" s="51"/>
    </row>
    <row r="1218" spans="2:18" ht="77.45" customHeight="1" x14ac:dyDescent="0.25">
      <c r="B1218" s="51"/>
      <c r="C1218" s="51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 ht="77.45" customHeight="1" x14ac:dyDescent="0.25">
      <c r="B1219" s="51"/>
      <c r="C1219" s="51"/>
      <c r="D1219" s="51"/>
      <c r="E1219" s="51"/>
      <c r="F1219" s="51"/>
      <c r="G1219" s="51"/>
      <c r="H1219" s="51"/>
      <c r="I1219" s="51"/>
      <c r="J1219" s="51"/>
      <c r="K1219" s="51"/>
      <c r="L1219" s="51"/>
      <c r="M1219" s="51"/>
      <c r="N1219" s="51"/>
      <c r="O1219" s="51"/>
      <c r="P1219" s="51"/>
      <c r="Q1219" s="51"/>
      <c r="R1219" s="51"/>
    </row>
    <row r="1220" spans="2:18" ht="77.45" customHeight="1" x14ac:dyDescent="0.25">
      <c r="B1220" s="51"/>
      <c r="C1220" s="51"/>
      <c r="D1220" s="51"/>
      <c r="E1220" s="51"/>
      <c r="F1220" s="51"/>
      <c r="G1220" s="51"/>
      <c r="H1220" s="51"/>
      <c r="I1220" s="51"/>
      <c r="J1220" s="51"/>
      <c r="K1220" s="51"/>
      <c r="L1220" s="51"/>
      <c r="M1220" s="51"/>
      <c r="N1220" s="51"/>
      <c r="O1220" s="51"/>
      <c r="P1220" s="51"/>
      <c r="Q1220" s="51"/>
      <c r="R1220" s="51"/>
    </row>
    <row r="1221" spans="2:18" ht="77.45" customHeight="1" x14ac:dyDescent="0.25">
      <c r="B1221" s="51"/>
      <c r="C1221" s="51"/>
      <c r="D1221" s="51"/>
      <c r="E1221" s="51"/>
      <c r="F1221" s="51"/>
      <c r="G1221" s="51"/>
      <c r="H1221" s="51"/>
      <c r="I1221" s="51"/>
      <c r="J1221" s="51"/>
      <c r="K1221" s="51"/>
      <c r="L1221" s="51"/>
      <c r="M1221" s="51"/>
      <c r="N1221" s="51"/>
      <c r="O1221" s="51"/>
      <c r="P1221" s="51"/>
      <c r="Q1221" s="51"/>
      <c r="R1221" s="51"/>
    </row>
    <row r="1222" spans="2:18" ht="77.45" customHeight="1" x14ac:dyDescent="0.25">
      <c r="B1222" s="51"/>
      <c r="C1222" s="51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 ht="77.45" customHeight="1" x14ac:dyDescent="0.25">
      <c r="B1223" s="51"/>
      <c r="C1223" s="51"/>
      <c r="D1223" s="51"/>
      <c r="E1223" s="51"/>
      <c r="F1223" s="51"/>
      <c r="G1223" s="51"/>
      <c r="H1223" s="51"/>
      <c r="I1223" s="51"/>
      <c r="J1223" s="51"/>
      <c r="K1223" s="51"/>
      <c r="L1223" s="51"/>
      <c r="M1223" s="51"/>
      <c r="N1223" s="51"/>
      <c r="O1223" s="51"/>
      <c r="P1223" s="51"/>
      <c r="Q1223" s="51"/>
      <c r="R1223" s="51"/>
    </row>
    <row r="1224" spans="2:18" ht="77.45" customHeight="1" x14ac:dyDescent="0.25">
      <c r="B1224" s="51"/>
      <c r="C1224" s="51"/>
      <c r="D1224" s="51"/>
      <c r="E1224" s="51"/>
      <c r="F1224" s="51"/>
      <c r="G1224" s="51"/>
      <c r="H1224" s="51"/>
      <c r="I1224" s="51"/>
      <c r="J1224" s="51"/>
      <c r="K1224" s="51"/>
      <c r="L1224" s="51"/>
      <c r="M1224" s="51"/>
      <c r="N1224" s="51"/>
      <c r="O1224" s="51"/>
      <c r="P1224" s="51"/>
      <c r="Q1224" s="51"/>
      <c r="R1224" s="51"/>
    </row>
    <row r="1225" spans="2:18" ht="77.45" customHeight="1" x14ac:dyDescent="0.25">
      <c r="B1225" s="51"/>
      <c r="C1225" s="51"/>
      <c r="D1225" s="51"/>
      <c r="E1225" s="51"/>
      <c r="F1225" s="51"/>
      <c r="G1225" s="51"/>
      <c r="H1225" s="51"/>
      <c r="I1225" s="51"/>
      <c r="J1225" s="51"/>
      <c r="K1225" s="51"/>
      <c r="L1225" s="51"/>
      <c r="M1225" s="51"/>
      <c r="N1225" s="51"/>
      <c r="O1225" s="51"/>
      <c r="P1225" s="51"/>
      <c r="Q1225" s="51"/>
      <c r="R1225" s="51"/>
    </row>
    <row r="1226" spans="2:18" ht="77.45" customHeight="1" x14ac:dyDescent="0.25">
      <c r="B1226" s="51"/>
      <c r="C1226" s="51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 ht="77.45" customHeight="1" x14ac:dyDescent="0.25">
      <c r="B1227" s="51"/>
      <c r="C1227" s="51"/>
      <c r="D1227" s="51"/>
      <c r="E1227" s="51"/>
      <c r="F1227" s="51"/>
      <c r="G1227" s="51"/>
      <c r="H1227" s="51"/>
      <c r="I1227" s="51"/>
      <c r="J1227" s="51"/>
      <c r="K1227" s="51"/>
      <c r="L1227" s="51"/>
      <c r="M1227" s="51"/>
      <c r="N1227" s="51"/>
      <c r="O1227" s="51"/>
      <c r="P1227" s="51"/>
      <c r="Q1227" s="51"/>
      <c r="R1227" s="51"/>
    </row>
    <row r="1228" spans="2:18" ht="77.45" customHeight="1" x14ac:dyDescent="0.25">
      <c r="B1228" s="51"/>
      <c r="C1228" s="51"/>
      <c r="D1228" s="51"/>
      <c r="E1228" s="51"/>
      <c r="F1228" s="51"/>
      <c r="G1228" s="51"/>
      <c r="H1228" s="51"/>
      <c r="I1228" s="51"/>
      <c r="J1228" s="51"/>
      <c r="K1228" s="51"/>
      <c r="L1228" s="51"/>
      <c r="M1228" s="51"/>
      <c r="N1228" s="51"/>
      <c r="O1228" s="51"/>
      <c r="P1228" s="51"/>
      <c r="Q1228" s="51"/>
      <c r="R1228" s="51"/>
    </row>
    <row r="1229" spans="2:18" ht="77.45" customHeight="1" x14ac:dyDescent="0.25">
      <c r="B1229" s="51"/>
      <c r="C1229" s="51"/>
      <c r="D1229" s="51"/>
      <c r="E1229" s="51"/>
      <c r="F1229" s="51"/>
      <c r="G1229" s="51"/>
      <c r="H1229" s="51"/>
      <c r="I1229" s="51"/>
      <c r="J1229" s="51"/>
      <c r="K1229" s="51"/>
      <c r="L1229" s="51"/>
      <c r="M1229" s="51"/>
      <c r="N1229" s="51"/>
      <c r="O1229" s="51"/>
      <c r="P1229" s="51"/>
      <c r="Q1229" s="51"/>
      <c r="R1229" s="51"/>
    </row>
    <row r="1230" spans="2:18" ht="77.45" customHeight="1" x14ac:dyDescent="0.25">
      <c r="B1230" s="51"/>
      <c r="C1230" s="51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 ht="77.45" customHeight="1" x14ac:dyDescent="0.25">
      <c r="B1231" s="51"/>
      <c r="C1231" s="51"/>
      <c r="D1231" s="51"/>
      <c r="E1231" s="51"/>
      <c r="F1231" s="51"/>
      <c r="G1231" s="51"/>
      <c r="H1231" s="51"/>
      <c r="I1231" s="51"/>
      <c r="J1231" s="51"/>
      <c r="K1231" s="51"/>
      <c r="L1231" s="51"/>
      <c r="M1231" s="51"/>
      <c r="N1231" s="51"/>
      <c r="O1231" s="51"/>
      <c r="P1231" s="51"/>
      <c r="Q1231" s="51"/>
      <c r="R1231" s="51"/>
    </row>
    <row r="1232" spans="2:18" ht="77.45" customHeight="1" x14ac:dyDescent="0.25">
      <c r="B1232" s="51"/>
      <c r="C1232" s="51"/>
      <c r="D1232" s="51"/>
      <c r="E1232" s="51"/>
      <c r="F1232" s="51"/>
      <c r="G1232" s="51"/>
      <c r="H1232" s="51"/>
      <c r="I1232" s="51"/>
      <c r="J1232" s="51"/>
      <c r="K1232" s="51"/>
      <c r="L1232" s="51"/>
      <c r="M1232" s="51"/>
      <c r="N1232" s="51"/>
      <c r="O1232" s="51"/>
      <c r="P1232" s="51"/>
      <c r="Q1232" s="51"/>
      <c r="R1232" s="51"/>
    </row>
    <row r="1233" spans="2:18" ht="77.45" customHeight="1" x14ac:dyDescent="0.25">
      <c r="B1233" s="51"/>
      <c r="C1233" s="51"/>
      <c r="D1233" s="51"/>
      <c r="E1233" s="51"/>
      <c r="F1233" s="51"/>
      <c r="G1233" s="51"/>
      <c r="H1233" s="51"/>
      <c r="I1233" s="51"/>
      <c r="J1233" s="51"/>
      <c r="K1233" s="51"/>
      <c r="L1233" s="51"/>
      <c r="M1233" s="51"/>
      <c r="N1233" s="51"/>
      <c r="O1233" s="51"/>
      <c r="P1233" s="51"/>
      <c r="Q1233" s="51"/>
      <c r="R1233" s="51"/>
    </row>
    <row r="1234" spans="2:18" ht="77.45" customHeight="1" x14ac:dyDescent="0.25">
      <c r="B1234" s="51"/>
      <c r="C1234" s="51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 ht="77.45" customHeight="1" x14ac:dyDescent="0.25">
      <c r="B1235" s="51"/>
      <c r="C1235" s="51"/>
      <c r="D1235" s="51"/>
      <c r="E1235" s="51"/>
      <c r="F1235" s="51"/>
      <c r="G1235" s="51"/>
      <c r="H1235" s="51"/>
      <c r="I1235" s="51"/>
      <c r="J1235" s="51"/>
      <c r="K1235" s="51"/>
      <c r="L1235" s="51"/>
      <c r="M1235" s="51"/>
      <c r="N1235" s="51"/>
      <c r="O1235" s="51"/>
      <c r="P1235" s="51"/>
      <c r="Q1235" s="51"/>
      <c r="R1235" s="51"/>
    </row>
    <row r="1236" spans="2:18" ht="77.45" customHeight="1" x14ac:dyDescent="0.25">
      <c r="B1236" s="51"/>
      <c r="C1236" s="51"/>
      <c r="D1236" s="51"/>
      <c r="E1236" s="51"/>
      <c r="F1236" s="51"/>
      <c r="G1236" s="51"/>
      <c r="H1236" s="51"/>
      <c r="I1236" s="51"/>
      <c r="J1236" s="51"/>
      <c r="K1236" s="51"/>
      <c r="L1236" s="51"/>
      <c r="M1236" s="51"/>
      <c r="N1236" s="51"/>
      <c r="O1236" s="51"/>
      <c r="P1236" s="51"/>
      <c r="Q1236" s="51"/>
      <c r="R1236" s="51"/>
    </row>
    <row r="1237" spans="2:18" ht="77.45" customHeight="1" x14ac:dyDescent="0.25">
      <c r="B1237" s="51"/>
      <c r="C1237" s="51"/>
      <c r="D1237" s="51"/>
      <c r="E1237" s="51"/>
      <c r="F1237" s="51"/>
      <c r="G1237" s="51"/>
      <c r="H1237" s="51"/>
      <c r="I1237" s="51"/>
      <c r="J1237" s="51"/>
      <c r="K1237" s="51"/>
      <c r="L1237" s="51"/>
      <c r="M1237" s="51"/>
      <c r="N1237" s="51"/>
      <c r="O1237" s="51"/>
      <c r="P1237" s="51"/>
      <c r="Q1237" s="51"/>
      <c r="R1237" s="51"/>
    </row>
    <row r="1238" spans="2:18" ht="77.45" customHeight="1" x14ac:dyDescent="0.25">
      <c r="B1238" s="51"/>
      <c r="C1238" s="51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 ht="77.45" customHeight="1" x14ac:dyDescent="0.25">
      <c r="B1239" s="51"/>
      <c r="C1239" s="51"/>
      <c r="D1239" s="51"/>
      <c r="E1239" s="51"/>
      <c r="F1239" s="51"/>
      <c r="G1239" s="51"/>
      <c r="H1239" s="51"/>
      <c r="I1239" s="51"/>
      <c r="J1239" s="51"/>
      <c r="K1239" s="51"/>
      <c r="L1239" s="51"/>
      <c r="M1239" s="51"/>
      <c r="N1239" s="51"/>
      <c r="O1239" s="51"/>
      <c r="P1239" s="51"/>
      <c r="Q1239" s="51"/>
      <c r="R1239" s="51"/>
    </row>
    <row r="1240" spans="2:18" ht="77.45" customHeight="1" x14ac:dyDescent="0.25">
      <c r="B1240" s="51"/>
      <c r="C1240" s="51"/>
      <c r="D1240" s="51"/>
      <c r="E1240" s="51"/>
      <c r="F1240" s="51"/>
      <c r="G1240" s="51"/>
      <c r="H1240" s="51"/>
      <c r="I1240" s="51"/>
      <c r="J1240" s="51"/>
      <c r="K1240" s="51"/>
      <c r="L1240" s="51"/>
      <c r="M1240" s="51"/>
      <c r="N1240" s="51"/>
      <c r="O1240" s="51"/>
      <c r="P1240" s="51"/>
      <c r="Q1240" s="51"/>
      <c r="R1240" s="51"/>
    </row>
    <row r="1241" spans="2:18" ht="77.45" customHeight="1" x14ac:dyDescent="0.25">
      <c r="B1241" s="51"/>
      <c r="C1241" s="51"/>
      <c r="D1241" s="51"/>
      <c r="E1241" s="51"/>
      <c r="F1241" s="51"/>
      <c r="G1241" s="51"/>
      <c r="H1241" s="51"/>
      <c r="I1241" s="51"/>
      <c r="J1241" s="51"/>
      <c r="K1241" s="51"/>
      <c r="L1241" s="51"/>
      <c r="M1241" s="51"/>
      <c r="N1241" s="51"/>
      <c r="O1241" s="51"/>
      <c r="P1241" s="51"/>
      <c r="Q1241" s="51"/>
      <c r="R1241" s="51"/>
    </row>
    <row r="1242" spans="2:18" ht="77.45" customHeight="1" x14ac:dyDescent="0.25">
      <c r="B1242" s="51"/>
      <c r="C1242" s="51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 ht="77.45" customHeight="1" x14ac:dyDescent="0.25">
      <c r="B1243" s="51"/>
      <c r="C1243" s="51"/>
      <c r="D1243" s="51"/>
      <c r="E1243" s="51"/>
      <c r="F1243" s="51"/>
      <c r="G1243" s="51"/>
      <c r="H1243" s="51"/>
      <c r="I1243" s="51"/>
      <c r="J1243" s="51"/>
      <c r="K1243" s="51"/>
      <c r="L1243" s="51"/>
      <c r="M1243" s="51"/>
      <c r="N1243" s="51"/>
      <c r="O1243" s="51"/>
      <c r="P1243" s="51"/>
      <c r="Q1243" s="51"/>
      <c r="R1243" s="51"/>
    </row>
    <row r="1244" spans="2:18" ht="77.45" customHeight="1" x14ac:dyDescent="0.25">
      <c r="B1244" s="51"/>
      <c r="C1244" s="51"/>
      <c r="D1244" s="51"/>
      <c r="E1244" s="51"/>
      <c r="F1244" s="51"/>
      <c r="G1244" s="51"/>
      <c r="H1244" s="51"/>
      <c r="I1244" s="51"/>
      <c r="J1244" s="51"/>
      <c r="K1244" s="51"/>
      <c r="L1244" s="51"/>
      <c r="M1244" s="51"/>
      <c r="N1244" s="51"/>
      <c r="O1244" s="51"/>
      <c r="P1244" s="51"/>
      <c r="Q1244" s="51"/>
      <c r="R1244" s="51"/>
    </row>
    <row r="1245" spans="2:18" ht="77.45" customHeight="1" x14ac:dyDescent="0.25">
      <c r="B1245" s="51"/>
      <c r="C1245" s="51"/>
      <c r="D1245" s="51"/>
      <c r="E1245" s="51"/>
      <c r="F1245" s="51"/>
      <c r="G1245" s="51"/>
      <c r="H1245" s="51"/>
      <c r="I1245" s="51"/>
      <c r="J1245" s="51"/>
      <c r="K1245" s="51"/>
      <c r="L1245" s="51"/>
      <c r="M1245" s="51"/>
      <c r="N1245" s="51"/>
      <c r="O1245" s="51"/>
      <c r="P1245" s="51"/>
      <c r="Q1245" s="51"/>
      <c r="R1245" s="51"/>
    </row>
    <row r="1246" spans="2:18" ht="77.45" customHeight="1" x14ac:dyDescent="0.25">
      <c r="B1246" s="51"/>
      <c r="C1246" s="51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 ht="77.45" customHeight="1" x14ac:dyDescent="0.25">
      <c r="B1247" s="51"/>
      <c r="C1247" s="51"/>
      <c r="D1247" s="51"/>
      <c r="E1247" s="51"/>
      <c r="F1247" s="51"/>
      <c r="G1247" s="51"/>
      <c r="H1247" s="51"/>
      <c r="I1247" s="51"/>
      <c r="J1247" s="51"/>
      <c r="K1247" s="51"/>
      <c r="L1247" s="51"/>
      <c r="M1247" s="51"/>
      <c r="N1247" s="51"/>
      <c r="O1247" s="51"/>
      <c r="P1247" s="51"/>
      <c r="Q1247" s="51"/>
      <c r="R1247" s="51"/>
    </row>
    <row r="1248" spans="2:18" ht="77.45" customHeight="1" x14ac:dyDescent="0.25">
      <c r="B1248" s="51"/>
      <c r="C1248" s="51"/>
      <c r="D1248" s="51"/>
      <c r="E1248" s="51"/>
      <c r="F1248" s="51"/>
      <c r="G1248" s="51"/>
      <c r="H1248" s="51"/>
      <c r="I1248" s="51"/>
      <c r="J1248" s="51"/>
      <c r="K1248" s="51"/>
      <c r="L1248" s="51"/>
      <c r="M1248" s="51"/>
      <c r="N1248" s="51"/>
      <c r="O1248" s="51"/>
      <c r="P1248" s="51"/>
      <c r="Q1248" s="51"/>
      <c r="R1248" s="51"/>
    </row>
    <row r="1249" spans="2:18" ht="77.45" customHeight="1" x14ac:dyDescent="0.25">
      <c r="B1249" s="51"/>
      <c r="C1249" s="51"/>
      <c r="D1249" s="51"/>
      <c r="E1249" s="51"/>
      <c r="F1249" s="51"/>
      <c r="G1249" s="51"/>
      <c r="H1249" s="51"/>
      <c r="I1249" s="51"/>
      <c r="J1249" s="51"/>
      <c r="K1249" s="51"/>
      <c r="L1249" s="51"/>
      <c r="M1249" s="51"/>
      <c r="N1249" s="51"/>
      <c r="O1249" s="51"/>
      <c r="P1249" s="51"/>
      <c r="Q1249" s="51"/>
      <c r="R1249" s="51"/>
    </row>
    <row r="1250" spans="2:18" ht="77.45" customHeight="1" x14ac:dyDescent="0.25">
      <c r="B1250" s="51"/>
      <c r="C1250" s="51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 ht="77.45" customHeight="1" x14ac:dyDescent="0.25">
      <c r="B1251" s="51"/>
      <c r="C1251" s="51"/>
      <c r="D1251" s="51"/>
      <c r="E1251" s="51"/>
      <c r="F1251" s="51"/>
      <c r="G1251" s="51"/>
      <c r="H1251" s="51"/>
      <c r="I1251" s="51"/>
      <c r="J1251" s="51"/>
      <c r="K1251" s="51"/>
      <c r="L1251" s="51"/>
      <c r="M1251" s="51"/>
      <c r="N1251" s="51"/>
      <c r="O1251" s="51"/>
      <c r="P1251" s="51"/>
      <c r="Q1251" s="51"/>
      <c r="R1251" s="51"/>
    </row>
    <row r="1252" spans="2:18" ht="77.45" customHeight="1" x14ac:dyDescent="0.25">
      <c r="B1252" s="51"/>
      <c r="C1252" s="51"/>
      <c r="D1252" s="51"/>
      <c r="E1252" s="51"/>
      <c r="F1252" s="51"/>
      <c r="G1252" s="51"/>
      <c r="H1252" s="51"/>
      <c r="I1252" s="51"/>
      <c r="J1252" s="51"/>
      <c r="K1252" s="51"/>
      <c r="L1252" s="51"/>
      <c r="M1252" s="51"/>
      <c r="N1252" s="51"/>
      <c r="O1252" s="51"/>
      <c r="P1252" s="51"/>
      <c r="Q1252" s="51"/>
      <c r="R1252" s="51"/>
    </row>
    <row r="1253" spans="2:18" ht="77.45" customHeight="1" x14ac:dyDescent="0.25">
      <c r="B1253" s="51"/>
      <c r="C1253" s="51"/>
      <c r="D1253" s="51"/>
      <c r="E1253" s="51"/>
      <c r="F1253" s="51"/>
      <c r="G1253" s="51"/>
      <c r="H1253" s="51"/>
      <c r="I1253" s="51"/>
      <c r="J1253" s="51"/>
      <c r="K1253" s="51"/>
      <c r="L1253" s="51"/>
      <c r="M1253" s="51"/>
      <c r="N1253" s="51"/>
      <c r="O1253" s="51"/>
      <c r="P1253" s="51"/>
      <c r="Q1253" s="51"/>
      <c r="R1253" s="51"/>
    </row>
    <row r="1254" spans="2:18" ht="77.45" customHeight="1" x14ac:dyDescent="0.25">
      <c r="B1254" s="51"/>
      <c r="C1254" s="51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 ht="77.45" customHeight="1" x14ac:dyDescent="0.25">
      <c r="B1255" s="51"/>
      <c r="C1255" s="51"/>
      <c r="D1255" s="51"/>
      <c r="E1255" s="51"/>
      <c r="F1255" s="51"/>
      <c r="G1255" s="51"/>
      <c r="H1255" s="51"/>
      <c r="I1255" s="51"/>
      <c r="J1255" s="51"/>
      <c r="K1255" s="51"/>
      <c r="L1255" s="51"/>
      <c r="M1255" s="51"/>
      <c r="N1255" s="51"/>
      <c r="O1255" s="51"/>
      <c r="P1255" s="51"/>
      <c r="Q1255" s="51"/>
      <c r="R1255" s="51"/>
    </row>
    <row r="1256" spans="2:18" ht="77.45" customHeight="1" x14ac:dyDescent="0.25">
      <c r="B1256" s="51"/>
      <c r="C1256" s="51"/>
      <c r="D1256" s="51"/>
      <c r="E1256" s="51"/>
      <c r="F1256" s="51"/>
      <c r="G1256" s="51"/>
      <c r="H1256" s="51"/>
      <c r="I1256" s="51"/>
      <c r="J1256" s="51"/>
      <c r="K1256" s="51"/>
      <c r="L1256" s="51"/>
      <c r="M1256" s="51"/>
      <c r="N1256" s="51"/>
      <c r="O1256" s="51"/>
      <c r="P1256" s="51"/>
      <c r="Q1256" s="51"/>
      <c r="R1256" s="51"/>
    </row>
    <row r="1257" spans="2:18" ht="77.45" customHeight="1" x14ac:dyDescent="0.25">
      <c r="B1257" s="51"/>
      <c r="C1257" s="51"/>
      <c r="D1257" s="51"/>
      <c r="E1257" s="51"/>
      <c r="F1257" s="51"/>
      <c r="G1257" s="51"/>
      <c r="H1257" s="51"/>
      <c r="I1257" s="51"/>
      <c r="J1257" s="51"/>
      <c r="K1257" s="51"/>
      <c r="L1257" s="51"/>
      <c r="M1257" s="51"/>
      <c r="N1257" s="51"/>
      <c r="O1257" s="51"/>
      <c r="P1257" s="51"/>
      <c r="Q1257" s="51"/>
      <c r="R1257" s="51"/>
    </row>
    <row r="1258" spans="2:18" ht="77.45" customHeight="1" x14ac:dyDescent="0.25">
      <c r="B1258" s="51"/>
      <c r="C1258" s="51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 ht="77.45" customHeight="1" x14ac:dyDescent="0.25">
      <c r="B1259" s="51"/>
      <c r="C1259" s="51"/>
      <c r="D1259" s="51"/>
      <c r="E1259" s="51"/>
      <c r="F1259" s="51"/>
      <c r="G1259" s="51"/>
      <c r="H1259" s="51"/>
      <c r="I1259" s="51"/>
      <c r="J1259" s="51"/>
      <c r="K1259" s="51"/>
      <c r="L1259" s="51"/>
      <c r="M1259" s="51"/>
      <c r="N1259" s="51"/>
      <c r="O1259" s="51"/>
      <c r="P1259" s="51"/>
      <c r="Q1259" s="51"/>
      <c r="R1259" s="51"/>
    </row>
    <row r="1260" spans="2:18" ht="77.45" customHeight="1" x14ac:dyDescent="0.25">
      <c r="B1260" s="51"/>
      <c r="C1260" s="51"/>
      <c r="D1260" s="51"/>
      <c r="E1260" s="51"/>
      <c r="F1260" s="51"/>
      <c r="G1260" s="51"/>
      <c r="H1260" s="51"/>
      <c r="I1260" s="51"/>
      <c r="J1260" s="51"/>
      <c r="K1260" s="51"/>
      <c r="L1260" s="51"/>
      <c r="M1260" s="51"/>
      <c r="N1260" s="51"/>
      <c r="O1260" s="51"/>
      <c r="P1260" s="51"/>
      <c r="Q1260" s="51"/>
      <c r="R1260" s="51"/>
    </row>
    <row r="1261" spans="2:18" ht="77.45" customHeight="1" x14ac:dyDescent="0.25">
      <c r="B1261" s="51"/>
      <c r="C1261" s="51"/>
      <c r="D1261" s="51"/>
      <c r="E1261" s="51"/>
      <c r="F1261" s="51"/>
      <c r="G1261" s="51"/>
      <c r="H1261" s="51"/>
      <c r="I1261" s="51"/>
      <c r="J1261" s="51"/>
      <c r="K1261" s="51"/>
      <c r="L1261" s="51"/>
      <c r="M1261" s="51"/>
      <c r="N1261" s="51"/>
      <c r="O1261" s="51"/>
      <c r="P1261" s="51"/>
      <c r="Q1261" s="51"/>
      <c r="R1261" s="51"/>
    </row>
    <row r="1262" spans="2:18" ht="77.45" customHeight="1" x14ac:dyDescent="0.25">
      <c r="B1262" s="51"/>
      <c r="C1262" s="51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 ht="77.45" customHeight="1" x14ac:dyDescent="0.25">
      <c r="B1263" s="51"/>
      <c r="C1263" s="51"/>
      <c r="D1263" s="51"/>
      <c r="E1263" s="51"/>
      <c r="F1263" s="51"/>
      <c r="G1263" s="51"/>
      <c r="H1263" s="51"/>
      <c r="I1263" s="51"/>
      <c r="J1263" s="51"/>
      <c r="K1263" s="51"/>
      <c r="L1263" s="51"/>
      <c r="M1263" s="51"/>
      <c r="N1263" s="51"/>
      <c r="O1263" s="51"/>
      <c r="P1263" s="51"/>
      <c r="Q1263" s="51"/>
      <c r="R1263" s="51"/>
    </row>
    <row r="1264" spans="2:18" ht="77.45" customHeight="1" x14ac:dyDescent="0.25">
      <c r="B1264" s="51"/>
      <c r="C1264" s="51"/>
      <c r="D1264" s="51"/>
      <c r="E1264" s="51"/>
      <c r="F1264" s="51"/>
      <c r="G1264" s="51"/>
      <c r="H1264" s="51"/>
      <c r="I1264" s="51"/>
      <c r="J1264" s="51"/>
      <c r="K1264" s="51"/>
      <c r="L1264" s="51"/>
      <c r="M1264" s="51"/>
      <c r="N1264" s="51"/>
      <c r="O1264" s="51"/>
      <c r="P1264" s="51"/>
      <c r="Q1264" s="51"/>
      <c r="R1264" s="51"/>
    </row>
    <row r="1265" spans="2:18" ht="77.45" customHeight="1" x14ac:dyDescent="0.25">
      <c r="B1265" s="51"/>
      <c r="C1265" s="51"/>
      <c r="D1265" s="51"/>
      <c r="E1265" s="51"/>
      <c r="F1265" s="51"/>
      <c r="G1265" s="51"/>
      <c r="H1265" s="51"/>
      <c r="I1265" s="51"/>
      <c r="J1265" s="51"/>
      <c r="K1265" s="51"/>
      <c r="L1265" s="51"/>
      <c r="M1265" s="51"/>
      <c r="N1265" s="51"/>
      <c r="O1265" s="51"/>
      <c r="P1265" s="51"/>
      <c r="Q1265" s="51"/>
      <c r="R1265" s="51"/>
    </row>
    <row r="1266" spans="2:18" ht="77.45" customHeight="1" x14ac:dyDescent="0.25">
      <c r="B1266" s="51"/>
      <c r="C1266" s="51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 ht="77.45" customHeight="1" x14ac:dyDescent="0.25">
      <c r="B1267" s="51"/>
      <c r="C1267" s="51"/>
      <c r="D1267" s="51"/>
      <c r="E1267" s="51"/>
      <c r="F1267" s="51"/>
      <c r="G1267" s="51"/>
      <c r="H1267" s="51"/>
      <c r="I1267" s="51"/>
      <c r="J1267" s="51"/>
      <c r="K1267" s="51"/>
      <c r="L1267" s="51"/>
      <c r="M1267" s="51"/>
      <c r="N1267" s="51"/>
      <c r="O1267" s="51"/>
      <c r="P1267" s="51"/>
      <c r="Q1267" s="51"/>
      <c r="R1267" s="51"/>
    </row>
    <row r="1268" spans="2:18" ht="77.45" customHeight="1" x14ac:dyDescent="0.25">
      <c r="B1268" s="51"/>
      <c r="C1268" s="51"/>
      <c r="D1268" s="51"/>
      <c r="E1268" s="51"/>
      <c r="F1268" s="51"/>
      <c r="G1268" s="51"/>
      <c r="H1268" s="51"/>
      <c r="I1268" s="51"/>
      <c r="J1268" s="51"/>
      <c r="K1268" s="51"/>
      <c r="L1268" s="51"/>
      <c r="M1268" s="51"/>
      <c r="N1268" s="51"/>
      <c r="O1268" s="51"/>
      <c r="P1268" s="51"/>
      <c r="Q1268" s="51"/>
      <c r="R1268" s="51"/>
    </row>
    <row r="1269" spans="2:18" ht="77.45" customHeight="1" x14ac:dyDescent="0.25">
      <c r="B1269" s="51"/>
      <c r="C1269" s="51"/>
      <c r="D1269" s="51"/>
      <c r="E1269" s="51"/>
      <c r="F1269" s="51"/>
      <c r="G1269" s="51"/>
      <c r="H1269" s="51"/>
      <c r="I1269" s="51"/>
      <c r="J1269" s="51"/>
      <c r="K1269" s="51"/>
      <c r="L1269" s="51"/>
      <c r="M1269" s="51"/>
      <c r="N1269" s="51"/>
      <c r="O1269" s="51"/>
      <c r="P1269" s="51"/>
      <c r="Q1269" s="51"/>
      <c r="R1269" s="51"/>
    </row>
    <row r="1270" spans="2:18" ht="77.45" customHeight="1" x14ac:dyDescent="0.25">
      <c r="B1270" s="51"/>
      <c r="C1270" s="51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 ht="77.45" customHeight="1" x14ac:dyDescent="0.25">
      <c r="B1271" s="51"/>
      <c r="C1271" s="51"/>
      <c r="D1271" s="51"/>
      <c r="E1271" s="51"/>
      <c r="F1271" s="51"/>
      <c r="G1271" s="51"/>
      <c r="H1271" s="51"/>
      <c r="I1271" s="51"/>
      <c r="J1271" s="51"/>
      <c r="K1271" s="51"/>
      <c r="L1271" s="51"/>
      <c r="M1271" s="51"/>
      <c r="N1271" s="51"/>
      <c r="O1271" s="51"/>
      <c r="P1271" s="51"/>
      <c r="Q1271" s="51"/>
      <c r="R1271" s="51"/>
    </row>
    <row r="1272" spans="2:18" ht="77.45" customHeight="1" x14ac:dyDescent="0.25">
      <c r="B1272" s="51"/>
      <c r="C1272" s="51"/>
      <c r="D1272" s="51"/>
      <c r="E1272" s="51"/>
      <c r="F1272" s="51"/>
      <c r="G1272" s="51"/>
      <c r="H1272" s="51"/>
      <c r="I1272" s="51"/>
      <c r="J1272" s="51"/>
      <c r="K1272" s="51"/>
      <c r="L1272" s="51"/>
      <c r="M1272" s="51"/>
      <c r="N1272" s="51"/>
      <c r="O1272" s="51"/>
      <c r="P1272" s="51"/>
      <c r="Q1272" s="51"/>
      <c r="R1272" s="51"/>
    </row>
    <row r="1273" spans="2:18" ht="77.45" customHeight="1" x14ac:dyDescent="0.25">
      <c r="B1273" s="51"/>
      <c r="C1273" s="51"/>
      <c r="D1273" s="51"/>
      <c r="E1273" s="51"/>
      <c r="F1273" s="51"/>
      <c r="G1273" s="51"/>
      <c r="H1273" s="51"/>
      <c r="I1273" s="51"/>
      <c r="J1273" s="51"/>
      <c r="K1273" s="51"/>
      <c r="L1273" s="51"/>
      <c r="M1273" s="51"/>
      <c r="N1273" s="51"/>
      <c r="O1273" s="51"/>
      <c r="P1273" s="51"/>
      <c r="Q1273" s="51"/>
      <c r="R1273" s="51"/>
    </row>
    <row r="1274" spans="2:18" ht="77.45" customHeight="1" x14ac:dyDescent="0.25">
      <c r="B1274" s="51"/>
      <c r="C1274" s="51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 ht="77.45" customHeight="1" x14ac:dyDescent="0.25">
      <c r="B1275" s="51"/>
      <c r="C1275" s="51"/>
      <c r="D1275" s="51"/>
      <c r="E1275" s="51"/>
      <c r="F1275" s="51"/>
      <c r="G1275" s="51"/>
      <c r="H1275" s="51"/>
      <c r="I1275" s="51"/>
      <c r="J1275" s="51"/>
      <c r="K1275" s="51"/>
      <c r="L1275" s="51"/>
      <c r="M1275" s="51"/>
      <c r="N1275" s="51"/>
      <c r="O1275" s="51"/>
      <c r="P1275" s="51"/>
      <c r="Q1275" s="51"/>
      <c r="R1275" s="51"/>
    </row>
  </sheetData>
  <autoFilter ref="E9:R750" xr:uid="{0E7C0D3F-36C3-4A44-AD3B-4E26C7298C41}">
    <filterColumn colId="3">
      <filters>
        <filter val="2023"/>
      </filters>
    </filterColumn>
  </autoFilter>
  <mergeCells count="1">
    <mergeCell ref="E4:R5"/>
  </mergeCells>
  <conditionalFormatting sqref="A1:R3 I6:N6">
    <cfRule type="cellIs" dxfId="25" priority="13" operator="equal">
      <formula>0</formula>
    </cfRule>
  </conditionalFormatting>
  <conditionalFormatting sqref="E10:R750">
    <cfRule type="cellIs" dxfId="24" priority="2" operator="equal">
      <formula>0</formula>
    </cfRule>
  </conditionalFormatting>
  <conditionalFormatting sqref="AB1:XFD3 S1:AA732 A4:E4 A5:D5 AB5:XFD9 A6:H7 H6:R8 B8:G8 F8:F9 B9:R9 B10:D10 B11:C19 D11:D750 A20:C750 AB716:XFD732 S733:XFD750 A751:XFD1048576">
    <cfRule type="cellIs" dxfId="23" priority="18" operator="equal">
      <formula>0</formula>
    </cfRule>
  </conditionalFormatting>
  <hyperlinks>
    <hyperlink ref="A9" location="WACC!A1" display="WACC" xr:uid="{404E723A-5B0F-49A5-B016-EC23CD051B7B}"/>
    <hyperlink ref="A8" location="Dashboard!A1" display="Dashboard" xr:uid="{430F356A-C571-4DCE-8D6B-B2695D93C82B}"/>
    <hyperlink ref="A13" location="'Projeções - Receita'!A1" display="Projeções" xr:uid="{A305590A-24CD-4802-85BF-95252F6BFE17}"/>
    <hyperlink ref="A10" location="'DRE + DCF'!A1" display="DRE + DCF" xr:uid="{3B47ACBB-4611-4F9D-9EFC-1DF2F87A4532}"/>
    <hyperlink ref="A12" location="'Balanço Patrimonial'!A1" display="Balanço Patrimonial" xr:uid="{A245A19F-C7FE-43C0-AB28-C3DF5A946CB6}"/>
    <hyperlink ref="A15" location="'Capex + K. Giro'!A1" display="Capex + Capital de Giro" xr:uid="{46815471-2812-43BA-9D7B-3A602DD6AC8F}"/>
    <hyperlink ref="A14" location="Lojas!A1" display="Lojas" xr:uid="{7BBE8A17-EFF9-4B64-9DCA-CFB94CCC9F05}"/>
    <hyperlink ref="A11" location="'DRE - Contas Abertas'!A1" display="Contas Abertas" xr:uid="{A4D439E0-566A-4A13-9878-CD5B460A2B9B}"/>
    <hyperlink ref="A16" location="'Projeções Trimestrais'!A1" display="Projeções Trimestrais" xr:uid="{FF6B7FF0-56F2-41AD-8353-CEE32839F31B}"/>
    <hyperlink ref="A17" location="'Painel de Índices'!A1" display="Painel de Índices" xr:uid="{60D63077-A7E3-452E-8FCD-459B377A5883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D4D83-E40F-4F27-AF57-12014253F55A}">
  <sheetPr codeName="Planilha20"/>
  <dimension ref="A1:AQ35"/>
  <sheetViews>
    <sheetView showGridLines="0" topLeftCell="N8" zoomScale="70" zoomScaleNormal="70" workbookViewId="0">
      <selection activeCell="T16" sqref="T16"/>
    </sheetView>
  </sheetViews>
  <sheetFormatPr defaultColWidth="0" defaultRowHeight="0" customHeight="1" zeroHeight="1" x14ac:dyDescent="0.25"/>
  <cols>
    <col min="1" max="1" width="39.140625" style="50" customWidth="1"/>
    <col min="2" max="4" width="9.140625" style="53" customWidth="1"/>
    <col min="5" max="5" width="40.7109375" style="53" bestFit="1" customWidth="1"/>
    <col min="6" max="7" width="10.5703125" style="53" bestFit="1" customWidth="1"/>
    <col min="8" max="8" width="10.85546875" style="53" bestFit="1" customWidth="1"/>
    <col min="9" max="9" width="12.28515625" style="53" bestFit="1" customWidth="1"/>
    <col min="10" max="10" width="12.5703125" style="53" bestFit="1" customWidth="1"/>
    <col min="11" max="13" width="12.28515625" style="53" bestFit="1" customWidth="1"/>
    <col min="14" max="15" width="12.5703125" style="53" bestFit="1" customWidth="1"/>
    <col min="16" max="22" width="12.85546875" style="53" bestFit="1" customWidth="1"/>
    <col min="23" max="23" width="12.5703125" style="53" bestFit="1" customWidth="1"/>
    <col min="24" max="24" width="12.28515625" style="53" bestFit="1" customWidth="1"/>
    <col min="25" max="27" width="12.85546875" style="53" bestFit="1" customWidth="1"/>
    <col min="28" max="29" width="12.5703125" style="53" bestFit="1" customWidth="1"/>
    <col min="30" max="31" width="12.85546875" style="53" bestFit="1" customWidth="1"/>
    <col min="32" max="34" width="8.7109375" style="53" customWidth="1"/>
    <col min="35" max="43" width="0" style="53" hidden="1" customWidth="1"/>
    <col min="44" max="16384" width="8.7109375" style="53" hidden="1"/>
  </cols>
  <sheetData>
    <row r="1" spans="1:34" ht="15" customHeight="1" x14ac:dyDescent="0.25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</row>
    <row r="2" spans="1:34" ht="15" customHeight="1" x14ac:dyDescent="0.25">
      <c r="B2" s="51"/>
      <c r="C2" s="51"/>
      <c r="D2" s="51"/>
      <c r="E2" s="51"/>
      <c r="F2" s="51"/>
      <c r="G2" s="51"/>
      <c r="H2" s="51"/>
      <c r="I2" s="51"/>
      <c r="J2" s="51"/>
      <c r="K2" s="51"/>
      <c r="L2" s="103"/>
      <c r="M2" s="103"/>
      <c r="N2" s="103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</row>
    <row r="3" spans="1:34" ht="15" customHeight="1" x14ac:dyDescent="0.25">
      <c r="B3" s="51"/>
      <c r="C3" s="51"/>
      <c r="D3" s="51"/>
      <c r="E3" s="52" t="s">
        <v>386</v>
      </c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1"/>
      <c r="AG3" s="51"/>
      <c r="AH3" s="51"/>
    </row>
    <row r="4" spans="1:34" ht="15" customHeight="1" x14ac:dyDescent="0.25">
      <c r="B4" s="51"/>
      <c r="C4" s="51"/>
      <c r="D4" s="51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1"/>
      <c r="AG4" s="51"/>
      <c r="AH4" s="51"/>
    </row>
    <row r="5" spans="1:34" ht="15" customHeight="1" x14ac:dyDescent="0.25">
      <c r="B5" s="51"/>
      <c r="C5" s="51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1"/>
      <c r="AG5" s="51"/>
      <c r="AH5" s="51"/>
    </row>
    <row r="6" spans="1:34" ht="15" x14ac:dyDescent="0.25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4"/>
      <c r="O6" s="54"/>
      <c r="P6" s="54"/>
      <c r="Q6" s="54"/>
      <c r="R6" s="54"/>
      <c r="S6" s="54"/>
      <c r="T6" s="54"/>
      <c r="U6" s="54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</row>
    <row r="7" spans="1:34" s="57" customFormat="1" ht="24.75" customHeight="1" x14ac:dyDescent="0.25">
      <c r="A7" s="55" t="s">
        <v>39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1"/>
      <c r="W7" s="56"/>
      <c r="X7" s="56"/>
      <c r="Y7" s="56"/>
      <c r="Z7" s="56"/>
      <c r="AA7" s="56"/>
      <c r="AB7" s="56"/>
      <c r="AC7" s="56"/>
      <c r="AD7" s="56"/>
      <c r="AE7" s="51"/>
      <c r="AF7" s="51"/>
      <c r="AG7" s="51"/>
      <c r="AH7" s="51"/>
    </row>
    <row r="8" spans="1:34" ht="30" customHeight="1" x14ac:dyDescent="0.25">
      <c r="A8" s="25" t="s">
        <v>40</v>
      </c>
      <c r="B8" s="51"/>
      <c r="C8" s="51"/>
      <c r="D8" s="56"/>
      <c r="E8" s="58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F8" s="51"/>
      <c r="AG8" s="51"/>
      <c r="AH8" s="51"/>
    </row>
    <row r="9" spans="1:34" ht="30" customHeight="1" x14ac:dyDescent="0.25">
      <c r="A9" s="25" t="s">
        <v>22</v>
      </c>
      <c r="B9" s="51"/>
      <c r="C9" s="51"/>
      <c r="D9" s="51"/>
      <c r="E9" s="102"/>
      <c r="F9" s="62">
        <v>2010</v>
      </c>
      <c r="G9" s="62">
        <v>2011</v>
      </c>
      <c r="H9" s="62">
        <v>2012</v>
      </c>
      <c r="I9" s="62">
        <v>2013</v>
      </c>
      <c r="J9" s="62">
        <v>2014</v>
      </c>
      <c r="K9" s="62">
        <v>2015</v>
      </c>
      <c r="L9" s="62">
        <v>2016</v>
      </c>
      <c r="M9" s="62">
        <v>2017</v>
      </c>
      <c r="N9" s="62">
        <v>2018</v>
      </c>
      <c r="O9" s="62">
        <v>2019</v>
      </c>
      <c r="P9" s="62">
        <v>2020</v>
      </c>
      <c r="Q9" s="62">
        <v>2021</v>
      </c>
      <c r="R9" s="62">
        <v>2022</v>
      </c>
      <c r="S9" s="62">
        <v>2023</v>
      </c>
      <c r="T9" s="259">
        <v>2024</v>
      </c>
      <c r="U9" s="259">
        <v>2025</v>
      </c>
      <c r="V9" s="259">
        <v>2026</v>
      </c>
      <c r="W9" s="259">
        <v>2027</v>
      </c>
      <c r="X9" s="259">
        <v>2028</v>
      </c>
      <c r="Y9" s="259">
        <v>2029</v>
      </c>
      <c r="Z9" s="259">
        <v>2030</v>
      </c>
      <c r="AA9" s="259">
        <v>2031</v>
      </c>
      <c r="AB9" s="259">
        <v>2032</v>
      </c>
      <c r="AC9" s="259">
        <v>2033</v>
      </c>
      <c r="AD9" s="259">
        <v>2034</v>
      </c>
      <c r="AE9" s="336">
        <v>2035</v>
      </c>
      <c r="AF9" s="51"/>
      <c r="AG9" s="51"/>
      <c r="AH9" s="51"/>
    </row>
    <row r="10" spans="1:34" ht="30" customHeight="1" x14ac:dyDescent="0.25">
      <c r="A10" s="25" t="s">
        <v>42</v>
      </c>
      <c r="B10" s="51"/>
      <c r="C10" s="51"/>
      <c r="D10" s="51"/>
      <c r="E10" s="328" t="s">
        <v>979</v>
      </c>
      <c r="F10" s="330" t="s">
        <v>21</v>
      </c>
      <c r="G10" s="330" t="s">
        <v>21</v>
      </c>
      <c r="H10" s="330" t="s">
        <v>21</v>
      </c>
      <c r="I10" s="330" t="s">
        <v>21</v>
      </c>
      <c r="J10" s="330" t="s">
        <v>21</v>
      </c>
      <c r="K10" s="330" t="s">
        <v>21</v>
      </c>
      <c r="L10" s="330" t="s">
        <v>21</v>
      </c>
      <c r="M10" s="330" t="s">
        <v>21</v>
      </c>
      <c r="N10" s="330" t="s">
        <v>21</v>
      </c>
      <c r="O10" s="330" t="s">
        <v>21</v>
      </c>
      <c r="P10" s="331">
        <v>4.5199999999999997E-2</v>
      </c>
      <c r="Q10" s="331">
        <v>0.10059999999999999</v>
      </c>
      <c r="R10" s="331">
        <v>5.7850929078894699E-2</v>
      </c>
      <c r="S10" s="331">
        <v>6.7919999999999994E-2</v>
      </c>
      <c r="T10" s="332">
        <f>WACC!G12</f>
        <v>3.8769999999999999E-2</v>
      </c>
      <c r="U10" s="332">
        <f>WACC!H12</f>
        <v>4.1750000000000002E-2</v>
      </c>
      <c r="V10" s="332">
        <f>WACC!I12</f>
        <v>4.478E-2</v>
      </c>
      <c r="W10" s="332">
        <f>WACC!J12</f>
        <v>4.6739999999999997E-2</v>
      </c>
      <c r="X10" s="332">
        <f>WACC!K12</f>
        <v>4.7780000000000003E-2</v>
      </c>
      <c r="Y10" s="332">
        <f>WACC!L12</f>
        <v>4.913E-2</v>
      </c>
      <c r="Z10" s="332">
        <f>WACC!M12</f>
        <v>4.9570000000000003E-2</v>
      </c>
      <c r="AA10" s="332">
        <f>WACC!N12</f>
        <v>4.9630000000000001E-2</v>
      </c>
      <c r="AB10" s="332">
        <f>WACC!O12</f>
        <v>4.9779999999999998E-2</v>
      </c>
      <c r="AC10" s="332">
        <f>WACC!P12</f>
        <v>4.965E-2</v>
      </c>
      <c r="AD10" s="332">
        <f>AC10</f>
        <v>4.965E-2</v>
      </c>
      <c r="AE10" s="332">
        <f>AD10</f>
        <v>4.965E-2</v>
      </c>
      <c r="AF10" s="51"/>
      <c r="AG10" s="51"/>
      <c r="AH10" s="51"/>
    </row>
    <row r="11" spans="1:34" ht="30" customHeight="1" x14ac:dyDescent="0.25">
      <c r="A11" s="25" t="s">
        <v>987</v>
      </c>
      <c r="B11" s="51"/>
      <c r="C11" s="51"/>
      <c r="D11" s="51"/>
      <c r="E11" s="70" t="s">
        <v>37</v>
      </c>
      <c r="F11" s="77">
        <f>'Balanço Patrimonial'!F10</f>
        <v>648914.44999999995</v>
      </c>
      <c r="G11" s="77">
        <f>'Balanço Patrimonial'!G10</f>
        <v>713782.57499999995</v>
      </c>
      <c r="H11" s="77">
        <f>'Balanço Patrimonial'!H10</f>
        <v>903588.7</v>
      </c>
      <c r="I11" s="77">
        <f>'Balanço Patrimonial'!I10</f>
        <v>1142252.2000000002</v>
      </c>
      <c r="J11" s="77">
        <f>'Balanço Patrimonial'!J10</f>
        <v>1359272.5</v>
      </c>
      <c r="K11" s="77">
        <f>'Balanço Patrimonial'!K10</f>
        <v>1577660.9500000002</v>
      </c>
      <c r="L11" s="77">
        <f>'Balanço Patrimonial'!L10</f>
        <v>1501803.4500000002</v>
      </c>
      <c r="M11" s="77">
        <f>'Balanço Patrimonial'!M10</f>
        <v>1559918.625</v>
      </c>
      <c r="N11" s="77">
        <f>'Balanço Patrimonial'!N10</f>
        <v>1896491.5250000004</v>
      </c>
      <c r="O11" s="77">
        <f>'Balanço Patrimonial'!O10</f>
        <v>2086630.9249999998</v>
      </c>
      <c r="P11" s="77">
        <f>'Balanço Patrimonial'!P10</f>
        <v>2008305.5</v>
      </c>
      <c r="Q11" s="77">
        <f>'Balanço Patrimonial'!Q10</f>
        <v>2597234.9000000004</v>
      </c>
      <c r="R11" s="77">
        <f>'Balanço Patrimonial'!R10</f>
        <v>3462266.4250000007</v>
      </c>
      <c r="S11" s="77">
        <f>'Balanço Patrimonial'!S10</f>
        <v>3529070.2249999996</v>
      </c>
      <c r="T11" s="142">
        <f>T12*'DRE + DCF'!T12</f>
        <v>3438023.5505885072</v>
      </c>
      <c r="U11" s="142">
        <f>U12*'DRE + DCF'!U12</f>
        <v>3687257.0186257497</v>
      </c>
      <c r="V11" s="142">
        <f>V12*'DRE + DCF'!V12</f>
        <v>3950843.0306201805</v>
      </c>
      <c r="W11" s="142">
        <f>W12*'DRE + DCF'!W12</f>
        <v>4228360.4145383863</v>
      </c>
      <c r="X11" s="142">
        <f>X12*'DRE + DCF'!X12</f>
        <v>4525654.9614618467</v>
      </c>
      <c r="Y11" s="142">
        <f>Y12*'DRE + DCF'!Y12</f>
        <v>4841271.503117091</v>
      </c>
      <c r="Z11" s="142">
        <f>Z12*'DRE + DCF'!Z12</f>
        <v>5146240.4401825182</v>
      </c>
      <c r="AA11" s="142">
        <f>AA12*'DRE + DCF'!AA12</f>
        <v>5461746.2913739486</v>
      </c>
      <c r="AB11" s="142">
        <f>AB12*'DRE + DCF'!AB12</f>
        <v>5787979.429253296</v>
      </c>
      <c r="AC11" s="142">
        <f>AC12*'DRE + DCF'!AC12</f>
        <v>5953135.2909246599</v>
      </c>
      <c r="AD11" s="142">
        <f>AD12*'DRE + DCF'!AD12</f>
        <v>6292218.3006655658</v>
      </c>
      <c r="AE11" s="255">
        <f>AE12*'DRE + DCF'!AE12</f>
        <v>6651620.1556057241</v>
      </c>
      <c r="AF11" s="51"/>
      <c r="AG11" s="51"/>
      <c r="AH11" s="51"/>
    </row>
    <row r="12" spans="1:34" ht="30" customHeight="1" x14ac:dyDescent="0.25">
      <c r="A12" s="25" t="s">
        <v>43</v>
      </c>
      <c r="B12" s="51"/>
      <c r="C12" s="51"/>
      <c r="D12" s="51"/>
      <c r="E12" s="329" t="s">
        <v>70</v>
      </c>
      <c r="F12" s="334">
        <f>F11/'DRE + DCF'!F12</f>
        <v>0.23585413715072448</v>
      </c>
      <c r="G12" s="334">
        <f>G11/'DRE + DCF'!G12</f>
        <v>0.22040237693308379</v>
      </c>
      <c r="H12" s="334">
        <f>H11/'DRE + DCF'!H12</f>
        <v>0.23393833747399356</v>
      </c>
      <c r="I12" s="334">
        <f>I11/'DRE + DCF'!I12</f>
        <v>0.26136532544010432</v>
      </c>
      <c r="J12" s="334">
        <f>J11/'DRE + DCF'!J12</f>
        <v>0.26055576002238912</v>
      </c>
      <c r="K12" s="334">
        <f>K11/'DRE + DCF'!K12</f>
        <v>0.25673069443816132</v>
      </c>
      <c r="L12" s="334">
        <f>L11/'DRE + DCF'!L12</f>
        <v>0.23278079409409608</v>
      </c>
      <c r="M12" s="334">
        <f>M11/'DRE + DCF'!M12</f>
        <v>0.20954523289951177</v>
      </c>
      <c r="N12" s="334">
        <f>N11/'DRE + DCF'!N12</f>
        <v>0.22506168604650478</v>
      </c>
      <c r="O12" s="334">
        <f>O11/'DRE + DCF'!O12</f>
        <v>0.21761950618229017</v>
      </c>
      <c r="P12" s="331">
        <f>P11/'DRE + DCF'!P12</f>
        <v>0.26645316948779252</v>
      </c>
      <c r="Q12" s="334">
        <f>Q11/'DRE + DCF'!Q12</f>
        <v>0.24568142097530396</v>
      </c>
      <c r="R12" s="334">
        <f>R11/'DRE + DCF'!R12</f>
        <v>0.26088694774230731</v>
      </c>
      <c r="S12" s="334">
        <f>AVERAGE($K$12:$O$12,Q12:R12)</f>
        <v>0.23547232605402504</v>
      </c>
      <c r="T12" s="335">
        <f>AVERAGE($K$12:$O$12,Q12:R12)</f>
        <v>0.23547232605402504</v>
      </c>
      <c r="U12" s="335">
        <f t="shared" ref="U12:AE12" si="0">T12</f>
        <v>0.23547232605402504</v>
      </c>
      <c r="V12" s="335">
        <f t="shared" si="0"/>
        <v>0.23547232605402504</v>
      </c>
      <c r="W12" s="335">
        <f t="shared" si="0"/>
        <v>0.23547232605402504</v>
      </c>
      <c r="X12" s="335">
        <f t="shared" si="0"/>
        <v>0.23547232605402504</v>
      </c>
      <c r="Y12" s="335">
        <f t="shared" si="0"/>
        <v>0.23547232605402504</v>
      </c>
      <c r="Z12" s="335">
        <f t="shared" si="0"/>
        <v>0.23547232605402504</v>
      </c>
      <c r="AA12" s="335">
        <f t="shared" si="0"/>
        <v>0.23547232605402504</v>
      </c>
      <c r="AB12" s="335">
        <f t="shared" si="0"/>
        <v>0.23547232605402504</v>
      </c>
      <c r="AC12" s="335">
        <f t="shared" si="0"/>
        <v>0.23547232605402504</v>
      </c>
      <c r="AD12" s="335">
        <f t="shared" si="0"/>
        <v>0.23547232605402504</v>
      </c>
      <c r="AE12" s="333">
        <f t="shared" si="0"/>
        <v>0.23547232605402504</v>
      </c>
      <c r="AF12" s="51"/>
      <c r="AG12" s="51"/>
      <c r="AH12" s="51"/>
    </row>
    <row r="13" spans="1:34" ht="30" customHeight="1" x14ac:dyDescent="0.25">
      <c r="A13" s="25" t="s">
        <v>385</v>
      </c>
      <c r="B13" s="51"/>
      <c r="C13" s="51"/>
      <c r="D13" s="51"/>
      <c r="E13" s="70" t="s">
        <v>27</v>
      </c>
      <c r="F13" s="64">
        <f t="shared" ref="F13:AE13" si="1">(F14+F18+F20+F22+F24)</f>
        <v>160200</v>
      </c>
      <c r="G13" s="64">
        <f t="shared" si="1"/>
        <v>296606.99900000001</v>
      </c>
      <c r="H13" s="64">
        <f t="shared" si="1"/>
        <v>382300</v>
      </c>
      <c r="I13" s="64">
        <f t="shared" si="1"/>
        <v>412141.93757600017</v>
      </c>
      <c r="J13" s="64">
        <f t="shared" si="1"/>
        <v>502049.58448272094</v>
      </c>
      <c r="K13" s="64">
        <f t="shared" si="1"/>
        <v>571349.88055000012</v>
      </c>
      <c r="L13" s="64">
        <f t="shared" si="1"/>
        <v>512555.14160199987</v>
      </c>
      <c r="M13" s="64">
        <f t="shared" si="1"/>
        <v>550398.84228777641</v>
      </c>
      <c r="N13" s="64">
        <f t="shared" si="1"/>
        <v>610360.99842199939</v>
      </c>
      <c r="O13" s="64">
        <f t="shared" si="1"/>
        <v>751331.45873552142</v>
      </c>
      <c r="P13" s="64">
        <f t="shared" si="1"/>
        <v>543976.738715666</v>
      </c>
      <c r="Q13" s="64">
        <f t="shared" si="1"/>
        <v>1088071.8232223827</v>
      </c>
      <c r="R13" s="64">
        <f t="shared" si="1"/>
        <v>995064.9607099503</v>
      </c>
      <c r="S13" s="64">
        <f t="shared" si="1"/>
        <v>888817.62594034325</v>
      </c>
      <c r="T13" s="142">
        <f t="shared" si="1"/>
        <v>1005110.3044054013</v>
      </c>
      <c r="U13" s="142">
        <f t="shared" si="1"/>
        <v>1065600.7771576438</v>
      </c>
      <c r="V13" s="142">
        <f t="shared" si="1"/>
        <v>1134610.1542299406</v>
      </c>
      <c r="W13" s="142">
        <f t="shared" si="1"/>
        <v>1207719.3628932913</v>
      </c>
      <c r="X13" s="142">
        <f t="shared" si="1"/>
        <v>1283848.4700003273</v>
      </c>
      <c r="Y13" s="142">
        <f t="shared" si="1"/>
        <v>1367091.4535150519</v>
      </c>
      <c r="Z13" s="142">
        <f t="shared" si="1"/>
        <v>1289849.4186260735</v>
      </c>
      <c r="AA13" s="142">
        <f t="shared" si="1"/>
        <v>1366859.2972627622</v>
      </c>
      <c r="AB13" s="142">
        <f t="shared" si="1"/>
        <v>1446652.7989429161</v>
      </c>
      <c r="AC13" s="142">
        <f t="shared" si="1"/>
        <v>1492052.7212446705</v>
      </c>
      <c r="AD13" s="142">
        <f t="shared" si="1"/>
        <v>1575541.0366874638</v>
      </c>
      <c r="AE13" s="255">
        <f t="shared" si="1"/>
        <v>1663927.7380536706</v>
      </c>
      <c r="AF13" s="51"/>
      <c r="AG13" s="51"/>
      <c r="AH13" s="51"/>
    </row>
    <row r="14" spans="1:34" ht="30" customHeight="1" x14ac:dyDescent="0.25">
      <c r="A14" s="25" t="s">
        <v>73</v>
      </c>
      <c r="B14" s="51"/>
      <c r="C14" s="51"/>
      <c r="D14" s="51"/>
      <c r="E14" s="66" t="s">
        <v>974</v>
      </c>
      <c r="F14" s="67">
        <v>72500</v>
      </c>
      <c r="G14" s="67">
        <v>188300</v>
      </c>
      <c r="H14" s="67">
        <v>171600</v>
      </c>
      <c r="I14" s="67">
        <v>198643.87934070179</v>
      </c>
      <c r="J14" s="67">
        <v>218389.12629000004</v>
      </c>
      <c r="K14" s="67">
        <v>177004.20816000001</v>
      </c>
      <c r="L14" s="67">
        <v>180037.68643999984</v>
      </c>
      <c r="M14" s="67">
        <v>222374.54696269703</v>
      </c>
      <c r="N14" s="67">
        <v>225123.52551309339</v>
      </c>
      <c r="O14" s="67">
        <v>262395.67746387841</v>
      </c>
      <c r="P14" s="67">
        <v>96253.650481145713</v>
      </c>
      <c r="Q14" s="67">
        <v>173151.07138000001</v>
      </c>
      <c r="R14" s="67">
        <v>222300</v>
      </c>
      <c r="S14" s="67">
        <v>193938.66361421972</v>
      </c>
      <c r="T14" s="143">
        <f t="shared" ref="T14:AB14" si="2">T15*T16</f>
        <v>261725.07434385302</v>
      </c>
      <c r="U14" s="143">
        <f t="shared" si="2"/>
        <v>268325.14284211968</v>
      </c>
      <c r="V14" s="143">
        <f t="shared" si="2"/>
        <v>280340.74273858976</v>
      </c>
      <c r="W14" s="143">
        <f t="shared" si="2"/>
        <v>293443.86905419145</v>
      </c>
      <c r="X14" s="143">
        <f t="shared" si="2"/>
        <v>305290.58486611577</v>
      </c>
      <c r="Y14" s="143">
        <f t="shared" si="2"/>
        <v>320289.51130058797</v>
      </c>
      <c r="Z14" s="143">
        <f t="shared" si="2"/>
        <v>177105.69326029817</v>
      </c>
      <c r="AA14" s="143">
        <f t="shared" si="2"/>
        <v>185895.44881680678</v>
      </c>
      <c r="AB14" s="143">
        <f t="shared" si="2"/>
        <v>195149.32425890741</v>
      </c>
      <c r="AC14" s="143">
        <f t="shared" ref="AC14:AE14" si="3">AC15*AC16</f>
        <v>204838.48820836216</v>
      </c>
      <c r="AD14" s="143">
        <f t="shared" si="3"/>
        <v>215008.71914790734</v>
      </c>
      <c r="AE14" s="256">
        <f t="shared" si="3"/>
        <v>225683.90205360093</v>
      </c>
      <c r="AF14" s="51"/>
      <c r="AG14" s="51"/>
      <c r="AH14" s="51"/>
    </row>
    <row r="15" spans="1:34" ht="30" customHeight="1" x14ac:dyDescent="0.25">
      <c r="A15" s="438" t="s">
        <v>382</v>
      </c>
      <c r="B15" s="51"/>
      <c r="C15" s="51"/>
      <c r="D15" s="51"/>
      <c r="E15" s="349" t="s">
        <v>1065</v>
      </c>
      <c r="F15" s="337">
        <f>'Projeções - Receita'!F34+'Projeções - Receita'!F51+'Projeções - Receita'!F68</f>
        <v>38715.110000000008</v>
      </c>
      <c r="G15" s="337">
        <f>'Projeções - Receita'!G34+'Projeções - Receita'!G51+'Projeções - Receita'!G68</f>
        <v>73441.95</v>
      </c>
      <c r="H15" s="337">
        <f>'Projeções - Receita'!H34+'Projeções - Receita'!H51+'Projeções - Receita'!H68</f>
        <v>69245.570000000022</v>
      </c>
      <c r="I15" s="337">
        <f>'Projeções - Receita'!I34+'Projeções - Receita'!I51+'Projeções - Receita'!I68</f>
        <v>83551.710000000006</v>
      </c>
      <c r="J15" s="337">
        <f>'Projeções - Receita'!J34+'Projeções - Receita'!J51+'Projeções - Receita'!J68</f>
        <v>79259.03</v>
      </c>
      <c r="K15" s="337">
        <f>'Projeções - Receita'!K34+'Projeções - Receita'!K51+'Projeções - Receita'!K68</f>
        <v>65506.07</v>
      </c>
      <c r="L15" s="337">
        <f>'Projeções - Receita'!L34+'Projeções - Receita'!L51+'Projeções - Receita'!L68</f>
        <v>66581.13</v>
      </c>
      <c r="M15" s="337">
        <f>'Projeções - Receita'!M34+'Projeções - Receita'!M51+'Projeções - Receita'!M68</f>
        <v>83193.689999999988</v>
      </c>
      <c r="N15" s="337">
        <f>'Projeções - Receita'!N34+'Projeções - Receita'!N51+'Projeções - Receita'!N68</f>
        <v>67704.549999999988</v>
      </c>
      <c r="O15" s="337">
        <f>'Projeções - Receita'!O34+'Projeções - Receita'!O51+'Projeções - Receita'!O68</f>
        <v>71617.25</v>
      </c>
      <c r="P15" s="337">
        <f>'Projeções - Receita'!P34+'Projeções - Receita'!P51+'Projeções - Receita'!P68</f>
        <v>15625.250000000002</v>
      </c>
      <c r="Q15" s="337">
        <f>'Projeções - Receita'!Q34+'Projeções - Receita'!Q51+'Projeções - Receita'!Q68</f>
        <v>42636.740000000005</v>
      </c>
      <c r="R15" s="337">
        <f>'Projeções - Receita'!R34+'Projeções - Receita'!R51+'Projeções - Receita'!R68</f>
        <v>44668.69</v>
      </c>
      <c r="S15" s="337">
        <f>'Projeções - Receita'!S34+'Projeções - Receita'!S51+'Projeções - Receita'!S68</f>
        <v>28979.5</v>
      </c>
      <c r="T15" s="338">
        <f>'Projeções - Receita'!T34+'Projeções - Receita'!T51+'Projeções - Receita'!T68</f>
        <v>37648.911344537817</v>
      </c>
      <c r="U15" s="338">
        <f>'Projeções - Receita'!U34+'Projeções - Receita'!U51+'Projeções - Receita'!U68</f>
        <v>37051.42801120448</v>
      </c>
      <c r="V15" s="338">
        <f>'Projeções - Receita'!V34+'Projeções - Receita'!V51+'Projeções - Receita'!V68</f>
        <v>37051.42801120448</v>
      </c>
      <c r="W15" s="338">
        <f>'Projeções - Receita'!W34+'Projeções - Receita'!W51+'Projeções - Receita'!W68</f>
        <v>37051.42801120448</v>
      </c>
      <c r="X15" s="338">
        <f>'Projeções - Receita'!X34+'Projeções - Receita'!X51+'Projeções - Receita'!X68</f>
        <v>36789.443395819864</v>
      </c>
      <c r="Y15" s="338">
        <f>'Projeções - Receita'!Y34+'Projeções - Receita'!Y51+'Projeções - Receita'!Y68</f>
        <v>36789.443395819864</v>
      </c>
      <c r="Z15" s="338">
        <f>'Projeções - Receita'!Z34+'Projeções - Receita'!Z51+'Projeções - Receita'!Z68</f>
        <v>19382.134992458523</v>
      </c>
      <c r="AA15" s="338">
        <f>'Projeções - Receita'!AA34+'Projeções - Receita'!AA51+'Projeções - Receita'!AA68</f>
        <v>19382.134992458523</v>
      </c>
      <c r="AB15" s="338">
        <f>'Projeções - Receita'!AB34+'Projeções - Receita'!AB51+'Projeções - Receita'!AB68</f>
        <v>19382.134992458523</v>
      </c>
      <c r="AC15" s="338">
        <f>'Projeções - Receita'!AC34+'Projeções - Receita'!AC51+'Projeções - Receita'!AC68</f>
        <v>19382.134992458523</v>
      </c>
      <c r="AD15" s="338">
        <f>'Projeções - Receita'!AD34+'Projeções - Receita'!AD51+'Projeções - Receita'!AD68</f>
        <v>19382.134992458523</v>
      </c>
      <c r="AE15" s="339">
        <f>'Projeções - Receita'!AE34+'Projeções - Receita'!AE51+'Projeções - Receita'!AE68</f>
        <v>19382.134992458523</v>
      </c>
      <c r="AF15" s="75"/>
      <c r="AG15" s="51"/>
      <c r="AH15" s="51"/>
    </row>
    <row r="16" spans="1:34" ht="30" customHeight="1" x14ac:dyDescent="0.25">
      <c r="A16" s="25" t="s">
        <v>1307</v>
      </c>
      <c r="B16" s="51"/>
      <c r="C16" s="51"/>
      <c r="D16" s="51"/>
      <c r="E16" s="349" t="s">
        <v>1064</v>
      </c>
      <c r="F16" s="340">
        <f>F14/F15</f>
        <v>1.8726538553035232</v>
      </c>
      <c r="G16" s="340">
        <f t="shared" ref="G16:Q16" si="4">G14/G15</f>
        <v>2.5639297431508834</v>
      </c>
      <c r="H16" s="340">
        <f t="shared" si="4"/>
        <v>2.4781368685390261</v>
      </c>
      <c r="I16" s="340">
        <f t="shared" si="4"/>
        <v>2.3774962755484212</v>
      </c>
      <c r="J16" s="340">
        <f t="shared" si="4"/>
        <v>2.7553847970382686</v>
      </c>
      <c r="K16" s="340">
        <f t="shared" si="4"/>
        <v>2.7021039143395416</v>
      </c>
      <c r="L16" s="340">
        <f t="shared" si="4"/>
        <v>2.7040347083325234</v>
      </c>
      <c r="M16" s="340">
        <f t="shared" si="4"/>
        <v>2.6729737190728895</v>
      </c>
      <c r="N16" s="340">
        <f t="shared" si="4"/>
        <v>3.3250870955215484</v>
      </c>
      <c r="O16" s="340">
        <f>O14/O15</f>
        <v>3.6638613946204082</v>
      </c>
      <c r="P16" s="340">
        <f t="shared" si="4"/>
        <v>6.1601350686322265</v>
      </c>
      <c r="Q16" s="340">
        <f t="shared" si="4"/>
        <v>4.0610767000478925</v>
      </c>
      <c r="R16" s="340">
        <f>R14/R15</f>
        <v>4.9766402372668637</v>
      </c>
      <c r="S16" s="340">
        <f>S14/S15</f>
        <v>6.6922708678279381</v>
      </c>
      <c r="T16" s="341">
        <f t="shared" ref="T16:AB16" si="5">S16*(1+T10)</f>
        <v>6.9517302093736273</v>
      </c>
      <c r="U16" s="341">
        <f t="shared" si="5"/>
        <v>7.2419649456149759</v>
      </c>
      <c r="V16" s="341">
        <f t="shared" si="5"/>
        <v>7.5662601358796149</v>
      </c>
      <c r="W16" s="341">
        <f t="shared" si="5"/>
        <v>7.9199071346306278</v>
      </c>
      <c r="X16" s="341">
        <f t="shared" si="5"/>
        <v>8.2983202975232793</v>
      </c>
      <c r="Y16" s="341">
        <f t="shared" si="5"/>
        <v>8.7060167737405969</v>
      </c>
      <c r="Z16" s="341">
        <f t="shared" si="5"/>
        <v>9.1375740252149189</v>
      </c>
      <c r="AA16" s="341">
        <f t="shared" si="5"/>
        <v>9.5910718240863364</v>
      </c>
      <c r="AB16" s="341">
        <f t="shared" si="5"/>
        <v>10.068515379489353</v>
      </c>
      <c r="AC16" s="341">
        <f t="shared" ref="AC16" si="6">AB16*(1+AC10)</f>
        <v>10.568417168081</v>
      </c>
      <c r="AD16" s="341">
        <f t="shared" ref="AD16" si="7">AC16*(1+AD10)</f>
        <v>11.093139080476222</v>
      </c>
      <c r="AE16" s="342">
        <f t="shared" ref="AE16" si="8">AD16*(1+AE10)</f>
        <v>11.643913435821865</v>
      </c>
      <c r="AF16" s="51"/>
      <c r="AG16" s="51"/>
      <c r="AH16" s="51"/>
    </row>
    <row r="17" spans="1:34" ht="30" customHeight="1" x14ac:dyDescent="0.25">
      <c r="A17" s="25" t="s">
        <v>1086</v>
      </c>
      <c r="B17" s="51"/>
      <c r="C17" s="51"/>
      <c r="D17" s="51"/>
      <c r="E17" s="346" t="s">
        <v>70</v>
      </c>
      <c r="F17" s="331">
        <f>F14/'DRE + DCF'!F$12</f>
        <v>2.6350815494134126E-2</v>
      </c>
      <c r="G17" s="331">
        <f>G14/'DRE + DCF'!G$12</f>
        <v>5.8143430548861015E-2</v>
      </c>
      <c r="H17" s="331">
        <f>H14/'DRE + DCF'!H$12</f>
        <v>4.442709244874056E-2</v>
      </c>
      <c r="I17" s="331">
        <f>I14/'DRE + DCF'!I$12</f>
        <v>4.5452853731047599E-2</v>
      </c>
      <c r="J17" s="331">
        <f>J14/'DRE + DCF'!J$12</f>
        <v>4.1862499815979858E-2</v>
      </c>
      <c r="K17" s="331">
        <f>K14/'DRE + DCF'!K$12</f>
        <v>2.88036623327678E-2</v>
      </c>
      <c r="L17" s="331">
        <f>L14/'DRE + DCF'!L$12</f>
        <v>2.7905992369618694E-2</v>
      </c>
      <c r="M17" s="331">
        <f>M14/'DRE + DCF'!M$12</f>
        <v>2.9871767339287821E-2</v>
      </c>
      <c r="N17" s="331">
        <f>N14/'DRE + DCF'!N$12</f>
        <v>2.6716006664311419E-2</v>
      </c>
      <c r="O17" s="331">
        <f>O14/'DRE + DCF'!O$12</f>
        <v>2.7365844658923912E-2</v>
      </c>
      <c r="P17" s="331">
        <f>P14/'DRE + DCF'!P$12</f>
        <v>1.2770512377460233E-2</v>
      </c>
      <c r="Q17" s="331">
        <f>Q14/'DRE + DCF'!Q$12</f>
        <v>1.6378957967966117E-2</v>
      </c>
      <c r="R17" s="331">
        <f>R14/'DRE + DCF'!R$12</f>
        <v>1.6750637115719624E-2</v>
      </c>
      <c r="S17" s="331">
        <f>S14/'DRE + DCF'!S$12</f>
        <v>1.4210199982005935E-2</v>
      </c>
      <c r="T17" s="348">
        <f>T14/'DRE + DCF'!T$12</f>
        <v>1.7925709680452973E-2</v>
      </c>
      <c r="U17" s="348">
        <f>U14/'DRE + DCF'!U$12</f>
        <v>1.7135541462027233E-2</v>
      </c>
      <c r="V17" s="348">
        <f>V14/'DRE + DCF'!V$12</f>
        <v>1.6708455959589592E-2</v>
      </c>
      <c r="W17" s="348">
        <f>W14/'DRE + DCF'!W$12</f>
        <v>1.6341537531877275E-2</v>
      </c>
      <c r="X17" s="348">
        <f>X14/'DRE + DCF'!X$12</f>
        <v>1.5884437667691174E-2</v>
      </c>
      <c r="Y17" s="348">
        <f>Y14/'DRE + DCF'!Y$12</f>
        <v>1.5578410793135041E-2</v>
      </c>
      <c r="Z17" s="348">
        <f>Z14/'DRE + DCF'!Z$12</f>
        <v>8.1036807421174441E-3</v>
      </c>
      <c r="AA17" s="348">
        <f>AA14/'DRE + DCF'!AA$12</f>
        <v>8.0145124655248163E-3</v>
      </c>
      <c r="AB17" s="348">
        <f>AB14/'DRE + DCF'!AB$12</f>
        <v>7.9392585742213643E-3</v>
      </c>
      <c r="AC17" s="348">
        <f>AC14/'DRE + DCF'!AC$12</f>
        <v>8.1022508185466073E-3</v>
      </c>
      <c r="AD17" s="348">
        <f>AD14/'DRE + DCF'!AD$12</f>
        <v>8.0462248447894825E-3</v>
      </c>
      <c r="AE17" s="348">
        <f>AE14/'DRE + DCF'!AE$12</f>
        <v>7.9893788470052542E-3</v>
      </c>
      <c r="AF17" s="51"/>
      <c r="AG17" s="51"/>
      <c r="AH17" s="51"/>
    </row>
    <row r="18" spans="1:34" ht="30" customHeight="1" x14ac:dyDescent="0.25">
      <c r="A18" s="25"/>
      <c r="B18" s="51"/>
      <c r="C18" s="51"/>
      <c r="D18" s="51"/>
      <c r="E18" s="66" t="s">
        <v>975</v>
      </c>
      <c r="F18" s="67">
        <v>22300</v>
      </c>
      <c r="G18" s="67">
        <v>39000</v>
      </c>
      <c r="H18" s="67">
        <v>71300</v>
      </c>
      <c r="I18" s="67">
        <v>109059.52142095842</v>
      </c>
      <c r="J18" s="67">
        <v>122221.48948217375</v>
      </c>
      <c r="K18" s="67">
        <v>202127.86225000009</v>
      </c>
      <c r="L18" s="67">
        <v>132913.53463200005</v>
      </c>
      <c r="M18" s="67">
        <v>141970.60699624199</v>
      </c>
      <c r="N18" s="67">
        <v>167908.85186841531</v>
      </c>
      <c r="O18" s="67">
        <v>94655.968630516363</v>
      </c>
      <c r="P18" s="67">
        <v>45546.45861528087</v>
      </c>
      <c r="Q18" s="67">
        <v>91200.300166999994</v>
      </c>
      <c r="R18" s="67">
        <v>178754.66641707593</v>
      </c>
      <c r="S18" s="67">
        <v>291982.70528837509</v>
      </c>
      <c r="T18" s="143">
        <f>T19*'DRE + DCF'!T$12</f>
        <v>312364.65962099819</v>
      </c>
      <c r="U18" s="143">
        <f>U19*'DRE + DCF'!U$12</f>
        <v>335008.98600913124</v>
      </c>
      <c r="V18" s="143">
        <f>V19*'DRE + DCF'!V$12</f>
        <v>358957.32542740047</v>
      </c>
      <c r="W18" s="143">
        <f>W19*'DRE + DCF'!W$12</f>
        <v>384171.411919531</v>
      </c>
      <c r="X18" s="143">
        <f>X19*'DRE + DCF'!X$12</f>
        <v>411182.36998612987</v>
      </c>
      <c r="Y18" s="143">
        <f>Y19*'DRE + DCF'!Y$12</f>
        <v>439857.9890312702</v>
      </c>
      <c r="Z18" s="143">
        <f>Z19*'DRE + DCF'!Z$12</f>
        <v>467566.21057766234</v>
      </c>
      <c r="AA18" s="143">
        <f>AA19*'DRE + DCF'!AA$12</f>
        <v>496231.77274316136</v>
      </c>
      <c r="AB18" s="143">
        <f>AB19*'DRE + DCF'!AB$12</f>
        <v>525871.97199465532</v>
      </c>
      <c r="AC18" s="143">
        <f>AC19*'DRE + DCF'!AC$12</f>
        <v>540877.35335877014</v>
      </c>
      <c r="AD18" s="143">
        <f>AD19*'DRE + DCF'!AD$12</f>
        <v>571685.03904284607</v>
      </c>
      <c r="AE18" s="256">
        <f>AE19*'DRE + DCF'!AE$12</f>
        <v>604338.811314511</v>
      </c>
      <c r="AF18" s="51"/>
      <c r="AG18" s="51"/>
      <c r="AH18" s="51"/>
    </row>
    <row r="19" spans="1:34" ht="30" customHeight="1" x14ac:dyDescent="0.25">
      <c r="A19" s="8"/>
      <c r="B19" s="51"/>
      <c r="C19" s="51"/>
      <c r="D19" s="51"/>
      <c r="E19" s="346" t="s">
        <v>70</v>
      </c>
      <c r="F19" s="331">
        <f>F18/'DRE + DCF'!F$12</f>
        <v>8.1051473864715996E-3</v>
      </c>
      <c r="G19" s="331">
        <f>G18/'DRE + DCF'!G$12</f>
        <v>1.2042452423821452E-2</v>
      </c>
      <c r="H19" s="331">
        <f>H18/'DRE + DCF'!H$12</f>
        <v>1.845950869227973E-2</v>
      </c>
      <c r="I19" s="331">
        <f>I18/'DRE + DCF'!I$12</f>
        <v>2.4954539206429913E-2</v>
      </c>
      <c r="J19" s="331">
        <f>J18/'DRE + DCF'!J$12</f>
        <v>2.3428350888505593E-2</v>
      </c>
      <c r="K19" s="331">
        <f>K18/'DRE + DCF'!K$12</f>
        <v>3.2892001567728181E-2</v>
      </c>
      <c r="L19" s="331">
        <f>L18/'DRE + DCF'!L$12</f>
        <v>2.0601709323207446E-2</v>
      </c>
      <c r="M19" s="331">
        <f>M18/'DRE + DCF'!M$12</f>
        <v>1.9071035777851925E-2</v>
      </c>
      <c r="N19" s="331">
        <f>N18/'DRE + DCF'!N$12</f>
        <v>1.9926189389978085E-2</v>
      </c>
      <c r="O19" s="331">
        <f>O18/'DRE + DCF'!O$12</f>
        <v>9.871887214831402E-3</v>
      </c>
      <c r="P19" s="331">
        <f>P18/'DRE + DCF'!P$12</f>
        <v>6.0429044570092351E-3</v>
      </c>
      <c r="Q19" s="331">
        <f>Q18/'DRE + DCF'!Q$12</f>
        <v>8.6269514314638255E-3</v>
      </c>
      <c r="R19" s="331">
        <f>R18/'DRE + DCF'!R$12</f>
        <v>1.3469431173612023E-2</v>
      </c>
      <c r="S19" s="331">
        <f>S18/'DRE + DCF'!S$12</f>
        <v>2.1394045705544887E-2</v>
      </c>
      <c r="T19" s="332">
        <f t="shared" ref="T19:AE19" si="9">S19</f>
        <v>2.1394045705544887E-2</v>
      </c>
      <c r="U19" s="332">
        <f t="shared" si="9"/>
        <v>2.1394045705544887E-2</v>
      </c>
      <c r="V19" s="332">
        <f t="shared" si="9"/>
        <v>2.1394045705544887E-2</v>
      </c>
      <c r="W19" s="332">
        <f t="shared" si="9"/>
        <v>2.1394045705544887E-2</v>
      </c>
      <c r="X19" s="332">
        <f t="shared" si="9"/>
        <v>2.1394045705544887E-2</v>
      </c>
      <c r="Y19" s="332">
        <f t="shared" si="9"/>
        <v>2.1394045705544887E-2</v>
      </c>
      <c r="Z19" s="332">
        <f t="shared" si="9"/>
        <v>2.1394045705544887E-2</v>
      </c>
      <c r="AA19" s="332">
        <f t="shared" si="9"/>
        <v>2.1394045705544887E-2</v>
      </c>
      <c r="AB19" s="332">
        <f t="shared" si="9"/>
        <v>2.1394045705544887E-2</v>
      </c>
      <c r="AC19" s="332">
        <f t="shared" si="9"/>
        <v>2.1394045705544887E-2</v>
      </c>
      <c r="AD19" s="332">
        <f t="shared" si="9"/>
        <v>2.1394045705544887E-2</v>
      </c>
      <c r="AE19" s="333">
        <f t="shared" si="9"/>
        <v>2.1394045705544887E-2</v>
      </c>
      <c r="AF19" s="51"/>
      <c r="AG19" s="51"/>
      <c r="AH19" s="51"/>
    </row>
    <row r="20" spans="1:34" ht="30" customHeight="1" x14ac:dyDescent="0.25">
      <c r="A20" s="32"/>
      <c r="B20" s="51"/>
      <c r="C20" s="51"/>
      <c r="D20" s="51"/>
      <c r="E20" s="66" t="s">
        <v>976</v>
      </c>
      <c r="F20" s="67">
        <v>37800</v>
      </c>
      <c r="G20" s="67">
        <v>29200</v>
      </c>
      <c r="H20" s="67">
        <v>47600</v>
      </c>
      <c r="I20" s="67">
        <v>39403.840002629477</v>
      </c>
      <c r="J20" s="67">
        <v>83022.898605026232</v>
      </c>
      <c r="K20" s="67">
        <v>116322.88801000004</v>
      </c>
      <c r="L20" s="67">
        <v>162975.05349999998</v>
      </c>
      <c r="M20" s="67">
        <v>143501.00990601501</v>
      </c>
      <c r="N20" s="67">
        <v>184021.23296555961</v>
      </c>
      <c r="O20" s="67">
        <v>246991.24101827282</v>
      </c>
      <c r="P20" s="67">
        <v>265672.27198373881</v>
      </c>
      <c r="Q20" s="67">
        <v>334724.61919470399</v>
      </c>
      <c r="R20" s="67">
        <v>464572.33088287432</v>
      </c>
      <c r="S20" s="67">
        <v>364995.72702774842</v>
      </c>
      <c r="T20" s="143">
        <f>T21*'DRE + DCF'!T$12</f>
        <v>390474.38074641553</v>
      </c>
      <c r="U20" s="143">
        <f>U21*'DRE + DCF'!U$12</f>
        <v>418781.13393211289</v>
      </c>
      <c r="V20" s="143">
        <f>V21*'DRE + DCF'!V$12</f>
        <v>448717.98087119928</v>
      </c>
      <c r="W20" s="143">
        <f>W21*'DRE + DCF'!W$12</f>
        <v>480237.08684511785</v>
      </c>
      <c r="X20" s="143">
        <f>X21*'DRE + DCF'!X$12</f>
        <v>514002.38903141418</v>
      </c>
      <c r="Y20" s="143">
        <f>Y21*'DRE + DCF'!Y$12</f>
        <v>549848.61633112561</v>
      </c>
      <c r="Z20" s="143">
        <f>Z21*'DRE + DCF'!Z$12</f>
        <v>584485.53928854142</v>
      </c>
      <c r="AA20" s="143">
        <f>AA21*'DRE + DCF'!AA$12</f>
        <v>620319.19489126594</v>
      </c>
      <c r="AB20" s="143">
        <f>AB21*'DRE + DCF'!AB$12</f>
        <v>657371.20475041668</v>
      </c>
      <c r="AC20" s="143">
        <f>AC21*'DRE + DCF'!AC$12</f>
        <v>676128.82285973057</v>
      </c>
      <c r="AD20" s="143">
        <f>AD21*'DRE + DCF'!AD$12</f>
        <v>714640.26011487865</v>
      </c>
      <c r="AE20" s="256">
        <f>AE21*'DRE + DCF'!AE$12</f>
        <v>755459.41527245438</v>
      </c>
      <c r="AF20" s="51"/>
      <c r="AG20" s="51"/>
      <c r="AH20" s="51"/>
    </row>
    <row r="21" spans="1:34" ht="30" customHeight="1" x14ac:dyDescent="0.25">
      <c r="A21" s="25"/>
      <c r="B21" s="51"/>
      <c r="C21" s="51"/>
      <c r="D21" s="51"/>
      <c r="E21" s="346" t="s">
        <v>70</v>
      </c>
      <c r="F21" s="331">
        <f>F20/'DRE + DCF'!F$12</f>
        <v>1.3738770009355448E-2</v>
      </c>
      <c r="G21" s="331">
        <f>G20/'DRE + DCF'!G$12</f>
        <v>9.0164002762970884E-3</v>
      </c>
      <c r="H21" s="331">
        <f>H20/'DRE + DCF'!H$12</f>
        <v>1.2323599070862766E-2</v>
      </c>
      <c r="I21" s="331">
        <f>I20/'DRE + DCF'!I$12</f>
        <v>9.0162202934492511E-3</v>
      </c>
      <c r="J21" s="331">
        <f>J20/'DRE + DCF'!J$12</f>
        <v>1.5914464866532915E-2</v>
      </c>
      <c r="K21" s="331">
        <f>K20/'DRE + DCF'!K$12</f>
        <v>1.8929070798044269E-2</v>
      </c>
      <c r="L21" s="331">
        <f>L20/'DRE + DCF'!L$12</f>
        <v>2.5261269955970458E-2</v>
      </c>
      <c r="M21" s="331">
        <f>M20/'DRE + DCF'!M$12</f>
        <v>1.927661613891626E-2</v>
      </c>
      <c r="N21" s="331">
        <f>N20/'DRE + DCF'!N$12</f>
        <v>2.1838288446654398E-2</v>
      </c>
      <c r="O21" s="331">
        <f>O20/'DRE + DCF'!O$12</f>
        <v>2.575928078979638E-2</v>
      </c>
      <c r="P21" s="331">
        <f>P20/'DRE + DCF'!P$12</f>
        <v>3.5248232360609512E-2</v>
      </c>
      <c r="Q21" s="331">
        <f>Q20/'DRE + DCF'!Q$12</f>
        <v>3.1662757988956784E-2</v>
      </c>
      <c r="R21" s="331">
        <f>R20/'DRE + DCF'!R$12</f>
        <v>3.5006219202083008E-2</v>
      </c>
      <c r="S21" s="331">
        <f>S20/'DRE + DCF'!S$12</f>
        <v>2.6743828058747456E-2</v>
      </c>
      <c r="T21" s="332">
        <f t="shared" ref="T21:AE21" si="10">S21</f>
        <v>2.6743828058747456E-2</v>
      </c>
      <c r="U21" s="332">
        <f t="shared" si="10"/>
        <v>2.6743828058747456E-2</v>
      </c>
      <c r="V21" s="332">
        <f t="shared" si="10"/>
        <v>2.6743828058747456E-2</v>
      </c>
      <c r="W21" s="332">
        <f t="shared" si="10"/>
        <v>2.6743828058747456E-2</v>
      </c>
      <c r="X21" s="332">
        <f t="shared" si="10"/>
        <v>2.6743828058747456E-2</v>
      </c>
      <c r="Y21" s="332">
        <f t="shared" si="10"/>
        <v>2.6743828058747456E-2</v>
      </c>
      <c r="Z21" s="332">
        <f t="shared" si="10"/>
        <v>2.6743828058747456E-2</v>
      </c>
      <c r="AA21" s="332">
        <f t="shared" si="10"/>
        <v>2.6743828058747456E-2</v>
      </c>
      <c r="AB21" s="332">
        <f t="shared" si="10"/>
        <v>2.6743828058747456E-2</v>
      </c>
      <c r="AC21" s="332">
        <f t="shared" si="10"/>
        <v>2.6743828058747456E-2</v>
      </c>
      <c r="AD21" s="332">
        <f t="shared" si="10"/>
        <v>2.6743828058747456E-2</v>
      </c>
      <c r="AE21" s="333">
        <f t="shared" si="10"/>
        <v>2.6743828058747456E-2</v>
      </c>
      <c r="AF21" s="51"/>
      <c r="AG21" s="51"/>
      <c r="AH21" s="51"/>
    </row>
    <row r="22" spans="1:34" ht="30" customHeight="1" x14ac:dyDescent="0.25">
      <c r="A22" s="25"/>
      <c r="B22" s="51"/>
      <c r="C22" s="51"/>
      <c r="D22" s="51"/>
      <c r="E22" s="66" t="s">
        <v>977</v>
      </c>
      <c r="F22" s="67">
        <v>12300</v>
      </c>
      <c r="G22" s="67">
        <v>28300</v>
      </c>
      <c r="H22" s="67">
        <v>76100</v>
      </c>
      <c r="I22" s="67">
        <v>46303.619577038306</v>
      </c>
      <c r="J22" s="67">
        <v>57673.477416009744</v>
      </c>
      <c r="K22" s="67">
        <v>50394.922129999984</v>
      </c>
      <c r="L22" s="67">
        <v>12327.97927</v>
      </c>
      <c r="M22" s="67">
        <v>22246.514919009001</v>
      </c>
      <c r="N22" s="67">
        <v>17464.708204147973</v>
      </c>
      <c r="O22" s="67">
        <v>145034.18377118223</v>
      </c>
      <c r="P22" s="67">
        <v>134932.95083481536</v>
      </c>
      <c r="Q22" s="67">
        <v>488511.92725067993</v>
      </c>
      <c r="R22" s="67">
        <v>128914.97818999999</v>
      </c>
      <c r="S22" s="67">
        <v>37140.64544</v>
      </c>
      <c r="T22" s="143">
        <f>T23*'DRE + DCF'!T$12</f>
        <v>39733.261117338086</v>
      </c>
      <c r="U22" s="143">
        <f>U23*'DRE + DCF'!U$12</f>
        <v>42613.65397067045</v>
      </c>
      <c r="V22" s="143">
        <f>V23*'DRE + DCF'!V$12</f>
        <v>45659.919270295803</v>
      </c>
      <c r="W22" s="143">
        <f>W23*'DRE + DCF'!W$12</f>
        <v>48867.189528213363</v>
      </c>
      <c r="X22" s="143">
        <f>X23*'DRE + DCF'!X$12</f>
        <v>52303.024590962879</v>
      </c>
      <c r="Y22" s="143">
        <f>Y23*'DRE + DCF'!Y$12</f>
        <v>55950.607069096972</v>
      </c>
      <c r="Z22" s="143">
        <f>Z23*'DRE + DCF'!Z$12</f>
        <v>59475.135109931209</v>
      </c>
      <c r="AA22" s="143">
        <f>AA23*'DRE + DCF'!AA$12</f>
        <v>63121.43833763634</v>
      </c>
      <c r="AB22" s="143">
        <f>AB23*'DRE + DCF'!AB$12</f>
        <v>66891.716889180825</v>
      </c>
      <c r="AC22" s="143">
        <f>AC23*'DRE + DCF'!AC$12</f>
        <v>68800.424284662149</v>
      </c>
      <c r="AD22" s="143">
        <f>AD23*'DRE + DCF'!AD$12</f>
        <v>72719.208891062561</v>
      </c>
      <c r="AE22" s="256">
        <f>AE23*'DRE + DCF'!AE$12</f>
        <v>76872.818527025811</v>
      </c>
      <c r="AF22" s="51"/>
      <c r="AG22" s="51"/>
      <c r="AH22" s="51"/>
    </row>
    <row r="23" spans="1:34" ht="30" customHeight="1" x14ac:dyDescent="0.25">
      <c r="A23" s="25"/>
      <c r="B23" s="51"/>
      <c r="C23" s="51"/>
      <c r="D23" s="51"/>
      <c r="E23" s="346" t="s">
        <v>70</v>
      </c>
      <c r="F23" s="331">
        <f>F22/'DRE + DCF'!F$12</f>
        <v>4.4705521459013761E-3</v>
      </c>
      <c r="G23" s="331">
        <f>G22/'DRE + DCF'!G$12</f>
        <v>8.7384975280550541E-3</v>
      </c>
      <c r="H23" s="331">
        <f>H22/'DRE + DCF'!H$12</f>
        <v>1.9702224564971775E-2</v>
      </c>
      <c r="I23" s="331">
        <f>I22/'DRE + DCF'!I$12</f>
        <v>1.0594998722530278E-2</v>
      </c>
      <c r="J23" s="331">
        <f>J22/'DRE + DCF'!J$12</f>
        <v>1.1055293726064872E-2</v>
      </c>
      <c r="K23" s="331">
        <f>K22/'DRE + DCF'!K$12</f>
        <v>8.2006994941416014E-3</v>
      </c>
      <c r="L23" s="331">
        <f>L22/'DRE + DCF'!L$12</f>
        <v>1.9108471245329437E-3</v>
      </c>
      <c r="M23" s="331">
        <f>M22/'DRE + DCF'!M$12</f>
        <v>2.9883938015716712E-3</v>
      </c>
      <c r="N23" s="331">
        <f>N22/'DRE + DCF'!N$12</f>
        <v>2.0725833060265147E-3</v>
      </c>
      <c r="O23" s="331">
        <f>O22/'DRE + DCF'!O$12</f>
        <v>1.5125946363435691E-2</v>
      </c>
      <c r="P23" s="331">
        <f>P22/'DRE + DCF'!P$12</f>
        <v>1.7902312381396671E-2</v>
      </c>
      <c r="Q23" s="331">
        <f>Q22/'DRE + DCF'!Q$12</f>
        <v>4.6210030694694322E-2</v>
      </c>
      <c r="R23" s="331">
        <f>R22/'DRE + DCF'!R$12</f>
        <v>9.7139362053153388E-3</v>
      </c>
      <c r="S23" s="331">
        <f>S22/'DRE + DCF'!S$12</f>
        <v>2.7213552435991929E-3</v>
      </c>
      <c r="T23" s="332">
        <f t="shared" ref="T23:AE23" si="11">S23</f>
        <v>2.7213552435991929E-3</v>
      </c>
      <c r="U23" s="332">
        <f t="shared" si="11"/>
        <v>2.7213552435991929E-3</v>
      </c>
      <c r="V23" s="332">
        <f t="shared" si="11"/>
        <v>2.7213552435991929E-3</v>
      </c>
      <c r="W23" s="332">
        <f t="shared" si="11"/>
        <v>2.7213552435991929E-3</v>
      </c>
      <c r="X23" s="332">
        <f t="shared" si="11"/>
        <v>2.7213552435991929E-3</v>
      </c>
      <c r="Y23" s="332">
        <f t="shared" si="11"/>
        <v>2.7213552435991929E-3</v>
      </c>
      <c r="Z23" s="332">
        <f t="shared" si="11"/>
        <v>2.7213552435991929E-3</v>
      </c>
      <c r="AA23" s="332">
        <f t="shared" si="11"/>
        <v>2.7213552435991929E-3</v>
      </c>
      <c r="AB23" s="332">
        <f t="shared" si="11"/>
        <v>2.7213552435991929E-3</v>
      </c>
      <c r="AC23" s="332">
        <f t="shared" si="11"/>
        <v>2.7213552435991929E-3</v>
      </c>
      <c r="AD23" s="332">
        <f t="shared" si="11"/>
        <v>2.7213552435991929E-3</v>
      </c>
      <c r="AE23" s="333">
        <f t="shared" si="11"/>
        <v>2.7213552435991929E-3</v>
      </c>
      <c r="AF23" s="51"/>
      <c r="AG23" s="51"/>
      <c r="AH23" s="51"/>
    </row>
    <row r="24" spans="1:34" s="51" customFormat="1" ht="30" customHeight="1" x14ac:dyDescent="0.25">
      <c r="A24" s="60"/>
      <c r="E24" s="66" t="s">
        <v>978</v>
      </c>
      <c r="F24" s="67">
        <v>15300</v>
      </c>
      <c r="G24" s="67">
        <v>11806.999</v>
      </c>
      <c r="H24" s="67">
        <v>15700</v>
      </c>
      <c r="I24" s="67">
        <v>18731.077234672219</v>
      </c>
      <c r="J24" s="67">
        <v>20742.592689511119</v>
      </c>
      <c r="K24" s="67">
        <v>25500</v>
      </c>
      <c r="L24" s="67">
        <v>24300.887759999994</v>
      </c>
      <c r="M24" s="67">
        <v>20306.163503813401</v>
      </c>
      <c r="N24" s="67">
        <v>15842.679870783073</v>
      </c>
      <c r="O24" s="67">
        <v>2254.3878516717186</v>
      </c>
      <c r="P24" s="67">
        <v>1571.4068006852083</v>
      </c>
      <c r="Q24" s="67">
        <v>483.90522999881534</v>
      </c>
      <c r="R24" s="67">
        <v>522.98522000000003</v>
      </c>
      <c r="S24" s="67">
        <v>759.88456999999994</v>
      </c>
      <c r="T24" s="143">
        <f>T25*'DRE + DCF'!T$12</f>
        <v>812.92857679659551</v>
      </c>
      <c r="U24" s="143">
        <f>U25*'DRE + DCF'!U$12</f>
        <v>871.86040360939137</v>
      </c>
      <c r="V24" s="143">
        <f>V25*'DRE + DCF'!V$12</f>
        <v>934.18592245507932</v>
      </c>
      <c r="W24" s="143">
        <f>W25*'DRE + DCF'!W$12</f>
        <v>999.8055462375645</v>
      </c>
      <c r="X24" s="143">
        <f>X25*'DRE + DCF'!X$12</f>
        <v>1070.1015257047522</v>
      </c>
      <c r="Y24" s="143">
        <f>Y25*'DRE + DCF'!Y$12</f>
        <v>1144.729782971152</v>
      </c>
      <c r="Z24" s="143">
        <f>Z25*'DRE + DCF'!Z$12</f>
        <v>1216.8403896403038</v>
      </c>
      <c r="AA24" s="143">
        <f>AA25*'DRE + DCF'!AA$12</f>
        <v>1291.4424738919211</v>
      </c>
      <c r="AB24" s="143">
        <f>AB25*'DRE + DCF'!AB$12</f>
        <v>1368.5810497561697</v>
      </c>
      <c r="AC24" s="143">
        <f>AC25*'DRE + DCF'!AC$12</f>
        <v>1407.6325331455535</v>
      </c>
      <c r="AD24" s="143">
        <f>AD25*'DRE + DCF'!AD$12</f>
        <v>1487.8094907691845</v>
      </c>
      <c r="AE24" s="256">
        <f>AE25*'DRE + DCF'!AE$12</f>
        <v>1572.7908860782854</v>
      </c>
    </row>
    <row r="25" spans="1:34" s="51" customFormat="1" ht="30" customHeight="1" thickBot="1" x14ac:dyDescent="0.3">
      <c r="A25" s="60"/>
      <c r="E25" s="347" t="s">
        <v>70</v>
      </c>
      <c r="F25" s="343">
        <f>F24/'DRE + DCF'!F$12</f>
        <v>5.560930718072443E-3</v>
      </c>
      <c r="G25" s="343">
        <f>G24/'DRE + DCF'!G$12</f>
        <v>3.6457749673232684E-3</v>
      </c>
      <c r="H25" s="343">
        <f>H24/'DRE + DCF'!H$12</f>
        <v>4.0647165002635592E-3</v>
      </c>
      <c r="I25" s="343">
        <f>I24/'DRE + DCF'!I$12</f>
        <v>4.2859660040784628E-3</v>
      </c>
      <c r="J25" s="343">
        <f>J24/'DRE + DCF'!J$12</f>
        <v>3.9760989816614561E-3</v>
      </c>
      <c r="K25" s="343">
        <f>K24/'DRE + DCF'!K$12</f>
        <v>4.1495815106364353E-3</v>
      </c>
      <c r="L25" s="343">
        <f>L24/'DRE + DCF'!L$12</f>
        <v>3.766657980419673E-3</v>
      </c>
      <c r="M25" s="343">
        <f>M24/'DRE + DCF'!M$12</f>
        <v>2.7277446993122126E-3</v>
      </c>
      <c r="N25" s="343">
        <f>N24/'DRE + DCF'!N$12</f>
        <v>1.880092895861193E-3</v>
      </c>
      <c r="O25" s="343">
        <f>O24/'DRE + DCF'!O$12</f>
        <v>2.3511525931407994E-4</v>
      </c>
      <c r="P25" s="343">
        <f>P24/'DRE + DCF'!P$12</f>
        <v>2.084873653919912E-4</v>
      </c>
      <c r="Q25" s="343">
        <f>Q24/'DRE + DCF'!Q$12</f>
        <v>4.5774267288449809E-5</v>
      </c>
      <c r="R25" s="343">
        <f>R24/'DRE + DCF'!R$12</f>
        <v>3.9407717665788549E-5</v>
      </c>
      <c r="S25" s="343">
        <f>S24/'DRE + DCF'!S$12</f>
        <v>5.5677973137012279E-5</v>
      </c>
      <c r="T25" s="344">
        <f t="shared" ref="T25:AE25" si="12">S25</f>
        <v>5.5677973137012279E-5</v>
      </c>
      <c r="U25" s="344">
        <f t="shared" si="12"/>
        <v>5.5677973137012279E-5</v>
      </c>
      <c r="V25" s="344">
        <f t="shared" si="12"/>
        <v>5.5677973137012279E-5</v>
      </c>
      <c r="W25" s="344">
        <f t="shared" si="12"/>
        <v>5.5677973137012279E-5</v>
      </c>
      <c r="X25" s="344">
        <f t="shared" si="12"/>
        <v>5.5677973137012279E-5</v>
      </c>
      <c r="Y25" s="344">
        <f t="shared" si="12"/>
        <v>5.5677973137012279E-5</v>
      </c>
      <c r="Z25" s="344">
        <f t="shared" si="12"/>
        <v>5.5677973137012279E-5</v>
      </c>
      <c r="AA25" s="344">
        <f t="shared" si="12"/>
        <v>5.5677973137012279E-5</v>
      </c>
      <c r="AB25" s="344">
        <f t="shared" si="12"/>
        <v>5.5677973137012279E-5</v>
      </c>
      <c r="AC25" s="344">
        <f t="shared" si="12"/>
        <v>5.5677973137012279E-5</v>
      </c>
      <c r="AD25" s="344">
        <f t="shared" si="12"/>
        <v>5.5677973137012279E-5</v>
      </c>
      <c r="AE25" s="345">
        <f t="shared" si="12"/>
        <v>5.5677973137012279E-5</v>
      </c>
    </row>
    <row r="26" spans="1:34" s="51" customFormat="1" ht="30" customHeight="1" x14ac:dyDescent="0.25">
      <c r="A26" s="60"/>
      <c r="E26" s="83"/>
      <c r="F26" s="84"/>
      <c r="G26" s="84"/>
      <c r="H26" s="84"/>
      <c r="I26" s="84"/>
      <c r="J26" s="84"/>
      <c r="K26" s="84"/>
      <c r="L26" s="84"/>
      <c r="M26" s="84"/>
      <c r="N26" s="84"/>
      <c r="O26" s="84"/>
      <c r="R26" s="323"/>
      <c r="S26" s="323"/>
    </row>
    <row r="27" spans="1:34" s="51" customFormat="1" ht="30" customHeight="1" x14ac:dyDescent="0.25">
      <c r="A27" s="60"/>
      <c r="E27" s="83"/>
      <c r="F27" s="84"/>
      <c r="G27" s="84"/>
      <c r="H27" s="84"/>
      <c r="I27" s="84"/>
      <c r="J27" s="84"/>
      <c r="K27" s="84"/>
      <c r="L27" s="84"/>
      <c r="M27" s="84"/>
      <c r="N27" s="84"/>
      <c r="O27" s="84"/>
    </row>
    <row r="28" spans="1:34" s="51" customFormat="1" ht="30" customHeight="1" x14ac:dyDescent="0.25">
      <c r="A28" s="60"/>
      <c r="E28" s="83"/>
      <c r="F28" s="84"/>
      <c r="G28" s="84"/>
      <c r="H28" s="84"/>
      <c r="I28" s="84"/>
      <c r="J28" s="84"/>
      <c r="K28" s="84"/>
      <c r="L28" s="84"/>
      <c r="M28" s="84"/>
      <c r="N28" s="84"/>
      <c r="O28" s="84"/>
    </row>
    <row r="29" spans="1:34" s="51" customFormat="1" ht="30" customHeight="1" x14ac:dyDescent="0.25">
      <c r="A29" s="60"/>
      <c r="E29" s="83"/>
      <c r="F29" s="84"/>
      <c r="G29" s="84"/>
      <c r="H29" s="84"/>
      <c r="I29" s="84"/>
      <c r="J29" s="84"/>
      <c r="K29" s="84"/>
      <c r="L29" s="84"/>
      <c r="M29" s="84"/>
      <c r="N29" s="84"/>
      <c r="O29" s="84"/>
    </row>
    <row r="30" spans="1:34" s="51" customFormat="1" ht="30" customHeight="1" x14ac:dyDescent="0.25">
      <c r="A30" s="60"/>
      <c r="E30" s="83"/>
      <c r="F30" s="84"/>
      <c r="G30" s="84"/>
      <c r="H30" s="84"/>
      <c r="I30" s="84"/>
      <c r="J30" s="84"/>
      <c r="K30" s="84"/>
      <c r="L30" s="84"/>
      <c r="M30" s="84"/>
      <c r="N30" s="84"/>
      <c r="O30" s="84"/>
    </row>
    <row r="31" spans="1:34" s="51" customFormat="1" ht="30" customHeight="1" x14ac:dyDescent="0.25">
      <c r="A31" s="60"/>
      <c r="E31" s="83"/>
      <c r="F31" s="84"/>
      <c r="G31" s="84"/>
      <c r="H31" s="84"/>
      <c r="I31" s="84"/>
      <c r="J31" s="84"/>
      <c r="K31" s="84"/>
      <c r="L31" s="84"/>
      <c r="M31" s="84"/>
      <c r="N31" s="84"/>
      <c r="O31" s="84"/>
    </row>
    <row r="32" spans="1:34" s="51" customFormat="1" ht="30" customHeight="1" x14ac:dyDescent="0.25">
      <c r="A32" s="60"/>
      <c r="E32" s="83"/>
      <c r="F32" s="84"/>
      <c r="G32" s="84"/>
      <c r="H32" s="84"/>
      <c r="I32" s="84"/>
      <c r="J32" s="84"/>
      <c r="K32" s="84"/>
      <c r="L32" s="84"/>
      <c r="M32" s="84"/>
      <c r="N32" s="84"/>
      <c r="O32" s="84"/>
    </row>
    <row r="33" spans="1:31" s="51" customFormat="1" ht="35.25" customHeight="1" x14ac:dyDescent="0.25">
      <c r="A33" s="60"/>
      <c r="E33" s="83"/>
      <c r="F33" s="84"/>
      <c r="G33" s="84"/>
      <c r="H33" s="84"/>
      <c r="I33" s="84"/>
      <c r="J33" s="84"/>
      <c r="K33" s="84"/>
      <c r="L33" s="84"/>
      <c r="M33" s="84"/>
      <c r="N33" s="84"/>
      <c r="O33" s="84"/>
    </row>
    <row r="34" spans="1:31" ht="35.25" hidden="1" customHeight="1" x14ac:dyDescent="0.25">
      <c r="E34" s="83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</row>
    <row r="35" spans="1:31" ht="35.25" hidden="1" customHeight="1" x14ac:dyDescent="0.25">
      <c r="F35" s="72"/>
      <c r="G35" s="72"/>
      <c r="H35" s="72"/>
      <c r="I35" s="72"/>
      <c r="J35" s="72"/>
      <c r="K35" s="72"/>
      <c r="L35" s="72"/>
      <c r="M35" s="72"/>
      <c r="N35" s="72"/>
      <c r="O35" s="72"/>
    </row>
  </sheetData>
  <hyperlinks>
    <hyperlink ref="A9" location="WACC!A1" display="WACC" xr:uid="{428F60F3-6E5A-45CF-9FF9-B36E5E10E106}"/>
    <hyperlink ref="A8" location="Dashboard!A1" display="Dashboard" xr:uid="{45F90142-FA62-4398-985A-773CCF006A05}"/>
    <hyperlink ref="A13" location="'Projeções - Receita'!A1" display="Projeções" xr:uid="{B36320F1-3676-476D-A500-39379CDB4C42}"/>
    <hyperlink ref="A10" location="'DRE + DCF'!A1" display="DRE + DCF" xr:uid="{C0BCEF80-CF8B-473F-9F26-7E32C7C2ADC2}"/>
    <hyperlink ref="A12" location="'Balanço Patrimonial'!A1" display="Balanço Patrimonial" xr:uid="{3778D92E-DA67-4DD9-BA7B-8B05D9659BD5}"/>
    <hyperlink ref="A15" location="'Capex + K. Giro'!A1" display="Capex + Capital de Giro" xr:uid="{80AA89D0-E01F-4D33-8AE7-EE9FAC41A834}"/>
    <hyperlink ref="A14" location="Lojas!A1" display="Lojas" xr:uid="{1DFC9D0C-7791-427F-B57C-6C45BFC19B6A}"/>
    <hyperlink ref="A11" location="'DRE - Contas Abertas'!A1" display="Contas Abertas" xr:uid="{EF1BCB6E-07C5-4963-9D84-3F0AEB1FEE1E}"/>
    <hyperlink ref="A16" location="'Projeções Trimestrais'!A1" display="Projeções Trimestrais" xr:uid="{19B18020-39B4-4B49-AB5A-2D959431FBB4}"/>
    <hyperlink ref="A17" location="'Painel de Índices'!A1" display="Painel de Índices" xr:uid="{F52BF095-E0AB-433A-AB60-C6CF42FB3883}"/>
  </hyperlinks>
  <pageMargins left="0.511811024" right="0.511811024" top="0.78740157499999996" bottom="0.78740157499999996" header="0.31496062000000002" footer="0.31496062000000002"/>
  <pageSetup paperSize="9" orientation="portrait" r:id="rId1"/>
  <ignoredErrors>
    <ignoredError sqref="T19:AE19 AD11:AE11 T24:AE24 T21:AE21 T20:AE20 T23:AE23 T22:AE22" formula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B0F8D-E660-450C-B3AA-2BF08E75D85C}">
  <sheetPr codeName="Planilha2"/>
  <dimension ref="A1:AO112"/>
  <sheetViews>
    <sheetView showGridLines="0" topLeftCell="A63" zoomScale="55" zoomScaleNormal="55" workbookViewId="0">
      <selection activeCell="K84" sqref="K84"/>
    </sheetView>
  </sheetViews>
  <sheetFormatPr defaultColWidth="0" defaultRowHeight="39.75" customHeight="1" zeroHeight="1" x14ac:dyDescent="0.25"/>
  <cols>
    <col min="1" max="1" width="39.140625" style="8" customWidth="1"/>
    <col min="2" max="4" width="9.140625" style="2" customWidth="1"/>
    <col min="5" max="5" width="32.85546875" style="2" bestFit="1" customWidth="1"/>
    <col min="6" max="6" width="15" style="2" bestFit="1" customWidth="1"/>
    <col min="7" max="9" width="15.140625" style="2" bestFit="1" customWidth="1"/>
    <col min="10" max="10" width="13.85546875" style="2" bestFit="1" customWidth="1"/>
    <col min="11" max="11" width="21.7109375" style="2" bestFit="1" customWidth="1"/>
    <col min="12" max="12" width="15" style="2" bestFit="1" customWidth="1"/>
    <col min="13" max="15" width="15.140625" style="2" bestFit="1" customWidth="1"/>
    <col min="16" max="20" width="9.140625" style="2" customWidth="1"/>
    <col min="21" max="41" width="8.7109375" style="2" customWidth="1"/>
    <col min="42" max="16384" width="8.7109375" style="2" hidden="1"/>
  </cols>
  <sheetData>
    <row r="1" spans="1:41" ht="15" customHeight="1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5" customHeight="1" x14ac:dyDescent="0.25">
      <c r="B2" s="27"/>
      <c r="C2" s="27"/>
      <c r="D2" s="27"/>
      <c r="E2" s="27"/>
      <c r="F2" s="27"/>
      <c r="G2" s="27"/>
      <c r="H2" s="27"/>
      <c r="I2" s="27"/>
      <c r="J2" s="28"/>
      <c r="K2" s="27"/>
      <c r="L2" s="27"/>
      <c r="M2" s="27"/>
      <c r="N2" s="27"/>
      <c r="O2" s="27"/>
      <c r="P2" s="27"/>
      <c r="Q2" s="27"/>
      <c r="R2" s="27"/>
      <c r="S2" s="27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5" customHeight="1" x14ac:dyDescent="0.25">
      <c r="B3" s="27"/>
      <c r="C3" s="27"/>
      <c r="D3" s="27"/>
      <c r="E3" s="43"/>
      <c r="F3" s="451" t="s">
        <v>386</v>
      </c>
      <c r="G3" s="451"/>
      <c r="H3" s="451"/>
      <c r="I3" s="451"/>
      <c r="J3" s="451"/>
      <c r="K3" s="451"/>
      <c r="L3" s="451"/>
      <c r="M3" s="43"/>
      <c r="N3" s="43"/>
      <c r="O3" s="43"/>
      <c r="P3" s="27"/>
      <c r="Q3" s="27"/>
      <c r="R3" s="27"/>
      <c r="S3" s="27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15" customHeight="1" x14ac:dyDescent="0.25">
      <c r="B4" s="27"/>
      <c r="C4" s="27"/>
      <c r="D4" s="27"/>
      <c r="E4" s="43"/>
      <c r="F4" s="451"/>
      <c r="G4" s="451"/>
      <c r="H4" s="451"/>
      <c r="I4" s="451"/>
      <c r="J4" s="451"/>
      <c r="K4" s="451"/>
      <c r="L4" s="451"/>
      <c r="M4" s="43"/>
      <c r="N4" s="43"/>
      <c r="O4" s="43"/>
      <c r="P4" s="27"/>
      <c r="Q4" s="27"/>
      <c r="R4" s="27"/>
      <c r="S4" s="27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5" customHeight="1" x14ac:dyDescent="0.25">
      <c r="B5" s="27"/>
      <c r="C5" s="27"/>
      <c r="D5" s="27"/>
      <c r="E5" s="43"/>
      <c r="F5" s="454"/>
      <c r="G5" s="454"/>
      <c r="H5" s="454"/>
      <c r="I5" s="454"/>
      <c r="J5" s="454"/>
      <c r="K5" s="454"/>
      <c r="L5" s="454"/>
      <c r="M5" s="43"/>
      <c r="N5" s="43"/>
      <c r="O5" s="43"/>
      <c r="P5" s="27"/>
      <c r="Q5" s="27"/>
      <c r="R5" s="27"/>
      <c r="S5" s="27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5" x14ac:dyDescent="0.25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s="7" customFormat="1" ht="24.75" customHeight="1" x14ac:dyDescent="0.25">
      <c r="A7" s="24" t="s">
        <v>39</v>
      </c>
      <c r="B7" s="31"/>
      <c r="C7" s="27"/>
      <c r="D7" s="31"/>
      <c r="E7" s="31"/>
      <c r="F7" s="31"/>
      <c r="G7" s="31"/>
      <c r="H7" s="31"/>
      <c r="I7" s="31"/>
      <c r="J7" s="31"/>
      <c r="K7" s="27"/>
      <c r="L7" s="27"/>
      <c r="M7" s="27"/>
      <c r="N7" s="27"/>
      <c r="O7" s="27"/>
      <c r="P7" s="27"/>
      <c r="Q7" s="27"/>
      <c r="R7" s="27"/>
      <c r="S7" s="27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1" ht="30" customHeight="1" x14ac:dyDescent="0.25">
      <c r="A8" s="25" t="s">
        <v>40</v>
      </c>
      <c r="B8" s="27"/>
      <c r="C8" s="27"/>
      <c r="D8" s="31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ht="30" customHeight="1" x14ac:dyDescent="0.25">
      <c r="A9" s="25" t="s">
        <v>22</v>
      </c>
      <c r="B9" s="27"/>
      <c r="C9" s="27"/>
      <c r="D9" s="27"/>
      <c r="E9" s="307"/>
      <c r="F9" s="305"/>
      <c r="G9" s="305"/>
      <c r="H9" s="305"/>
      <c r="I9" s="306" t="s">
        <v>982</v>
      </c>
      <c r="J9" s="27"/>
      <c r="K9" s="308"/>
      <c r="L9" s="310"/>
      <c r="M9" s="310"/>
      <c r="N9" s="310"/>
      <c r="O9" s="309"/>
      <c r="P9" s="27"/>
      <c r="Q9" s="27"/>
      <c r="R9" s="27"/>
      <c r="S9" s="27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ht="30" customHeight="1" x14ac:dyDescent="0.25">
      <c r="A10" s="25" t="s">
        <v>42</v>
      </c>
      <c r="B10" s="27"/>
      <c r="C10" s="27"/>
      <c r="D10" s="27"/>
      <c r="E10" s="155" t="s">
        <v>450</v>
      </c>
      <c r="F10" s="304" t="s">
        <v>985</v>
      </c>
      <c r="G10" s="189" t="s">
        <v>984</v>
      </c>
      <c r="H10" s="189" t="s">
        <v>983</v>
      </c>
      <c r="I10" s="190" t="s">
        <v>982</v>
      </c>
      <c r="J10" s="27"/>
      <c r="K10" s="155" t="s">
        <v>450</v>
      </c>
      <c r="L10" s="304" t="s">
        <v>985</v>
      </c>
      <c r="M10" s="189" t="s">
        <v>984</v>
      </c>
      <c r="N10" s="189" t="s">
        <v>983</v>
      </c>
      <c r="O10" s="190" t="s">
        <v>982</v>
      </c>
      <c r="P10" s="27"/>
      <c r="Q10" s="27"/>
      <c r="R10" s="27"/>
      <c r="S10" s="27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ht="30" customHeight="1" x14ac:dyDescent="0.25">
      <c r="A11" s="25" t="s">
        <v>987</v>
      </c>
      <c r="B11" s="27"/>
      <c r="C11" s="27"/>
      <c r="D11" s="27"/>
      <c r="E11" s="159">
        <v>2010</v>
      </c>
      <c r="F11" s="158">
        <v>440246</v>
      </c>
      <c r="G11" s="158">
        <v>629989</v>
      </c>
      <c r="H11" s="158">
        <v>568740</v>
      </c>
      <c r="I11" s="157">
        <v>823709</v>
      </c>
      <c r="J11" s="156"/>
      <c r="K11" s="159">
        <v>2010</v>
      </c>
      <c r="L11" s="168">
        <f t="shared" ref="L11:L23" si="0">F11/SUM($F11:$I11)</f>
        <v>0.17876674392654518</v>
      </c>
      <c r="M11" s="168">
        <f t="shared" ref="M11:M23" si="1">G11/SUM($F11:$I11)</f>
        <v>0.25581398181821136</v>
      </c>
      <c r="N11" s="168">
        <f t="shared" ref="N11:N23" si="2">H11/SUM($F11:$I11)</f>
        <v>0.2309431498316471</v>
      </c>
      <c r="O11" s="167">
        <f t="shared" ref="O11:O23" si="3">I11/SUM($F11:$I11)</f>
        <v>0.33447612442359637</v>
      </c>
      <c r="P11" s="27"/>
      <c r="Q11" s="27"/>
      <c r="R11" s="27"/>
      <c r="S11" s="27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30" customHeight="1" x14ac:dyDescent="0.25">
      <c r="A12" s="25" t="s">
        <v>43</v>
      </c>
      <c r="B12" s="27"/>
      <c r="C12" s="27"/>
      <c r="D12" s="27"/>
      <c r="E12" s="159">
        <v>2011</v>
      </c>
      <c r="F12" s="158">
        <v>517707</v>
      </c>
      <c r="G12" s="158">
        <v>749653</v>
      </c>
      <c r="H12" s="158">
        <v>657076</v>
      </c>
      <c r="I12" s="157">
        <v>972180</v>
      </c>
      <c r="J12" s="156"/>
      <c r="K12" s="159">
        <v>2011</v>
      </c>
      <c r="L12" s="168">
        <f t="shared" si="0"/>
        <v>0.17872821250728435</v>
      </c>
      <c r="M12" s="168">
        <f t="shared" si="1"/>
        <v>0.25880303084702977</v>
      </c>
      <c r="N12" s="168">
        <f t="shared" si="2"/>
        <v>0.22684263292062185</v>
      </c>
      <c r="O12" s="167">
        <f t="shared" si="3"/>
        <v>0.33562612372506401</v>
      </c>
      <c r="P12" s="27"/>
      <c r="Q12" s="27"/>
      <c r="R12" s="27"/>
      <c r="S12" s="27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30" customHeight="1" x14ac:dyDescent="0.25">
      <c r="A13" s="25" t="s">
        <v>385</v>
      </c>
      <c r="B13" s="27"/>
      <c r="C13" s="27"/>
      <c r="D13" s="27"/>
      <c r="E13" s="159">
        <v>2012</v>
      </c>
      <c r="F13" s="158">
        <v>619199</v>
      </c>
      <c r="G13" s="158">
        <v>855169</v>
      </c>
      <c r="H13" s="158">
        <v>803260</v>
      </c>
      <c r="I13" s="157">
        <v>1184332</v>
      </c>
      <c r="J13" s="156"/>
      <c r="K13" s="159">
        <v>2012</v>
      </c>
      <c r="L13" s="168">
        <f t="shared" si="0"/>
        <v>0.17885793018983465</v>
      </c>
      <c r="M13" s="168">
        <f t="shared" si="1"/>
        <v>0.24701874082889461</v>
      </c>
      <c r="N13" s="168">
        <f t="shared" si="2"/>
        <v>0.23202463344463831</v>
      </c>
      <c r="O13" s="167">
        <f t="shared" si="3"/>
        <v>0.34209869553663241</v>
      </c>
      <c r="P13" s="27"/>
      <c r="Q13" s="27"/>
      <c r="R13" s="27"/>
      <c r="S13" s="27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ht="30" customHeight="1" x14ac:dyDescent="0.25">
      <c r="A14" s="25" t="s">
        <v>73</v>
      </c>
      <c r="B14" s="27"/>
      <c r="C14" s="27"/>
      <c r="D14" s="170"/>
      <c r="E14" s="159">
        <v>2013</v>
      </c>
      <c r="F14" s="158">
        <v>726731</v>
      </c>
      <c r="G14" s="158">
        <v>947203</v>
      </c>
      <c r="H14" s="158">
        <v>906918</v>
      </c>
      <c r="I14" s="157">
        <v>1332954</v>
      </c>
      <c r="J14" s="156"/>
      <c r="K14" s="159">
        <v>2013</v>
      </c>
      <c r="L14" s="168">
        <f t="shared" si="0"/>
        <v>0.18568396082994404</v>
      </c>
      <c r="M14" s="168">
        <f t="shared" si="1"/>
        <v>0.2420158280711921</v>
      </c>
      <c r="N14" s="168">
        <f t="shared" si="2"/>
        <v>0.23172277828793764</v>
      </c>
      <c r="O14" s="167">
        <f t="shared" si="3"/>
        <v>0.34057743281092623</v>
      </c>
      <c r="P14" s="27"/>
      <c r="Q14" s="27"/>
      <c r="R14" s="27"/>
      <c r="S14" s="27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ht="30" customHeight="1" x14ac:dyDescent="0.25">
      <c r="A15" s="25" t="s">
        <v>382</v>
      </c>
      <c r="B15" s="27"/>
      <c r="C15" s="27"/>
      <c r="D15" s="27"/>
      <c r="E15" s="159">
        <v>2014</v>
      </c>
      <c r="F15" s="158">
        <v>766770.23799999803</v>
      </c>
      <c r="G15" s="158">
        <v>1052097.8909200118</v>
      </c>
      <c r="H15" s="158">
        <v>989988.45348998497</v>
      </c>
      <c r="I15" s="157">
        <v>1581213.4472900201</v>
      </c>
      <c r="J15" s="156"/>
      <c r="K15" s="159">
        <v>2014</v>
      </c>
      <c r="L15" s="168">
        <f t="shared" si="0"/>
        <v>0.17466013817834097</v>
      </c>
      <c r="M15" s="168">
        <f t="shared" si="1"/>
        <v>0.23965401093884248</v>
      </c>
      <c r="N15" s="168">
        <f t="shared" si="2"/>
        <v>0.22550630099120161</v>
      </c>
      <c r="O15" s="167">
        <f t="shared" si="3"/>
        <v>0.36017954989161499</v>
      </c>
      <c r="P15" s="27"/>
      <c r="Q15" s="27"/>
      <c r="R15" s="27"/>
      <c r="S15" s="27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ht="30" customHeight="1" x14ac:dyDescent="0.25">
      <c r="A16" s="438" t="s">
        <v>1307</v>
      </c>
      <c r="B16" s="27"/>
      <c r="C16" s="27"/>
      <c r="D16" s="27"/>
      <c r="E16" s="159">
        <v>2015</v>
      </c>
      <c r="F16" s="158">
        <v>948611.35890999995</v>
      </c>
      <c r="G16" s="158">
        <v>1280388.3513399856</v>
      </c>
      <c r="H16" s="158">
        <v>1168513.5131100251</v>
      </c>
      <c r="I16" s="157">
        <v>1716865.5402499961</v>
      </c>
      <c r="J16" s="156"/>
      <c r="K16" s="159">
        <v>2015</v>
      </c>
      <c r="L16" s="168">
        <f t="shared" si="0"/>
        <v>0.1854792933326703</v>
      </c>
      <c r="M16" s="168">
        <f t="shared" si="1"/>
        <v>0.25035070934719311</v>
      </c>
      <c r="N16" s="168">
        <f t="shared" si="2"/>
        <v>0.22847613896418278</v>
      </c>
      <c r="O16" s="167">
        <f t="shared" si="3"/>
        <v>0.33569385835595389</v>
      </c>
      <c r="P16" s="27"/>
      <c r="Q16" s="27"/>
      <c r="R16" s="27"/>
      <c r="S16" s="27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30" customHeight="1" x14ac:dyDescent="0.25">
      <c r="A17" s="25" t="s">
        <v>1086</v>
      </c>
      <c r="B17" s="27"/>
      <c r="C17" s="27"/>
      <c r="D17" s="27"/>
      <c r="E17" s="159">
        <v>2016</v>
      </c>
      <c r="F17" s="158">
        <v>998263</v>
      </c>
      <c r="G17" s="158">
        <v>1364127</v>
      </c>
      <c r="H17" s="158">
        <v>1161100</v>
      </c>
      <c r="I17" s="157">
        <v>1767862.2757599975</v>
      </c>
      <c r="J17" s="156"/>
      <c r="K17" s="159">
        <v>2016</v>
      </c>
      <c r="L17" s="168">
        <f t="shared" si="0"/>
        <v>0.18865933469844801</v>
      </c>
      <c r="M17" s="168">
        <f t="shared" si="1"/>
        <v>0.25780309624236275</v>
      </c>
      <c r="N17" s="168">
        <f t="shared" si="2"/>
        <v>0.2194335095244119</v>
      </c>
      <c r="O17" s="167">
        <f t="shared" si="3"/>
        <v>0.33410405953477729</v>
      </c>
      <c r="P17" s="27"/>
      <c r="Q17" s="27"/>
      <c r="R17" s="27"/>
      <c r="S17" s="27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30" customHeight="1" x14ac:dyDescent="0.25">
      <c r="A18" s="25"/>
      <c r="B18" s="27"/>
      <c r="C18" s="27"/>
      <c r="D18" s="27"/>
      <c r="E18" s="159">
        <v>2017</v>
      </c>
      <c r="F18" s="158">
        <v>1129053</v>
      </c>
      <c r="G18" s="158">
        <v>1498426</v>
      </c>
      <c r="H18" s="158">
        <v>1376218.9632000003</v>
      </c>
      <c r="I18" s="157">
        <v>2027966.5260899987</v>
      </c>
      <c r="J18" s="156"/>
      <c r="K18" s="159">
        <v>2017</v>
      </c>
      <c r="L18" s="168">
        <f t="shared" si="0"/>
        <v>0.18718763319889223</v>
      </c>
      <c r="M18" s="168">
        <f t="shared" si="1"/>
        <v>0.24842661634456778</v>
      </c>
      <c r="N18" s="168">
        <f t="shared" si="2"/>
        <v>0.22816570212810333</v>
      </c>
      <c r="O18" s="167">
        <f t="shared" si="3"/>
        <v>0.33622004832843666</v>
      </c>
      <c r="P18" s="27"/>
      <c r="Q18" s="27"/>
      <c r="R18" s="27"/>
      <c r="S18" s="27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30" customHeight="1" x14ac:dyDescent="0.25">
      <c r="B19" s="27"/>
      <c r="C19" s="27"/>
      <c r="D19" s="27"/>
      <c r="E19" s="159">
        <v>2018</v>
      </c>
      <c r="F19" s="158">
        <v>1268533.068</v>
      </c>
      <c r="G19" s="158">
        <v>1626841.18835</v>
      </c>
      <c r="H19" s="158">
        <v>1551918.5057499981</v>
      </c>
      <c r="I19" s="157">
        <v>2353570.9758600001</v>
      </c>
      <c r="J19" s="156"/>
      <c r="K19" s="159">
        <v>2018</v>
      </c>
      <c r="L19" s="168">
        <f t="shared" si="0"/>
        <v>0.1865252880923787</v>
      </c>
      <c r="M19" s="168">
        <f t="shared" si="1"/>
        <v>0.23921096658201696</v>
      </c>
      <c r="N19" s="168">
        <f t="shared" si="2"/>
        <v>0.22819432436026355</v>
      </c>
      <c r="O19" s="167">
        <f t="shared" si="3"/>
        <v>0.34606942096534088</v>
      </c>
      <c r="P19" s="27"/>
      <c r="Q19" s="27"/>
      <c r="R19" s="27"/>
      <c r="S19" s="27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ht="30" customHeight="1" x14ac:dyDescent="0.25">
      <c r="A20" s="25"/>
      <c r="B20" s="27"/>
      <c r="C20" s="27"/>
      <c r="D20" s="27"/>
      <c r="E20" s="159">
        <v>2019</v>
      </c>
      <c r="F20" s="158">
        <v>1497567.48392</v>
      </c>
      <c r="G20" s="158">
        <v>1853592.0886800005</v>
      </c>
      <c r="H20" s="158">
        <v>1767558.5483499996</v>
      </c>
      <c r="I20" s="157">
        <v>2609640.6938700015</v>
      </c>
      <c r="J20" s="156"/>
      <c r="K20" s="159">
        <v>2019</v>
      </c>
      <c r="L20" s="168">
        <f t="shared" si="0"/>
        <v>0.19377561521189274</v>
      </c>
      <c r="M20" s="168">
        <f t="shared" si="1"/>
        <v>0.23984291271848404</v>
      </c>
      <c r="N20" s="168">
        <f t="shared" si="2"/>
        <v>0.22871072509735266</v>
      </c>
      <c r="O20" s="167">
        <f t="shared" si="3"/>
        <v>0.33767074697227056</v>
      </c>
      <c r="P20" s="27"/>
      <c r="Q20" s="27"/>
      <c r="R20" s="27"/>
      <c r="S20" s="27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30" customHeight="1" x14ac:dyDescent="0.25">
      <c r="A21" s="25"/>
      <c r="B21" s="27"/>
      <c r="C21" s="27"/>
      <c r="D21" s="27"/>
      <c r="E21" s="159">
        <v>2020</v>
      </c>
      <c r="F21" s="158">
        <v>1404893.07715</v>
      </c>
      <c r="G21" s="158">
        <v>480872.24169999996</v>
      </c>
      <c r="H21" s="158">
        <v>1470105.1074000001</v>
      </c>
      <c r="I21" s="157">
        <v>2625175.5681599993</v>
      </c>
      <c r="J21" s="156"/>
      <c r="K21" s="159">
        <v>2020</v>
      </c>
      <c r="L21" s="168">
        <f t="shared" si="0"/>
        <v>0.23489086665828021</v>
      </c>
      <c r="M21" s="168">
        <f t="shared" si="1"/>
        <v>8.0399355254822058E-2</v>
      </c>
      <c r="N21" s="168">
        <f t="shared" si="2"/>
        <v>0.2457939813159753</v>
      </c>
      <c r="O21" s="167">
        <f t="shared" si="3"/>
        <v>0.43891579677092252</v>
      </c>
      <c r="P21" s="27"/>
      <c r="Q21" s="27"/>
      <c r="R21" s="27"/>
      <c r="S21" s="27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30" customHeight="1" x14ac:dyDescent="0.25">
      <c r="A22" s="25"/>
      <c r="B22" s="27"/>
      <c r="C22" s="27"/>
      <c r="D22" s="27"/>
      <c r="E22" s="159">
        <v>2021</v>
      </c>
      <c r="F22" s="158">
        <v>1228851.6172700003</v>
      </c>
      <c r="G22" s="158">
        <v>2045792.9738799999</v>
      </c>
      <c r="H22" s="158">
        <v>2127270.5507700001</v>
      </c>
      <c r="I22" s="157">
        <v>3211951.0967300008</v>
      </c>
      <c r="J22" s="156"/>
      <c r="K22" s="159">
        <v>2021</v>
      </c>
      <c r="L22" s="168">
        <f t="shared" si="0"/>
        <v>0.14265970508761819</v>
      </c>
      <c r="M22" s="168">
        <f t="shared" si="1"/>
        <v>0.23749997007158363</v>
      </c>
      <c r="N22" s="168">
        <f t="shared" si="2"/>
        <v>0.24695885585325669</v>
      </c>
      <c r="O22" s="167">
        <f t="shared" si="3"/>
        <v>0.37288146898754143</v>
      </c>
      <c r="P22" s="134"/>
      <c r="Q22" s="27"/>
      <c r="R22" s="27"/>
      <c r="S22" s="27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ht="30" customHeight="1" x14ac:dyDescent="0.25">
      <c r="A23" s="25"/>
      <c r="B23" s="27"/>
      <c r="C23" s="27"/>
      <c r="D23" s="27"/>
      <c r="E23" s="159">
        <v>2022</v>
      </c>
      <c r="F23" s="158">
        <f>2613024-F36-F49-F65</f>
        <v>2019948.6542699998</v>
      </c>
      <c r="G23" s="158">
        <v>2941942.8606699989</v>
      </c>
      <c r="H23" s="158">
        <v>2400175.7154600001</v>
      </c>
      <c r="I23" s="188">
        <v>3240759.3763000001</v>
      </c>
      <c r="J23" s="152"/>
      <c r="K23" s="159">
        <v>2022</v>
      </c>
      <c r="L23" s="168">
        <f t="shared" si="0"/>
        <v>0.19051039210559007</v>
      </c>
      <c r="M23" s="168">
        <f t="shared" si="1"/>
        <v>0.27746778946766565</v>
      </c>
      <c r="N23" s="168">
        <f t="shared" si="2"/>
        <v>0.22637130686861487</v>
      </c>
      <c r="O23" s="167">
        <f t="shared" si="3"/>
        <v>0.30565051155812939</v>
      </c>
      <c r="P23" s="27"/>
      <c r="Q23" s="27"/>
      <c r="R23" s="27"/>
      <c r="S23" s="27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ht="30" customHeight="1" x14ac:dyDescent="0.25">
      <c r="A24" s="25"/>
      <c r="B24" s="27"/>
      <c r="C24" s="27"/>
      <c r="D24" s="27"/>
      <c r="E24" s="159">
        <v>2023</v>
      </c>
      <c r="F24" s="158">
        <v>2082560.5861200001</v>
      </c>
      <c r="G24" s="158">
        <v>2775253.8649599995</v>
      </c>
      <c r="H24" s="158">
        <v>2425521.5631799996</v>
      </c>
      <c r="I24" s="158">
        <v>3474433.5661600004</v>
      </c>
      <c r="J24" s="27"/>
      <c r="K24" s="159">
        <v>2023</v>
      </c>
      <c r="L24" s="168">
        <f t="shared" ref="L24" si="4">F24/SUM($F24:$I24)</f>
        <v>0.1935866510759281</v>
      </c>
      <c r="M24" s="168">
        <f t="shared" ref="M24" si="5">G24/SUM($F24:$I24)</f>
        <v>0.25797669714093741</v>
      </c>
      <c r="N24" s="168">
        <f t="shared" ref="N24" si="6">H24/SUM($F24:$I24)</f>
        <v>0.22546695623548607</v>
      </c>
      <c r="O24" s="167">
        <f t="shared" ref="O24" si="7">I24/SUM($F24:$I24)</f>
        <v>0.32296969554764837</v>
      </c>
      <c r="P24" s="134"/>
      <c r="Q24" s="27"/>
      <c r="R24" s="27"/>
      <c r="S24" s="27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ht="30" customHeight="1" x14ac:dyDescent="0.25">
      <c r="A25" s="25"/>
      <c r="B25" s="27"/>
      <c r="C25" s="27"/>
      <c r="D25" s="27"/>
      <c r="E25" s="159"/>
      <c r="F25" s="158"/>
      <c r="G25" s="158"/>
      <c r="H25" s="158"/>
      <c r="I25" s="157"/>
      <c r="J25" s="27"/>
      <c r="K25" s="386" t="s">
        <v>981</v>
      </c>
      <c r="L25" s="387">
        <f>AVERAGE(L11:L20,L23:L24)</f>
        <v>0.18520176611231245</v>
      </c>
      <c r="M25" s="387">
        <f t="shared" ref="M25:O25" si="8">AVERAGE(M11:M20,M23:M24)</f>
        <v>0.2511986983622832</v>
      </c>
      <c r="N25" s="387">
        <f t="shared" si="8"/>
        <v>0.22765484655453849</v>
      </c>
      <c r="O25" s="387">
        <f t="shared" si="8"/>
        <v>0.33594468897086588</v>
      </c>
      <c r="P25" s="27"/>
      <c r="Q25" s="27"/>
      <c r="R25" s="27"/>
      <c r="S25" s="27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ht="30" customHeight="1" x14ac:dyDescent="0.25">
      <c r="A26" s="25"/>
      <c r="B26" s="27"/>
      <c r="C26" s="27"/>
      <c r="D26" s="27"/>
      <c r="E26" s="155" t="s">
        <v>451</v>
      </c>
      <c r="F26" s="161" t="s">
        <v>985</v>
      </c>
      <c r="G26" s="161" t="s">
        <v>984</v>
      </c>
      <c r="H26" s="161" t="s">
        <v>983</v>
      </c>
      <c r="I26" s="160" t="s">
        <v>982</v>
      </c>
      <c r="J26" s="27"/>
      <c r="K26" s="155" t="s">
        <v>451</v>
      </c>
      <c r="L26" s="161" t="s">
        <v>985</v>
      </c>
      <c r="M26" s="161" t="s">
        <v>984</v>
      </c>
      <c r="N26" s="161" t="s">
        <v>983</v>
      </c>
      <c r="O26" s="160" t="s">
        <v>982</v>
      </c>
      <c r="P26" s="27"/>
      <c r="Q26" s="27"/>
      <c r="R26" s="27"/>
      <c r="S26" s="27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ht="30" customHeight="1" x14ac:dyDescent="0.25">
      <c r="A27" s="25"/>
      <c r="B27" s="27"/>
      <c r="C27" s="27"/>
      <c r="D27" s="27"/>
      <c r="E27" s="159">
        <v>2013</v>
      </c>
      <c r="F27" s="158">
        <v>40721.904289999991</v>
      </c>
      <c r="G27" s="158">
        <v>44039.66520000001</v>
      </c>
      <c r="H27" s="158">
        <v>46054.05683999999</v>
      </c>
      <c r="I27" s="157">
        <v>61967.156269999999</v>
      </c>
      <c r="J27" s="156"/>
      <c r="K27" s="159">
        <v>2013</v>
      </c>
      <c r="L27" s="168">
        <f t="shared" ref="L27:L36" si="9">F27/SUM($F27:$I27)</f>
        <v>0.21123205994226579</v>
      </c>
      <c r="M27" s="168">
        <f t="shared" ref="M27:M36" si="10">G27/SUM($F27:$I27)</f>
        <v>0.2284419002882471</v>
      </c>
      <c r="N27" s="168">
        <f t="shared" ref="N27:N36" si="11">H27/SUM($F27:$I27)</f>
        <v>0.23889092282455723</v>
      </c>
      <c r="O27" s="167">
        <f t="shared" ref="O27:O36" si="12">I27/SUM($F27:$I27)</f>
        <v>0.32143511694492993</v>
      </c>
      <c r="P27" s="27"/>
      <c r="Q27" s="27"/>
      <c r="R27" s="27"/>
      <c r="S27" s="27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ht="30" customHeight="1" x14ac:dyDescent="0.25">
      <c r="A28" s="25"/>
      <c r="B28" s="27"/>
      <c r="C28" s="27"/>
      <c r="D28" s="27"/>
      <c r="E28" s="159">
        <v>2014</v>
      </c>
      <c r="F28" s="158">
        <v>45365.772700000001</v>
      </c>
      <c r="G28" s="158">
        <v>55548.293349999985</v>
      </c>
      <c r="H28" s="158">
        <v>52893.536570000004</v>
      </c>
      <c r="I28" s="157">
        <v>79602.951810000042</v>
      </c>
      <c r="J28" s="156"/>
      <c r="K28" s="159">
        <v>2014</v>
      </c>
      <c r="L28" s="168">
        <f t="shared" si="9"/>
        <v>0.19436041703763327</v>
      </c>
      <c r="M28" s="168">
        <f t="shared" si="10"/>
        <v>0.23798535368570473</v>
      </c>
      <c r="N28" s="168">
        <f t="shared" si="11"/>
        <v>0.22661158874828349</v>
      </c>
      <c r="O28" s="167">
        <f t="shared" si="12"/>
        <v>0.34104264052837857</v>
      </c>
      <c r="P28" s="27"/>
      <c r="Q28" s="27"/>
      <c r="R28" s="27"/>
      <c r="S28" s="27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ht="30" customHeight="1" x14ac:dyDescent="0.25">
      <c r="A29" s="25"/>
      <c r="B29" s="27"/>
      <c r="C29" s="27"/>
      <c r="D29" s="27"/>
      <c r="E29" s="159">
        <v>2015</v>
      </c>
      <c r="F29" s="158">
        <v>56702.676800000001</v>
      </c>
      <c r="G29" s="158">
        <v>65506.853830000211</v>
      </c>
      <c r="H29" s="158">
        <v>70557.607810000089</v>
      </c>
      <c r="I29" s="157">
        <v>101983.53217000001</v>
      </c>
      <c r="J29" s="156"/>
      <c r="K29" s="159">
        <v>2015</v>
      </c>
      <c r="L29" s="168">
        <f t="shared" si="9"/>
        <v>0.19237505611997813</v>
      </c>
      <c r="M29" s="168">
        <f t="shared" si="10"/>
        <v>0.22224496960237855</v>
      </c>
      <c r="N29" s="168">
        <f t="shared" si="11"/>
        <v>0.23938065234585493</v>
      </c>
      <c r="O29" s="167">
        <f t="shared" si="12"/>
        <v>0.34599932193178834</v>
      </c>
      <c r="P29" s="27"/>
      <c r="Q29" s="27"/>
      <c r="R29" s="27"/>
      <c r="S29" s="27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30" customHeight="1" x14ac:dyDescent="0.25">
      <c r="A30" s="25"/>
      <c r="B30" s="27"/>
      <c r="C30" s="27"/>
      <c r="D30" s="27"/>
      <c r="E30" s="159">
        <v>2016</v>
      </c>
      <c r="F30" s="158">
        <v>67800</v>
      </c>
      <c r="G30" s="158">
        <v>80736</v>
      </c>
      <c r="H30" s="158">
        <v>81593.259880000231</v>
      </c>
      <c r="I30" s="157">
        <v>118308.27736000004</v>
      </c>
      <c r="J30" s="156"/>
      <c r="K30" s="159">
        <v>2016</v>
      </c>
      <c r="L30" s="168">
        <f t="shared" si="9"/>
        <v>0.19458293884478939</v>
      </c>
      <c r="M30" s="168">
        <f t="shared" si="10"/>
        <v>0.23170867478721116</v>
      </c>
      <c r="N30" s="168">
        <f t="shared" si="11"/>
        <v>0.23416897193771524</v>
      </c>
      <c r="O30" s="167">
        <f t="shared" si="12"/>
        <v>0.33953941443028418</v>
      </c>
      <c r="P30" s="27"/>
      <c r="Q30" s="27"/>
      <c r="R30" s="27"/>
      <c r="S30" s="27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30" customHeight="1" x14ac:dyDescent="0.25">
      <c r="A31" s="25"/>
      <c r="B31" s="27"/>
      <c r="C31" s="27"/>
      <c r="D31" s="27"/>
      <c r="E31" s="159">
        <v>2017</v>
      </c>
      <c r="F31" s="158">
        <v>85421</v>
      </c>
      <c r="G31" s="158">
        <v>101800</v>
      </c>
      <c r="H31" s="158">
        <v>110073</v>
      </c>
      <c r="I31" s="157">
        <v>146709.4104100001</v>
      </c>
      <c r="J31" s="156"/>
      <c r="K31" s="159">
        <v>2017</v>
      </c>
      <c r="L31" s="168">
        <f t="shared" si="9"/>
        <v>0.19238816188623603</v>
      </c>
      <c r="M31" s="168">
        <f t="shared" si="10"/>
        <v>0.22927751817490813</v>
      </c>
      <c r="N31" s="168">
        <f t="shared" si="11"/>
        <v>0.24791025793778648</v>
      </c>
      <c r="O31" s="167">
        <f t="shared" si="12"/>
        <v>0.33042406200106927</v>
      </c>
      <c r="P31" s="27"/>
      <c r="Q31" s="27"/>
      <c r="R31" s="27"/>
      <c r="S31" s="27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30" customHeight="1" x14ac:dyDescent="0.25">
      <c r="A32" s="25"/>
      <c r="B32" s="27"/>
      <c r="C32" s="27"/>
      <c r="D32" s="27"/>
      <c r="E32" s="159">
        <v>2018</v>
      </c>
      <c r="F32" s="158">
        <v>101587.79016</v>
      </c>
      <c r="G32" s="158">
        <v>114106.80935</v>
      </c>
      <c r="H32" s="158">
        <v>121036.8014099999</v>
      </c>
      <c r="I32" s="157">
        <v>168278.32019</v>
      </c>
      <c r="J32" s="156"/>
      <c r="K32" s="159">
        <v>2018</v>
      </c>
      <c r="L32" s="168">
        <f t="shared" si="9"/>
        <v>0.20116006863533703</v>
      </c>
      <c r="M32" s="168">
        <f t="shared" si="10"/>
        <v>0.22594972845115896</v>
      </c>
      <c r="N32" s="168">
        <f t="shared" si="11"/>
        <v>0.23967222085143974</v>
      </c>
      <c r="O32" s="167">
        <f t="shared" si="12"/>
        <v>0.33321798206206421</v>
      </c>
      <c r="P32" s="27"/>
      <c r="Q32" s="27"/>
      <c r="R32" s="27"/>
      <c r="S32" s="27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30" customHeight="1" x14ac:dyDescent="0.25">
      <c r="A33" s="25"/>
      <c r="B33" s="27"/>
      <c r="C33" s="27"/>
      <c r="D33" s="27"/>
      <c r="E33" s="159">
        <v>2019</v>
      </c>
      <c r="F33" s="158">
        <v>113499.26604</v>
      </c>
      <c r="G33" s="158">
        <v>117230.31178000002</v>
      </c>
      <c r="H33" s="158">
        <v>116609.39334999998</v>
      </c>
      <c r="I33" s="157">
        <v>177683.80674000003</v>
      </c>
      <c r="J33" s="156"/>
      <c r="K33" s="159">
        <v>2019</v>
      </c>
      <c r="L33" s="168">
        <f t="shared" si="9"/>
        <v>0.21617969889195204</v>
      </c>
      <c r="M33" s="168">
        <f t="shared" si="10"/>
        <v>0.22328614435866587</v>
      </c>
      <c r="N33" s="168">
        <f t="shared" si="11"/>
        <v>0.22210349389829581</v>
      </c>
      <c r="O33" s="167">
        <f t="shared" si="12"/>
        <v>0.33843066285108647</v>
      </c>
      <c r="P33" s="27"/>
      <c r="Q33" s="27"/>
      <c r="R33" s="27"/>
      <c r="S33" s="27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30" customHeight="1" x14ac:dyDescent="0.25">
      <c r="A34" s="25"/>
      <c r="B34" s="27"/>
      <c r="C34" s="27"/>
      <c r="D34" s="27"/>
      <c r="E34" s="159">
        <v>2020</v>
      </c>
      <c r="F34" s="158">
        <v>108076.65738999999</v>
      </c>
      <c r="G34" s="158">
        <v>49026.17912999999</v>
      </c>
      <c r="H34" s="158">
        <v>146570.26763999998</v>
      </c>
      <c r="I34" s="157">
        <v>203189.19783000002</v>
      </c>
      <c r="J34" s="156"/>
      <c r="K34" s="159">
        <v>2020</v>
      </c>
      <c r="L34" s="168">
        <f t="shared" si="9"/>
        <v>0.2132268605609029</v>
      </c>
      <c r="M34" s="168">
        <f t="shared" si="10"/>
        <v>9.6724848025819918E-2</v>
      </c>
      <c r="N34" s="168">
        <f t="shared" si="11"/>
        <v>0.28917176729172434</v>
      </c>
      <c r="O34" s="167">
        <f t="shared" si="12"/>
        <v>0.40087652412155278</v>
      </c>
      <c r="P34" s="27"/>
      <c r="Q34" s="27"/>
      <c r="R34" s="27"/>
      <c r="S34" s="27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30" customHeight="1" x14ac:dyDescent="0.25">
      <c r="A35" s="25"/>
      <c r="B35" s="27"/>
      <c r="C35" s="27"/>
      <c r="D35" s="27"/>
      <c r="E35" s="159">
        <v>2021</v>
      </c>
      <c r="F35" s="158">
        <v>103601.51151</v>
      </c>
      <c r="G35" s="158">
        <v>150696.84502000001</v>
      </c>
      <c r="H35" s="158">
        <v>175165.89417000007</v>
      </c>
      <c r="I35" s="157">
        <v>221150.98495999991</v>
      </c>
      <c r="J35" s="156"/>
      <c r="K35" s="159">
        <v>2021</v>
      </c>
      <c r="L35" s="168">
        <f t="shared" si="9"/>
        <v>0.15923622108987978</v>
      </c>
      <c r="M35" s="168">
        <f t="shared" si="10"/>
        <v>0.23162206594674875</v>
      </c>
      <c r="N35" s="168">
        <f t="shared" si="11"/>
        <v>0.26923115932307901</v>
      </c>
      <c r="O35" s="167">
        <f t="shared" si="12"/>
        <v>0.33991055364029238</v>
      </c>
      <c r="P35" s="27"/>
      <c r="Q35" s="27"/>
      <c r="R35" s="27"/>
      <c r="S35" s="27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30" customHeight="1" x14ac:dyDescent="0.25">
      <c r="A36" s="25"/>
      <c r="B36" s="27"/>
      <c r="C36" s="27"/>
      <c r="D36" s="27"/>
      <c r="E36" s="159">
        <v>2022</v>
      </c>
      <c r="F36" s="158">
        <v>138706.28652000002</v>
      </c>
      <c r="G36" s="158">
        <v>130241.31421999999</v>
      </c>
      <c r="H36" s="158">
        <v>127245.05265000001</v>
      </c>
      <c r="I36" s="157">
        <v>170909.76277999999</v>
      </c>
      <c r="J36" s="156"/>
      <c r="K36" s="159">
        <v>2022</v>
      </c>
      <c r="L36" s="168">
        <f t="shared" si="9"/>
        <v>0.24458771919324726</v>
      </c>
      <c r="M36" s="168">
        <f t="shared" si="10"/>
        <v>0.22966101096800404</v>
      </c>
      <c r="N36" s="168">
        <f t="shared" si="11"/>
        <v>0.22437755336922388</v>
      </c>
      <c r="O36" s="167">
        <f t="shared" si="12"/>
        <v>0.30137371646952466</v>
      </c>
      <c r="P36" s="27"/>
      <c r="Q36" s="27"/>
      <c r="R36" s="27"/>
      <c r="S36" s="27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ht="30" customHeight="1" x14ac:dyDescent="0.25">
      <c r="A37" s="25"/>
      <c r="B37" s="27"/>
      <c r="C37" s="27"/>
      <c r="D37" s="27"/>
      <c r="E37" s="159">
        <v>2023</v>
      </c>
      <c r="F37" s="158">
        <v>118421.35658999995</v>
      </c>
      <c r="G37" s="158">
        <v>112416.73906000007</v>
      </c>
      <c r="H37" s="158">
        <v>119348.55048999995</v>
      </c>
      <c r="I37" s="157">
        <v>170320.64994</v>
      </c>
      <c r="J37" s="156"/>
      <c r="K37" s="159">
        <v>2023</v>
      </c>
      <c r="L37" s="168">
        <f t="shared" ref="L37" si="13">F37/SUM($F37:$I37)</f>
        <v>0.22751142487693204</v>
      </c>
      <c r="M37" s="168">
        <f t="shared" ref="M37" si="14">G37/SUM($F37:$I37)</f>
        <v>0.2159753377265283</v>
      </c>
      <c r="N37" s="168">
        <f t="shared" ref="N37" si="15">H37/SUM($F37:$I37)</f>
        <v>0.22929275226078008</v>
      </c>
      <c r="O37" s="167">
        <f t="shared" ref="O37" si="16">I37/SUM($F37:$I37)</f>
        <v>0.32722048513575946</v>
      </c>
      <c r="P37" s="27"/>
      <c r="Q37" s="27"/>
      <c r="R37" s="27"/>
      <c r="S37" s="27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ht="30" customHeight="1" x14ac:dyDescent="0.25">
      <c r="A38" s="25"/>
      <c r="B38" s="27"/>
      <c r="C38" s="27"/>
      <c r="D38" s="27"/>
      <c r="E38" s="159"/>
      <c r="F38" s="158"/>
      <c r="G38" s="158"/>
      <c r="H38" s="158"/>
      <c r="I38" s="157"/>
      <c r="J38" s="169"/>
      <c r="K38" s="386" t="s">
        <v>981</v>
      </c>
      <c r="L38" s="387">
        <f>AVERAGE(L24:L33,L36:L37)</f>
        <v>0.20483326932878285</v>
      </c>
      <c r="M38" s="387">
        <f t="shared" ref="M38" si="17">AVERAGE(M24:M33,M36:M37)</f>
        <v>0.23215509395872977</v>
      </c>
      <c r="N38" s="387">
        <f t="shared" ref="N38" si="18">AVERAGE(N24:N33,N36:N37)</f>
        <v>0.23232092881490554</v>
      </c>
      <c r="O38" s="387">
        <f t="shared" ref="O38" si="19">AVERAGE(O24:O33,O36:O37)</f>
        <v>0.33069070789758181</v>
      </c>
      <c r="P38" s="27"/>
      <c r="Q38" s="27"/>
      <c r="R38" s="27"/>
      <c r="S38" s="27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ht="30" customHeight="1" x14ac:dyDescent="0.25">
      <c r="A39" s="25"/>
      <c r="B39" s="27"/>
      <c r="C39" s="27"/>
      <c r="D39" s="27"/>
      <c r="E39" s="155" t="s">
        <v>452</v>
      </c>
      <c r="F39" s="161" t="s">
        <v>985</v>
      </c>
      <c r="G39" s="161" t="s">
        <v>984</v>
      </c>
      <c r="H39" s="161" t="s">
        <v>983</v>
      </c>
      <c r="I39" s="160" t="s">
        <v>982</v>
      </c>
      <c r="J39" s="169"/>
      <c r="K39" s="155" t="s">
        <v>452</v>
      </c>
      <c r="L39" s="161" t="s">
        <v>985</v>
      </c>
      <c r="M39" s="161" t="s">
        <v>984</v>
      </c>
      <c r="N39" s="161" t="s">
        <v>983</v>
      </c>
      <c r="O39" s="160" t="s">
        <v>982</v>
      </c>
      <c r="P39" s="27"/>
      <c r="Q39" s="27"/>
      <c r="R39" s="27"/>
      <c r="S39" s="27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ht="30" customHeight="1" x14ac:dyDescent="0.25">
      <c r="A40" s="25"/>
      <c r="B40" s="27"/>
      <c r="C40" s="27"/>
      <c r="D40" s="27"/>
      <c r="E40" s="159">
        <v>2013</v>
      </c>
      <c r="F40" s="158">
        <v>1639.7327399999999</v>
      </c>
      <c r="G40" s="158">
        <v>2296.1037200000005</v>
      </c>
      <c r="H40" s="158">
        <v>2285.9219299999986</v>
      </c>
      <c r="I40" s="157">
        <v>3881.0900300000003</v>
      </c>
      <c r="J40" s="169"/>
      <c r="K40" s="159">
        <v>2013</v>
      </c>
      <c r="L40" s="168">
        <f t="shared" ref="L40:L50" si="20">F40/SUM($F40:$I40)</f>
        <v>0.16230400297345055</v>
      </c>
      <c r="M40" s="168">
        <f t="shared" ref="M40:M50" si="21">G40/SUM($F40:$I40)</f>
        <v>0.22727290607018738</v>
      </c>
      <c r="N40" s="168">
        <f t="shared" ref="N40:N50" si="22">H40/SUM($F40:$I40)</f>
        <v>0.22626509227582758</v>
      </c>
      <c r="O40" s="167">
        <f t="shared" ref="O40:O50" si="23">I40/SUM($F40:$I40)</f>
        <v>0.38415799868053457</v>
      </c>
      <c r="P40" s="27"/>
      <c r="Q40" s="27"/>
      <c r="R40" s="27"/>
      <c r="S40" s="27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ht="30" customHeight="1" x14ac:dyDescent="0.25">
      <c r="A41" s="25"/>
      <c r="B41" s="27"/>
      <c r="C41" s="27"/>
      <c r="D41" s="27"/>
      <c r="E41" s="159">
        <v>2014</v>
      </c>
      <c r="F41" s="158">
        <v>2380.0158800000004</v>
      </c>
      <c r="G41" s="158">
        <v>3715.4575600000007</v>
      </c>
      <c r="H41" s="158">
        <v>4604.8006399999995</v>
      </c>
      <c r="I41" s="157">
        <v>8990.5459099999989</v>
      </c>
      <c r="J41" s="169"/>
      <c r="K41" s="159">
        <v>2014</v>
      </c>
      <c r="L41" s="168">
        <f t="shared" si="20"/>
        <v>0.12086931276649188</v>
      </c>
      <c r="M41" s="168">
        <f t="shared" si="21"/>
        <v>0.18868983424189034</v>
      </c>
      <c r="N41" s="168">
        <f t="shared" si="22"/>
        <v>0.23385519964829049</v>
      </c>
      <c r="O41" s="167">
        <f t="shared" si="23"/>
        <v>0.45658565334332729</v>
      </c>
      <c r="P41" s="27"/>
      <c r="Q41" s="27"/>
      <c r="R41" s="27"/>
      <c r="S41" s="27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ht="30" customHeight="1" x14ac:dyDescent="0.25">
      <c r="A42" s="25"/>
      <c r="B42" s="27"/>
      <c r="C42" s="27"/>
      <c r="D42" s="27"/>
      <c r="E42" s="159">
        <v>2015</v>
      </c>
      <c r="F42" s="158">
        <v>5579.9252400000005</v>
      </c>
      <c r="G42" s="158">
        <v>8331.0957999999991</v>
      </c>
      <c r="H42" s="158">
        <v>9293.956650000011</v>
      </c>
      <c r="I42" s="157">
        <v>18517.465940000002</v>
      </c>
      <c r="J42" s="169"/>
      <c r="K42" s="159">
        <v>2015</v>
      </c>
      <c r="L42" s="168">
        <f t="shared" si="20"/>
        <v>0.13373917619695275</v>
      </c>
      <c r="M42" s="168">
        <f t="shared" si="21"/>
        <v>0.19967899948241832</v>
      </c>
      <c r="N42" s="168">
        <f t="shared" si="22"/>
        <v>0.222756766895535</v>
      </c>
      <c r="O42" s="167">
        <f t="shared" si="23"/>
        <v>0.44382505742509404</v>
      </c>
      <c r="P42" s="27"/>
      <c r="Q42" s="27"/>
      <c r="R42" s="27"/>
      <c r="S42" s="27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ht="30" customHeight="1" x14ac:dyDescent="0.25">
      <c r="A43" s="25"/>
      <c r="B43" s="27"/>
      <c r="C43" s="27"/>
      <c r="D43" s="27"/>
      <c r="E43" s="159">
        <v>2016</v>
      </c>
      <c r="F43" s="158">
        <v>10106</v>
      </c>
      <c r="G43" s="158">
        <v>19825</v>
      </c>
      <c r="H43" s="158">
        <v>17725.137639999994</v>
      </c>
      <c r="I43" s="157">
        <v>34332.819830000008</v>
      </c>
      <c r="J43" s="169"/>
      <c r="K43" s="159">
        <v>2016</v>
      </c>
      <c r="L43" s="168">
        <f t="shared" si="20"/>
        <v>0.1232605013144339</v>
      </c>
      <c r="M43" s="168">
        <f t="shared" si="21"/>
        <v>0.24180085479503782</v>
      </c>
      <c r="N43" s="168">
        <f t="shared" si="22"/>
        <v>0.21618932825784101</v>
      </c>
      <c r="O43" s="167">
        <f t="shared" si="23"/>
        <v>0.41874931563268736</v>
      </c>
      <c r="P43" s="27"/>
      <c r="Q43" s="27"/>
      <c r="R43" s="27"/>
      <c r="S43" s="27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30" customHeight="1" x14ac:dyDescent="0.25">
      <c r="A44" s="25"/>
      <c r="B44" s="27"/>
      <c r="C44" s="27"/>
      <c r="D44" s="27"/>
      <c r="E44" s="159">
        <v>2017</v>
      </c>
      <c r="F44" s="158">
        <v>20210</v>
      </c>
      <c r="G44" s="158">
        <v>30226</v>
      </c>
      <c r="H44" s="158">
        <v>26287</v>
      </c>
      <c r="I44" s="157">
        <v>47679.047580000013</v>
      </c>
      <c r="J44" s="169"/>
      <c r="K44" s="159">
        <v>2017</v>
      </c>
      <c r="L44" s="168">
        <f t="shared" si="20"/>
        <v>0.16245713308700507</v>
      </c>
      <c r="M44" s="168">
        <f t="shared" si="21"/>
        <v>0.24297027732250448</v>
      </c>
      <c r="N44" s="168">
        <f t="shared" si="22"/>
        <v>0.21130681135369137</v>
      </c>
      <c r="O44" s="167">
        <f t="shared" si="23"/>
        <v>0.38326577823679908</v>
      </c>
      <c r="P44" s="27"/>
      <c r="Q44" s="27"/>
      <c r="R44" s="27"/>
      <c r="S44" s="27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ht="30" customHeight="1" x14ac:dyDescent="0.25">
      <c r="A45" s="25"/>
      <c r="B45" s="27"/>
      <c r="C45" s="27"/>
      <c r="D45" s="27"/>
      <c r="E45" s="159">
        <v>2018</v>
      </c>
      <c r="F45" s="158">
        <v>28698.306660000002</v>
      </c>
      <c r="G45" s="158">
        <v>39083.43854000001</v>
      </c>
      <c r="H45" s="158">
        <v>38505.805120000005</v>
      </c>
      <c r="I45" s="157">
        <v>73271.547820000007</v>
      </c>
      <c r="J45" s="169"/>
      <c r="K45" s="159">
        <v>2018</v>
      </c>
      <c r="L45" s="168">
        <f t="shared" si="20"/>
        <v>0.15982652484489696</v>
      </c>
      <c r="M45" s="168">
        <f t="shared" si="21"/>
        <v>0.21766337069440578</v>
      </c>
      <c r="N45" s="168">
        <f t="shared" si="22"/>
        <v>0.21444641635467285</v>
      </c>
      <c r="O45" s="167">
        <f t="shared" si="23"/>
        <v>0.4080636881060245</v>
      </c>
      <c r="P45" s="27"/>
      <c r="Q45" s="27"/>
      <c r="R45" s="27"/>
      <c r="S45" s="27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30" customHeight="1" x14ac:dyDescent="0.25">
      <c r="A46" s="25"/>
      <c r="B46" s="27"/>
      <c r="C46" s="27"/>
      <c r="D46" s="27"/>
      <c r="E46" s="159">
        <v>2019</v>
      </c>
      <c r="F46" s="158">
        <v>39270.59302</v>
      </c>
      <c r="G46" s="158">
        <v>48551.588269999993</v>
      </c>
      <c r="H46" s="158">
        <v>47755.697840000001</v>
      </c>
      <c r="I46" s="157">
        <v>85733.633600000016</v>
      </c>
      <c r="J46" s="169"/>
      <c r="K46" s="159">
        <v>2019</v>
      </c>
      <c r="L46" s="168">
        <f t="shared" si="20"/>
        <v>0.17744487187121671</v>
      </c>
      <c r="M46" s="168">
        <f t="shared" si="21"/>
        <v>0.21938121370682109</v>
      </c>
      <c r="N46" s="168">
        <f t="shared" si="22"/>
        <v>0.21578496866659594</v>
      </c>
      <c r="O46" s="167">
        <f t="shared" si="23"/>
        <v>0.3873889457553662</v>
      </c>
      <c r="P46" s="27"/>
      <c r="Q46" s="27"/>
      <c r="R46" s="27"/>
      <c r="S46" s="27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ht="30" customHeight="1" x14ac:dyDescent="0.25">
      <c r="A47" s="25"/>
      <c r="B47" s="27"/>
      <c r="C47" s="27"/>
      <c r="D47" s="27"/>
      <c r="E47" s="159">
        <v>2020</v>
      </c>
      <c r="F47" s="158">
        <v>37210.050810000001</v>
      </c>
      <c r="G47" s="158">
        <v>9737.2756600000012</v>
      </c>
      <c r="H47" s="158">
        <v>34522.097400000006</v>
      </c>
      <c r="I47" s="157">
        <v>91192.974560000002</v>
      </c>
      <c r="J47" s="169"/>
      <c r="K47" s="159">
        <v>2020</v>
      </c>
      <c r="L47" s="168">
        <f t="shared" si="20"/>
        <v>0.21550755201101604</v>
      </c>
      <c r="M47" s="168">
        <f t="shared" si="21"/>
        <v>5.639488243265451E-2</v>
      </c>
      <c r="N47" s="168">
        <f t="shared" si="22"/>
        <v>0.19993986944410364</v>
      </c>
      <c r="O47" s="167">
        <f t="shared" si="23"/>
        <v>0.52815769611222585</v>
      </c>
      <c r="P47" s="27"/>
      <c r="Q47" s="27"/>
      <c r="R47" s="27"/>
      <c r="S47" s="27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ht="30" customHeight="1" x14ac:dyDescent="0.25">
      <c r="A48" s="25"/>
      <c r="B48" s="27"/>
      <c r="C48" s="27"/>
      <c r="D48" s="27"/>
      <c r="E48" s="159">
        <v>2021</v>
      </c>
      <c r="F48" s="158">
        <v>31964.40004</v>
      </c>
      <c r="G48" s="158">
        <v>62233.22712000001</v>
      </c>
      <c r="H48" s="158">
        <v>69287.725109999985</v>
      </c>
      <c r="I48" s="157">
        <v>127559.95187999996</v>
      </c>
      <c r="J48" s="156"/>
      <c r="K48" s="159">
        <v>2021</v>
      </c>
      <c r="L48" s="168">
        <f t="shared" si="20"/>
        <v>0.10982620088426535</v>
      </c>
      <c r="M48" s="168">
        <f t="shared" si="21"/>
        <v>0.21382659755240729</v>
      </c>
      <c r="N48" s="168">
        <f t="shared" si="22"/>
        <v>0.2380650851328982</v>
      </c>
      <c r="O48" s="167">
        <f t="shared" si="23"/>
        <v>0.43828211643042925</v>
      </c>
      <c r="P48" s="27"/>
      <c r="Q48" s="27"/>
      <c r="R48" s="27"/>
      <c r="S48" s="27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30" customHeight="1" x14ac:dyDescent="0.25">
      <c r="A49" s="25"/>
      <c r="B49" s="27"/>
      <c r="C49" s="27"/>
      <c r="D49" s="27"/>
      <c r="E49" s="159">
        <v>2022</v>
      </c>
      <c r="F49" s="158">
        <v>71008.868399999992</v>
      </c>
      <c r="G49" s="158">
        <v>103562.05632999999</v>
      </c>
      <c r="H49" s="158">
        <v>88099.545970000006</v>
      </c>
      <c r="I49" s="188">
        <v>143194.43791000001</v>
      </c>
      <c r="J49" s="152"/>
      <c r="K49" s="159">
        <v>2022</v>
      </c>
      <c r="L49" s="168">
        <f t="shared" si="20"/>
        <v>0.17495690534860503</v>
      </c>
      <c r="M49" s="168">
        <f t="shared" si="21"/>
        <v>0.25516385904038308</v>
      </c>
      <c r="N49" s="168">
        <f t="shared" si="22"/>
        <v>0.21706618163103092</v>
      </c>
      <c r="O49" s="167">
        <f t="shared" si="23"/>
        <v>0.35281305397998114</v>
      </c>
      <c r="P49" s="27"/>
      <c r="Q49" s="27"/>
      <c r="R49" s="27"/>
      <c r="S49" s="27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ht="30" customHeight="1" x14ac:dyDescent="0.25">
      <c r="A50" s="25"/>
      <c r="B50" s="27"/>
      <c r="C50" s="27"/>
      <c r="D50" s="27"/>
      <c r="E50" s="412">
        <v>2023</v>
      </c>
      <c r="F50" s="413">
        <v>77016.73867999998</v>
      </c>
      <c r="G50" s="158">
        <v>97633.031470000016</v>
      </c>
      <c r="H50" s="158">
        <v>91235.989969999995</v>
      </c>
      <c r="I50" s="158">
        <v>162177.21339000002</v>
      </c>
      <c r="J50" s="27"/>
      <c r="K50" s="412">
        <v>2023</v>
      </c>
      <c r="L50" s="168">
        <f t="shared" si="20"/>
        <v>0.17991917882661904</v>
      </c>
      <c r="M50" s="168">
        <f t="shared" si="21"/>
        <v>0.22808100095515316</v>
      </c>
      <c r="N50" s="168">
        <f t="shared" si="22"/>
        <v>0.21313684110982473</v>
      </c>
      <c r="O50" s="167">
        <f t="shared" si="23"/>
        <v>0.378862979108403</v>
      </c>
      <c r="P50" s="27"/>
      <c r="Q50" s="27"/>
      <c r="R50" s="27"/>
      <c r="S50" s="27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ht="30" customHeight="1" x14ac:dyDescent="0.25">
      <c r="A51" s="25"/>
      <c r="B51" s="27"/>
      <c r="C51" s="27"/>
      <c r="D51" s="27"/>
      <c r="E51" s="154"/>
      <c r="F51" s="153"/>
      <c r="G51" s="153"/>
      <c r="H51" s="153"/>
      <c r="I51" s="191"/>
      <c r="J51" s="27"/>
      <c r="K51" s="388" t="s">
        <v>981</v>
      </c>
      <c r="L51" s="387">
        <f>AVERAGE(L37:L46,L49:L50)</f>
        <v>0.16610202740321697</v>
      </c>
      <c r="M51" s="387">
        <f t="shared" ref="M51" si="24">AVERAGE(M37:M46,M49:M50)</f>
        <v>0.22443934072673272</v>
      </c>
      <c r="N51" s="387">
        <f t="shared" ref="N51" si="25">AVERAGE(N37:N46,N49:N50)</f>
        <v>0.22112920793354507</v>
      </c>
      <c r="O51" s="387">
        <f t="shared" ref="O51" si="26">AVERAGE(O37:O46,O49:O50)</f>
        <v>0.38832942393650532</v>
      </c>
      <c r="P51" s="27"/>
      <c r="Q51" s="27"/>
      <c r="R51" s="27"/>
      <c r="S51" s="27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ht="30" customHeight="1" x14ac:dyDescent="0.25">
      <c r="A52" s="25"/>
      <c r="B52" s="27"/>
      <c r="C52" s="27"/>
      <c r="D52" s="27"/>
      <c r="E52" s="155" t="s">
        <v>453</v>
      </c>
      <c r="F52" s="189" t="s">
        <v>985</v>
      </c>
      <c r="G52" s="189" t="s">
        <v>984</v>
      </c>
      <c r="H52" s="189" t="s">
        <v>983</v>
      </c>
      <c r="I52" s="190" t="s">
        <v>982</v>
      </c>
      <c r="J52" s="169"/>
      <c r="K52" s="155" t="s">
        <v>453</v>
      </c>
      <c r="L52" s="189" t="s">
        <v>985</v>
      </c>
      <c r="M52" s="189" t="s">
        <v>984</v>
      </c>
      <c r="N52" s="189" t="s">
        <v>983</v>
      </c>
      <c r="O52" s="190" t="s">
        <v>982</v>
      </c>
      <c r="P52" s="27"/>
      <c r="Q52" s="27"/>
      <c r="R52" s="27"/>
      <c r="S52" s="27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ht="30" customHeight="1" x14ac:dyDescent="0.25">
      <c r="A53" s="25"/>
      <c r="B53" s="27"/>
      <c r="C53" s="27"/>
      <c r="D53" s="27"/>
      <c r="E53" s="159">
        <v>2010</v>
      </c>
      <c r="F53" s="158">
        <v>65488</v>
      </c>
      <c r="G53" s="158">
        <v>71990</v>
      </c>
      <c r="H53" s="158">
        <v>75133</v>
      </c>
      <c r="I53" s="157">
        <v>76043</v>
      </c>
      <c r="J53" s="169"/>
      <c r="K53" s="159">
        <v>2010</v>
      </c>
      <c r="L53" s="168">
        <f t="shared" ref="L53:L66" si="27">F53/SUM($F53:$I53)</f>
        <v>0.22687369653633763</v>
      </c>
      <c r="M53" s="168">
        <f t="shared" ref="M53:M66" si="28">G53/SUM($F53:$I53)</f>
        <v>0.24939893436432545</v>
      </c>
      <c r="N53" s="168">
        <f t="shared" ref="N53:N66" si="29">H53/SUM($F53:$I53)</f>
        <v>0.26028740291144414</v>
      </c>
      <c r="O53" s="167">
        <f t="shared" ref="O53:O66" si="30">I53/SUM($F53:$I53)</f>
        <v>0.26343996618789278</v>
      </c>
      <c r="P53" s="27"/>
      <c r="Q53" s="27"/>
      <c r="R53" s="27"/>
      <c r="S53" s="27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ht="30" customHeight="1" x14ac:dyDescent="0.25">
      <c r="A54" s="25"/>
      <c r="B54" s="27"/>
      <c r="C54" s="27"/>
      <c r="D54" s="27"/>
      <c r="E54" s="159">
        <v>2011</v>
      </c>
      <c r="F54" s="158">
        <v>81060</v>
      </c>
      <c r="G54" s="158">
        <v>86766</v>
      </c>
      <c r="H54" s="158">
        <v>84846</v>
      </c>
      <c r="I54" s="157">
        <v>89254</v>
      </c>
      <c r="J54" s="169"/>
      <c r="K54" s="159">
        <v>2011</v>
      </c>
      <c r="L54" s="168">
        <f t="shared" si="27"/>
        <v>0.2370688394564906</v>
      </c>
      <c r="M54" s="168">
        <f t="shared" si="28"/>
        <v>0.25375666079795045</v>
      </c>
      <c r="N54" s="168">
        <f t="shared" si="29"/>
        <v>0.24814141071459905</v>
      </c>
      <c r="O54" s="167">
        <f t="shared" si="30"/>
        <v>0.2610330890309599</v>
      </c>
      <c r="P54" s="27"/>
      <c r="Q54" s="27"/>
      <c r="R54" s="27"/>
      <c r="S54" s="27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ht="30" customHeight="1" x14ac:dyDescent="0.25">
      <c r="A55" s="25"/>
      <c r="B55" s="27"/>
      <c r="C55" s="27"/>
      <c r="D55" s="27"/>
      <c r="E55" s="159">
        <v>2012</v>
      </c>
      <c r="F55" s="158">
        <v>90077</v>
      </c>
      <c r="G55" s="158">
        <v>100285</v>
      </c>
      <c r="H55" s="158">
        <v>101798</v>
      </c>
      <c r="I55" s="157">
        <v>108388</v>
      </c>
      <c r="J55" s="169"/>
      <c r="K55" s="159">
        <v>2012</v>
      </c>
      <c r="L55" s="168">
        <f t="shared" si="27"/>
        <v>0.22488440836054605</v>
      </c>
      <c r="M55" s="168">
        <f t="shared" si="28"/>
        <v>0.25036949379350293</v>
      </c>
      <c r="N55" s="168">
        <f t="shared" si="29"/>
        <v>0.25414681885816431</v>
      </c>
      <c r="O55" s="167">
        <f t="shared" si="30"/>
        <v>0.27059927898778674</v>
      </c>
      <c r="P55" s="27"/>
      <c r="Q55" s="27"/>
      <c r="R55" s="27"/>
      <c r="S55" s="27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ht="30" customHeight="1" x14ac:dyDescent="0.25">
      <c r="A56" s="25"/>
      <c r="B56" s="27"/>
      <c r="C56" s="27"/>
      <c r="D56" s="27"/>
      <c r="E56" s="159">
        <v>2013</v>
      </c>
      <c r="F56" s="158">
        <v>107065</v>
      </c>
      <c r="G56" s="158">
        <v>113199</v>
      </c>
      <c r="H56" s="158">
        <v>114517</v>
      </c>
      <c r="I56" s="157">
        <v>121738</v>
      </c>
      <c r="J56" s="169"/>
      <c r="K56" s="159">
        <v>2013</v>
      </c>
      <c r="L56" s="168">
        <f t="shared" si="27"/>
        <v>0.23452474048177621</v>
      </c>
      <c r="M56" s="168">
        <f t="shared" si="28"/>
        <v>0.2479612020529266</v>
      </c>
      <c r="N56" s="168">
        <f t="shared" si="29"/>
        <v>0.25084826699436386</v>
      </c>
      <c r="O56" s="167">
        <f t="shared" si="30"/>
        <v>0.26666579047093331</v>
      </c>
      <c r="P56" s="27"/>
      <c r="Q56" s="27"/>
      <c r="R56" s="27"/>
      <c r="S56" s="27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ht="30" customHeight="1" x14ac:dyDescent="0.25">
      <c r="A57" s="25"/>
      <c r="B57" s="27"/>
      <c r="C57" s="27"/>
      <c r="D57" s="27"/>
      <c r="E57" s="159">
        <v>2014</v>
      </c>
      <c r="F57" s="158">
        <v>124384</v>
      </c>
      <c r="G57" s="158">
        <v>144029</v>
      </c>
      <c r="H57" s="158">
        <v>157202</v>
      </c>
      <c r="I57" s="157">
        <v>148592</v>
      </c>
      <c r="J57" s="169"/>
      <c r="K57" s="159">
        <v>2014</v>
      </c>
      <c r="L57" s="168">
        <f t="shared" si="27"/>
        <v>0.21661874550466992</v>
      </c>
      <c r="M57" s="168">
        <f t="shared" si="28"/>
        <v>0.25083114625910169</v>
      </c>
      <c r="N57" s="168">
        <f t="shared" si="29"/>
        <v>0.27377235038931952</v>
      </c>
      <c r="O57" s="167">
        <f t="shared" si="30"/>
        <v>0.25877775784690887</v>
      </c>
      <c r="P57" s="27"/>
      <c r="Q57" s="27"/>
      <c r="R57" s="27"/>
      <c r="S57" s="27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ht="30" customHeight="1" x14ac:dyDescent="0.25">
      <c r="A58" s="25"/>
      <c r="B58" s="27"/>
      <c r="C58" s="27"/>
      <c r="D58" s="27"/>
      <c r="E58" s="159">
        <v>2015</v>
      </c>
      <c r="F58" s="158">
        <v>163052</v>
      </c>
      <c r="G58" s="158">
        <v>182175</v>
      </c>
      <c r="H58" s="158">
        <v>172240</v>
      </c>
      <c r="I58" s="157">
        <v>176879</v>
      </c>
      <c r="J58" s="169"/>
      <c r="K58" s="159">
        <v>2015</v>
      </c>
      <c r="L58" s="168">
        <f t="shared" si="27"/>
        <v>0.23482816924127164</v>
      </c>
      <c r="M58" s="168">
        <f t="shared" si="28"/>
        <v>0.26236919345686444</v>
      </c>
      <c r="N58" s="168">
        <f t="shared" si="29"/>
        <v>0.24806076509405972</v>
      </c>
      <c r="O58" s="167">
        <f t="shared" si="30"/>
        <v>0.2547418722078042</v>
      </c>
      <c r="P58" s="27"/>
      <c r="Q58" s="27"/>
      <c r="R58" s="27"/>
      <c r="S58" s="27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30" customHeight="1" x14ac:dyDescent="0.25">
      <c r="A59" s="25"/>
      <c r="B59" s="27"/>
      <c r="C59" s="27"/>
      <c r="D59" s="27"/>
      <c r="E59" s="159">
        <v>2016</v>
      </c>
      <c r="F59" s="158">
        <v>171221</v>
      </c>
      <c r="G59" s="158">
        <v>182892</v>
      </c>
      <c r="H59" s="158">
        <v>185411</v>
      </c>
      <c r="I59" s="157">
        <v>190298</v>
      </c>
      <c r="J59" s="169"/>
      <c r="K59" s="159">
        <v>2016</v>
      </c>
      <c r="L59" s="168">
        <f t="shared" si="27"/>
        <v>0.23460652049403827</v>
      </c>
      <c r="M59" s="168">
        <f t="shared" si="28"/>
        <v>0.2505980910413772</v>
      </c>
      <c r="N59" s="168">
        <f t="shared" si="29"/>
        <v>0.25404961757798478</v>
      </c>
      <c r="O59" s="167">
        <f t="shared" si="30"/>
        <v>0.26074577088659973</v>
      </c>
      <c r="P59" s="27"/>
      <c r="Q59" s="27"/>
      <c r="R59" s="27"/>
      <c r="S59" s="27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ht="30" customHeight="1" x14ac:dyDescent="0.25">
      <c r="A60" s="25"/>
      <c r="B60" s="27"/>
      <c r="C60" s="27"/>
      <c r="D60" s="27"/>
      <c r="E60" s="159">
        <v>2017</v>
      </c>
      <c r="F60" s="158">
        <v>180640</v>
      </c>
      <c r="G60" s="158">
        <v>200676</v>
      </c>
      <c r="H60" s="158">
        <v>233799</v>
      </c>
      <c r="I60" s="157">
        <v>229117</v>
      </c>
      <c r="J60" s="169"/>
      <c r="K60" s="159">
        <v>2017</v>
      </c>
      <c r="L60" s="168">
        <f t="shared" si="27"/>
        <v>0.21396961972538353</v>
      </c>
      <c r="M60" s="168">
        <f t="shared" si="28"/>
        <v>0.23770243250670431</v>
      </c>
      <c r="N60" s="168">
        <f t="shared" si="29"/>
        <v>0.27693690833799239</v>
      </c>
      <c r="O60" s="167">
        <f t="shared" si="30"/>
        <v>0.27139103942991971</v>
      </c>
      <c r="P60" s="134"/>
      <c r="Q60" s="27"/>
      <c r="R60" s="27"/>
      <c r="S60" s="27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ht="30" customHeight="1" x14ac:dyDescent="0.25">
      <c r="A61" s="25"/>
      <c r="B61" s="27"/>
      <c r="C61" s="27"/>
      <c r="D61" s="27"/>
      <c r="E61" s="159">
        <v>2018</v>
      </c>
      <c r="F61" s="158">
        <v>229466</v>
      </c>
      <c r="G61" s="158">
        <v>240066</v>
      </c>
      <c r="H61" s="158">
        <v>231827</v>
      </c>
      <c r="I61" s="157">
        <v>239749</v>
      </c>
      <c r="J61" s="169"/>
      <c r="K61" s="159">
        <v>2018</v>
      </c>
      <c r="L61" s="168">
        <f t="shared" si="27"/>
        <v>0.24382536329517973</v>
      </c>
      <c r="M61" s="168">
        <f t="shared" si="28"/>
        <v>0.25508868270166657</v>
      </c>
      <c r="N61" s="168">
        <f t="shared" si="29"/>
        <v>0.24633410830637928</v>
      </c>
      <c r="O61" s="167">
        <f t="shared" si="30"/>
        <v>0.25475184569677445</v>
      </c>
      <c r="P61" s="27"/>
      <c r="Q61" s="27"/>
      <c r="R61" s="27"/>
      <c r="S61" s="27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ht="30" customHeight="1" x14ac:dyDescent="0.25">
      <c r="A62" s="25"/>
      <c r="B62" s="27"/>
      <c r="C62" s="27"/>
      <c r="D62" s="27"/>
      <c r="E62" s="159">
        <v>2019</v>
      </c>
      <c r="F62" s="158">
        <v>241780</v>
      </c>
      <c r="G62" s="158">
        <v>272630</v>
      </c>
      <c r="H62" s="158">
        <v>293831</v>
      </c>
      <c r="I62" s="157">
        <v>305503</v>
      </c>
      <c r="J62" s="169"/>
      <c r="K62" s="159">
        <v>2019</v>
      </c>
      <c r="L62" s="168">
        <f t="shared" si="27"/>
        <v>0.2170875892485167</v>
      </c>
      <c r="M62" s="168">
        <f t="shared" si="28"/>
        <v>0.24478695283655849</v>
      </c>
      <c r="N62" s="168">
        <f t="shared" si="29"/>
        <v>0.26382274562197416</v>
      </c>
      <c r="O62" s="167">
        <f t="shared" si="30"/>
        <v>0.27430271229295061</v>
      </c>
      <c r="P62" s="27"/>
      <c r="Q62" s="27"/>
      <c r="R62" s="27"/>
      <c r="S62" s="27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ht="30" customHeight="1" x14ac:dyDescent="0.25">
      <c r="A63" s="25"/>
      <c r="B63" s="27"/>
      <c r="C63" s="27"/>
      <c r="D63" s="27"/>
      <c r="E63" s="159">
        <v>2020</v>
      </c>
      <c r="F63" s="158">
        <v>313581</v>
      </c>
      <c r="G63" s="158">
        <v>268870</v>
      </c>
      <c r="H63" s="158">
        <v>138842</v>
      </c>
      <c r="I63" s="157">
        <v>155316</v>
      </c>
      <c r="J63" s="169"/>
      <c r="K63" s="159">
        <v>2020</v>
      </c>
      <c r="L63" s="168">
        <f t="shared" si="27"/>
        <v>0.35772048883823915</v>
      </c>
      <c r="M63" s="168">
        <f t="shared" si="28"/>
        <v>0.30671599310524988</v>
      </c>
      <c r="N63" s="168">
        <f t="shared" si="29"/>
        <v>0.15838532344523043</v>
      </c>
      <c r="O63" s="167">
        <f t="shared" si="30"/>
        <v>0.17717819461128051</v>
      </c>
      <c r="P63" s="27"/>
      <c r="Q63" s="27"/>
      <c r="R63" s="27"/>
      <c r="S63" s="27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ht="30" customHeight="1" x14ac:dyDescent="0.25">
      <c r="A64" s="25"/>
      <c r="B64" s="27"/>
      <c r="C64" s="27"/>
      <c r="D64" s="27"/>
      <c r="E64" s="159">
        <v>2021</v>
      </c>
      <c r="F64" s="158">
        <v>216977</v>
      </c>
      <c r="G64" s="158">
        <v>231570</v>
      </c>
      <c r="H64" s="158">
        <v>256565.16942000011</v>
      </c>
      <c r="I64" s="157">
        <v>310917.77997999988</v>
      </c>
      <c r="J64" s="156"/>
      <c r="K64" s="159">
        <v>2021</v>
      </c>
      <c r="L64" s="168">
        <f t="shared" si="27"/>
        <v>0.21355374428493198</v>
      </c>
      <c r="M64" s="168">
        <f t="shared" si="28"/>
        <v>0.22791650987921164</v>
      </c>
      <c r="N64" s="168">
        <f t="shared" si="29"/>
        <v>0.25251732940698302</v>
      </c>
      <c r="O64" s="167">
        <f t="shared" si="30"/>
        <v>0.30601241642887328</v>
      </c>
      <c r="P64" s="27"/>
      <c r="Q64" s="27"/>
      <c r="R64" s="27"/>
      <c r="S64" s="27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30" customHeight="1" x14ac:dyDescent="0.25">
      <c r="A65" s="25"/>
      <c r="B65" s="27"/>
      <c r="C65" s="27"/>
      <c r="D65" s="27"/>
      <c r="E65" s="159">
        <v>2022</v>
      </c>
      <c r="F65" s="158">
        <v>383360.19081000012</v>
      </c>
      <c r="G65" s="158">
        <v>450591.28305000003</v>
      </c>
      <c r="H65" s="158">
        <v>402111.78262999968</v>
      </c>
      <c r="I65" s="157">
        <v>459280</v>
      </c>
      <c r="J65" s="27"/>
      <c r="K65" s="159">
        <v>2022</v>
      </c>
      <c r="L65" s="168">
        <f t="shared" si="27"/>
        <v>0.22612541108854872</v>
      </c>
      <c r="M65" s="168">
        <f t="shared" si="28"/>
        <v>0.26578174144090089</v>
      </c>
      <c r="N65" s="168">
        <f t="shared" si="29"/>
        <v>0.23718605721328834</v>
      </c>
      <c r="O65" s="167">
        <f t="shared" si="30"/>
        <v>0.27090679025726205</v>
      </c>
      <c r="P65" s="27"/>
      <c r="Q65" s="27"/>
      <c r="R65" s="27"/>
      <c r="S65" s="27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30" customHeight="1" x14ac:dyDescent="0.25">
      <c r="A66" s="25"/>
      <c r="B66" s="27"/>
      <c r="C66" s="27"/>
      <c r="D66" s="27"/>
      <c r="E66" s="159">
        <v>2023</v>
      </c>
      <c r="F66" s="158">
        <v>497293</v>
      </c>
      <c r="G66" s="158">
        <v>518779</v>
      </c>
      <c r="H66" s="158">
        <v>460990</v>
      </c>
      <c r="I66" s="188">
        <v>464447</v>
      </c>
      <c r="J66" s="152"/>
      <c r="K66" s="159">
        <v>2023</v>
      </c>
      <c r="L66" s="168">
        <f t="shared" si="27"/>
        <v>0.25613736531738973</v>
      </c>
      <c r="M66" s="168">
        <f t="shared" si="28"/>
        <v>0.26720401502130559</v>
      </c>
      <c r="N66" s="168">
        <f t="shared" si="29"/>
        <v>0.23743902294555422</v>
      </c>
      <c r="O66" s="167">
        <f t="shared" si="30"/>
        <v>0.23921959671575049</v>
      </c>
      <c r="P66" s="27"/>
      <c r="Q66" s="27"/>
      <c r="R66" s="27"/>
      <c r="S66" s="27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30" customHeight="1" thickBot="1" x14ac:dyDescent="0.3">
      <c r="A67" s="25"/>
      <c r="B67" s="27"/>
      <c r="C67" s="27"/>
      <c r="D67" s="27"/>
      <c r="E67" s="166"/>
      <c r="F67" s="165"/>
      <c r="G67" s="165"/>
      <c r="H67" s="165"/>
      <c r="I67" s="164"/>
      <c r="J67" s="27"/>
      <c r="K67" s="389" t="s">
        <v>981</v>
      </c>
      <c r="L67" s="387">
        <f>AVERAGE(L53:L62,L65:L66)</f>
        <v>0.2305458723958457</v>
      </c>
      <c r="M67" s="387">
        <f t="shared" ref="M67" si="31">AVERAGE(M53:M62,M65:M66)</f>
        <v>0.25298737885609868</v>
      </c>
      <c r="N67" s="387">
        <f t="shared" ref="N67" si="32">AVERAGE(N53:N62,N65:N66)</f>
        <v>0.25425212291376026</v>
      </c>
      <c r="O67" s="387">
        <f t="shared" ref="O67" si="33">AVERAGE(O53:O62,O65:O66)</f>
        <v>0.26221462583429522</v>
      </c>
      <c r="P67" s="27"/>
      <c r="Q67" s="27"/>
      <c r="R67" s="27"/>
      <c r="S67" s="27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30" customHeight="1" x14ac:dyDescent="0.25">
      <c r="A68" s="25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30" customHeight="1" x14ac:dyDescent="0.25">
      <c r="A69" s="25"/>
      <c r="B69" s="27"/>
      <c r="C69" s="27"/>
      <c r="D69" s="27"/>
      <c r="E69" s="308"/>
      <c r="F69" s="310"/>
      <c r="G69" s="310"/>
      <c r="H69" s="310"/>
      <c r="I69" s="309"/>
      <c r="J69" s="27"/>
      <c r="K69" s="308"/>
      <c r="L69" s="310"/>
      <c r="M69" s="310"/>
      <c r="N69" s="310"/>
      <c r="O69" s="309"/>
      <c r="P69" s="27"/>
      <c r="Q69" s="27"/>
      <c r="R69" s="27"/>
      <c r="S69" s="27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30" customHeight="1" x14ac:dyDescent="0.25">
      <c r="A70" s="25"/>
      <c r="B70" s="27"/>
      <c r="C70" s="27"/>
      <c r="D70" s="27"/>
      <c r="E70" s="155"/>
      <c r="F70" s="189" t="s">
        <v>985</v>
      </c>
      <c r="G70" s="189" t="s">
        <v>984</v>
      </c>
      <c r="H70" s="189" t="s">
        <v>983</v>
      </c>
      <c r="I70" s="190" t="s">
        <v>982</v>
      </c>
      <c r="J70" s="27"/>
      <c r="K70" s="155"/>
      <c r="L70" s="189" t="s">
        <v>985</v>
      </c>
      <c r="M70" s="189" t="s">
        <v>984</v>
      </c>
      <c r="N70" s="189" t="s">
        <v>983</v>
      </c>
      <c r="O70" s="190" t="s">
        <v>982</v>
      </c>
      <c r="P70" s="27"/>
      <c r="Q70" s="27"/>
      <c r="R70" s="27"/>
      <c r="S70" s="27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30" customHeight="1" x14ac:dyDescent="0.25">
      <c r="A71" s="25"/>
      <c r="B71" s="27"/>
      <c r="C71" s="27"/>
      <c r="D71" s="27"/>
      <c r="E71" s="159">
        <f t="shared" ref="E71:E81" si="34">E72-1</f>
        <v>2010</v>
      </c>
      <c r="F71" s="158">
        <v>50110</v>
      </c>
      <c r="G71" s="158">
        <v>129543</v>
      </c>
      <c r="H71" s="158">
        <v>78152</v>
      </c>
      <c r="I71" s="157">
        <v>146668</v>
      </c>
      <c r="J71" s="156"/>
      <c r="K71" s="155">
        <v>2010</v>
      </c>
      <c r="L71" s="150">
        <f t="shared" ref="L71:L84" si="35">F71/SUM($F71:$I71)</f>
        <v>0.12388960449770442</v>
      </c>
      <c r="M71" s="150">
        <f t="shared" ref="M71:M84" si="36">G71/SUM($F71:$I71)</f>
        <v>0.3202760134792681</v>
      </c>
      <c r="N71" s="150">
        <f t="shared" ref="N71:N84" si="37">H71/SUM($F71:$I71)</f>
        <v>0.19321932489931343</v>
      </c>
      <c r="O71" s="149">
        <f t="shared" ref="O71:O84" si="38">I71/SUM($F71:$I71)</f>
        <v>0.36261505712371406</v>
      </c>
      <c r="P71" s="27"/>
      <c r="Q71" s="27"/>
      <c r="R71" s="27"/>
      <c r="S71" s="27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30" customHeight="1" x14ac:dyDescent="0.25">
      <c r="A72" s="25"/>
      <c r="B72" s="27"/>
      <c r="C72" s="27"/>
      <c r="D72" s="27"/>
      <c r="E72" s="159">
        <f t="shared" si="34"/>
        <v>2011</v>
      </c>
      <c r="F72" s="158">
        <v>59059</v>
      </c>
      <c r="G72" s="158">
        <v>151492</v>
      </c>
      <c r="H72" s="158">
        <v>76629.558239999984</v>
      </c>
      <c r="I72" s="157">
        <v>185452</v>
      </c>
      <c r="J72" s="156"/>
      <c r="K72" s="155">
        <v>2011</v>
      </c>
      <c r="L72" s="150">
        <f t="shared" si="35"/>
        <v>0.12495753618820774</v>
      </c>
      <c r="M72" s="150">
        <f t="shared" si="36"/>
        <v>0.32052806637809594</v>
      </c>
      <c r="N72" s="150">
        <f t="shared" si="37"/>
        <v>0.16213347325320732</v>
      </c>
      <c r="O72" s="149">
        <f t="shared" si="38"/>
        <v>0.39238092418048903</v>
      </c>
      <c r="P72" s="27"/>
      <c r="Q72" s="27"/>
      <c r="R72" s="27"/>
      <c r="S72" s="27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30" customHeight="1" x14ac:dyDescent="0.25">
      <c r="A73" s="25"/>
      <c r="B73" s="27"/>
      <c r="C73" s="27"/>
      <c r="D73" s="27"/>
      <c r="E73" s="159">
        <f t="shared" si="34"/>
        <v>2012</v>
      </c>
      <c r="F73" s="158">
        <v>49228</v>
      </c>
      <c r="G73" s="158">
        <v>154475</v>
      </c>
      <c r="H73" s="158">
        <v>110317</v>
      </c>
      <c r="I73" s="157">
        <v>245231</v>
      </c>
      <c r="J73" s="156"/>
      <c r="K73" s="155">
        <v>2012</v>
      </c>
      <c r="L73" s="150">
        <f t="shared" si="35"/>
        <v>8.8024876128965354E-2</v>
      </c>
      <c r="M73" s="150">
        <f t="shared" si="36"/>
        <v>0.27621765539981152</v>
      </c>
      <c r="N73" s="150">
        <f t="shared" si="37"/>
        <v>0.197258476068885</v>
      </c>
      <c r="O73" s="149">
        <f t="shared" si="38"/>
        <v>0.43849899240233814</v>
      </c>
      <c r="P73" s="27"/>
      <c r="Q73" s="27"/>
      <c r="R73" s="27"/>
      <c r="S73" s="27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30" customHeight="1" x14ac:dyDescent="0.25">
      <c r="A74" s="25"/>
      <c r="B74" s="27"/>
      <c r="C74" s="27"/>
      <c r="D74" s="27"/>
      <c r="E74" s="159">
        <f t="shared" si="34"/>
        <v>2013</v>
      </c>
      <c r="F74" s="158">
        <v>46177</v>
      </c>
      <c r="G74" s="158">
        <v>157421</v>
      </c>
      <c r="H74" s="158">
        <v>110689</v>
      </c>
      <c r="I74" s="157">
        <v>336149</v>
      </c>
      <c r="J74" s="156"/>
      <c r="K74" s="155">
        <v>2013</v>
      </c>
      <c r="L74" s="150">
        <f t="shared" si="35"/>
        <v>7.0993917925822062E-2</v>
      </c>
      <c r="M74" s="150">
        <f t="shared" si="36"/>
        <v>0.24202381172013848</v>
      </c>
      <c r="N74" s="150">
        <f t="shared" si="37"/>
        <v>0.17017661999028344</v>
      </c>
      <c r="O74" s="149">
        <f t="shared" si="38"/>
        <v>0.51680565036375603</v>
      </c>
      <c r="P74" s="27"/>
      <c r="Q74" s="27"/>
      <c r="R74" s="27"/>
      <c r="S74" s="27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30" customHeight="1" x14ac:dyDescent="0.25">
      <c r="A75" s="25"/>
      <c r="B75" s="27"/>
      <c r="C75" s="27"/>
      <c r="D75" s="27"/>
      <c r="E75" s="159">
        <f t="shared" si="34"/>
        <v>2014</v>
      </c>
      <c r="F75" s="158">
        <v>83736.450000000012</v>
      </c>
      <c r="G75" s="158">
        <v>189408</v>
      </c>
      <c r="H75" s="158">
        <v>141901</v>
      </c>
      <c r="I75" s="157">
        <v>387005.91899999999</v>
      </c>
      <c r="J75" s="156"/>
      <c r="K75" s="155">
        <v>2014</v>
      </c>
      <c r="L75" s="150">
        <f t="shared" si="35"/>
        <v>0.10440285153356557</v>
      </c>
      <c r="M75" s="150">
        <f t="shared" si="36"/>
        <v>0.23615445010231012</v>
      </c>
      <c r="N75" s="150">
        <f t="shared" si="37"/>
        <v>0.17692258312197956</v>
      </c>
      <c r="O75" s="149">
        <f t="shared" si="38"/>
        <v>0.48252011524214483</v>
      </c>
      <c r="P75" s="27"/>
      <c r="Q75" s="27"/>
      <c r="R75" s="27"/>
      <c r="S75" s="27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30" customHeight="1" x14ac:dyDescent="0.25">
      <c r="A76" s="25"/>
      <c r="B76" s="27"/>
      <c r="C76" s="27"/>
      <c r="D76" s="27"/>
      <c r="E76" s="159">
        <f t="shared" si="34"/>
        <v>2015</v>
      </c>
      <c r="F76" s="158">
        <v>130573.27951000014</v>
      </c>
      <c r="G76" s="158">
        <v>253873.64064000011</v>
      </c>
      <c r="H76" s="158">
        <v>156656</v>
      </c>
      <c r="I76" s="157">
        <v>392149.30340999993</v>
      </c>
      <c r="J76" s="156"/>
      <c r="K76" s="155">
        <v>2015</v>
      </c>
      <c r="L76" s="150">
        <f t="shared" si="35"/>
        <v>0.13991210115944117</v>
      </c>
      <c r="M76" s="150">
        <f t="shared" si="36"/>
        <v>0.27203111252343903</v>
      </c>
      <c r="N76" s="150">
        <f t="shared" si="37"/>
        <v>0.16786030190468476</v>
      </c>
      <c r="O76" s="149">
        <f t="shared" si="38"/>
        <v>0.42019648441243501</v>
      </c>
      <c r="P76" s="134"/>
      <c r="Q76" s="27"/>
      <c r="R76" s="27"/>
      <c r="S76" s="27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30" customHeight="1" x14ac:dyDescent="0.25">
      <c r="A77" s="25"/>
      <c r="B77" s="27"/>
      <c r="C77" s="27"/>
      <c r="D77" s="27"/>
      <c r="E77" s="159">
        <f t="shared" si="34"/>
        <v>2016</v>
      </c>
      <c r="F77" s="158">
        <v>105543</v>
      </c>
      <c r="G77" s="158">
        <v>272459</v>
      </c>
      <c r="H77" s="158">
        <v>132895</v>
      </c>
      <c r="I77" s="157">
        <v>464795</v>
      </c>
      <c r="J77" s="156"/>
      <c r="K77" s="155">
        <v>2016</v>
      </c>
      <c r="L77" s="150">
        <f t="shared" si="35"/>
        <v>0.10817245606195398</v>
      </c>
      <c r="M77" s="150">
        <f t="shared" si="36"/>
        <v>0.27924693448342303</v>
      </c>
      <c r="N77" s="150">
        <f t="shared" si="37"/>
        <v>0.13620589284323331</v>
      </c>
      <c r="O77" s="149">
        <f t="shared" si="38"/>
        <v>0.47637471661138964</v>
      </c>
      <c r="P77" s="27"/>
      <c r="Q77" s="27"/>
      <c r="R77" s="27"/>
      <c r="S77" s="27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30" customHeight="1" x14ac:dyDescent="0.25">
      <c r="A78" s="25"/>
      <c r="B78" s="27"/>
      <c r="C78" s="27"/>
      <c r="D78" s="27"/>
      <c r="E78" s="159">
        <f t="shared" si="34"/>
        <v>2017</v>
      </c>
      <c r="F78" s="158">
        <v>104036</v>
      </c>
      <c r="G78" s="158">
        <v>294708</v>
      </c>
      <c r="H78" s="158">
        <v>205928</v>
      </c>
      <c r="I78" s="157">
        <v>482567</v>
      </c>
      <c r="J78" s="156"/>
      <c r="K78" s="155">
        <v>2017</v>
      </c>
      <c r="L78" s="150">
        <f t="shared" si="35"/>
        <v>9.5688252536930696E-2</v>
      </c>
      <c r="M78" s="150">
        <f t="shared" si="36"/>
        <v>0.27106091668897087</v>
      </c>
      <c r="N78" s="150">
        <f t="shared" si="37"/>
        <v>0.18940453754878181</v>
      </c>
      <c r="O78" s="149">
        <f t="shared" si="38"/>
        <v>0.4438462932253166</v>
      </c>
      <c r="P78" s="156"/>
      <c r="Q78" s="156"/>
      <c r="R78" s="156"/>
      <c r="S78" s="156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30" customHeight="1" x14ac:dyDescent="0.25">
      <c r="A79" s="25"/>
      <c r="B79" s="27"/>
      <c r="C79" s="27"/>
      <c r="D79" s="27"/>
      <c r="E79" s="159">
        <f t="shared" si="34"/>
        <v>2018</v>
      </c>
      <c r="F79" s="158">
        <v>170055</v>
      </c>
      <c r="G79" s="158">
        <v>351973.96485999995</v>
      </c>
      <c r="H79" s="158">
        <v>258488.43174999999</v>
      </c>
      <c r="I79" s="157">
        <v>643303.25080000004</v>
      </c>
      <c r="J79" s="156"/>
      <c r="K79" s="155">
        <v>2018</v>
      </c>
      <c r="L79" s="150">
        <f t="shared" si="35"/>
        <v>0.1194356889748287</v>
      </c>
      <c r="M79" s="150">
        <f t="shared" si="36"/>
        <v>0.24720386342216483</v>
      </c>
      <c r="N79" s="150">
        <f t="shared" si="37"/>
        <v>0.1815456407520169</v>
      </c>
      <c r="O79" s="149">
        <f t="shared" si="38"/>
        <v>0.45181480685098957</v>
      </c>
      <c r="P79" s="156"/>
      <c r="Q79" s="27"/>
      <c r="R79" s="27"/>
      <c r="S79" s="27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30" customHeight="1" x14ac:dyDescent="0.25">
      <c r="A80" s="25"/>
      <c r="B80" s="27"/>
      <c r="C80" s="27"/>
      <c r="D80" s="27"/>
      <c r="E80" s="159">
        <f t="shared" si="34"/>
        <v>2019</v>
      </c>
      <c r="F80" s="158">
        <v>238402</v>
      </c>
      <c r="G80" s="158">
        <v>364694</v>
      </c>
      <c r="H80" s="158">
        <v>276537</v>
      </c>
      <c r="I80" s="157">
        <v>764021</v>
      </c>
      <c r="J80" s="156"/>
      <c r="K80" s="155">
        <v>2019</v>
      </c>
      <c r="L80" s="150">
        <f t="shared" si="35"/>
        <v>0.14504390826779845</v>
      </c>
      <c r="M80" s="150">
        <f t="shared" si="36"/>
        <v>0.22188003071205983</v>
      </c>
      <c r="N80" s="150">
        <f t="shared" si="37"/>
        <v>0.16824526329750666</v>
      </c>
      <c r="O80" s="149">
        <f t="shared" si="38"/>
        <v>0.46483079772263508</v>
      </c>
      <c r="P80" s="156"/>
      <c r="Q80" s="27"/>
      <c r="R80" s="27"/>
      <c r="S80" s="27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30" customHeight="1" x14ac:dyDescent="0.25">
      <c r="A81" s="25"/>
      <c r="B81" s="27"/>
      <c r="C81" s="27"/>
      <c r="D81" s="27"/>
      <c r="E81" s="159">
        <f t="shared" si="34"/>
        <v>2020</v>
      </c>
      <c r="F81" s="158">
        <v>32335</v>
      </c>
      <c r="G81" s="158">
        <v>420256</v>
      </c>
      <c r="H81" s="158">
        <v>-126613</v>
      </c>
      <c r="I81" s="157">
        <v>530901</v>
      </c>
      <c r="J81" s="156"/>
      <c r="K81" s="155">
        <v>2020</v>
      </c>
      <c r="L81" s="150">
        <f t="shared" si="35"/>
        <v>3.773578299853305E-2</v>
      </c>
      <c r="M81" s="150">
        <f t="shared" si="36"/>
        <v>0.49044964341523134</v>
      </c>
      <c r="N81" s="150">
        <f t="shared" si="37"/>
        <v>-0.1477606523208061</v>
      </c>
      <c r="O81" s="149">
        <f t="shared" si="38"/>
        <v>0.61957522590704173</v>
      </c>
      <c r="P81" s="156"/>
      <c r="Q81" s="27"/>
      <c r="R81" s="27"/>
      <c r="S81" s="27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30" customHeight="1" x14ac:dyDescent="0.25">
      <c r="A82" s="25"/>
      <c r="B82" s="27"/>
      <c r="C82" s="27"/>
      <c r="D82" s="27"/>
      <c r="E82" s="159">
        <v>2021</v>
      </c>
      <c r="F82" s="158">
        <v>-173363</v>
      </c>
      <c r="G82" s="158">
        <v>260594</v>
      </c>
      <c r="H82" s="158">
        <v>207753</v>
      </c>
      <c r="I82" s="157">
        <v>518960</v>
      </c>
      <c r="J82" s="156"/>
      <c r="K82" s="155">
        <v>2021</v>
      </c>
      <c r="L82" s="150">
        <f t="shared" si="35"/>
        <v>-0.21299131144157338</v>
      </c>
      <c r="M82" s="150">
        <f t="shared" si="36"/>
        <v>0.32016207503218896</v>
      </c>
      <c r="N82" s="150">
        <f t="shared" si="37"/>
        <v>0.2552423753968332</v>
      </c>
      <c r="O82" s="149">
        <f t="shared" si="38"/>
        <v>0.63758686101255124</v>
      </c>
      <c r="P82" s="27"/>
      <c r="Q82" s="27"/>
      <c r="R82" s="27"/>
      <c r="S82" s="27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30" customHeight="1" x14ac:dyDescent="0.25">
      <c r="A83" s="25"/>
      <c r="B83" s="27"/>
      <c r="C83" s="27"/>
      <c r="D83" s="1"/>
      <c r="E83" s="154">
        <v>2022</v>
      </c>
      <c r="F83" s="153">
        <v>143842</v>
      </c>
      <c r="G83" s="153">
        <v>434640</v>
      </c>
      <c r="H83" s="153">
        <v>200995</v>
      </c>
      <c r="I83" s="157">
        <v>627924</v>
      </c>
      <c r="J83" s="152"/>
      <c r="K83" s="151">
        <v>2022</v>
      </c>
      <c r="L83" s="150">
        <f t="shared" si="35"/>
        <v>0.10220399161290919</v>
      </c>
      <c r="M83" s="150">
        <f t="shared" si="36"/>
        <v>0.3088245638591986</v>
      </c>
      <c r="N83" s="150">
        <f t="shared" si="37"/>
        <v>0.14281288701656458</v>
      </c>
      <c r="O83" s="149">
        <f t="shared" si="38"/>
        <v>0.4461585575113276</v>
      </c>
      <c r="P83" s="1"/>
      <c r="Q83" s="27"/>
      <c r="R83" s="27"/>
      <c r="S83" s="27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30" customHeight="1" x14ac:dyDescent="0.25">
      <c r="A84" s="25"/>
      <c r="B84" s="27"/>
      <c r="C84" s="27"/>
      <c r="D84" s="1"/>
      <c r="E84" s="154">
        <v>2023</v>
      </c>
      <c r="F84" s="411">
        <v>-26661</v>
      </c>
      <c r="G84" s="411">
        <v>224430</v>
      </c>
      <c r="H84" s="158">
        <v>91828</v>
      </c>
      <c r="I84" s="157">
        <v>599480</v>
      </c>
      <c r="J84" s="27"/>
      <c r="K84" s="155">
        <v>2023</v>
      </c>
      <c r="L84" s="168">
        <f t="shared" si="35"/>
        <v>-2.9987278942093878E-2</v>
      </c>
      <c r="M84" s="168">
        <f t="shared" si="36"/>
        <v>0.25243032943153404</v>
      </c>
      <c r="N84" s="168">
        <f t="shared" si="37"/>
        <v>0.10328464238755473</v>
      </c>
      <c r="O84" s="167">
        <f t="shared" si="38"/>
        <v>0.67427230712300512</v>
      </c>
      <c r="P84" s="1"/>
      <c r="Q84" s="27"/>
      <c r="R84" s="27"/>
      <c r="S84" s="27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30" customHeight="1" thickBot="1" x14ac:dyDescent="0.3">
      <c r="A85" s="25"/>
      <c r="B85" s="27"/>
      <c r="C85" s="27"/>
      <c r="D85" s="1"/>
      <c r="E85" s="148"/>
      <c r="F85" s="424"/>
      <c r="G85" s="425"/>
      <c r="H85" s="425"/>
      <c r="I85" s="426"/>
      <c r="J85" s="27"/>
      <c r="K85" s="147" t="s">
        <v>981</v>
      </c>
      <c r="L85" s="387">
        <f>AVERAGE(L71:L80,L83:L84)</f>
        <v>9.9394825495502784E-2</v>
      </c>
      <c r="M85" s="387">
        <f t="shared" ref="M85" si="39">AVERAGE(M71:M80,M83:M84)</f>
        <v>0.27065647901670115</v>
      </c>
      <c r="N85" s="387">
        <f t="shared" ref="N85" si="40">AVERAGE(N71:N80,N83:N84)</f>
        <v>0.16575580359033429</v>
      </c>
      <c r="O85" s="387">
        <f t="shared" ref="O85" si="41">AVERAGE(O71:O80,O83:O84)</f>
        <v>0.46419289189746177</v>
      </c>
      <c r="P85" s="1"/>
      <c r="Q85" s="27"/>
      <c r="R85" s="27"/>
      <c r="S85" s="27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30" customHeight="1" x14ac:dyDescent="0.25">
      <c r="A86" s="25"/>
      <c r="B86" s="27"/>
      <c r="C86" s="27"/>
      <c r="D86" s="1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30" customHeight="1" x14ac:dyDescent="0.25">
      <c r="A87" s="25"/>
      <c r="B87" s="27"/>
      <c r="C87" s="27"/>
      <c r="D87" s="1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30" customHeight="1" x14ac:dyDescent="0.25">
      <c r="A88" s="25"/>
      <c r="B88" s="27"/>
      <c r="C88" s="27"/>
      <c r="D88" s="1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30" customHeight="1" x14ac:dyDescent="0.25">
      <c r="A89" s="25"/>
      <c r="B89" s="27"/>
      <c r="C89" s="27"/>
      <c r="D89" s="1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30" customHeight="1" x14ac:dyDescent="0.25">
      <c r="A90" s="25"/>
      <c r="B90" s="27"/>
      <c r="C90" s="27"/>
      <c r="D90" s="1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30" customHeight="1" x14ac:dyDescent="0.25">
      <c r="A91" s="146"/>
      <c r="B91" s="1"/>
      <c r="C91" s="1"/>
      <c r="D91" s="1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30" customHeight="1" x14ac:dyDescent="0.25">
      <c r="A92" s="146"/>
      <c r="B92" s="1"/>
      <c r="C92" s="1"/>
      <c r="D92" s="1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30" customHeight="1" x14ac:dyDescent="0.25">
      <c r="A93" s="146"/>
      <c r="B93" s="1"/>
      <c r="C93" s="1"/>
      <c r="D93" s="1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30" customHeight="1" x14ac:dyDescent="0.25">
      <c r="A94" s="146"/>
      <c r="B94" s="1"/>
      <c r="C94" s="1"/>
      <c r="D94" s="1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30" customHeight="1" x14ac:dyDescent="0.25">
      <c r="A95" s="146"/>
      <c r="B95" s="1"/>
      <c r="C95" s="1"/>
      <c r="D95" s="1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30" customHeight="1" x14ac:dyDescent="0.25">
      <c r="A96" s="14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30" customHeight="1" x14ac:dyDescent="0.25">
      <c r="A97" s="14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30" customHeight="1" x14ac:dyDescent="0.25">
      <c r="A98" s="14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39.75" customHeight="1" x14ac:dyDescent="0.25">
      <c r="A99" s="14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39.75" hidden="1" customHeight="1" x14ac:dyDescent="0.25">
      <c r="A100" s="5"/>
      <c r="B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</row>
    <row r="101" spans="1:41" ht="39.75" hidden="1" customHeight="1" x14ac:dyDescent="0.25">
      <c r="A101" s="5"/>
      <c r="B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</row>
    <row r="102" spans="1:41" ht="39.75" hidden="1" customHeight="1" x14ac:dyDescent="0.25">
      <c r="A102" s="5"/>
      <c r="B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</row>
    <row r="103" spans="1:41" ht="39.75" hidden="1" customHeight="1" x14ac:dyDescent="0.25">
      <c r="A103" s="5"/>
      <c r="B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</row>
    <row r="104" spans="1:41" ht="39.75" hidden="1" customHeight="1" x14ac:dyDescent="0.25">
      <c r="A104" s="5"/>
      <c r="B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</row>
    <row r="105" spans="1:41" ht="39.75" hidden="1" customHeight="1" x14ac:dyDescent="0.25">
      <c r="A105" s="5"/>
      <c r="B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</row>
    <row r="106" spans="1:41" ht="39.75" hidden="1" customHeight="1" x14ac:dyDescent="0.25">
      <c r="A106" s="5"/>
      <c r="B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</row>
    <row r="107" spans="1:41" ht="39.75" hidden="1" customHeight="1" x14ac:dyDescent="0.25">
      <c r="A107" s="5"/>
      <c r="B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</row>
    <row r="108" spans="1:41" ht="39.75" hidden="1" customHeight="1" x14ac:dyDescent="0.25">
      <c r="A108" s="5"/>
      <c r="B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</row>
    <row r="109" spans="1:41" ht="39.75" hidden="1" customHeight="1" x14ac:dyDescent="0.25">
      <c r="A109" s="5"/>
      <c r="B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</row>
    <row r="110" spans="1:41" ht="39.75" hidden="1" customHeight="1" x14ac:dyDescent="0.25">
      <c r="A110" s="5"/>
      <c r="B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</row>
    <row r="111" spans="1:41" ht="39.75" hidden="1" customHeight="1" x14ac:dyDescent="0.25">
      <c r="A111" s="5"/>
      <c r="B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</row>
    <row r="112" spans="1:41" ht="39.75" hidden="1" customHeight="1" x14ac:dyDescent="0.25">
      <c r="A112" s="5"/>
      <c r="B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</row>
  </sheetData>
  <mergeCells count="1">
    <mergeCell ref="F3:L5"/>
  </mergeCells>
  <conditionalFormatting sqref="C1:AO2 A1:A6 B1:B23 AP1:XFD1048576 C3:D5 P3:AO5 C6:AO8 C9:K10 L9:O38 P9:AO85 D9:D95 C11:C23 K12:K13 K15:K16 E19:E26 K19:K37 A20:A23 A24:C99 E33:E39 K38:O49 E46:E51 K50 L50:O51 J51:K51 E52:I53 J52:O67 F54:I64 E62:E65 F65:G65 E66:G67 E71:E76 K81:K84 E85:K85 E86:AO95 D96:AO99 A100:AO1048576">
    <cfRule type="cellIs" dxfId="22" priority="69" operator="equal">
      <formula>0</formula>
    </cfRule>
  </conditionalFormatting>
  <conditionalFormatting sqref="E3:F3">
    <cfRule type="cellIs" dxfId="21" priority="37" operator="equal">
      <formula>0</formula>
    </cfRule>
  </conditionalFormatting>
  <conditionalFormatting sqref="E77:I84">
    <cfRule type="cellIs" dxfId="20" priority="1" operator="equal">
      <formula>0</formula>
    </cfRule>
  </conditionalFormatting>
  <conditionalFormatting sqref="E68:O68">
    <cfRule type="cellIs" dxfId="19" priority="54" operator="equal">
      <formula>0</formula>
    </cfRule>
  </conditionalFormatting>
  <conditionalFormatting sqref="F11:I51">
    <cfRule type="cellIs" dxfId="18" priority="15" operator="equal">
      <formula>0</formula>
    </cfRule>
  </conditionalFormatting>
  <conditionalFormatting sqref="F69:I76">
    <cfRule type="cellIs" dxfId="17" priority="4" operator="equal">
      <formula>0</formula>
    </cfRule>
  </conditionalFormatting>
  <conditionalFormatting sqref="H65:I67">
    <cfRule type="cellIs" dxfId="16" priority="2" operator="equal">
      <formula>0</formula>
    </cfRule>
  </conditionalFormatting>
  <conditionalFormatting sqref="J11:J50">
    <cfRule type="cellIs" dxfId="15" priority="56" operator="equal">
      <formula>0</formula>
    </cfRule>
  </conditionalFormatting>
  <conditionalFormatting sqref="J69:J84">
    <cfRule type="cellIs" dxfId="14" priority="43" operator="equal">
      <formula>0</formula>
    </cfRule>
  </conditionalFormatting>
  <conditionalFormatting sqref="L69:O85">
    <cfRule type="cellIs" dxfId="13" priority="8" operator="equal">
      <formula>0</formula>
    </cfRule>
  </conditionalFormatting>
  <hyperlinks>
    <hyperlink ref="A9" location="WACC!A1" display="WACC" xr:uid="{FAAEB59F-B118-4993-A4C6-EB83B854F0A4}"/>
    <hyperlink ref="A8" location="Dashboard!A1" display="Dashboard" xr:uid="{067195CF-1CE3-4107-B8F3-2CE2C34C3B1C}"/>
    <hyperlink ref="A13" location="'Projeções - Receita'!A1" display="Projeções" xr:uid="{3E35B1D5-DCD2-4BEA-B5F3-AC344786DB9B}"/>
    <hyperlink ref="A10" location="'DRE + DCF'!A1" display="DRE + DCF" xr:uid="{50DA90D5-3266-4118-ABBB-8BCBA5A8EDF7}"/>
    <hyperlink ref="A12" location="'Balanço Patrimonial'!A1" display="Balanço Patrimonial" xr:uid="{F9F855A1-A182-4C64-9FEF-7143353EEBF4}"/>
    <hyperlink ref="A15" location="'Capex + K. Giro'!A1" display="Capex + Capital de Giro" xr:uid="{5A65042B-6FA5-4A91-AB03-4F99F250ECA8}"/>
    <hyperlink ref="A14" location="Lojas!A1" display="Lojas" xr:uid="{488A15D8-E5F6-4311-AC8F-4DA1DD77517F}"/>
    <hyperlink ref="A11" location="'DRE - Contas Abertas'!A1" display="Contas Abertas" xr:uid="{00D39B06-D104-4F83-93AF-719FA235D4D5}"/>
    <hyperlink ref="A16" location="'Projeções Trimestrais'!A1" display="Projeções Trimestrais" xr:uid="{A0AB5142-D54B-4AB8-85E6-9B29347955E1}"/>
    <hyperlink ref="A17" location="'Painel de Índices'!A1" display="Painel de Índices" xr:uid="{E7C39C22-53EC-425E-86E4-C96BAD7D5294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Dashboard</vt:lpstr>
      <vt:lpstr>WACC</vt:lpstr>
      <vt:lpstr>DRE + DCF</vt:lpstr>
      <vt:lpstr>DRE - Contas Abertas</vt:lpstr>
      <vt:lpstr>Balanço Patrimonial</vt:lpstr>
      <vt:lpstr>Projeções - Receita</vt:lpstr>
      <vt:lpstr>Lojas</vt:lpstr>
      <vt:lpstr>Capex + K. Giro</vt:lpstr>
      <vt:lpstr>Projeções Trimestrais</vt:lpstr>
      <vt:lpstr>Painel de Índices</vt:lpstr>
      <vt:lpstr>Provisões e Processos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Lacombe</dc:creator>
  <cp:lastModifiedBy>Gabriel Lacombe</cp:lastModifiedBy>
  <dcterms:created xsi:type="dcterms:W3CDTF">2015-06-05T18:17:20Z</dcterms:created>
  <dcterms:modified xsi:type="dcterms:W3CDTF">2024-03-16T00:03:33Z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coUpdateId">
    <vt:lpwstr>1335392777</vt:lpwstr>
  </property>
  <property fmtid="{D5CDD505-2E9C-101B-9397-08002B2CF9AE}" pid="3" name="EcoUpdateMessage">
    <vt:lpwstr>2022/04/25-22:26:17</vt:lpwstr>
  </property>
  <property fmtid="{D5CDD505-2E9C-101B-9397-08002B2CF9AE}" pid="4" name="EcoUpdateStatus">
    <vt:lpwstr>2022-04-25=BRA:St,ME,Fd,TP;USA:St,ME;ARG:St,ME,TP;MEX:St,ME,Fd,TP;CHL:St,ME|2022-04-11=USA:TP|2022-04-22=ARG:Fd;CHL:Fd;COL:St,ME;PER:St,ME,TP|2021-11-17=CHL:TP|2014-02-26=VEN:St|2002-11-08=JPN:St|2022-04-20=GBR:St,ME|2016-08-18=NNN:St|2022-04-21=COL:Fd;PER:Fd|2007-01-31=ESP:St|2003-01-29=CHN:St|2003-01-28=TWN:St|2003-01-30=HKG:St;KOR:St</vt:lpwstr>
  </property>
</Properties>
</file>