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cstbgroup.sharepoint.com/sites/01_EXT_DSSF_These_Francois_Consigny_571/Documents partages/Calculs Feu/Programmes/python/input/"/>
    </mc:Choice>
  </mc:AlternateContent>
  <xr:revisionPtr revIDLastSave="220" documentId="6_{DB1F4A5D-0199-4106-8D69-ED96D13DABDF}" xr6:coauthVersionLast="47" xr6:coauthVersionMax="47" xr10:uidLastSave="{5E2882DD-A378-4CBA-A8D0-D1410EBD2266}"/>
  <bookViews>
    <workbookView xWindow="-120" yWindow="-16320" windowWidth="29040" windowHeight="15720" tabRatio="852" firstSheet="1" activeTab="1" xr2:uid="{00000000-000D-0000-FFFF-FFFF00000000}"/>
  </bookViews>
  <sheets>
    <sheet name="ReadMeFirst" sheetId="1" r:id="rId1"/>
    <sheet name="Recap" sheetId="2" r:id="rId2"/>
    <sheet name="Char Depth Graph" sheetId="3" r:id="rId3"/>
    <sheet name="Char measurement" sheetId="5" r:id="rId4"/>
    <sheet name="Char analyse" sheetId="6" r:id="rId5"/>
    <sheet name="Gyps protection" sheetId="10" r:id="rId6"/>
    <sheet name="Flux results" sheetId="11" r:id="rId7"/>
    <sheet name="Lists" sheetId="4" r:id="rId8"/>
    <sheet name="Heat of Combustion" sheetId="9" r:id="rId9"/>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9" i="2" l="1"/>
  <c r="C342" i="5"/>
  <c r="C341" i="5"/>
  <c r="BP76" i="2" l="1"/>
  <c r="BO76" i="2"/>
  <c r="BN76" i="2"/>
  <c r="BL76" i="2"/>
  <c r="BK76" i="2"/>
  <c r="BJ76" i="2"/>
  <c r="C340" i="5"/>
  <c r="C334" i="5"/>
  <c r="EM80" i="2"/>
  <c r="DP80" i="2"/>
  <c r="E68" i="11" l="1"/>
  <c r="D68" i="11"/>
  <c r="C68" i="11"/>
  <c r="B68" i="11"/>
  <c r="EU77" i="2"/>
  <c r="EU78" i="2" s="1"/>
  <c r="AP26" i="2"/>
  <c r="AP25" i="2"/>
  <c r="AQ24" i="2"/>
  <c r="AP24" i="2"/>
  <c r="AQ23" i="2"/>
  <c r="AP23" i="2"/>
  <c r="U3" i="10"/>
  <c r="V3" i="10"/>
  <c r="U4" i="10"/>
  <c r="V4" i="10"/>
  <c r="U5" i="10"/>
  <c r="V5" i="10"/>
  <c r="U6" i="10"/>
  <c r="V6" i="10"/>
  <c r="U7" i="10"/>
  <c r="V7" i="10"/>
  <c r="U8" i="10"/>
  <c r="V8" i="10"/>
  <c r="U9" i="10"/>
  <c r="V9" i="10"/>
  <c r="U10" i="10"/>
  <c r="V10" i="10"/>
  <c r="U11" i="10"/>
  <c r="V11" i="10"/>
  <c r="U12" i="10"/>
  <c r="V12" i="10"/>
  <c r="U13" i="10"/>
  <c r="V13" i="10"/>
  <c r="U14" i="10"/>
  <c r="V14" i="10"/>
  <c r="U15" i="10"/>
  <c r="V15" i="10"/>
  <c r="U16" i="10"/>
  <c r="V16" i="10"/>
  <c r="U17" i="10"/>
  <c r="V17" i="10"/>
  <c r="U18" i="10"/>
  <c r="V18" i="10"/>
  <c r="U19" i="10"/>
  <c r="V19" i="10"/>
  <c r="U20" i="10"/>
  <c r="V20" i="10"/>
  <c r="U21" i="10"/>
  <c r="V21" i="10"/>
  <c r="U22" i="10"/>
  <c r="V22" i="10"/>
  <c r="U23" i="10"/>
  <c r="V23" i="10"/>
  <c r="U24" i="10"/>
  <c r="V24" i="10"/>
  <c r="U25" i="10"/>
  <c r="V25" i="10"/>
  <c r="U26" i="10"/>
  <c r="V26" i="10"/>
  <c r="U27" i="10"/>
  <c r="V27" i="10"/>
  <c r="U28" i="10"/>
  <c r="V28" i="10"/>
  <c r="U29" i="10"/>
  <c r="V29" i="10"/>
  <c r="U30" i="10"/>
  <c r="V30" i="10"/>
  <c r="U31" i="10"/>
  <c r="V31" i="10"/>
  <c r="U32" i="10"/>
  <c r="V32" i="10"/>
  <c r="U33" i="10"/>
  <c r="V33" i="10"/>
  <c r="U34" i="10"/>
  <c r="V34" i="10"/>
  <c r="U35" i="10"/>
  <c r="V35" i="10"/>
  <c r="U36" i="10"/>
  <c r="V36" i="10"/>
  <c r="U37" i="10"/>
  <c r="V37" i="10"/>
  <c r="U38" i="10"/>
  <c r="V38" i="10"/>
  <c r="U39" i="10"/>
  <c r="V39" i="10"/>
  <c r="U40" i="10"/>
  <c r="V40" i="10"/>
  <c r="U41" i="10"/>
  <c r="V41" i="10"/>
  <c r="U42" i="10"/>
  <c r="V42" i="10"/>
  <c r="U43" i="10"/>
  <c r="V43" i="10"/>
  <c r="U44" i="10"/>
  <c r="V44" i="10"/>
  <c r="U45" i="10"/>
  <c r="V45" i="10"/>
  <c r="U46" i="10"/>
  <c r="V46" i="10"/>
  <c r="U47" i="10"/>
  <c r="V47" i="10"/>
  <c r="U48" i="10"/>
  <c r="V48" i="10"/>
  <c r="U49" i="10"/>
  <c r="V49" i="10"/>
  <c r="U50" i="10"/>
  <c r="V50" i="10"/>
  <c r="U51" i="10"/>
  <c r="V51" i="10"/>
  <c r="U52" i="10"/>
  <c r="V52" i="10"/>
  <c r="U53" i="10"/>
  <c r="V53" i="10"/>
  <c r="U54" i="10"/>
  <c r="V54" i="10"/>
  <c r="U55" i="10"/>
  <c r="V55" i="10"/>
  <c r="U56" i="10"/>
  <c r="V56" i="10"/>
  <c r="U57" i="10"/>
  <c r="V57" i="10"/>
  <c r="U58" i="10"/>
  <c r="V58" i="10"/>
  <c r="U59" i="10"/>
  <c r="V59" i="10"/>
  <c r="U60" i="10"/>
  <c r="V60" i="10"/>
  <c r="U61" i="10"/>
  <c r="V61" i="10"/>
  <c r="U62" i="10"/>
  <c r="V62" i="10"/>
  <c r="U63" i="10"/>
  <c r="V63" i="10"/>
  <c r="U64" i="10"/>
  <c r="V64" i="10"/>
  <c r="U65" i="10"/>
  <c r="V65" i="10"/>
  <c r="U66" i="10"/>
  <c r="V66" i="10"/>
  <c r="U67" i="10"/>
  <c r="V67" i="10"/>
  <c r="U68" i="10"/>
  <c r="V68" i="10"/>
  <c r="U69" i="10"/>
  <c r="V69" i="10"/>
  <c r="U70" i="10"/>
  <c r="V70" i="10"/>
  <c r="U71" i="10"/>
  <c r="V71" i="10"/>
  <c r="U72" i="10"/>
  <c r="V72" i="10"/>
  <c r="U73" i="10"/>
  <c r="V73" i="10"/>
  <c r="U2" i="10"/>
  <c r="V2" i="10"/>
  <c r="B68" i="10"/>
  <c r="C68" i="10"/>
  <c r="D68" i="10"/>
  <c r="E68" i="10"/>
  <c r="F68" i="10"/>
  <c r="G68" i="10"/>
  <c r="B69" i="10"/>
  <c r="C69" i="10"/>
  <c r="D69" i="10"/>
  <c r="S69" i="10" s="1"/>
  <c r="E69" i="10"/>
  <c r="F69" i="10"/>
  <c r="G69" i="10"/>
  <c r="B70" i="10"/>
  <c r="C70" i="10"/>
  <c r="D70" i="10"/>
  <c r="E70" i="10"/>
  <c r="F70" i="10"/>
  <c r="G70" i="10"/>
  <c r="B71" i="10"/>
  <c r="C71" i="10"/>
  <c r="D71" i="10"/>
  <c r="E71" i="10"/>
  <c r="F71" i="10"/>
  <c r="G71" i="10"/>
  <c r="S71" i="10"/>
  <c r="B72" i="10"/>
  <c r="C72" i="10"/>
  <c r="D72" i="10"/>
  <c r="S72" i="10" s="1"/>
  <c r="E72" i="10"/>
  <c r="F72" i="10"/>
  <c r="G72" i="10"/>
  <c r="B73" i="10"/>
  <c r="C73" i="10"/>
  <c r="D73" i="10"/>
  <c r="S73" i="10" s="1"/>
  <c r="E73" i="10"/>
  <c r="F73" i="10"/>
  <c r="G73" i="10"/>
  <c r="DE79" i="2"/>
  <c r="FL79" i="2"/>
  <c r="FD79" i="2"/>
  <c r="EO83" i="2"/>
  <c r="EU76" i="2"/>
  <c r="CB83" i="2"/>
  <c r="EJ80" i="2"/>
  <c r="FD80" i="2"/>
  <c r="S68" i="10" l="1"/>
  <c r="S70" i="10"/>
  <c r="ES78" i="2"/>
  <c r="ES77" i="2"/>
  <c r="EH78" i="2"/>
  <c r="EH77" i="2"/>
  <c r="AA49" i="6"/>
  <c r="AA36" i="6"/>
  <c r="Y36" i="6"/>
  <c r="X36" i="6"/>
  <c r="W36" i="6"/>
  <c r="S36" i="6"/>
  <c r="R36" i="6"/>
  <c r="Q36" i="6"/>
  <c r="M36" i="6"/>
  <c r="L36" i="6"/>
  <c r="K36" i="6"/>
  <c r="G36" i="6"/>
  <c r="F36" i="6"/>
  <c r="E36" i="6"/>
  <c r="D80" i="2"/>
  <c r="A73" i="10" s="1"/>
  <c r="D79" i="2"/>
  <c r="A72" i="10" s="1"/>
  <c r="EU87" i="2"/>
  <c r="ES76" i="2"/>
  <c r="ER87" i="2" s="1"/>
  <c r="EL87" i="2"/>
  <c r="EH87" i="2"/>
  <c r="EH76" i="2"/>
  <c r="CQ76" i="2"/>
  <c r="DZ91" i="2"/>
  <c r="AS62" i="3"/>
  <c r="E139" i="3" l="1"/>
  <c r="F139" i="3"/>
  <c r="G139" i="3"/>
  <c r="K139" i="3"/>
  <c r="L139" i="3"/>
  <c r="M139" i="3"/>
  <c r="Q139" i="3"/>
  <c r="R139" i="3"/>
  <c r="S139" i="3"/>
  <c r="V139" i="3"/>
  <c r="W139" i="3"/>
  <c r="X139" i="3"/>
  <c r="Y139" i="3"/>
  <c r="E140" i="3"/>
  <c r="F140" i="3"/>
  <c r="G140" i="3"/>
  <c r="K140" i="3"/>
  <c r="L140" i="3"/>
  <c r="M140" i="3"/>
  <c r="Q140" i="3"/>
  <c r="R140" i="3"/>
  <c r="S140" i="3"/>
  <c r="W140" i="3"/>
  <c r="X140" i="3"/>
  <c r="Y140" i="3"/>
  <c r="E141" i="3"/>
  <c r="F141" i="3"/>
  <c r="G141" i="3"/>
  <c r="K141" i="3"/>
  <c r="L141" i="3"/>
  <c r="M141" i="3"/>
  <c r="O141" i="3"/>
  <c r="Q141" i="3"/>
  <c r="R141" i="3"/>
  <c r="S141" i="3"/>
  <c r="W141" i="3"/>
  <c r="X141" i="3"/>
  <c r="Y141" i="3"/>
  <c r="E142" i="3"/>
  <c r="F142" i="3"/>
  <c r="G142" i="3"/>
  <c r="K142" i="3"/>
  <c r="L142" i="3"/>
  <c r="M142" i="3"/>
  <c r="Q142" i="3"/>
  <c r="R142" i="3"/>
  <c r="S142" i="3"/>
  <c r="W142" i="3"/>
  <c r="X142" i="3"/>
  <c r="Y142" i="3"/>
  <c r="E143" i="3"/>
  <c r="F143" i="3"/>
  <c r="G143" i="3"/>
  <c r="K143" i="3"/>
  <c r="L143" i="3"/>
  <c r="M143" i="3"/>
  <c r="Q143" i="3"/>
  <c r="R143" i="3"/>
  <c r="S143" i="3"/>
  <c r="W143" i="3"/>
  <c r="X143" i="3"/>
  <c r="Y143" i="3"/>
  <c r="E144" i="3"/>
  <c r="F144" i="3"/>
  <c r="G144" i="3"/>
  <c r="K144" i="3"/>
  <c r="L144" i="3"/>
  <c r="M144" i="3"/>
  <c r="Q144" i="3"/>
  <c r="R144" i="3"/>
  <c r="S144" i="3"/>
  <c r="W144" i="3"/>
  <c r="X144" i="3"/>
  <c r="Y144" i="3"/>
  <c r="B68" i="3"/>
  <c r="B139" i="3" s="1"/>
  <c r="AD139" i="3" s="1"/>
  <c r="C68" i="3"/>
  <c r="C139" i="3" s="1"/>
  <c r="D68" i="3"/>
  <c r="D139" i="3" s="1"/>
  <c r="H68" i="3"/>
  <c r="H139" i="3" s="1"/>
  <c r="AE139" i="3" s="1"/>
  <c r="I68" i="3"/>
  <c r="I139" i="3" s="1"/>
  <c r="J68" i="3"/>
  <c r="J139" i="3" s="1"/>
  <c r="N68" i="3"/>
  <c r="N139" i="3" s="1"/>
  <c r="AF139" i="3" s="1"/>
  <c r="O68" i="3"/>
  <c r="O139" i="3" s="1"/>
  <c r="P68" i="3"/>
  <c r="P139" i="3" s="1"/>
  <c r="T68" i="3"/>
  <c r="T139" i="3" s="1"/>
  <c r="AG139" i="3" s="1"/>
  <c r="U68" i="3"/>
  <c r="U139" i="3" s="1"/>
  <c r="V68" i="3"/>
  <c r="Z68" i="3"/>
  <c r="Z139" i="3" s="1"/>
  <c r="B69" i="3"/>
  <c r="B140" i="3" s="1"/>
  <c r="AD140" i="3" s="1"/>
  <c r="C69" i="3"/>
  <c r="C140" i="3" s="1"/>
  <c r="D69" i="3"/>
  <c r="D140" i="3" s="1"/>
  <c r="H69" i="3"/>
  <c r="H140" i="3" s="1"/>
  <c r="AE140" i="3" s="1"/>
  <c r="I69" i="3"/>
  <c r="I140" i="3" s="1"/>
  <c r="J69" i="3"/>
  <c r="J140" i="3" s="1"/>
  <c r="N69" i="3"/>
  <c r="N140" i="3" s="1"/>
  <c r="AF140" i="3" s="1"/>
  <c r="O69" i="3"/>
  <c r="P69" i="3"/>
  <c r="P140" i="3" s="1"/>
  <c r="T69" i="3"/>
  <c r="T140" i="3" s="1"/>
  <c r="AG140" i="3" s="1"/>
  <c r="U69" i="3"/>
  <c r="U140" i="3" s="1"/>
  <c r="V69" i="3"/>
  <c r="V140" i="3" s="1"/>
  <c r="Z69" i="3"/>
  <c r="Z140" i="3" s="1"/>
  <c r="B70" i="3"/>
  <c r="B141" i="3" s="1"/>
  <c r="AD141" i="3" s="1"/>
  <c r="C70" i="3"/>
  <c r="C141" i="3" s="1"/>
  <c r="D70" i="3"/>
  <c r="D141" i="3" s="1"/>
  <c r="H70" i="3"/>
  <c r="H141" i="3" s="1"/>
  <c r="AE141" i="3" s="1"/>
  <c r="I70" i="3"/>
  <c r="I141" i="3" s="1"/>
  <c r="J70" i="3"/>
  <c r="J141" i="3" s="1"/>
  <c r="N70" i="3"/>
  <c r="N141" i="3" s="1"/>
  <c r="AF141" i="3" s="1"/>
  <c r="O70" i="3"/>
  <c r="P70" i="3"/>
  <c r="P141" i="3" s="1"/>
  <c r="T70" i="3"/>
  <c r="T141" i="3" s="1"/>
  <c r="AG141" i="3" s="1"/>
  <c r="U70" i="3"/>
  <c r="U141" i="3" s="1"/>
  <c r="V70" i="3"/>
  <c r="V141" i="3" s="1"/>
  <c r="Z70" i="3"/>
  <c r="Z141" i="3" s="1"/>
  <c r="B71" i="3"/>
  <c r="B142" i="3" s="1"/>
  <c r="AD142" i="3" s="1"/>
  <c r="C71" i="3"/>
  <c r="C142" i="3" s="1"/>
  <c r="D71" i="3"/>
  <c r="D142" i="3" s="1"/>
  <c r="H71" i="3"/>
  <c r="H142" i="3" s="1"/>
  <c r="AE142" i="3" s="1"/>
  <c r="I71" i="3"/>
  <c r="I142" i="3" s="1"/>
  <c r="J71" i="3"/>
  <c r="J142" i="3" s="1"/>
  <c r="N71" i="3"/>
  <c r="N142" i="3" s="1"/>
  <c r="AF142" i="3" s="1"/>
  <c r="O71" i="3"/>
  <c r="O142" i="3" s="1"/>
  <c r="P71" i="3"/>
  <c r="P142" i="3" s="1"/>
  <c r="T71" i="3"/>
  <c r="T142" i="3" s="1"/>
  <c r="AG142" i="3" s="1"/>
  <c r="U71" i="3"/>
  <c r="U142" i="3" s="1"/>
  <c r="V71" i="3"/>
  <c r="V142" i="3" s="1"/>
  <c r="Z71" i="3"/>
  <c r="Z142" i="3" s="1"/>
  <c r="B72" i="3"/>
  <c r="B143" i="3" s="1"/>
  <c r="AD143" i="3" s="1"/>
  <c r="C72" i="3"/>
  <c r="C143" i="3" s="1"/>
  <c r="D72" i="3"/>
  <c r="D143" i="3" s="1"/>
  <c r="H72" i="3"/>
  <c r="H143" i="3" s="1"/>
  <c r="AE143" i="3" s="1"/>
  <c r="I72" i="3"/>
  <c r="I143" i="3" s="1"/>
  <c r="J72" i="3"/>
  <c r="J143" i="3" s="1"/>
  <c r="N72" i="3"/>
  <c r="N143" i="3" s="1"/>
  <c r="AF143" i="3" s="1"/>
  <c r="O72" i="3"/>
  <c r="O143" i="3" s="1"/>
  <c r="P72" i="3"/>
  <c r="P143" i="3" s="1"/>
  <c r="T72" i="3"/>
  <c r="T143" i="3" s="1"/>
  <c r="AG143" i="3" s="1"/>
  <c r="U72" i="3"/>
  <c r="U143" i="3" s="1"/>
  <c r="V72" i="3"/>
  <c r="V143" i="3" s="1"/>
  <c r="Z72" i="3"/>
  <c r="Z143" i="3" s="1"/>
  <c r="B73" i="3"/>
  <c r="B144" i="3" s="1"/>
  <c r="AD144" i="3" s="1"/>
  <c r="C73" i="3"/>
  <c r="C144" i="3" s="1"/>
  <c r="D73" i="3"/>
  <c r="D144" i="3" s="1"/>
  <c r="H73" i="3"/>
  <c r="H144" i="3" s="1"/>
  <c r="AE144" i="3" s="1"/>
  <c r="I73" i="3"/>
  <c r="I144" i="3" s="1"/>
  <c r="J73" i="3"/>
  <c r="J144" i="3" s="1"/>
  <c r="N73" i="3"/>
  <c r="N144" i="3" s="1"/>
  <c r="AF144" i="3" s="1"/>
  <c r="O73" i="3"/>
  <c r="O144" i="3" s="1"/>
  <c r="P73" i="3"/>
  <c r="P144" i="3" s="1"/>
  <c r="T73" i="3"/>
  <c r="T144" i="3" s="1"/>
  <c r="AG144" i="3" s="1"/>
  <c r="U73" i="3"/>
  <c r="U144" i="3" s="1"/>
  <c r="V73" i="3"/>
  <c r="V144" i="3" s="1"/>
  <c r="Z73" i="3"/>
  <c r="Z144" i="3" s="1"/>
  <c r="AM70" i="2"/>
  <c r="FD75" i="2"/>
  <c r="X75" i="2" s="1"/>
  <c r="EY75" i="2"/>
  <c r="ES75" i="2"/>
  <c r="S75" i="2" s="1"/>
  <c r="EH75" i="2"/>
  <c r="R75" i="2" s="1"/>
  <c r="EA75" i="2"/>
  <c r="DO75" i="2"/>
  <c r="CQ75" i="2"/>
  <c r="L75" i="2" s="1"/>
  <c r="H75" i="2"/>
  <c r="Q75" i="2" s="1"/>
  <c r="D75" i="2"/>
  <c r="FA22" i="2"/>
  <c r="EZ22" i="2"/>
  <c r="CS37" i="2"/>
  <c r="O140" i="3" l="1"/>
  <c r="A139" i="3"/>
  <c r="AC139" i="3" s="1"/>
  <c r="A68" i="10"/>
  <c r="A68" i="11"/>
  <c r="W75" i="2"/>
  <c r="DB75" i="2"/>
  <c r="A68" i="3"/>
  <c r="AH139" i="3"/>
  <c r="AH143" i="3"/>
  <c r="AH141" i="3"/>
  <c r="AH142" i="3"/>
  <c r="AH140" i="3"/>
  <c r="AH144" i="3"/>
  <c r="I75" i="2"/>
  <c r="J75" i="2" s="1"/>
  <c r="M75" i="2"/>
  <c r="N75" i="2"/>
  <c r="O75" i="2"/>
  <c r="P75" i="2"/>
  <c r="Y93" i="3"/>
  <c r="X93" i="3"/>
  <c r="W93" i="3"/>
  <c r="S93" i="3"/>
  <c r="R93" i="3"/>
  <c r="Q93" i="3"/>
  <c r="M93" i="3"/>
  <c r="L93" i="3"/>
  <c r="K93" i="3"/>
  <c r="G93" i="3"/>
  <c r="F93" i="3"/>
  <c r="E93" i="3"/>
  <c r="G56" i="2"/>
  <c r="G57" i="2"/>
  <c r="E67" i="10"/>
  <c r="E66" i="10"/>
  <c r="E64" i="10"/>
  <c r="E63" i="10"/>
  <c r="E62" i="10"/>
  <c r="E61" i="10"/>
  <c r="E59" i="10"/>
  <c r="E57" i="10"/>
  <c r="E56" i="10"/>
  <c r="E55" i="10"/>
  <c r="E54" i="10"/>
  <c r="E53" i="10"/>
  <c r="E52" i="10"/>
  <c r="E51" i="10"/>
  <c r="E50" i="10"/>
  <c r="E49" i="10"/>
  <c r="E48" i="10"/>
  <c r="E47" i="10"/>
  <c r="E46" i="10"/>
  <c r="E45" i="10"/>
  <c r="E44" i="10"/>
  <c r="E43" i="10"/>
  <c r="E42" i="10"/>
  <c r="E41" i="10"/>
  <c r="E40" i="10"/>
  <c r="E39" i="10"/>
  <c r="E38" i="10"/>
  <c r="E37" i="10"/>
  <c r="E31" i="10"/>
  <c r="E30" i="10"/>
  <c r="E29" i="10"/>
  <c r="E28" i="10"/>
  <c r="E25" i="10"/>
  <c r="E24" i="10"/>
  <c r="E23" i="10"/>
  <c r="E22" i="10"/>
  <c r="E21" i="10"/>
  <c r="E20" i="10"/>
  <c r="E19" i="10"/>
  <c r="E15" i="10"/>
  <c r="E13" i="10"/>
  <c r="E6" i="10"/>
  <c r="E4" i="10"/>
  <c r="D67" i="10"/>
  <c r="D66" i="10"/>
  <c r="D65" i="10"/>
  <c r="D64" i="10"/>
  <c r="D63" i="10"/>
  <c r="D60" i="10"/>
  <c r="D59" i="10"/>
  <c r="D57" i="10"/>
  <c r="D56" i="10"/>
  <c r="D55" i="10"/>
  <c r="D54" i="10"/>
  <c r="D53" i="10"/>
  <c r="D52" i="10"/>
  <c r="D50" i="10"/>
  <c r="D49" i="10"/>
  <c r="D43" i="10"/>
  <c r="D40" i="10"/>
  <c r="D39" i="10"/>
  <c r="D38" i="10"/>
  <c r="D37" i="10"/>
  <c r="D25" i="10"/>
  <c r="D24" i="10"/>
  <c r="D23" i="10"/>
  <c r="D22" i="10"/>
  <c r="D6" i="10"/>
  <c r="D4" i="10"/>
  <c r="BA25" i="2"/>
  <c r="AZ25" i="2"/>
  <c r="AY25" i="2"/>
  <c r="S6" i="10" l="1"/>
  <c r="S43" i="10"/>
  <c r="S57" i="10"/>
  <c r="S59" i="10"/>
  <c r="Y75" i="2"/>
  <c r="S4" i="10"/>
  <c r="S40" i="10"/>
  <c r="S67" i="10"/>
  <c r="S24" i="10"/>
  <c r="S55" i="10"/>
  <c r="S25" i="10"/>
  <c r="S56" i="10"/>
  <c r="S37" i="10"/>
  <c r="S38" i="10"/>
  <c r="S63" i="10"/>
  <c r="S50" i="10"/>
  <c r="S66" i="10"/>
  <c r="S52" i="10"/>
  <c r="S39" i="10"/>
  <c r="S64" i="10"/>
  <c r="S49" i="10"/>
  <c r="S22" i="10"/>
  <c r="S53" i="10"/>
  <c r="S23" i="10"/>
  <c r="S54" i="10"/>
  <c r="BE24" i="2"/>
  <c r="BD24" i="2"/>
  <c r="BC24" i="2"/>
  <c r="BA24" i="2"/>
  <c r="AZ24" i="2"/>
  <c r="AY24" i="2"/>
  <c r="EM84" i="2"/>
  <c r="EX70" i="2"/>
  <c r="DP70" i="2"/>
  <c r="DP71" i="2" s="1"/>
  <c r="CE84" i="2"/>
  <c r="DE72" i="2"/>
  <c r="E65" i="10" s="1"/>
  <c r="S65" i="10" s="1"/>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G2" i="10"/>
  <c r="E73" i="11" l="1"/>
  <c r="D73" i="11"/>
  <c r="C73" i="11"/>
  <c r="B73" i="11"/>
  <c r="E72" i="11"/>
  <c r="D72" i="11"/>
  <c r="C72" i="11"/>
  <c r="B72" i="11"/>
  <c r="E71" i="11"/>
  <c r="D71" i="11"/>
  <c r="C71" i="11"/>
  <c r="B71" i="11"/>
  <c r="E70" i="11"/>
  <c r="D70" i="11"/>
  <c r="C70" i="11"/>
  <c r="B70" i="11"/>
  <c r="E69" i="11"/>
  <c r="D69" i="11"/>
  <c r="C69" i="11"/>
  <c r="B69" i="11"/>
  <c r="E67" i="11"/>
  <c r="D67" i="11"/>
  <c r="C67" i="11"/>
  <c r="B67" i="11"/>
  <c r="E66" i="11"/>
  <c r="D66" i="11"/>
  <c r="C66" i="11"/>
  <c r="B66" i="11"/>
  <c r="E65" i="11"/>
  <c r="D65" i="11"/>
  <c r="C65" i="11"/>
  <c r="B65" i="11"/>
  <c r="E64" i="11"/>
  <c r="D64" i="11"/>
  <c r="C64" i="11"/>
  <c r="B64" i="11"/>
  <c r="E63" i="11"/>
  <c r="D63" i="11"/>
  <c r="C63" i="11"/>
  <c r="B63" i="11"/>
  <c r="E62" i="11"/>
  <c r="D62" i="11"/>
  <c r="C62" i="11"/>
  <c r="B62" i="11"/>
  <c r="E61" i="11"/>
  <c r="D61" i="11"/>
  <c r="C61" i="11"/>
  <c r="B61" i="11"/>
  <c r="E60" i="11"/>
  <c r="D60" i="11"/>
  <c r="C60" i="11"/>
  <c r="B60" i="11"/>
  <c r="E59" i="11"/>
  <c r="D59" i="11"/>
  <c r="C59" i="11"/>
  <c r="B59" i="11"/>
  <c r="E58" i="11"/>
  <c r="D58" i="11"/>
  <c r="C58" i="11"/>
  <c r="B58" i="11"/>
  <c r="E57" i="11"/>
  <c r="D57" i="11"/>
  <c r="C57" i="11"/>
  <c r="B57" i="11"/>
  <c r="E56" i="11"/>
  <c r="D56" i="11"/>
  <c r="C56" i="11"/>
  <c r="B56" i="11"/>
  <c r="E55" i="11"/>
  <c r="D55" i="11"/>
  <c r="C55" i="11"/>
  <c r="B55" i="11"/>
  <c r="E54" i="11"/>
  <c r="D54" i="11"/>
  <c r="C54" i="11"/>
  <c r="B54" i="11"/>
  <c r="E53" i="11"/>
  <c r="D53" i="11"/>
  <c r="C53" i="11"/>
  <c r="B53" i="11"/>
  <c r="E52" i="11"/>
  <c r="D52" i="11"/>
  <c r="C52" i="11"/>
  <c r="B52" i="11"/>
  <c r="E51" i="11"/>
  <c r="D51" i="11"/>
  <c r="C51" i="11"/>
  <c r="B51" i="11"/>
  <c r="E50" i="11"/>
  <c r="D50" i="11"/>
  <c r="C50" i="11"/>
  <c r="B50" i="11"/>
  <c r="E49" i="11"/>
  <c r="D49" i="11"/>
  <c r="C49" i="11"/>
  <c r="B49" i="11"/>
  <c r="E48" i="11"/>
  <c r="D48" i="11"/>
  <c r="C48" i="11"/>
  <c r="B48" i="11"/>
  <c r="E47" i="11"/>
  <c r="D47" i="11"/>
  <c r="C47" i="11"/>
  <c r="B47" i="11"/>
  <c r="E46" i="11"/>
  <c r="D46" i="11"/>
  <c r="C46" i="11"/>
  <c r="B46" i="11"/>
  <c r="E45" i="11"/>
  <c r="D45" i="11"/>
  <c r="C45" i="11"/>
  <c r="B45" i="11"/>
  <c r="E44" i="11"/>
  <c r="D44" i="11"/>
  <c r="C44" i="11"/>
  <c r="B44" i="11"/>
  <c r="E43" i="11"/>
  <c r="D43" i="11"/>
  <c r="C43" i="11"/>
  <c r="B43" i="11"/>
  <c r="E42" i="11"/>
  <c r="D42" i="11"/>
  <c r="C42" i="11"/>
  <c r="B42" i="11"/>
  <c r="E41" i="11"/>
  <c r="D41" i="11"/>
  <c r="C41" i="11"/>
  <c r="B41" i="11"/>
  <c r="E40" i="11"/>
  <c r="D40" i="11"/>
  <c r="C40" i="11"/>
  <c r="B40" i="11"/>
  <c r="E39" i="11"/>
  <c r="D39" i="11"/>
  <c r="C39" i="11"/>
  <c r="B39" i="11"/>
  <c r="E38" i="11"/>
  <c r="D38" i="11"/>
  <c r="C38" i="11"/>
  <c r="B38" i="11"/>
  <c r="E37" i="11"/>
  <c r="D37" i="11"/>
  <c r="C37" i="11"/>
  <c r="B37" i="11"/>
  <c r="E36" i="11"/>
  <c r="D36" i="11"/>
  <c r="C36" i="11"/>
  <c r="B36" i="11"/>
  <c r="E35" i="11"/>
  <c r="D35" i="11"/>
  <c r="C35" i="11"/>
  <c r="B35" i="11"/>
  <c r="E34" i="11"/>
  <c r="D34" i="11"/>
  <c r="C34" i="11"/>
  <c r="B34" i="11"/>
  <c r="E33" i="11"/>
  <c r="D33" i="11"/>
  <c r="C33" i="11"/>
  <c r="B33" i="11"/>
  <c r="E32" i="11"/>
  <c r="D32" i="11"/>
  <c r="C32" i="11"/>
  <c r="B32" i="11"/>
  <c r="E31" i="11"/>
  <c r="D31" i="11"/>
  <c r="C31" i="11"/>
  <c r="B31" i="11"/>
  <c r="E30" i="11"/>
  <c r="D30" i="11"/>
  <c r="C30" i="11"/>
  <c r="B30" i="11"/>
  <c r="E29" i="11"/>
  <c r="D29" i="11"/>
  <c r="C29" i="11"/>
  <c r="B29" i="11"/>
  <c r="E28" i="11"/>
  <c r="D28" i="11"/>
  <c r="C28" i="11"/>
  <c r="B28" i="11"/>
  <c r="E27" i="11"/>
  <c r="D27" i="11"/>
  <c r="C27" i="11"/>
  <c r="B27" i="11"/>
  <c r="E26" i="11"/>
  <c r="D26" i="11"/>
  <c r="C26" i="11"/>
  <c r="B26" i="11"/>
  <c r="E25" i="11"/>
  <c r="D25" i="11"/>
  <c r="C25" i="11"/>
  <c r="B25" i="11"/>
  <c r="E24" i="11"/>
  <c r="D24" i="11"/>
  <c r="C24" i="11"/>
  <c r="B24" i="11"/>
  <c r="E23" i="11"/>
  <c r="D23" i="11"/>
  <c r="C23" i="11"/>
  <c r="B23" i="11"/>
  <c r="E22" i="11"/>
  <c r="D22" i="11"/>
  <c r="C22" i="11"/>
  <c r="B22" i="11"/>
  <c r="E21" i="11"/>
  <c r="D21" i="11"/>
  <c r="C21" i="11"/>
  <c r="B21" i="11"/>
  <c r="E20" i="11"/>
  <c r="D20" i="11"/>
  <c r="C20" i="11"/>
  <c r="B20" i="11"/>
  <c r="E19" i="11"/>
  <c r="D19" i="11"/>
  <c r="C19" i="11"/>
  <c r="B19" i="11"/>
  <c r="E18" i="11"/>
  <c r="D18" i="11"/>
  <c r="C18" i="11"/>
  <c r="B18" i="11"/>
  <c r="E17" i="11"/>
  <c r="D17" i="11"/>
  <c r="C17" i="11"/>
  <c r="B17" i="11"/>
  <c r="E16" i="11"/>
  <c r="D16" i="11"/>
  <c r="C16" i="11"/>
  <c r="B16" i="11"/>
  <c r="E15" i="11"/>
  <c r="D15" i="11"/>
  <c r="C15" i="11"/>
  <c r="B15" i="11"/>
  <c r="E14" i="11"/>
  <c r="D14" i="11"/>
  <c r="C14" i="11"/>
  <c r="B14" i="11"/>
  <c r="E13" i="11"/>
  <c r="D13" i="11"/>
  <c r="C13" i="11"/>
  <c r="B13" i="11"/>
  <c r="E12" i="11"/>
  <c r="D12" i="11"/>
  <c r="C12" i="11"/>
  <c r="B12" i="11"/>
  <c r="E11" i="11"/>
  <c r="D11" i="11"/>
  <c r="C11" i="11"/>
  <c r="B11" i="11"/>
  <c r="E10" i="11"/>
  <c r="D10" i="11"/>
  <c r="C10" i="11"/>
  <c r="B10" i="11"/>
  <c r="E9" i="11"/>
  <c r="D9" i="11"/>
  <c r="C9" i="11"/>
  <c r="B9" i="11"/>
  <c r="E8" i="11"/>
  <c r="D8" i="11"/>
  <c r="C8" i="11"/>
  <c r="B8" i="11"/>
  <c r="E7" i="11"/>
  <c r="D7" i="11"/>
  <c r="C7" i="11"/>
  <c r="B7" i="11"/>
  <c r="E6" i="11"/>
  <c r="D6" i="11"/>
  <c r="C6" i="11"/>
  <c r="B6" i="11"/>
  <c r="E5" i="11"/>
  <c r="D5" i="11"/>
  <c r="C5" i="11"/>
  <c r="B5" i="11"/>
  <c r="E4" i="11"/>
  <c r="D4" i="11"/>
  <c r="C4" i="11"/>
  <c r="B4" i="11"/>
  <c r="E3" i="11"/>
  <c r="D3" i="11"/>
  <c r="C3" i="11"/>
  <c r="B3" i="11"/>
  <c r="C2" i="11"/>
  <c r="D2" i="11"/>
  <c r="E2" i="11"/>
  <c r="B2" i="11"/>
  <c r="A25" i="11"/>
  <c r="A24" i="11"/>
  <c r="A23" i="11"/>
  <c r="A22" i="11"/>
  <c r="Y115" i="3"/>
  <c r="X115" i="3"/>
  <c r="W115" i="3"/>
  <c r="S115" i="3"/>
  <c r="R115" i="3"/>
  <c r="Q115" i="3"/>
  <c r="M115" i="3"/>
  <c r="L115" i="3"/>
  <c r="K115" i="3"/>
  <c r="G115" i="3"/>
  <c r="F115" i="3"/>
  <c r="E115" i="3"/>
  <c r="D27" i="2" l="1"/>
  <c r="A21" i="11" s="1"/>
  <c r="Z43" i="3"/>
  <c r="D43" i="3"/>
  <c r="D115" i="3" s="1"/>
  <c r="C43" i="3"/>
  <c r="C115" i="3" s="1"/>
  <c r="B43" i="3"/>
  <c r="B115" i="3" s="1"/>
  <c r="AD115" i="3" s="1"/>
  <c r="Z115" i="3" l="1"/>
  <c r="Z36" i="6"/>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2" i="10"/>
  <c r="B3" i="10"/>
  <c r="C3" i="10"/>
  <c r="B4" i="10"/>
  <c r="C4" i="10"/>
  <c r="B5" i="10"/>
  <c r="C5" i="10"/>
  <c r="B6" i="10"/>
  <c r="C6" i="10"/>
  <c r="B7" i="10"/>
  <c r="C7" i="10"/>
  <c r="B8" i="10"/>
  <c r="C8" i="10"/>
  <c r="B9" i="10"/>
  <c r="C9" i="10"/>
  <c r="B10" i="10"/>
  <c r="C10" i="10"/>
  <c r="B11" i="10"/>
  <c r="C11" i="10"/>
  <c r="B12" i="10"/>
  <c r="C12" i="10"/>
  <c r="B13" i="10"/>
  <c r="C13" i="10"/>
  <c r="B14" i="10"/>
  <c r="C14" i="10"/>
  <c r="B15" i="10"/>
  <c r="C15" i="10"/>
  <c r="B16" i="10"/>
  <c r="C16" i="10"/>
  <c r="B17" i="10"/>
  <c r="C17" i="10"/>
  <c r="B18" i="10"/>
  <c r="C18" i="10"/>
  <c r="B19" i="10"/>
  <c r="C19" i="10"/>
  <c r="B20" i="10"/>
  <c r="C20" i="10"/>
  <c r="B21" i="10"/>
  <c r="C21" i="10"/>
  <c r="B22" i="10"/>
  <c r="C22" i="10"/>
  <c r="B23" i="10"/>
  <c r="C23" i="10"/>
  <c r="B24" i="10"/>
  <c r="C24" i="10"/>
  <c r="B25" i="10"/>
  <c r="C25" i="10"/>
  <c r="B26" i="10"/>
  <c r="C26" i="10"/>
  <c r="B27" i="10"/>
  <c r="C27" i="10"/>
  <c r="B28" i="10"/>
  <c r="C28" i="10"/>
  <c r="B29" i="10"/>
  <c r="C29" i="10"/>
  <c r="B30" i="10"/>
  <c r="C30" i="10"/>
  <c r="B31" i="10"/>
  <c r="C31" i="10"/>
  <c r="B32" i="10"/>
  <c r="C32" i="10"/>
  <c r="B33" i="10"/>
  <c r="C33" i="10"/>
  <c r="B34" i="10"/>
  <c r="C34" i="10"/>
  <c r="B35" i="10"/>
  <c r="C35" i="10"/>
  <c r="B36" i="10"/>
  <c r="C36" i="10"/>
  <c r="B37" i="10"/>
  <c r="C37" i="10"/>
  <c r="B38" i="10"/>
  <c r="C38" i="10"/>
  <c r="B39" i="10"/>
  <c r="C39" i="10"/>
  <c r="B40" i="10"/>
  <c r="C40" i="10"/>
  <c r="B41" i="10"/>
  <c r="C41" i="10"/>
  <c r="B42" i="10"/>
  <c r="C42" i="10"/>
  <c r="B43" i="10"/>
  <c r="C43" i="10"/>
  <c r="B44" i="10"/>
  <c r="C44" i="10"/>
  <c r="B45" i="10"/>
  <c r="C45" i="10"/>
  <c r="B46" i="10"/>
  <c r="C46" i="10"/>
  <c r="B47" i="10"/>
  <c r="C47" i="10"/>
  <c r="B48" i="10"/>
  <c r="C48" i="10"/>
  <c r="B49" i="10"/>
  <c r="C49" i="10"/>
  <c r="B50" i="10"/>
  <c r="C50" i="10"/>
  <c r="B51" i="10"/>
  <c r="C51" i="10"/>
  <c r="B52" i="10"/>
  <c r="C52" i="10"/>
  <c r="B53" i="10"/>
  <c r="C53" i="10"/>
  <c r="B54" i="10"/>
  <c r="C54" i="10"/>
  <c r="B55" i="10"/>
  <c r="C55" i="10"/>
  <c r="B56" i="10"/>
  <c r="C56" i="10"/>
  <c r="B57" i="10"/>
  <c r="C57" i="10"/>
  <c r="B58" i="10"/>
  <c r="C58" i="10"/>
  <c r="C59" i="10"/>
  <c r="B60" i="10"/>
  <c r="C61" i="10"/>
  <c r="B62" i="10"/>
  <c r="C62" i="10"/>
  <c r="B63" i="10"/>
  <c r="C63" i="10"/>
  <c r="B64" i="10"/>
  <c r="C64" i="10"/>
  <c r="B65" i="10"/>
  <c r="C65" i="10"/>
  <c r="B66" i="10"/>
  <c r="C66" i="10"/>
  <c r="B67" i="10"/>
  <c r="C67" i="10"/>
  <c r="C2" i="10"/>
  <c r="A22" i="10"/>
  <c r="A23" i="10"/>
  <c r="A24" i="10"/>
  <c r="A25" i="10"/>
  <c r="B2" i="10"/>
  <c r="B61" i="10"/>
  <c r="C60" i="10" l="1"/>
  <c r="B59" i="10" l="1"/>
  <c r="AQ73" i="3" l="1"/>
  <c r="AQ72" i="3"/>
  <c r="AQ71" i="3"/>
  <c r="AQ70" i="3"/>
  <c r="AQ68" i="3"/>
  <c r="AQ67" i="3"/>
  <c r="AQ66" i="3"/>
  <c r="AQ65" i="3"/>
  <c r="AQ64" i="3"/>
  <c r="AQ63" i="3"/>
  <c r="FD65" i="2" l="1"/>
  <c r="X65" i="2" s="1"/>
  <c r="FC65" i="2"/>
  <c r="DP65" i="2"/>
  <c r="CQ65" i="2" s="1"/>
  <c r="DE65" i="2"/>
  <c r="E58" i="10" s="1"/>
  <c r="CS65" i="2"/>
  <c r="D58" i="10" s="1"/>
  <c r="S58" i="10" s="1"/>
  <c r="H65" i="2"/>
  <c r="I65" i="2" s="1"/>
  <c r="D65" i="2"/>
  <c r="FC91" i="2"/>
  <c r="X91" i="2" s="1"/>
  <c r="EX91" i="2"/>
  <c r="EW91" i="2"/>
  <c r="ER91" i="2" s="1"/>
  <c r="EL91" i="2"/>
  <c r="EI91" i="2"/>
  <c r="DO91" i="2"/>
  <c r="DN91" i="2"/>
  <c r="H91" i="2"/>
  <c r="Q91" i="2" s="1"/>
  <c r="D91" i="2"/>
  <c r="C81" i="2"/>
  <c r="K81" i="2" s="1"/>
  <c r="FL72" i="2"/>
  <c r="FD72" i="2"/>
  <c r="EX72" i="2"/>
  <c r="ES72" i="2" s="1"/>
  <c r="EM72" i="2"/>
  <c r="EH72" i="2" s="1"/>
  <c r="EA72" i="2"/>
  <c r="DO72" i="2"/>
  <c r="DC72" i="2"/>
  <c r="H72" i="2"/>
  <c r="P72" i="2" s="1"/>
  <c r="D72" i="2"/>
  <c r="DC74" i="2"/>
  <c r="DC73" i="2"/>
  <c r="EM73" i="2"/>
  <c r="EM74" i="2"/>
  <c r="EX74" i="2"/>
  <c r="EX73" i="2"/>
  <c r="EX71" i="2"/>
  <c r="D74" i="2"/>
  <c r="D73" i="2"/>
  <c r="D71" i="2"/>
  <c r="D70" i="2"/>
  <c r="A63" i="10" l="1"/>
  <c r="A63" i="11"/>
  <c r="A58" i="10"/>
  <c r="A58" i="11"/>
  <c r="A64" i="10"/>
  <c r="A64" i="11"/>
  <c r="A67" i="10"/>
  <c r="A67" i="11"/>
  <c r="A65" i="10"/>
  <c r="A65" i="11"/>
  <c r="A66" i="10"/>
  <c r="A66" i="11"/>
  <c r="EG91" i="2"/>
  <c r="R91" i="2" s="1"/>
  <c r="X72" i="2"/>
  <c r="W91" i="2"/>
  <c r="O91" i="2"/>
  <c r="M65" i="2"/>
  <c r="U65" i="2"/>
  <c r="N65" i="2"/>
  <c r="S91" i="2"/>
  <c r="CP91" i="2"/>
  <c r="N91" i="2" s="1"/>
  <c r="W65" i="2"/>
  <c r="Y65" i="2" s="1"/>
  <c r="DB65" i="2"/>
  <c r="L65" i="2"/>
  <c r="J65" i="2"/>
  <c r="P91" i="2"/>
  <c r="I91" i="2"/>
  <c r="Q72" i="2"/>
  <c r="I72" i="2"/>
  <c r="CQ72" i="2"/>
  <c r="R72" i="2"/>
  <c r="S72" i="2"/>
  <c r="Y138" i="3"/>
  <c r="X138" i="3"/>
  <c r="W138" i="3"/>
  <c r="S138" i="3"/>
  <c r="R138" i="3"/>
  <c r="Q138" i="3"/>
  <c r="M138" i="3"/>
  <c r="L138" i="3"/>
  <c r="K138" i="3"/>
  <c r="G138" i="3"/>
  <c r="F138" i="3"/>
  <c r="E138" i="3"/>
  <c r="Y137" i="3"/>
  <c r="X137" i="3"/>
  <c r="W137" i="3"/>
  <c r="S137" i="3"/>
  <c r="R137" i="3"/>
  <c r="Q137" i="3"/>
  <c r="M137" i="3"/>
  <c r="L137" i="3"/>
  <c r="K137" i="3"/>
  <c r="G137" i="3"/>
  <c r="F137" i="3"/>
  <c r="E137" i="3"/>
  <c r="Y136" i="3"/>
  <c r="X136" i="3"/>
  <c r="W136" i="3"/>
  <c r="S136" i="3"/>
  <c r="R136" i="3"/>
  <c r="Q136" i="3"/>
  <c r="M136" i="3"/>
  <c r="L136" i="3"/>
  <c r="K136" i="3"/>
  <c r="G136" i="3"/>
  <c r="F136" i="3"/>
  <c r="E136" i="3"/>
  <c r="A136" i="3"/>
  <c r="AC136" i="3" s="1"/>
  <c r="Y135" i="3"/>
  <c r="X135" i="3"/>
  <c r="W135" i="3"/>
  <c r="S135" i="3"/>
  <c r="R135" i="3"/>
  <c r="Q135" i="3"/>
  <c r="M135" i="3"/>
  <c r="L135" i="3"/>
  <c r="K135" i="3"/>
  <c r="G135" i="3"/>
  <c r="F135" i="3"/>
  <c r="E135" i="3"/>
  <c r="A135" i="3"/>
  <c r="AC135" i="3" s="1"/>
  <c r="Y134" i="3"/>
  <c r="X134" i="3"/>
  <c r="W134" i="3"/>
  <c r="S134" i="3"/>
  <c r="R134" i="3"/>
  <c r="Q134" i="3"/>
  <c r="M134" i="3"/>
  <c r="L134" i="3"/>
  <c r="K134" i="3"/>
  <c r="G134" i="3"/>
  <c r="F134" i="3"/>
  <c r="E134" i="3"/>
  <c r="A134" i="3"/>
  <c r="AC134" i="3" s="1"/>
  <c r="ES80" i="2"/>
  <c r="W72" i="2" l="1"/>
  <c r="DB72" i="2"/>
  <c r="O72" i="2"/>
  <c r="Y72" i="2"/>
  <c r="L91" i="2"/>
  <c r="J91" i="2"/>
  <c r="M91" i="2"/>
  <c r="Y91" i="2"/>
  <c r="M72" i="2"/>
  <c r="L72" i="2"/>
  <c r="N72" i="2"/>
  <c r="J72" i="2"/>
  <c r="X79" i="2" l="1"/>
  <c r="ES79" i="2"/>
  <c r="S79" i="2" s="1"/>
  <c r="EH79" i="2"/>
  <c r="R79" i="2" s="1"/>
  <c r="EA79" i="2"/>
  <c r="DO79" i="2"/>
  <c r="CQ79" i="2"/>
  <c r="H79" i="2"/>
  <c r="P79" i="2" s="1"/>
  <c r="X80" i="2"/>
  <c r="S80" i="2"/>
  <c r="EA80" i="2"/>
  <c r="DO80" i="2"/>
  <c r="H80" i="2"/>
  <c r="DE67" i="2"/>
  <c r="E60" i="10" s="1"/>
  <c r="S60" i="10" s="1"/>
  <c r="ES56" i="2"/>
  <c r="EH49" i="2"/>
  <c r="EH47" i="2"/>
  <c r="EH50" i="2"/>
  <c r="EH48" i="2"/>
  <c r="ES49" i="2"/>
  <c r="ES47" i="2"/>
  <c r="ES71" i="2"/>
  <c r="ES70" i="2"/>
  <c r="ET84" i="2"/>
  <c r="ES84" i="2"/>
  <c r="ER84" i="2"/>
  <c r="ES74" i="2"/>
  <c r="ES73" i="2"/>
  <c r="ER85" i="2"/>
  <c r="EH74" i="2"/>
  <c r="EH73" i="2"/>
  <c r="EI85" i="2" s="1"/>
  <c r="EG85" i="2"/>
  <c r="EI84" i="2"/>
  <c r="EH84" i="2"/>
  <c r="EG84" i="2"/>
  <c r="S78" i="2"/>
  <c r="ER83" i="2"/>
  <c r="EW83" i="2" s="1"/>
  <c r="R78" i="2"/>
  <c r="EG83" i="2"/>
  <c r="EL83" i="2" s="1"/>
  <c r="Y133" i="3"/>
  <c r="X133" i="3"/>
  <c r="W133" i="3"/>
  <c r="S133" i="3"/>
  <c r="R133" i="3"/>
  <c r="Q133" i="3"/>
  <c r="M133" i="3"/>
  <c r="L133" i="3"/>
  <c r="K133" i="3"/>
  <c r="G133" i="3"/>
  <c r="F133" i="3"/>
  <c r="E133" i="3"/>
  <c r="Y132" i="3"/>
  <c r="X132" i="3"/>
  <c r="W132" i="3"/>
  <c r="S132" i="3"/>
  <c r="R132" i="3"/>
  <c r="Q132" i="3"/>
  <c r="M132" i="3"/>
  <c r="L132" i="3"/>
  <c r="K132" i="3"/>
  <c r="G132" i="3"/>
  <c r="F132" i="3"/>
  <c r="E132" i="3"/>
  <c r="Y131" i="3"/>
  <c r="X131" i="3"/>
  <c r="W131" i="3"/>
  <c r="S131" i="3"/>
  <c r="R131" i="3"/>
  <c r="Q131" i="3"/>
  <c r="M131" i="3"/>
  <c r="L131" i="3"/>
  <c r="K131" i="3"/>
  <c r="G131" i="3"/>
  <c r="F131" i="3"/>
  <c r="E131" i="3"/>
  <c r="Y130" i="3"/>
  <c r="X130" i="3"/>
  <c r="W130" i="3"/>
  <c r="S130" i="3"/>
  <c r="R130" i="3"/>
  <c r="Q130" i="3"/>
  <c r="M130" i="3"/>
  <c r="L130" i="3"/>
  <c r="K130" i="3"/>
  <c r="G130" i="3"/>
  <c r="F130" i="3"/>
  <c r="E130" i="3"/>
  <c r="Y129" i="3"/>
  <c r="X129" i="3"/>
  <c r="W129" i="3"/>
  <c r="S129" i="3"/>
  <c r="R129" i="3"/>
  <c r="Q129" i="3"/>
  <c r="M129" i="3"/>
  <c r="L129" i="3"/>
  <c r="K129" i="3"/>
  <c r="G129" i="3"/>
  <c r="F129" i="3"/>
  <c r="E129" i="3"/>
  <c r="DC69" i="2"/>
  <c r="ES69" i="2"/>
  <c r="EH69" i="2"/>
  <c r="ET69" i="2"/>
  <c r="FD69" i="2"/>
  <c r="X69" i="2" s="1"/>
  <c r="FC69" i="2"/>
  <c r="FD68" i="2"/>
  <c r="X68" i="2" s="1"/>
  <c r="FC68" i="2"/>
  <c r="FD67" i="2"/>
  <c r="X67" i="2" s="1"/>
  <c r="FC67" i="2"/>
  <c r="FD66" i="2"/>
  <c r="X66" i="2" s="1"/>
  <c r="FC66" i="2"/>
  <c r="Z62" i="3"/>
  <c r="Z133" i="3" s="1"/>
  <c r="Z61" i="3"/>
  <c r="Z132" i="3" s="1"/>
  <c r="Z60" i="3"/>
  <c r="Z131" i="3" s="1"/>
  <c r="Z59" i="3"/>
  <c r="Z130" i="3" s="1"/>
  <c r="Z58" i="3"/>
  <c r="Z129" i="3" s="1"/>
  <c r="V61" i="3"/>
  <c r="V132" i="3" s="1"/>
  <c r="U61" i="3"/>
  <c r="U132" i="3" s="1"/>
  <c r="T61" i="3"/>
  <c r="T132" i="3" s="1"/>
  <c r="AG132" i="3" s="1"/>
  <c r="P61" i="3"/>
  <c r="P132" i="3" s="1"/>
  <c r="O61" i="3"/>
  <c r="O132" i="3" s="1"/>
  <c r="N61" i="3"/>
  <c r="N132" i="3" s="1"/>
  <c r="AF132" i="3" s="1"/>
  <c r="J61" i="3"/>
  <c r="J132" i="3" s="1"/>
  <c r="I61" i="3"/>
  <c r="I132" i="3" s="1"/>
  <c r="H61" i="3"/>
  <c r="H132" i="3" s="1"/>
  <c r="AE132" i="3" s="1"/>
  <c r="D61" i="3"/>
  <c r="D132" i="3" s="1"/>
  <c r="C61" i="3"/>
  <c r="C132" i="3" s="1"/>
  <c r="B61" i="3"/>
  <c r="B132" i="3" s="1"/>
  <c r="AD132" i="3" s="1"/>
  <c r="V60" i="3"/>
  <c r="V131" i="3" s="1"/>
  <c r="U60" i="3"/>
  <c r="U131" i="3" s="1"/>
  <c r="T60" i="3"/>
  <c r="T131" i="3" s="1"/>
  <c r="AG131" i="3" s="1"/>
  <c r="P60" i="3"/>
  <c r="P131" i="3" s="1"/>
  <c r="O60" i="3"/>
  <c r="O131" i="3" s="1"/>
  <c r="N60" i="3"/>
  <c r="N131" i="3" s="1"/>
  <c r="AF131" i="3" s="1"/>
  <c r="J60" i="3"/>
  <c r="J131" i="3" s="1"/>
  <c r="I60" i="3"/>
  <c r="I131" i="3" s="1"/>
  <c r="H60" i="3"/>
  <c r="H131" i="3" s="1"/>
  <c r="AE131" i="3" s="1"/>
  <c r="D60" i="3"/>
  <c r="D131" i="3" s="1"/>
  <c r="C60" i="3"/>
  <c r="C131" i="3" s="1"/>
  <c r="B60" i="3"/>
  <c r="B131" i="3" s="1"/>
  <c r="AD131" i="3" s="1"/>
  <c r="V59" i="3"/>
  <c r="V130" i="3" s="1"/>
  <c r="U59" i="3"/>
  <c r="U130" i="3" s="1"/>
  <c r="T59" i="3"/>
  <c r="T130" i="3" s="1"/>
  <c r="AG130" i="3" s="1"/>
  <c r="P59" i="3"/>
  <c r="P130" i="3" s="1"/>
  <c r="O59" i="3"/>
  <c r="O130" i="3" s="1"/>
  <c r="N59" i="3"/>
  <c r="N130" i="3" s="1"/>
  <c r="AF130" i="3" s="1"/>
  <c r="J59" i="3"/>
  <c r="J130" i="3" s="1"/>
  <c r="I59" i="3"/>
  <c r="I130" i="3" s="1"/>
  <c r="H59" i="3"/>
  <c r="H130" i="3" s="1"/>
  <c r="AE130" i="3" s="1"/>
  <c r="D59" i="3"/>
  <c r="D130" i="3" s="1"/>
  <c r="C59" i="3"/>
  <c r="C130" i="3" s="1"/>
  <c r="B59" i="3"/>
  <c r="B130" i="3" s="1"/>
  <c r="AD130" i="3" s="1"/>
  <c r="V58" i="3"/>
  <c r="V129" i="3" s="1"/>
  <c r="U58" i="3"/>
  <c r="U129" i="3" s="1"/>
  <c r="T58" i="3"/>
  <c r="T129" i="3" s="1"/>
  <c r="AG129" i="3" s="1"/>
  <c r="P58" i="3"/>
  <c r="P129" i="3" s="1"/>
  <c r="O58" i="3"/>
  <c r="O129" i="3" s="1"/>
  <c r="N58" i="3"/>
  <c r="N129" i="3" s="1"/>
  <c r="AF129" i="3" s="1"/>
  <c r="J58" i="3"/>
  <c r="J129" i="3" s="1"/>
  <c r="I58" i="3"/>
  <c r="I129" i="3" s="1"/>
  <c r="H58" i="3"/>
  <c r="H129" i="3" s="1"/>
  <c r="AE129" i="3" s="1"/>
  <c r="D58" i="3"/>
  <c r="D129" i="3" s="1"/>
  <c r="C58" i="3"/>
  <c r="C129" i="3" s="1"/>
  <c r="B58" i="3"/>
  <c r="B129" i="3" s="1"/>
  <c r="AD129" i="3" s="1"/>
  <c r="V62" i="3"/>
  <c r="V133" i="3" s="1"/>
  <c r="U62" i="3"/>
  <c r="U133" i="3" s="1"/>
  <c r="T62" i="3"/>
  <c r="T133" i="3" s="1"/>
  <c r="AG133" i="3" s="1"/>
  <c r="P62" i="3"/>
  <c r="P133" i="3" s="1"/>
  <c r="O62" i="3"/>
  <c r="O133" i="3" s="1"/>
  <c r="N62" i="3"/>
  <c r="N133" i="3" s="1"/>
  <c r="AF133" i="3" s="1"/>
  <c r="J62" i="3"/>
  <c r="J133" i="3" s="1"/>
  <c r="I62" i="3"/>
  <c r="I133" i="3" s="1"/>
  <c r="H62" i="3"/>
  <c r="H133" i="3" s="1"/>
  <c r="AE133" i="3" s="1"/>
  <c r="D62" i="3"/>
  <c r="D133" i="3" s="1"/>
  <c r="C62" i="3"/>
  <c r="C133" i="3" s="1"/>
  <c r="B62" i="3"/>
  <c r="B133" i="3" s="1"/>
  <c r="AD133" i="3" s="1"/>
  <c r="DO68" i="2"/>
  <c r="DP68" i="2" s="1"/>
  <c r="DO66" i="2"/>
  <c r="DP66" i="2" s="1"/>
  <c r="CQ66" i="2" s="1"/>
  <c r="CS69" i="2"/>
  <c r="D62" i="10" s="1"/>
  <c r="S62" i="10" s="1"/>
  <c r="CU68" i="2"/>
  <c r="CS68" i="2"/>
  <c r="D61" i="10" s="1"/>
  <c r="S61" i="10" s="1"/>
  <c r="DC67" i="2"/>
  <c r="D69" i="2"/>
  <c r="A62" i="11" s="1"/>
  <c r="D68" i="2"/>
  <c r="A61" i="11" s="1"/>
  <c r="D67" i="2"/>
  <c r="A60" i="11" s="1"/>
  <c r="D66" i="2"/>
  <c r="A59" i="11" s="1"/>
  <c r="A58" i="3"/>
  <c r="DO69" i="2"/>
  <c r="H69" i="2"/>
  <c r="H68" i="2"/>
  <c r="I68" i="2" s="1"/>
  <c r="DP67" i="2"/>
  <c r="H67" i="2"/>
  <c r="I67" i="2" s="1"/>
  <c r="H66" i="2"/>
  <c r="CD34" i="2"/>
  <c r="FD78" i="2"/>
  <c r="X78" i="2" s="1"/>
  <c r="DB78" i="2" s="1"/>
  <c r="EY78" i="2"/>
  <c r="EA78" i="2"/>
  <c r="DO78" i="2"/>
  <c r="CQ78" i="2"/>
  <c r="H78" i="2"/>
  <c r="I78" i="2" s="1"/>
  <c r="D78" i="2"/>
  <c r="A71" i="10" s="1"/>
  <c r="Q80" i="2" l="1"/>
  <c r="O80" i="2"/>
  <c r="DB80" i="2"/>
  <c r="W79" i="2"/>
  <c r="DB79" i="2"/>
  <c r="A72" i="11"/>
  <c r="A72" i="3"/>
  <c r="A143" i="3"/>
  <c r="AC143" i="3" s="1"/>
  <c r="A142" i="3"/>
  <c r="AC142" i="3" s="1"/>
  <c r="A71" i="3"/>
  <c r="A73" i="11"/>
  <c r="A144" i="3"/>
  <c r="AC144" i="3" s="1"/>
  <c r="A73" i="3"/>
  <c r="A71" i="11"/>
  <c r="A59" i="3"/>
  <c r="A59" i="10"/>
  <c r="A60" i="3"/>
  <c r="A60" i="10"/>
  <c r="A61" i="3"/>
  <c r="A61" i="10"/>
  <c r="A62" i="3"/>
  <c r="A62" i="10"/>
  <c r="N79" i="2"/>
  <c r="L79" i="2"/>
  <c r="M79" i="2"/>
  <c r="I79" i="2"/>
  <c r="Y79" i="2" s="1"/>
  <c r="Q79" i="2"/>
  <c r="W80" i="2"/>
  <c r="I80" i="2"/>
  <c r="P80" i="2"/>
  <c r="EX69" i="2"/>
  <c r="EH85" i="2"/>
  <c r="A133" i="3"/>
  <c r="AC133" i="3" s="1"/>
  <c r="EM69" i="2"/>
  <c r="AH129" i="3"/>
  <c r="DP69" i="2"/>
  <c r="P69" i="2" s="1"/>
  <c r="W67" i="2"/>
  <c r="Y67" i="2" s="1"/>
  <c r="A129" i="3"/>
  <c r="AC129" i="3" s="1"/>
  <c r="A132" i="3"/>
  <c r="AC132" i="3" s="1"/>
  <c r="AH132" i="3"/>
  <c r="A130" i="3"/>
  <c r="AC130" i="3" s="1"/>
  <c r="AH130" i="3"/>
  <c r="A131" i="3"/>
  <c r="AC131" i="3" s="1"/>
  <c r="AH131" i="3"/>
  <c r="AH133" i="3"/>
  <c r="W68" i="2"/>
  <c r="Y68" i="2" s="1"/>
  <c r="O67" i="2"/>
  <c r="DB66" i="2"/>
  <c r="W69" i="2"/>
  <c r="Q69" i="2"/>
  <c r="P68" i="2"/>
  <c r="Q68" i="2"/>
  <c r="Q67" i="2"/>
  <c r="I66" i="2"/>
  <c r="U66" i="2" s="1"/>
  <c r="P66" i="2"/>
  <c r="DB67" i="2"/>
  <c r="O68" i="2"/>
  <c r="CQ68" i="2"/>
  <c r="U68" i="2" s="1"/>
  <c r="O66" i="2"/>
  <c r="M66" i="2"/>
  <c r="N66" i="2"/>
  <c r="L66" i="2"/>
  <c r="CQ67" i="2"/>
  <c r="U67" i="2" s="1"/>
  <c r="P67" i="2"/>
  <c r="DB68" i="2"/>
  <c r="O69" i="2"/>
  <c r="DB69" i="2"/>
  <c r="I69" i="2"/>
  <c r="Q66" i="2"/>
  <c r="W66" i="2"/>
  <c r="J78" i="2"/>
  <c r="P78" i="2"/>
  <c r="Q78" i="2"/>
  <c r="N78" i="2"/>
  <c r="L78" i="2"/>
  <c r="O78" i="2"/>
  <c r="M78" i="2"/>
  <c r="W78" i="2"/>
  <c r="Y78" i="2" s="1"/>
  <c r="J79" i="2" l="1"/>
  <c r="Y80" i="2"/>
  <c r="CQ69" i="2"/>
  <c r="N69" i="2" s="1"/>
  <c r="Y69" i="2"/>
  <c r="Y66" i="2"/>
  <c r="J66" i="2"/>
  <c r="M68" i="2"/>
  <c r="N68" i="2"/>
  <c r="J68" i="2"/>
  <c r="L68" i="2"/>
  <c r="L67" i="2"/>
  <c r="J67" i="2"/>
  <c r="N67" i="2"/>
  <c r="M67" i="2"/>
  <c r="J69" i="2" l="1"/>
  <c r="L69" i="2"/>
  <c r="M69" i="2"/>
  <c r="U69" i="2"/>
  <c r="AC76" i="3"/>
  <c r="AE76" i="3" s="1"/>
  <c r="AE75" i="3"/>
  <c r="FD77" i="2"/>
  <c r="EY77" i="2"/>
  <c r="EA77" i="2"/>
  <c r="DO77" i="2"/>
  <c r="CQ77" i="2"/>
  <c r="FD76" i="2"/>
  <c r="X76" i="2" s="1"/>
  <c r="DB76" i="2" s="1"/>
  <c r="EY76" i="2"/>
  <c r="R76" i="2"/>
  <c r="EA76" i="2"/>
  <c r="DO76" i="2"/>
  <c r="FL74" i="2"/>
  <c r="FD74" i="2"/>
  <c r="EA74" i="2"/>
  <c r="DO74" i="2"/>
  <c r="CQ74" i="2"/>
  <c r="FL73" i="2"/>
  <c r="FD73" i="2"/>
  <c r="EA73" i="2"/>
  <c r="DO73" i="2"/>
  <c r="CQ73" i="2"/>
  <c r="FD71" i="2"/>
  <c r="EY71" i="2"/>
  <c r="CD71" i="2"/>
  <c r="CC71" i="2"/>
  <c r="FD70" i="2"/>
  <c r="EY70" i="2"/>
  <c r="EJ70" i="2"/>
  <c r="EA70" i="2"/>
  <c r="DO70" i="2"/>
  <c r="Z67" i="3"/>
  <c r="Z138" i="3" s="1"/>
  <c r="V67" i="3"/>
  <c r="V138" i="3" s="1"/>
  <c r="U67" i="3"/>
  <c r="U138" i="3" s="1"/>
  <c r="T67" i="3"/>
  <c r="T138" i="3" s="1"/>
  <c r="AG138" i="3" s="1"/>
  <c r="P67" i="3"/>
  <c r="P138" i="3" s="1"/>
  <c r="O67" i="3"/>
  <c r="O138" i="3" s="1"/>
  <c r="N67" i="3"/>
  <c r="N138" i="3" s="1"/>
  <c r="AF138" i="3" s="1"/>
  <c r="J67" i="3"/>
  <c r="J138" i="3" s="1"/>
  <c r="I67" i="3"/>
  <c r="I138" i="3" s="1"/>
  <c r="H67" i="3"/>
  <c r="H138" i="3" s="1"/>
  <c r="AE138" i="3" s="1"/>
  <c r="D67" i="3"/>
  <c r="D138" i="3" s="1"/>
  <c r="C67" i="3"/>
  <c r="C138" i="3" s="1"/>
  <c r="B67" i="3"/>
  <c r="B138" i="3" s="1"/>
  <c r="AD138" i="3" s="1"/>
  <c r="Z66" i="3"/>
  <c r="Z137" i="3" s="1"/>
  <c r="V66" i="3"/>
  <c r="V137" i="3" s="1"/>
  <c r="U66" i="3"/>
  <c r="U137" i="3" s="1"/>
  <c r="T66" i="3"/>
  <c r="T137" i="3" s="1"/>
  <c r="AG137" i="3" s="1"/>
  <c r="P66" i="3"/>
  <c r="P137" i="3" s="1"/>
  <c r="O66" i="3"/>
  <c r="O137" i="3" s="1"/>
  <c r="N66" i="3"/>
  <c r="N137" i="3" s="1"/>
  <c r="AF137" i="3" s="1"/>
  <c r="J66" i="3"/>
  <c r="J137" i="3" s="1"/>
  <c r="I66" i="3"/>
  <c r="I137" i="3" s="1"/>
  <c r="H66" i="3"/>
  <c r="H137" i="3" s="1"/>
  <c r="AE137" i="3" s="1"/>
  <c r="D66" i="3"/>
  <c r="D137" i="3" s="1"/>
  <c r="C66" i="3"/>
  <c r="C137" i="3" s="1"/>
  <c r="B66" i="3"/>
  <c r="B137" i="3" s="1"/>
  <c r="AD137" i="3" s="1"/>
  <c r="Z65" i="3"/>
  <c r="Z136" i="3" s="1"/>
  <c r="V65" i="3"/>
  <c r="V136" i="3" s="1"/>
  <c r="U65" i="3"/>
  <c r="U136" i="3" s="1"/>
  <c r="T65" i="3"/>
  <c r="T136" i="3" s="1"/>
  <c r="AG136" i="3" s="1"/>
  <c r="P65" i="3"/>
  <c r="P136" i="3" s="1"/>
  <c r="O65" i="3"/>
  <c r="O136" i="3" s="1"/>
  <c r="N65" i="3"/>
  <c r="N136" i="3" s="1"/>
  <c r="AF136" i="3" s="1"/>
  <c r="J65" i="3"/>
  <c r="J136" i="3" s="1"/>
  <c r="I65" i="3"/>
  <c r="I136" i="3" s="1"/>
  <c r="H65" i="3"/>
  <c r="H136" i="3" s="1"/>
  <c r="AE136" i="3" s="1"/>
  <c r="D65" i="3"/>
  <c r="D136" i="3" s="1"/>
  <c r="C65" i="3"/>
  <c r="C136" i="3" s="1"/>
  <c r="B65" i="3"/>
  <c r="B136" i="3" s="1"/>
  <c r="AD136" i="3" s="1"/>
  <c r="H76" i="2"/>
  <c r="I76" i="2" s="1"/>
  <c r="D76" i="2"/>
  <c r="A69" i="10" s="1"/>
  <c r="CE83" i="2" l="1"/>
  <c r="CF83" i="2" s="1"/>
  <c r="EM70" i="2" s="1"/>
  <c r="EM71" i="2" s="1"/>
  <c r="CQ71" i="2" s="1"/>
  <c r="A69" i="11"/>
  <c r="A69" i="3"/>
  <c r="A140" i="3"/>
  <c r="AC140" i="3" s="1"/>
  <c r="CQ70" i="2"/>
  <c r="L70" i="2" s="1"/>
  <c r="EH70" i="2"/>
  <c r="AH136" i="3"/>
  <c r="AH137" i="3"/>
  <c r="AH138" i="3"/>
  <c r="EJ71" i="2"/>
  <c r="EH71" i="2" s="1"/>
  <c r="S76" i="2"/>
  <c r="DO71" i="2"/>
  <c r="EA71" i="2"/>
  <c r="L76" i="2"/>
  <c r="J76" i="2"/>
  <c r="O76" i="2"/>
  <c r="P76" i="2"/>
  <c r="Q76" i="2"/>
  <c r="W76" i="2"/>
  <c r="Y76" i="2" s="1"/>
  <c r="M76" i="2" l="1"/>
  <c r="N76" i="2"/>
  <c r="H77" i="2" l="1"/>
  <c r="I77" i="2" s="1"/>
  <c r="D77" i="2"/>
  <c r="A70" i="10" s="1"/>
  <c r="X77" i="2"/>
  <c r="S77" i="2"/>
  <c r="S74" i="2"/>
  <c r="H74" i="2"/>
  <c r="I74" i="2" s="1"/>
  <c r="A138" i="3"/>
  <c r="AC138" i="3" s="1"/>
  <c r="Z64" i="3"/>
  <c r="Z135" i="3" s="1"/>
  <c r="V64" i="3"/>
  <c r="V135" i="3" s="1"/>
  <c r="U64" i="3"/>
  <c r="U135" i="3" s="1"/>
  <c r="T64" i="3"/>
  <c r="T135" i="3" s="1"/>
  <c r="AG135" i="3" s="1"/>
  <c r="P64" i="3"/>
  <c r="P135" i="3" s="1"/>
  <c r="O64" i="3"/>
  <c r="O135" i="3" s="1"/>
  <c r="N64" i="3"/>
  <c r="N135" i="3" s="1"/>
  <c r="AF135" i="3" s="1"/>
  <c r="J64" i="3"/>
  <c r="J135" i="3" s="1"/>
  <c r="I64" i="3"/>
  <c r="I135" i="3" s="1"/>
  <c r="H64" i="3"/>
  <c r="H135" i="3" s="1"/>
  <c r="AE135" i="3" s="1"/>
  <c r="D64" i="3"/>
  <c r="D135" i="3" s="1"/>
  <c r="C64" i="3"/>
  <c r="C135" i="3" s="1"/>
  <c r="B64" i="3"/>
  <c r="B135" i="3" s="1"/>
  <c r="AD135" i="3" s="1"/>
  <c r="H73" i="2"/>
  <c r="Q73" i="2" s="1"/>
  <c r="A137" i="3"/>
  <c r="AC137" i="3" s="1"/>
  <c r="L29" i="2"/>
  <c r="M29" i="2"/>
  <c r="N29" i="2"/>
  <c r="L30" i="2"/>
  <c r="M30" i="2"/>
  <c r="N30" i="2"/>
  <c r="L31" i="2"/>
  <c r="M31" i="2"/>
  <c r="N31" i="2"/>
  <c r="O77" i="2" l="1"/>
  <c r="DB77" i="2"/>
  <c r="A70" i="11"/>
  <c r="A141" i="3"/>
  <c r="AC141" i="3" s="1"/>
  <c r="A70" i="3"/>
  <c r="AH135" i="3"/>
  <c r="A65" i="3"/>
  <c r="A67" i="3"/>
  <c r="A66" i="3"/>
  <c r="P77" i="2"/>
  <c r="Q77" i="2"/>
  <c r="J77" i="2"/>
  <c r="L77" i="2"/>
  <c r="N77" i="2"/>
  <c r="M77" i="2"/>
  <c r="R77" i="2"/>
  <c r="X74" i="2"/>
  <c r="W77" i="2"/>
  <c r="Y77" i="2" s="1"/>
  <c r="R74" i="2"/>
  <c r="Q74" i="2"/>
  <c r="P74" i="2"/>
  <c r="X73" i="2"/>
  <c r="S73" i="2"/>
  <c r="I73" i="2"/>
  <c r="P73"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A21" i="10"/>
  <c r="D26" i="2"/>
  <c r="D25" i="2"/>
  <c r="D24" i="2"/>
  <c r="D23" i="2"/>
  <c r="D21" i="2"/>
  <c r="D20" i="2"/>
  <c r="D19" i="2"/>
  <c r="D18" i="2"/>
  <c r="D17" i="2"/>
  <c r="D22" i="2"/>
  <c r="A93" i="3" s="1"/>
  <c r="D16" i="2"/>
  <c r="D15" i="2"/>
  <c r="D14" i="2"/>
  <c r="D13" i="2"/>
  <c r="D12" i="2"/>
  <c r="D11" i="2"/>
  <c r="D10" i="2"/>
  <c r="D9" i="2"/>
  <c r="D8" i="2"/>
  <c r="CS51" i="2"/>
  <c r="D44" i="10" s="1"/>
  <c r="S44" i="10" s="1"/>
  <c r="Y49" i="6"/>
  <c r="X49" i="6"/>
  <c r="W49" i="6"/>
  <c r="V49" i="6"/>
  <c r="U49" i="6"/>
  <c r="T49" i="6"/>
  <c r="S49" i="6"/>
  <c r="R49" i="6"/>
  <c r="Q49" i="6"/>
  <c r="P49" i="6"/>
  <c r="O49" i="6"/>
  <c r="N49" i="6"/>
  <c r="M49" i="6"/>
  <c r="L49" i="6"/>
  <c r="K49" i="6"/>
  <c r="J49" i="6"/>
  <c r="I49" i="6"/>
  <c r="G49" i="6"/>
  <c r="F49" i="6"/>
  <c r="E49" i="6"/>
  <c r="D49" i="6"/>
  <c r="C49" i="6"/>
  <c r="B49" i="6"/>
  <c r="W73" i="2" l="1"/>
  <c r="DB73" i="2"/>
  <c r="W74" i="2"/>
  <c r="Y74" i="2" s="1"/>
  <c r="DB74" i="2"/>
  <c r="A18" i="10"/>
  <c r="A18" i="11"/>
  <c r="A47" i="10"/>
  <c r="A47" i="11"/>
  <c r="A34" i="10"/>
  <c r="A34" i="11"/>
  <c r="A7" i="10"/>
  <c r="A7" i="11"/>
  <c r="A8" i="10"/>
  <c r="A8" i="11"/>
  <c r="A9" i="10"/>
  <c r="A9" i="11"/>
  <c r="A37" i="10"/>
  <c r="A37" i="11"/>
  <c r="A48" i="10"/>
  <c r="A48" i="11"/>
  <c r="A6" i="10"/>
  <c r="A6" i="11"/>
  <c r="A19" i="10"/>
  <c r="A19" i="11"/>
  <c r="A16" i="10"/>
  <c r="A16" i="11"/>
  <c r="A50" i="10"/>
  <c r="A50" i="11"/>
  <c r="A12" i="10"/>
  <c r="A12" i="11"/>
  <c r="A29" i="10"/>
  <c r="A29" i="11"/>
  <c r="A41" i="10"/>
  <c r="A41" i="11"/>
  <c r="A52" i="10"/>
  <c r="A52" i="11"/>
  <c r="A45" i="10"/>
  <c r="A45" i="11"/>
  <c r="A26" i="10"/>
  <c r="A26" i="11"/>
  <c r="A28" i="10"/>
  <c r="A28" i="11"/>
  <c r="A2" i="10"/>
  <c r="A2" i="11"/>
  <c r="A13" i="10"/>
  <c r="A13" i="11"/>
  <c r="A30" i="10"/>
  <c r="A30" i="11"/>
  <c r="A42" i="10"/>
  <c r="A42" i="11"/>
  <c r="A53" i="10"/>
  <c r="A53" i="11"/>
  <c r="A57" i="10"/>
  <c r="A57" i="11"/>
  <c r="A46" i="10"/>
  <c r="A46" i="11"/>
  <c r="A36" i="10"/>
  <c r="A36" i="11"/>
  <c r="A10" i="10"/>
  <c r="A10" i="11"/>
  <c r="A39" i="10"/>
  <c r="A39" i="11"/>
  <c r="A3" i="10"/>
  <c r="A3" i="11"/>
  <c r="A31" i="10"/>
  <c r="A31" i="11"/>
  <c r="A43" i="11"/>
  <c r="A115" i="3"/>
  <c r="AC115" i="3" s="1"/>
  <c r="A54" i="10"/>
  <c r="A54" i="11"/>
  <c r="A49" i="10"/>
  <c r="A49" i="11"/>
  <c r="A27" i="10"/>
  <c r="A27" i="11"/>
  <c r="A40" i="10"/>
  <c r="A40" i="11"/>
  <c r="A4" i="10"/>
  <c r="A4" i="11"/>
  <c r="A15" i="10"/>
  <c r="A15" i="11"/>
  <c r="A32" i="10"/>
  <c r="A32" i="11"/>
  <c r="A55" i="10"/>
  <c r="A55" i="11"/>
  <c r="A35" i="10"/>
  <c r="A35" i="11"/>
  <c r="A20" i="10"/>
  <c r="A20" i="11"/>
  <c r="A38" i="10"/>
  <c r="A38" i="11"/>
  <c r="A11" i="10"/>
  <c r="A11" i="11"/>
  <c r="A51" i="10"/>
  <c r="A51" i="11"/>
  <c r="A14" i="10"/>
  <c r="A14" i="11"/>
  <c r="A5" i="10"/>
  <c r="A5" i="11"/>
  <c r="A17" i="10"/>
  <c r="A17" i="11"/>
  <c r="A33" i="10"/>
  <c r="A33" i="11"/>
  <c r="A44" i="10"/>
  <c r="A44" i="11"/>
  <c r="A56" i="10"/>
  <c r="A56" i="11"/>
  <c r="A43" i="3"/>
  <c r="A43" i="10"/>
  <c r="O74" i="2"/>
  <c r="O73" i="2"/>
  <c r="A64" i="3"/>
  <c r="Y73" i="2"/>
  <c r="R73" i="2"/>
  <c r="H71" i="2"/>
  <c r="Q71" i="2" s="1"/>
  <c r="S71" i="2"/>
  <c r="X71" i="2"/>
  <c r="D71" i="9"/>
  <c r="D70" i="9"/>
  <c r="C71" i="9"/>
  <c r="C70" i="9"/>
  <c r="B71" i="9"/>
  <c r="B70" i="9"/>
  <c r="K64" i="9"/>
  <c r="J64" i="9"/>
  <c r="I64" i="9"/>
  <c r="H64" i="9"/>
  <c r="J63" i="9"/>
  <c r="J62" i="9"/>
  <c r="J61" i="9"/>
  <c r="J60" i="9"/>
  <c r="J59" i="9"/>
  <c r="J58" i="9"/>
  <c r="J57" i="9"/>
  <c r="J56" i="9"/>
  <c r="J55" i="9"/>
  <c r="J54" i="9"/>
  <c r="J53" i="9"/>
  <c r="S44" i="9"/>
  <c r="R44" i="9"/>
  <c r="T43" i="9"/>
  <c r="T42" i="9"/>
  <c r="T41" i="9"/>
  <c r="T40" i="9"/>
  <c r="T39" i="9"/>
  <c r="T38" i="9"/>
  <c r="T37" i="9"/>
  <c r="T36" i="9"/>
  <c r="T35" i="9"/>
  <c r="T34" i="9"/>
  <c r="T33" i="9"/>
  <c r="T32" i="9"/>
  <c r="N44" i="9"/>
  <c r="M44" i="9"/>
  <c r="O43" i="9"/>
  <c r="O42" i="9"/>
  <c r="O41" i="9"/>
  <c r="O40" i="9"/>
  <c r="O39" i="9"/>
  <c r="O38" i="9"/>
  <c r="O37" i="9"/>
  <c r="O36" i="9"/>
  <c r="O35" i="9"/>
  <c r="O34" i="9"/>
  <c r="O33" i="9"/>
  <c r="O32" i="9"/>
  <c r="J33" i="9"/>
  <c r="J34" i="9"/>
  <c r="J35" i="9"/>
  <c r="J36" i="9"/>
  <c r="J37" i="9"/>
  <c r="J38" i="9"/>
  <c r="J39" i="9"/>
  <c r="J40" i="9"/>
  <c r="J41" i="9"/>
  <c r="J42" i="9"/>
  <c r="J43" i="9"/>
  <c r="J32" i="9"/>
  <c r="J44" i="9" s="1"/>
  <c r="K44" i="9" s="1"/>
  <c r="I44" i="9"/>
  <c r="H44" i="9"/>
  <c r="M6" i="9"/>
  <c r="M7" i="9"/>
  <c r="M8" i="9"/>
  <c r="M9" i="9"/>
  <c r="M10" i="9"/>
  <c r="M11" i="9"/>
  <c r="M12" i="9"/>
  <c r="M13" i="9"/>
  <c r="M14" i="9"/>
  <c r="M15" i="9"/>
  <c r="M16" i="9"/>
  <c r="M17" i="9"/>
  <c r="M18" i="9"/>
  <c r="M5" i="9"/>
  <c r="K18" i="9"/>
  <c r="K17" i="9"/>
  <c r="K16" i="9"/>
  <c r="K15" i="9"/>
  <c r="K14" i="9"/>
  <c r="K13" i="9"/>
  <c r="K12" i="9"/>
  <c r="K11" i="9"/>
  <c r="K10" i="9"/>
  <c r="K9" i="9"/>
  <c r="K8" i="9"/>
  <c r="K7" i="9"/>
  <c r="K6" i="9"/>
  <c r="K5" i="9"/>
  <c r="K19" i="9" s="1"/>
  <c r="M19" i="9" s="1"/>
  <c r="O71" i="2" l="1"/>
  <c r="DB71" i="2"/>
  <c r="L74" i="2"/>
  <c r="N74" i="2"/>
  <c r="M74" i="2"/>
  <c r="J74" i="2"/>
  <c r="I71" i="2"/>
  <c r="P71" i="2"/>
  <c r="N73" i="2"/>
  <c r="L73" i="2"/>
  <c r="J73" i="2"/>
  <c r="M73" i="2"/>
  <c r="R71" i="2"/>
  <c r="W71" i="2"/>
  <c r="T44" i="9"/>
  <c r="U44" i="9" s="1"/>
  <c r="O44" i="9"/>
  <c r="P44" i="9" s="1"/>
  <c r="Y71" i="2" l="1"/>
  <c r="L71" i="2"/>
  <c r="AX43" i="2"/>
  <c r="AX44" i="2"/>
  <c r="M71" i="2" l="1"/>
  <c r="N71" i="2"/>
  <c r="J71" i="2"/>
  <c r="AK12" i="2"/>
  <c r="AK11" i="2"/>
  <c r="AK9" i="2"/>
  <c r="Z53" i="3"/>
  <c r="Z63" i="3"/>
  <c r="Z134" i="3" s="1"/>
  <c r="Z57" i="3"/>
  <c r="Z56" i="3"/>
  <c r="Z55" i="3"/>
  <c r="Z54" i="3"/>
  <c r="Z22" i="3"/>
  <c r="Z23" i="3"/>
  <c r="Z24" i="3"/>
  <c r="Z25" i="3"/>
  <c r="Z52" i="3"/>
  <c r="Z51" i="3"/>
  <c r="Z50" i="3"/>
  <c r="Z49" i="3"/>
  <c r="Z48" i="3"/>
  <c r="Z47" i="3"/>
  <c r="Z46" i="3"/>
  <c r="Z45" i="3"/>
  <c r="Z44" i="3"/>
  <c r="Z42" i="3"/>
  <c r="Z41" i="3"/>
  <c r="Z40" i="3"/>
  <c r="Z39" i="3"/>
  <c r="Z38" i="3"/>
  <c r="Z37" i="3"/>
  <c r="Z36" i="3"/>
  <c r="Z35" i="3"/>
  <c r="Z34" i="3"/>
  <c r="Z33" i="3"/>
  <c r="Z32" i="3"/>
  <c r="Z31" i="3"/>
  <c r="Z30" i="3"/>
  <c r="Z29" i="3"/>
  <c r="Z28" i="3"/>
  <c r="Z27" i="3"/>
  <c r="Z26" i="3"/>
  <c r="Z21" i="3"/>
  <c r="Z20" i="3"/>
  <c r="Z19" i="3"/>
  <c r="Z18" i="3"/>
  <c r="Z17" i="3"/>
  <c r="Z16" i="3"/>
  <c r="Z93" i="3" s="1"/>
  <c r="Z15" i="3"/>
  <c r="Z14" i="3"/>
  <c r="Z13" i="3"/>
  <c r="Z12" i="3"/>
  <c r="Z11" i="3"/>
  <c r="Z10" i="3"/>
  <c r="Z9" i="3"/>
  <c r="Z8" i="3"/>
  <c r="Z7" i="3"/>
  <c r="Z6" i="3"/>
  <c r="Z5" i="3"/>
  <c r="Z4" i="3"/>
  <c r="Z3" i="3"/>
  <c r="Z2" i="3"/>
  <c r="A63" i="3"/>
  <c r="Y128" i="3"/>
  <c r="X128" i="3"/>
  <c r="W128" i="3"/>
  <c r="S128" i="3"/>
  <c r="R128" i="3"/>
  <c r="Q128" i="3"/>
  <c r="M128" i="3"/>
  <c r="L128" i="3"/>
  <c r="K128" i="3"/>
  <c r="G128" i="3"/>
  <c r="F128" i="3"/>
  <c r="E128" i="3"/>
  <c r="V63" i="3"/>
  <c r="V134" i="3" s="1"/>
  <c r="U63" i="3"/>
  <c r="U134" i="3" s="1"/>
  <c r="T63" i="3"/>
  <c r="T134" i="3" s="1"/>
  <c r="AG134" i="3" s="1"/>
  <c r="P63" i="3"/>
  <c r="P134" i="3" s="1"/>
  <c r="O63" i="3"/>
  <c r="O134" i="3" s="1"/>
  <c r="N63" i="3"/>
  <c r="N134" i="3" s="1"/>
  <c r="AF134" i="3" s="1"/>
  <c r="J63" i="3"/>
  <c r="J134" i="3" s="1"/>
  <c r="I63" i="3"/>
  <c r="I134" i="3" s="1"/>
  <c r="H63" i="3"/>
  <c r="H134" i="3" s="1"/>
  <c r="AE134" i="3" s="1"/>
  <c r="D63" i="3"/>
  <c r="D134" i="3" s="1"/>
  <c r="C63" i="3"/>
  <c r="C134" i="3" s="1"/>
  <c r="B63" i="3"/>
  <c r="B134" i="3" s="1"/>
  <c r="AD134" i="3" s="1"/>
  <c r="V57" i="3"/>
  <c r="V128" i="3" s="1"/>
  <c r="U57" i="3"/>
  <c r="U128" i="3" s="1"/>
  <c r="T57" i="3"/>
  <c r="T128" i="3" s="1"/>
  <c r="AG128" i="3" s="1"/>
  <c r="P57" i="3"/>
  <c r="P128" i="3" s="1"/>
  <c r="O57" i="3"/>
  <c r="O128" i="3" s="1"/>
  <c r="N57" i="3"/>
  <c r="N128" i="3" s="1"/>
  <c r="AF128" i="3" s="1"/>
  <c r="J57" i="3"/>
  <c r="I57" i="3"/>
  <c r="D57" i="3"/>
  <c r="D128" i="3" s="1"/>
  <c r="C57" i="3"/>
  <c r="C128" i="3" s="1"/>
  <c r="B57" i="3"/>
  <c r="B128" i="3" s="1"/>
  <c r="AD128" i="3" s="1"/>
  <c r="X70" i="2"/>
  <c r="DB70" i="2" s="1"/>
  <c r="H70" i="2"/>
  <c r="Q70" i="2" s="1"/>
  <c r="CS61" i="2"/>
  <c r="Z128" i="3" l="1"/>
  <c r="Z49" i="6"/>
  <c r="AH134" i="3"/>
  <c r="S70" i="2"/>
  <c r="R70" i="2"/>
  <c r="W70" i="2"/>
  <c r="O70" i="2"/>
  <c r="I70" i="2"/>
  <c r="P70" i="2"/>
  <c r="BD45" i="2"/>
  <c r="BE45" i="2" s="1"/>
  <c r="BP55" i="2"/>
  <c r="BO55" i="2"/>
  <c r="BP53" i="2"/>
  <c r="BO53" i="2"/>
  <c r="BD37" i="2"/>
  <c r="BD34" i="2"/>
  <c r="AZ37" i="2"/>
  <c r="AZ34" i="2"/>
  <c r="BL54" i="2"/>
  <c r="BP54" i="2" s="1"/>
  <c r="BK54" i="2"/>
  <c r="BO54" i="2" s="1"/>
  <c r="BJ54" i="2"/>
  <c r="AC74" i="3"/>
  <c r="AE74" i="3" s="1"/>
  <c r="BC44" i="2"/>
  <c r="BD44" i="2" s="1"/>
  <c r="BE44" i="2" s="1"/>
  <c r="BC43" i="2"/>
  <c r="BD43" i="2" s="1"/>
  <c r="BE43" i="2" s="1"/>
  <c r="DE45" i="2"/>
  <c r="DE44" i="2"/>
  <c r="DE43" i="2"/>
  <c r="N70" i="2" l="1"/>
  <c r="M70" i="2"/>
  <c r="J70" i="2"/>
  <c r="Y70" i="2"/>
  <c r="DE15" i="2"/>
  <c r="E9" i="10" s="1"/>
  <c r="DE14" i="2"/>
  <c r="E8" i="10" s="1"/>
  <c r="DE13" i="2"/>
  <c r="E7" i="10" s="1"/>
  <c r="CS15" i="2"/>
  <c r="D9" i="10" s="1"/>
  <c r="S9" i="10" s="1"/>
  <c r="CS14" i="2"/>
  <c r="D8" i="10" s="1"/>
  <c r="S8" i="10" s="1"/>
  <c r="CS13" i="2"/>
  <c r="D7" i="10" s="1"/>
  <c r="S7" i="10" l="1"/>
  <c r="BC59" i="2"/>
  <c r="AY59" i="2"/>
  <c r="BC12" i="2" l="1"/>
  <c r="AY12" i="2"/>
  <c r="BC10" i="2"/>
  <c r="BD10" i="2" s="1"/>
  <c r="AY10" i="2"/>
  <c r="AZ10" i="2" s="1"/>
  <c r="AY8" i="2"/>
  <c r="BC8" i="2"/>
  <c r="U300" i="5"/>
  <c r="U306" i="5" s="1"/>
  <c r="U299" i="5"/>
  <c r="Q309" i="5"/>
  <c r="Q299" i="5"/>
  <c r="V305" i="5"/>
  <c r="R305" i="5"/>
  <c r="V280" i="5"/>
  <c r="U278" i="5" s="1"/>
  <c r="R280" i="5"/>
  <c r="U260" i="5"/>
  <c r="U257" i="5"/>
  <c r="U258" i="5" s="1"/>
  <c r="U259" i="5" s="1"/>
  <c r="U256" i="5"/>
  <c r="V260" i="5"/>
  <c r="Q258" i="5"/>
  <c r="Q257" i="5"/>
  <c r="Q259" i="5" s="1"/>
  <c r="Q256" i="5"/>
  <c r="R260" i="5"/>
  <c r="S248" i="5"/>
  <c r="S247" i="5"/>
  <c r="R247" i="5"/>
  <c r="R248" i="5" s="1"/>
  <c r="Q247" i="5"/>
  <c r="Q248" i="5" s="1"/>
  <c r="B29" i="6"/>
  <c r="B35" i="6"/>
  <c r="U309" i="5" l="1"/>
  <c r="Q261" i="5"/>
  <c r="Q264" i="5"/>
  <c r="Q300" i="5"/>
  <c r="AA48" i="6"/>
  <c r="AA47" i="6"/>
  <c r="AA46" i="6"/>
  <c r="AA45" i="6"/>
  <c r="AA44" i="6"/>
  <c r="AA43" i="6"/>
  <c r="AA42" i="6"/>
  <c r="AA41" i="6"/>
  <c r="AA40" i="6"/>
  <c r="AA39" i="6"/>
  <c r="AA38" i="6"/>
  <c r="AA37" i="6"/>
  <c r="AA35" i="6"/>
  <c r="AA34" i="6"/>
  <c r="AA33" i="6"/>
  <c r="AA32" i="6"/>
  <c r="AA31" i="6"/>
  <c r="AA30" i="6"/>
  <c r="AA29" i="6"/>
  <c r="AA28" i="6"/>
  <c r="AA27" i="6"/>
  <c r="AA26" i="6"/>
  <c r="AA25" i="6"/>
  <c r="AA24" i="6"/>
  <c r="AA23" i="6"/>
  <c r="AA22" i="6"/>
  <c r="AA21" i="6"/>
  <c r="AA20" i="6"/>
  <c r="AA19" i="6"/>
  <c r="AA18" i="6"/>
  <c r="AA17" i="6"/>
  <c r="AA16" i="6"/>
  <c r="AA15" i="6"/>
  <c r="AA14" i="6"/>
  <c r="AA13" i="6"/>
  <c r="AA12" i="6"/>
  <c r="AA11" i="6"/>
  <c r="AA10" i="6"/>
  <c r="AA9" i="6"/>
  <c r="AA8" i="6"/>
  <c r="AA7" i="6"/>
  <c r="AA6" i="6"/>
  <c r="AA5" i="6"/>
  <c r="AA4" i="6"/>
  <c r="AA3" i="6"/>
  <c r="AA2" i="6"/>
  <c r="Z48" i="6"/>
  <c r="Z47" i="6"/>
  <c r="Z46" i="6"/>
  <c r="Z45" i="6"/>
  <c r="Z44" i="6"/>
  <c r="Z43" i="6"/>
  <c r="Z42" i="6"/>
  <c r="Z41" i="6"/>
  <c r="Z40" i="6"/>
  <c r="Z39" i="6"/>
  <c r="Z38" i="6"/>
  <c r="Z37" i="6"/>
  <c r="Z35" i="6"/>
  <c r="Z34" i="6"/>
  <c r="Z33" i="6"/>
  <c r="Z32" i="6"/>
  <c r="Z31" i="6"/>
  <c r="Z30" i="6"/>
  <c r="Z29" i="6"/>
  <c r="Z28" i="6"/>
  <c r="Z27" i="6"/>
  <c r="Z26" i="6"/>
  <c r="Z25" i="6"/>
  <c r="Z24" i="6"/>
  <c r="Z23" i="6"/>
  <c r="Z22" i="6"/>
  <c r="Z21" i="6"/>
  <c r="Z20" i="6"/>
  <c r="Z19" i="6"/>
  <c r="Z18" i="6"/>
  <c r="Z17" i="6"/>
  <c r="Z16" i="6"/>
  <c r="Z15" i="6"/>
  <c r="Z14" i="6"/>
  <c r="Z13" i="6"/>
  <c r="Z12" i="6"/>
  <c r="Z11" i="6"/>
  <c r="Z10" i="6"/>
  <c r="Z9" i="6"/>
  <c r="Z8" i="6"/>
  <c r="Z7" i="6"/>
  <c r="Z6" i="6"/>
  <c r="Z5" i="6"/>
  <c r="Z4" i="6"/>
  <c r="Z3" i="6"/>
  <c r="Z2" i="6"/>
  <c r="Y108" i="6"/>
  <c r="X108" i="6"/>
  <c r="W108" i="6"/>
  <c r="S108" i="6"/>
  <c r="R108" i="6"/>
  <c r="Q108" i="6"/>
  <c r="L108" i="6"/>
  <c r="M108" i="6"/>
  <c r="K108" i="6"/>
  <c r="F108" i="6"/>
  <c r="G108" i="6"/>
  <c r="E108" i="6"/>
  <c r="BF59" i="2"/>
  <c r="BB59" i="2"/>
  <c r="Q306" i="5" l="1"/>
  <c r="U281" i="5"/>
  <c r="U284" i="5" s="1"/>
  <c r="Q279" i="5"/>
  <c r="Q281" i="5" s="1"/>
  <c r="Q284" i="5" s="1"/>
  <c r="U261" i="5"/>
  <c r="U264" i="5" s="1"/>
  <c r="AA100" i="6"/>
  <c r="Z100" i="6"/>
  <c r="AA99" i="6"/>
  <c r="Z99" i="6"/>
  <c r="AA98" i="6"/>
  <c r="Z98" i="6"/>
  <c r="AA97" i="6"/>
  <c r="Z97" i="6"/>
  <c r="AA96" i="6"/>
  <c r="Z96" i="6"/>
  <c r="AA95" i="6"/>
  <c r="Z95" i="6"/>
  <c r="AA94" i="6"/>
  <c r="Z94" i="6"/>
  <c r="AA93" i="6"/>
  <c r="Z93" i="6"/>
  <c r="AA92" i="6"/>
  <c r="Z92" i="6"/>
  <c r="AA91" i="6"/>
  <c r="Z91" i="6"/>
  <c r="AA90" i="6"/>
  <c r="Z90" i="6"/>
  <c r="AA89" i="6"/>
  <c r="Z89" i="6"/>
  <c r="AA88" i="6"/>
  <c r="Z88" i="6"/>
  <c r="AA87" i="6"/>
  <c r="Z87" i="6"/>
  <c r="AA86" i="6"/>
  <c r="Z86" i="6"/>
  <c r="AA85" i="6"/>
  <c r="Z85" i="6"/>
  <c r="AA84" i="6"/>
  <c r="Z84" i="6"/>
  <c r="AA83" i="6"/>
  <c r="Z83" i="6"/>
  <c r="AA82" i="6"/>
  <c r="Z82" i="6"/>
  <c r="AA81" i="6"/>
  <c r="Z81" i="6"/>
  <c r="AA80" i="6"/>
  <c r="Z80" i="6"/>
  <c r="AA79" i="6"/>
  <c r="Z79" i="6"/>
  <c r="AA78" i="6"/>
  <c r="Z78" i="6"/>
  <c r="AA77" i="6"/>
  <c r="Z77" i="6"/>
  <c r="AA76" i="6"/>
  <c r="Z76" i="6"/>
  <c r="AA75" i="6"/>
  <c r="Z75" i="6"/>
  <c r="AA74" i="6"/>
  <c r="Z74" i="6"/>
  <c r="AA73" i="6"/>
  <c r="Z73" i="6"/>
  <c r="AA72" i="6"/>
  <c r="Z72" i="6"/>
  <c r="AA71" i="6"/>
  <c r="Z71" i="6"/>
  <c r="AA70" i="6"/>
  <c r="Z70" i="6"/>
  <c r="AA69" i="6"/>
  <c r="Z69" i="6"/>
  <c r="AA68" i="6"/>
  <c r="Z68" i="6"/>
  <c r="AA67" i="6"/>
  <c r="Z67" i="6"/>
  <c r="AA66" i="6"/>
  <c r="Z66" i="6"/>
  <c r="AA65" i="6"/>
  <c r="Z65" i="6"/>
  <c r="AA64" i="6"/>
  <c r="Z64" i="6"/>
  <c r="AA63" i="6"/>
  <c r="Z63" i="6"/>
  <c r="AA62" i="6"/>
  <c r="Z62" i="6"/>
  <c r="AA61" i="6"/>
  <c r="Z61" i="6"/>
  <c r="AA60" i="6"/>
  <c r="Z60" i="6"/>
  <c r="AA59" i="6"/>
  <c r="Z59" i="6"/>
  <c r="AA58" i="6"/>
  <c r="Z58" i="6"/>
  <c r="AA57" i="6"/>
  <c r="Z57" i="6"/>
  <c r="AA56" i="6"/>
  <c r="Z56" i="6"/>
  <c r="AA55" i="6"/>
  <c r="Z55" i="6"/>
  <c r="AA54" i="6"/>
  <c r="Z54" i="6"/>
  <c r="AA53" i="6"/>
  <c r="Z53" i="6"/>
  <c r="Y48" i="6"/>
  <c r="X48" i="6"/>
  <c r="W48" i="6"/>
  <c r="S48" i="6"/>
  <c r="R48" i="6"/>
  <c r="Q48" i="6"/>
  <c r="M48" i="6"/>
  <c r="L48" i="6"/>
  <c r="K48" i="6"/>
  <c r="J48" i="6"/>
  <c r="I48" i="6"/>
  <c r="H48" i="6"/>
  <c r="G48" i="6"/>
  <c r="F48" i="6"/>
  <c r="E48" i="6"/>
  <c r="D48" i="6"/>
  <c r="C48" i="6"/>
  <c r="B48" i="6"/>
  <c r="Y47" i="6"/>
  <c r="X47" i="6"/>
  <c r="W47" i="6"/>
  <c r="V47" i="6"/>
  <c r="U47" i="6"/>
  <c r="T47" i="6"/>
  <c r="S47" i="6"/>
  <c r="R47" i="6"/>
  <c r="Q47" i="6"/>
  <c r="P47" i="6"/>
  <c r="O47" i="6"/>
  <c r="N47" i="6"/>
  <c r="M47" i="6"/>
  <c r="L47" i="6"/>
  <c r="K47" i="6"/>
  <c r="J47" i="6"/>
  <c r="I47" i="6"/>
  <c r="G47" i="6"/>
  <c r="F47" i="6"/>
  <c r="E47" i="6"/>
  <c r="D47" i="6"/>
  <c r="C47" i="6"/>
  <c r="B47" i="6"/>
  <c r="Y46" i="6"/>
  <c r="X46" i="6"/>
  <c r="W46" i="6"/>
  <c r="V46" i="6"/>
  <c r="U46" i="6"/>
  <c r="T46" i="6"/>
  <c r="S46" i="6"/>
  <c r="R46" i="6"/>
  <c r="Q46" i="6"/>
  <c r="P46" i="6"/>
  <c r="O46" i="6"/>
  <c r="N46" i="6"/>
  <c r="M46" i="6"/>
  <c r="L46" i="6"/>
  <c r="K46" i="6"/>
  <c r="J46" i="6"/>
  <c r="I46" i="6"/>
  <c r="H46" i="6"/>
  <c r="G46" i="6"/>
  <c r="F46" i="6"/>
  <c r="E46" i="6"/>
  <c r="D46" i="6"/>
  <c r="C46" i="6"/>
  <c r="Y45" i="6"/>
  <c r="X45" i="6"/>
  <c r="W45" i="6"/>
  <c r="V45" i="6"/>
  <c r="U45" i="6"/>
  <c r="T45" i="6"/>
  <c r="S45" i="6"/>
  <c r="R45" i="6"/>
  <c r="Q45" i="6"/>
  <c r="P45" i="6"/>
  <c r="O45" i="6"/>
  <c r="N45" i="6"/>
  <c r="M45" i="6"/>
  <c r="L45" i="6"/>
  <c r="K45" i="6"/>
  <c r="J45" i="6"/>
  <c r="I45" i="6"/>
  <c r="H45" i="6"/>
  <c r="G45" i="6"/>
  <c r="F45" i="6"/>
  <c r="E45" i="6"/>
  <c r="D45" i="6"/>
  <c r="C45" i="6"/>
  <c r="B45" i="6"/>
  <c r="Y44" i="6"/>
  <c r="X44" i="6"/>
  <c r="W44" i="6"/>
  <c r="V44" i="6"/>
  <c r="U44" i="6"/>
  <c r="T44" i="6"/>
  <c r="S44" i="6"/>
  <c r="R44" i="6"/>
  <c r="Q44" i="6"/>
  <c r="P44" i="6"/>
  <c r="O44" i="6"/>
  <c r="N44" i="6"/>
  <c r="M44" i="6"/>
  <c r="L44" i="6"/>
  <c r="K44" i="6"/>
  <c r="J44" i="6"/>
  <c r="I44" i="6"/>
  <c r="H44" i="6"/>
  <c r="G44" i="6"/>
  <c r="F44" i="6"/>
  <c r="E44" i="6"/>
  <c r="D44" i="6"/>
  <c r="C44" i="6"/>
  <c r="B44" i="6"/>
  <c r="Y43" i="6"/>
  <c r="X43" i="6"/>
  <c r="W43" i="6"/>
  <c r="V43" i="6"/>
  <c r="U43" i="6"/>
  <c r="T43" i="6"/>
  <c r="S43" i="6"/>
  <c r="R43" i="6"/>
  <c r="Q43" i="6"/>
  <c r="P43" i="6"/>
  <c r="O43" i="6"/>
  <c r="N43" i="6"/>
  <c r="M43" i="6"/>
  <c r="L43" i="6"/>
  <c r="K43" i="6"/>
  <c r="J43" i="6"/>
  <c r="I43" i="6"/>
  <c r="G43" i="6"/>
  <c r="F43" i="6"/>
  <c r="E43" i="6"/>
  <c r="D43" i="6"/>
  <c r="C43" i="6"/>
  <c r="B43" i="6"/>
  <c r="Y42" i="6"/>
  <c r="X42" i="6"/>
  <c r="W42" i="6"/>
  <c r="V42" i="6"/>
  <c r="U42" i="6"/>
  <c r="T42" i="6"/>
  <c r="S42" i="6"/>
  <c r="R42" i="6"/>
  <c r="Q42" i="6"/>
  <c r="P42" i="6"/>
  <c r="O42" i="6"/>
  <c r="N42" i="6"/>
  <c r="M42" i="6"/>
  <c r="L42" i="6"/>
  <c r="K42" i="6"/>
  <c r="J42" i="6"/>
  <c r="I42" i="6"/>
  <c r="H42" i="6"/>
  <c r="G42" i="6"/>
  <c r="F42" i="6"/>
  <c r="E42" i="6"/>
  <c r="D42" i="6"/>
  <c r="C42" i="6"/>
  <c r="B42" i="6"/>
  <c r="Y41" i="6"/>
  <c r="X41" i="6"/>
  <c r="W41" i="6"/>
  <c r="V41" i="6"/>
  <c r="U41" i="6"/>
  <c r="T41" i="6"/>
  <c r="S41" i="6"/>
  <c r="R41" i="6"/>
  <c r="Q41" i="6"/>
  <c r="P41" i="6"/>
  <c r="O41" i="6"/>
  <c r="N41" i="6"/>
  <c r="M41" i="6"/>
  <c r="L41" i="6"/>
  <c r="K41" i="6"/>
  <c r="G41" i="6"/>
  <c r="F41" i="6"/>
  <c r="E41" i="6"/>
  <c r="Y40" i="6"/>
  <c r="X40" i="6"/>
  <c r="W40" i="6"/>
  <c r="V40" i="6"/>
  <c r="U40" i="6"/>
  <c r="T40" i="6"/>
  <c r="S40" i="6"/>
  <c r="R40" i="6"/>
  <c r="Q40" i="6"/>
  <c r="P40" i="6"/>
  <c r="O40" i="6"/>
  <c r="N40" i="6"/>
  <c r="M40" i="6"/>
  <c r="L40" i="6"/>
  <c r="K40" i="6"/>
  <c r="G40" i="6"/>
  <c r="F40" i="6"/>
  <c r="E40" i="6"/>
  <c r="Y39" i="6"/>
  <c r="X39" i="6"/>
  <c r="W39" i="6"/>
  <c r="V39" i="6"/>
  <c r="U39" i="6"/>
  <c r="T39" i="6"/>
  <c r="S39" i="6"/>
  <c r="R39" i="6"/>
  <c r="Q39" i="6"/>
  <c r="P39" i="6"/>
  <c r="O39" i="6"/>
  <c r="N39" i="6"/>
  <c r="M39" i="6"/>
  <c r="L39" i="6"/>
  <c r="K39" i="6"/>
  <c r="G39" i="6"/>
  <c r="F39" i="6"/>
  <c r="E39" i="6"/>
  <c r="Y38" i="6"/>
  <c r="X38" i="6"/>
  <c r="W38" i="6"/>
  <c r="V38" i="6"/>
  <c r="U38" i="6"/>
  <c r="T38" i="6"/>
  <c r="S38" i="6"/>
  <c r="R38" i="6"/>
  <c r="Q38" i="6"/>
  <c r="P38" i="6"/>
  <c r="O38" i="6"/>
  <c r="N38" i="6"/>
  <c r="M38" i="6"/>
  <c r="L38" i="6"/>
  <c r="K38" i="6"/>
  <c r="G38" i="6"/>
  <c r="F38" i="6"/>
  <c r="E38" i="6"/>
  <c r="Y37" i="6"/>
  <c r="X37" i="6"/>
  <c r="W37" i="6"/>
  <c r="V37" i="6"/>
  <c r="U37" i="6"/>
  <c r="T37" i="6"/>
  <c r="S37" i="6"/>
  <c r="R37" i="6"/>
  <c r="Q37" i="6"/>
  <c r="P37" i="6"/>
  <c r="O37" i="6"/>
  <c r="N37" i="6"/>
  <c r="M37" i="6"/>
  <c r="L37" i="6"/>
  <c r="K37" i="6"/>
  <c r="G37" i="6"/>
  <c r="F37" i="6"/>
  <c r="E37" i="6"/>
  <c r="D37" i="6"/>
  <c r="C37" i="6"/>
  <c r="B37" i="6"/>
  <c r="D36" i="6"/>
  <c r="C36" i="6"/>
  <c r="B36" i="6"/>
  <c r="Y35" i="6"/>
  <c r="X35" i="6"/>
  <c r="W35" i="6"/>
  <c r="V35" i="6"/>
  <c r="U35" i="6"/>
  <c r="T35" i="6"/>
  <c r="S35" i="6"/>
  <c r="R35" i="6"/>
  <c r="Q35" i="6"/>
  <c r="P35" i="6"/>
  <c r="O35" i="6"/>
  <c r="N35" i="6"/>
  <c r="M35" i="6"/>
  <c r="L35" i="6"/>
  <c r="K35" i="6"/>
  <c r="J35" i="6"/>
  <c r="I35" i="6"/>
  <c r="H35" i="6"/>
  <c r="G35" i="6"/>
  <c r="F35" i="6"/>
  <c r="E35" i="6"/>
  <c r="D35" i="6"/>
  <c r="C35" i="6"/>
  <c r="Y34" i="6"/>
  <c r="X34" i="6"/>
  <c r="W34" i="6"/>
  <c r="S34" i="6"/>
  <c r="R34" i="6"/>
  <c r="Q34" i="6"/>
  <c r="M34" i="6"/>
  <c r="L34" i="6"/>
  <c r="K34" i="6"/>
  <c r="G34" i="6"/>
  <c r="F34" i="6"/>
  <c r="E34" i="6"/>
  <c r="D34" i="6"/>
  <c r="C34" i="6"/>
  <c r="B34" i="6"/>
  <c r="Y33" i="6"/>
  <c r="X33" i="6"/>
  <c r="W33" i="6"/>
  <c r="V33" i="6"/>
  <c r="U33" i="6"/>
  <c r="T33" i="6"/>
  <c r="S33" i="6"/>
  <c r="R33" i="6"/>
  <c r="Q33" i="6"/>
  <c r="P33" i="6"/>
  <c r="O33" i="6"/>
  <c r="N33" i="6"/>
  <c r="M33" i="6"/>
  <c r="L33" i="6"/>
  <c r="K33" i="6"/>
  <c r="J33" i="6"/>
  <c r="I33" i="6"/>
  <c r="H33" i="6"/>
  <c r="G33" i="6"/>
  <c r="F33" i="6"/>
  <c r="E33" i="6"/>
  <c r="D33" i="6"/>
  <c r="C33" i="6"/>
  <c r="B33" i="6"/>
  <c r="Y32" i="6"/>
  <c r="X32" i="6"/>
  <c r="W32" i="6"/>
  <c r="V32" i="6"/>
  <c r="U32" i="6"/>
  <c r="T32" i="6"/>
  <c r="S32" i="6"/>
  <c r="R32" i="6"/>
  <c r="Q32" i="6"/>
  <c r="P32" i="6"/>
  <c r="O32" i="6"/>
  <c r="N32" i="6"/>
  <c r="M32" i="6"/>
  <c r="L32" i="6"/>
  <c r="K32" i="6"/>
  <c r="J32" i="6"/>
  <c r="I32" i="6"/>
  <c r="H32" i="6"/>
  <c r="G32" i="6"/>
  <c r="F32" i="6"/>
  <c r="E32" i="6"/>
  <c r="D32" i="6"/>
  <c r="C32" i="6"/>
  <c r="B32" i="6"/>
  <c r="Y31" i="6"/>
  <c r="X31" i="6"/>
  <c r="W31" i="6"/>
  <c r="V31" i="6"/>
  <c r="U31" i="6"/>
  <c r="T31" i="6"/>
  <c r="S31" i="6"/>
  <c r="R31" i="6"/>
  <c r="Q31" i="6"/>
  <c r="P31" i="6"/>
  <c r="O31" i="6"/>
  <c r="N31" i="6"/>
  <c r="M31" i="6"/>
  <c r="L31" i="6"/>
  <c r="K31" i="6"/>
  <c r="J31" i="6"/>
  <c r="I31" i="6"/>
  <c r="H31" i="6"/>
  <c r="G31" i="6"/>
  <c r="F31" i="6"/>
  <c r="E31" i="6"/>
  <c r="D31" i="6"/>
  <c r="C31" i="6"/>
  <c r="B31" i="6"/>
  <c r="Y30" i="6"/>
  <c r="X30" i="6"/>
  <c r="W30" i="6"/>
  <c r="V30" i="6"/>
  <c r="U30" i="6"/>
  <c r="T30" i="6"/>
  <c r="S30" i="6"/>
  <c r="R30" i="6"/>
  <c r="Q30" i="6"/>
  <c r="P30" i="6"/>
  <c r="O30" i="6"/>
  <c r="N30" i="6"/>
  <c r="M30" i="6"/>
  <c r="L30" i="6"/>
  <c r="K30" i="6"/>
  <c r="J30" i="6"/>
  <c r="I30" i="6"/>
  <c r="H30" i="6"/>
  <c r="G30" i="6"/>
  <c r="F30" i="6"/>
  <c r="E30" i="6"/>
  <c r="D30" i="6"/>
  <c r="C30" i="6"/>
  <c r="B30" i="6"/>
  <c r="Y29" i="6"/>
  <c r="X29" i="6"/>
  <c r="W29" i="6"/>
  <c r="V29" i="6"/>
  <c r="U29" i="6"/>
  <c r="T29" i="6"/>
  <c r="S29" i="6"/>
  <c r="R29" i="6"/>
  <c r="Q29" i="6"/>
  <c r="P29" i="6"/>
  <c r="O29" i="6"/>
  <c r="N29" i="6"/>
  <c r="M29" i="6"/>
  <c r="L29" i="6"/>
  <c r="K29" i="6"/>
  <c r="J29" i="6"/>
  <c r="I29" i="6"/>
  <c r="H29" i="6"/>
  <c r="G29" i="6"/>
  <c r="F29" i="6"/>
  <c r="E29" i="6"/>
  <c r="D29" i="6"/>
  <c r="C29" i="6"/>
  <c r="Y28" i="6"/>
  <c r="X28" i="6"/>
  <c r="W28" i="6"/>
  <c r="V28" i="6"/>
  <c r="U28" i="6"/>
  <c r="T28" i="6"/>
  <c r="S28" i="6"/>
  <c r="R28" i="6"/>
  <c r="Q28" i="6"/>
  <c r="P28" i="6"/>
  <c r="O28" i="6"/>
  <c r="N28" i="6"/>
  <c r="M28" i="6"/>
  <c r="L28" i="6"/>
  <c r="K28" i="6"/>
  <c r="J28" i="6"/>
  <c r="I28" i="6"/>
  <c r="H28" i="6"/>
  <c r="G28" i="6"/>
  <c r="F28" i="6"/>
  <c r="E28" i="6"/>
  <c r="D28" i="6"/>
  <c r="C28" i="6"/>
  <c r="B28" i="6"/>
  <c r="Y27" i="6"/>
  <c r="X27" i="6"/>
  <c r="W27" i="6"/>
  <c r="V27" i="6"/>
  <c r="U27" i="6"/>
  <c r="T27" i="6"/>
  <c r="S27" i="6"/>
  <c r="R27" i="6"/>
  <c r="Q27" i="6"/>
  <c r="P27" i="6"/>
  <c r="O27" i="6"/>
  <c r="N27" i="6"/>
  <c r="M27" i="6"/>
  <c r="L27" i="6"/>
  <c r="K27" i="6"/>
  <c r="J27" i="6"/>
  <c r="I27" i="6"/>
  <c r="H27" i="6"/>
  <c r="G27" i="6"/>
  <c r="F27" i="6"/>
  <c r="E27" i="6"/>
  <c r="Y26" i="6"/>
  <c r="X26" i="6"/>
  <c r="W26" i="6"/>
  <c r="V26" i="6"/>
  <c r="U26" i="6"/>
  <c r="T26" i="6"/>
  <c r="S26" i="6"/>
  <c r="R26" i="6"/>
  <c r="Q26" i="6"/>
  <c r="P26" i="6"/>
  <c r="O26" i="6"/>
  <c r="N26" i="6"/>
  <c r="M26" i="6"/>
  <c r="L26" i="6"/>
  <c r="K26" i="6"/>
  <c r="J26" i="6"/>
  <c r="I26" i="6"/>
  <c r="H26" i="6"/>
  <c r="G26" i="6"/>
  <c r="F26" i="6"/>
  <c r="E26" i="6"/>
  <c r="D26" i="6"/>
  <c r="C26" i="6"/>
  <c r="B26" i="6"/>
  <c r="Y25" i="6"/>
  <c r="X25" i="6"/>
  <c r="W25" i="6"/>
  <c r="V25" i="6"/>
  <c r="U25" i="6"/>
  <c r="T25" i="6"/>
  <c r="S25" i="6"/>
  <c r="R25" i="6"/>
  <c r="Q25" i="6"/>
  <c r="P25" i="6"/>
  <c r="O25" i="6"/>
  <c r="N25" i="6"/>
  <c r="M25" i="6"/>
  <c r="L25" i="6"/>
  <c r="K25" i="6"/>
  <c r="J25" i="6"/>
  <c r="I25" i="6"/>
  <c r="H25" i="6"/>
  <c r="G25" i="6"/>
  <c r="F25" i="6"/>
  <c r="E25" i="6"/>
  <c r="D25" i="6"/>
  <c r="C25" i="6"/>
  <c r="B25" i="6"/>
  <c r="Y24" i="6"/>
  <c r="X24" i="6"/>
  <c r="W24" i="6"/>
  <c r="V24" i="6"/>
  <c r="U24" i="6"/>
  <c r="T24" i="6"/>
  <c r="S24" i="6"/>
  <c r="R24" i="6"/>
  <c r="Q24" i="6"/>
  <c r="P24" i="6"/>
  <c r="O24" i="6"/>
  <c r="N24" i="6"/>
  <c r="M24" i="6"/>
  <c r="L24" i="6"/>
  <c r="K24" i="6"/>
  <c r="G24" i="6"/>
  <c r="F24" i="6"/>
  <c r="E24" i="6"/>
  <c r="D24" i="6"/>
  <c r="Y23" i="6"/>
  <c r="X23" i="6"/>
  <c r="W23" i="6"/>
  <c r="V23" i="6"/>
  <c r="U23" i="6"/>
  <c r="T23" i="6"/>
  <c r="S23" i="6"/>
  <c r="R23" i="6"/>
  <c r="Q23" i="6"/>
  <c r="P23" i="6"/>
  <c r="O23" i="6"/>
  <c r="N23" i="6"/>
  <c r="M23" i="6"/>
  <c r="L23" i="6"/>
  <c r="K23" i="6"/>
  <c r="G23" i="6"/>
  <c r="F23" i="6"/>
  <c r="E23" i="6"/>
  <c r="D23" i="6"/>
  <c r="Y22" i="6"/>
  <c r="X22" i="6"/>
  <c r="W22" i="6"/>
  <c r="V22" i="6"/>
  <c r="U22" i="6"/>
  <c r="T22" i="6"/>
  <c r="S22" i="6"/>
  <c r="R22" i="6"/>
  <c r="Q22" i="6"/>
  <c r="P22" i="6"/>
  <c r="O22" i="6"/>
  <c r="N22" i="6"/>
  <c r="M22" i="6"/>
  <c r="L22" i="6"/>
  <c r="K22" i="6"/>
  <c r="J22" i="6"/>
  <c r="I22" i="6"/>
  <c r="H22" i="6"/>
  <c r="G22" i="6"/>
  <c r="F22" i="6"/>
  <c r="E22" i="6"/>
  <c r="D22" i="6"/>
  <c r="C22" i="6"/>
  <c r="B22" i="6"/>
  <c r="Y21" i="6"/>
  <c r="X21" i="6"/>
  <c r="W21" i="6"/>
  <c r="V21" i="6"/>
  <c r="U21" i="6"/>
  <c r="T21" i="6"/>
  <c r="S21" i="6"/>
  <c r="R21" i="6"/>
  <c r="Q21" i="6"/>
  <c r="P21" i="6"/>
  <c r="O21" i="6"/>
  <c r="N21" i="6"/>
  <c r="M21" i="6"/>
  <c r="L21" i="6"/>
  <c r="K21" i="6"/>
  <c r="J21" i="6"/>
  <c r="I21" i="6"/>
  <c r="H21" i="6"/>
  <c r="G21" i="6"/>
  <c r="F21" i="6"/>
  <c r="E21" i="6"/>
  <c r="D21" i="6"/>
  <c r="Y20" i="6"/>
  <c r="X20" i="6"/>
  <c r="W20" i="6"/>
  <c r="V20" i="6"/>
  <c r="U20" i="6"/>
  <c r="T20" i="6"/>
  <c r="S20" i="6"/>
  <c r="R20" i="6"/>
  <c r="Q20" i="6"/>
  <c r="P20" i="6"/>
  <c r="O20" i="6"/>
  <c r="N20" i="6"/>
  <c r="M20" i="6"/>
  <c r="L20" i="6"/>
  <c r="K20" i="6"/>
  <c r="J20" i="6"/>
  <c r="I20" i="6"/>
  <c r="H20" i="6"/>
  <c r="G20" i="6"/>
  <c r="F20" i="6"/>
  <c r="E20" i="6"/>
  <c r="D20" i="6"/>
  <c r="Y19" i="6"/>
  <c r="X19" i="6"/>
  <c r="W19" i="6"/>
  <c r="V19" i="6"/>
  <c r="U19" i="6"/>
  <c r="T19" i="6"/>
  <c r="S19" i="6"/>
  <c r="R19" i="6"/>
  <c r="Q19" i="6"/>
  <c r="P19" i="6"/>
  <c r="O19" i="6"/>
  <c r="N19" i="6"/>
  <c r="M19" i="6"/>
  <c r="L19" i="6"/>
  <c r="K19" i="6"/>
  <c r="J19" i="6"/>
  <c r="I19" i="6"/>
  <c r="H19" i="6"/>
  <c r="G19" i="6"/>
  <c r="F19" i="6"/>
  <c r="E19" i="6"/>
  <c r="D19" i="6"/>
  <c r="C19" i="6"/>
  <c r="B19" i="6"/>
  <c r="Y18" i="6"/>
  <c r="X18" i="6"/>
  <c r="W18" i="6"/>
  <c r="V18" i="6"/>
  <c r="U18" i="6"/>
  <c r="T18" i="6"/>
  <c r="S18" i="6"/>
  <c r="R18" i="6"/>
  <c r="Q18" i="6"/>
  <c r="P18" i="6"/>
  <c r="O18" i="6"/>
  <c r="N18" i="6"/>
  <c r="M18" i="6"/>
  <c r="L18" i="6"/>
  <c r="K18" i="6"/>
  <c r="G18" i="6"/>
  <c r="F18" i="6"/>
  <c r="E18" i="6"/>
  <c r="Y17" i="6"/>
  <c r="X17" i="6"/>
  <c r="W17" i="6"/>
  <c r="S17" i="6"/>
  <c r="R17" i="6"/>
  <c r="Q17" i="6"/>
  <c r="M17" i="6"/>
  <c r="L17" i="6"/>
  <c r="K17" i="6"/>
  <c r="G17" i="6"/>
  <c r="F17" i="6"/>
  <c r="E17" i="6"/>
  <c r="D17" i="6"/>
  <c r="C17" i="6"/>
  <c r="B17" i="6"/>
  <c r="Y16" i="6"/>
  <c r="X16" i="6"/>
  <c r="W16" i="6"/>
  <c r="S16" i="6"/>
  <c r="R16" i="6"/>
  <c r="Q16" i="6"/>
  <c r="M16" i="6"/>
  <c r="L16" i="6"/>
  <c r="K16" i="6"/>
  <c r="J16" i="6"/>
  <c r="I16" i="6"/>
  <c r="H16" i="6"/>
  <c r="G16" i="6"/>
  <c r="F16" i="6"/>
  <c r="E16" i="6"/>
  <c r="D16" i="6"/>
  <c r="C16" i="6"/>
  <c r="B16" i="6"/>
  <c r="Y15" i="6"/>
  <c r="X15" i="6"/>
  <c r="W15" i="6"/>
  <c r="V15" i="6"/>
  <c r="U15" i="6"/>
  <c r="T15" i="6"/>
  <c r="S15" i="6"/>
  <c r="R15" i="6"/>
  <c r="Q15" i="6"/>
  <c r="P15" i="6"/>
  <c r="O15" i="6"/>
  <c r="N15" i="6"/>
  <c r="M15" i="6"/>
  <c r="L15" i="6"/>
  <c r="K15" i="6"/>
  <c r="G15" i="6"/>
  <c r="F15" i="6"/>
  <c r="E15" i="6"/>
  <c r="Y14" i="6"/>
  <c r="X14" i="6"/>
  <c r="W14" i="6"/>
  <c r="V14" i="6"/>
  <c r="U14" i="6"/>
  <c r="T14" i="6"/>
  <c r="S14" i="6"/>
  <c r="R14" i="6"/>
  <c r="Q14" i="6"/>
  <c r="P14" i="6"/>
  <c r="O14" i="6"/>
  <c r="N14" i="6"/>
  <c r="M14" i="6"/>
  <c r="L14" i="6"/>
  <c r="K14" i="6"/>
  <c r="G14" i="6"/>
  <c r="F14" i="6"/>
  <c r="E14" i="6"/>
  <c r="Y13" i="6"/>
  <c r="X13" i="6"/>
  <c r="W13" i="6"/>
  <c r="V13" i="6"/>
  <c r="U13" i="6"/>
  <c r="T13" i="6"/>
  <c r="S13" i="6"/>
  <c r="R13" i="6"/>
  <c r="Q13" i="6"/>
  <c r="P13" i="6"/>
  <c r="O13" i="6"/>
  <c r="N13" i="6"/>
  <c r="M13" i="6"/>
  <c r="L13" i="6"/>
  <c r="K13" i="6"/>
  <c r="G13" i="6"/>
  <c r="F13" i="6"/>
  <c r="E13" i="6"/>
  <c r="Y12" i="6"/>
  <c r="X12" i="6"/>
  <c r="W12" i="6"/>
  <c r="V12" i="6"/>
  <c r="U12" i="6"/>
  <c r="T12" i="6"/>
  <c r="S12" i="6"/>
  <c r="R12" i="6"/>
  <c r="Q12" i="6"/>
  <c r="P12" i="6"/>
  <c r="O12" i="6"/>
  <c r="N12" i="6"/>
  <c r="M12" i="6"/>
  <c r="L12" i="6"/>
  <c r="K12" i="6"/>
  <c r="G12" i="6"/>
  <c r="F12" i="6"/>
  <c r="E12" i="6"/>
  <c r="D12" i="6"/>
  <c r="C12" i="6"/>
  <c r="B12" i="6"/>
  <c r="Y11" i="6"/>
  <c r="X11" i="6"/>
  <c r="W11" i="6"/>
  <c r="V11" i="6"/>
  <c r="U11" i="6"/>
  <c r="T11" i="6"/>
  <c r="S11" i="6"/>
  <c r="R11" i="6"/>
  <c r="Q11" i="6"/>
  <c r="P11" i="6"/>
  <c r="O11" i="6"/>
  <c r="N11" i="6"/>
  <c r="M11" i="6"/>
  <c r="L11" i="6"/>
  <c r="K11" i="6"/>
  <c r="J11" i="6"/>
  <c r="I11" i="6"/>
  <c r="H11" i="6"/>
  <c r="G11" i="6"/>
  <c r="F11" i="6"/>
  <c r="E11" i="6"/>
  <c r="D11" i="6"/>
  <c r="C11" i="6"/>
  <c r="Y10" i="6"/>
  <c r="X10" i="6"/>
  <c r="W10" i="6"/>
  <c r="V10" i="6"/>
  <c r="U10" i="6"/>
  <c r="T10" i="6"/>
  <c r="S10" i="6"/>
  <c r="R10" i="6"/>
  <c r="Q10" i="6"/>
  <c r="P10" i="6"/>
  <c r="O10" i="6"/>
  <c r="N10" i="6"/>
  <c r="M10" i="6"/>
  <c r="L10" i="6"/>
  <c r="K10" i="6"/>
  <c r="J10" i="6"/>
  <c r="I10" i="6"/>
  <c r="H10" i="6"/>
  <c r="G10" i="6"/>
  <c r="F10" i="6"/>
  <c r="E10" i="6"/>
  <c r="D10" i="6"/>
  <c r="C10" i="6"/>
  <c r="B10" i="6"/>
  <c r="Y9" i="6"/>
  <c r="X9" i="6"/>
  <c r="W9" i="6"/>
  <c r="V9" i="6"/>
  <c r="U9" i="6"/>
  <c r="T9" i="6"/>
  <c r="S9" i="6"/>
  <c r="R9" i="6"/>
  <c r="Q9" i="6"/>
  <c r="P9" i="6"/>
  <c r="O9" i="6"/>
  <c r="N9" i="6"/>
  <c r="M9" i="6"/>
  <c r="L9" i="6"/>
  <c r="K9" i="6"/>
  <c r="J9" i="6"/>
  <c r="I9" i="6"/>
  <c r="H9" i="6"/>
  <c r="G9" i="6"/>
  <c r="F9" i="6"/>
  <c r="E9" i="6"/>
  <c r="D9" i="6"/>
  <c r="C9" i="6"/>
  <c r="B9" i="6"/>
  <c r="Y8" i="6"/>
  <c r="X8" i="6"/>
  <c r="W8" i="6"/>
  <c r="V8" i="6"/>
  <c r="U8" i="6"/>
  <c r="T8" i="6"/>
  <c r="S8" i="6"/>
  <c r="R8" i="6"/>
  <c r="Q8" i="6"/>
  <c r="P8" i="6"/>
  <c r="O8" i="6"/>
  <c r="N8" i="6"/>
  <c r="M8" i="6"/>
  <c r="L8" i="6"/>
  <c r="K8" i="6"/>
  <c r="J8" i="6"/>
  <c r="I8" i="6"/>
  <c r="H8" i="6"/>
  <c r="G8" i="6"/>
  <c r="F8" i="6"/>
  <c r="E8" i="6"/>
  <c r="D8" i="6"/>
  <c r="C8" i="6"/>
  <c r="Y7" i="6"/>
  <c r="X7" i="6"/>
  <c r="W7" i="6"/>
  <c r="V7" i="6"/>
  <c r="U7" i="6"/>
  <c r="T7" i="6"/>
  <c r="S7" i="6"/>
  <c r="R7" i="6"/>
  <c r="Q7" i="6"/>
  <c r="P7" i="6"/>
  <c r="O7" i="6"/>
  <c r="N7" i="6"/>
  <c r="M7" i="6"/>
  <c r="L7" i="6"/>
  <c r="K7" i="6"/>
  <c r="J7" i="6"/>
  <c r="I7" i="6"/>
  <c r="G7" i="6"/>
  <c r="F7" i="6"/>
  <c r="E7" i="6"/>
  <c r="D7" i="6"/>
  <c r="C7" i="6"/>
  <c r="Y6" i="6"/>
  <c r="X6" i="6"/>
  <c r="W6" i="6"/>
  <c r="V6" i="6"/>
  <c r="U6" i="6"/>
  <c r="T6" i="6"/>
  <c r="S6" i="6"/>
  <c r="R6" i="6"/>
  <c r="Q6" i="6"/>
  <c r="P6" i="6"/>
  <c r="O6" i="6"/>
  <c r="N6" i="6"/>
  <c r="M6" i="6"/>
  <c r="L6" i="6"/>
  <c r="K6" i="6"/>
  <c r="J6" i="6"/>
  <c r="I6" i="6"/>
  <c r="G6" i="6"/>
  <c r="F6" i="6"/>
  <c r="E6" i="6"/>
  <c r="D6" i="6"/>
  <c r="C6" i="6"/>
  <c r="Y5" i="6"/>
  <c r="X5" i="6"/>
  <c r="W5" i="6"/>
  <c r="V5" i="6"/>
  <c r="U5" i="6"/>
  <c r="T5" i="6"/>
  <c r="S5" i="6"/>
  <c r="R5" i="6"/>
  <c r="Q5" i="6"/>
  <c r="P5" i="6"/>
  <c r="O5" i="6"/>
  <c r="N5" i="6"/>
  <c r="M5" i="6"/>
  <c r="L5" i="6"/>
  <c r="K5" i="6"/>
  <c r="J5" i="6"/>
  <c r="I5" i="6"/>
  <c r="G5" i="6"/>
  <c r="F5" i="6"/>
  <c r="E5" i="6"/>
  <c r="D5" i="6"/>
  <c r="C5" i="6"/>
  <c r="Y4" i="6"/>
  <c r="X4" i="6"/>
  <c r="W4" i="6"/>
  <c r="V4" i="6"/>
  <c r="U4" i="6"/>
  <c r="T4" i="6"/>
  <c r="S4" i="6"/>
  <c r="R4" i="6"/>
  <c r="Q4" i="6"/>
  <c r="P4" i="6"/>
  <c r="O4" i="6"/>
  <c r="N4" i="6"/>
  <c r="M4" i="6"/>
  <c r="L4" i="6"/>
  <c r="K4" i="6"/>
  <c r="J4" i="6"/>
  <c r="I4" i="6"/>
  <c r="H4" i="6"/>
  <c r="G4" i="6"/>
  <c r="F4" i="6"/>
  <c r="E4" i="6"/>
  <c r="D4" i="6"/>
  <c r="C4" i="6"/>
  <c r="B4" i="6"/>
  <c r="Y3" i="6"/>
  <c r="X3" i="6"/>
  <c r="W3" i="6"/>
  <c r="V3" i="6"/>
  <c r="U3" i="6"/>
  <c r="T3" i="6"/>
  <c r="S3" i="6"/>
  <c r="R3" i="6"/>
  <c r="Q3" i="6"/>
  <c r="P3" i="6"/>
  <c r="O3" i="6"/>
  <c r="N3" i="6"/>
  <c r="M3" i="6"/>
  <c r="L3" i="6"/>
  <c r="K3" i="6"/>
  <c r="J3" i="6"/>
  <c r="I3" i="6"/>
  <c r="G3" i="6"/>
  <c r="F3" i="6"/>
  <c r="E3" i="6"/>
  <c r="D3" i="6"/>
  <c r="C3" i="6"/>
  <c r="Y2" i="6"/>
  <c r="X2" i="6"/>
  <c r="W2" i="6"/>
  <c r="V2" i="6"/>
  <c r="U2" i="6"/>
  <c r="T2" i="6"/>
  <c r="S2" i="6"/>
  <c r="R2" i="6"/>
  <c r="Q2" i="6"/>
  <c r="P2" i="6"/>
  <c r="O2" i="6"/>
  <c r="N2" i="6"/>
  <c r="M2" i="6"/>
  <c r="L2" i="6"/>
  <c r="K2" i="6"/>
  <c r="J2" i="6"/>
  <c r="I2" i="6"/>
  <c r="H2" i="6"/>
  <c r="G2" i="6"/>
  <c r="F2" i="6"/>
  <c r="E2" i="6"/>
  <c r="D2" i="6"/>
  <c r="C2" i="6"/>
  <c r="B2" i="6"/>
  <c r="C244" i="5"/>
  <c r="B244" i="5"/>
  <c r="D242" i="5"/>
  <c r="D240" i="5"/>
  <c r="D239" i="5"/>
  <c r="D244" i="5" s="1"/>
  <c r="AY40" i="2" s="1"/>
  <c r="B27" i="6" s="1"/>
  <c r="Q207" i="5"/>
  <c r="BO25" i="2" s="1"/>
  <c r="P207" i="5"/>
  <c r="Q206" i="5"/>
  <c r="P206" i="5"/>
  <c r="Q205" i="5"/>
  <c r="P205" i="5"/>
  <c r="Q204" i="5"/>
  <c r="P204" i="5"/>
  <c r="U203" i="5"/>
  <c r="T203" i="5"/>
  <c r="S203" i="5"/>
  <c r="R203" i="5"/>
  <c r="O203" i="5"/>
  <c r="U202" i="5"/>
  <c r="T202" i="5"/>
  <c r="S202" i="5"/>
  <c r="R202" i="5"/>
  <c r="O202" i="5"/>
  <c r="W187" i="5"/>
  <c r="V187" i="5"/>
  <c r="Q187" i="5"/>
  <c r="P187" i="5"/>
  <c r="W186" i="5"/>
  <c r="V186" i="5"/>
  <c r="Q186" i="5"/>
  <c r="P186" i="5"/>
  <c r="W185" i="5"/>
  <c r="V185" i="5"/>
  <c r="Q185" i="5"/>
  <c r="P185" i="5"/>
  <c r="BP24" i="2" s="1"/>
  <c r="V16" i="6" s="1"/>
  <c r="W184" i="5"/>
  <c r="V184" i="5"/>
  <c r="Q184" i="5"/>
  <c r="P184" i="5"/>
  <c r="X183" i="5"/>
  <c r="U183" i="5"/>
  <c r="T183" i="5"/>
  <c r="S183" i="5"/>
  <c r="R183" i="5"/>
  <c r="O183" i="5"/>
  <c r="X182" i="5"/>
  <c r="U182" i="5"/>
  <c r="BK24" i="2" s="1"/>
  <c r="O16" i="6" s="1"/>
  <c r="T182" i="5"/>
  <c r="S182" i="5"/>
  <c r="R182" i="5"/>
  <c r="O182" i="5"/>
  <c r="E67" i="5"/>
  <c r="E66" i="5"/>
  <c r="E53" i="5"/>
  <c r="E52" i="5"/>
  <c r="E38" i="5"/>
  <c r="E37" i="5"/>
  <c r="W29" i="5"/>
  <c r="V29" i="5"/>
  <c r="BO63" i="2" s="1"/>
  <c r="W28" i="5"/>
  <c r="V28" i="5"/>
  <c r="Z127" i="3"/>
  <c r="W127" i="3"/>
  <c r="S127" i="3"/>
  <c r="Q127" i="3"/>
  <c r="R127" i="3" s="1"/>
  <c r="M127" i="3"/>
  <c r="L127" i="3"/>
  <c r="K127" i="3"/>
  <c r="G127" i="3"/>
  <c r="F127" i="3"/>
  <c r="E127" i="3"/>
  <c r="Z126" i="3"/>
  <c r="Y126" i="3"/>
  <c r="X126" i="3"/>
  <c r="W126" i="3"/>
  <c r="S126" i="3"/>
  <c r="R126" i="3"/>
  <c r="Q126" i="3"/>
  <c r="M126" i="3"/>
  <c r="L126" i="3"/>
  <c r="K126" i="3"/>
  <c r="G126" i="3"/>
  <c r="F126" i="3"/>
  <c r="E126" i="3"/>
  <c r="Z125" i="3"/>
  <c r="Y125" i="3"/>
  <c r="X125" i="3"/>
  <c r="W125" i="3"/>
  <c r="S125" i="3"/>
  <c r="R125" i="3"/>
  <c r="Q125" i="3"/>
  <c r="M125" i="3"/>
  <c r="L125" i="3"/>
  <c r="K125" i="3"/>
  <c r="G125" i="3"/>
  <c r="F125" i="3"/>
  <c r="E125" i="3"/>
  <c r="Z124" i="3"/>
  <c r="Y124" i="3"/>
  <c r="X124" i="3"/>
  <c r="W124" i="3"/>
  <c r="S124" i="3"/>
  <c r="R124" i="3"/>
  <c r="Q124" i="3"/>
  <c r="M124" i="3"/>
  <c r="L124" i="3"/>
  <c r="K124" i="3"/>
  <c r="G124" i="3"/>
  <c r="F124" i="3"/>
  <c r="E124" i="3"/>
  <c r="Z123" i="3"/>
  <c r="Y123" i="3"/>
  <c r="X123" i="3"/>
  <c r="W123" i="3"/>
  <c r="S123" i="3"/>
  <c r="R123" i="3"/>
  <c r="Q123" i="3"/>
  <c r="M123" i="3"/>
  <c r="L123" i="3"/>
  <c r="K123" i="3"/>
  <c r="G123" i="3"/>
  <c r="F123" i="3"/>
  <c r="E123" i="3"/>
  <c r="Z122" i="3"/>
  <c r="W122" i="3"/>
  <c r="S122" i="3"/>
  <c r="R122" i="3"/>
  <c r="Q122" i="3"/>
  <c r="M122" i="3"/>
  <c r="L122" i="3"/>
  <c r="K122" i="3"/>
  <c r="G122" i="3"/>
  <c r="F122" i="3"/>
  <c r="E122" i="3"/>
  <c r="Z121" i="3"/>
  <c r="Y121" i="3"/>
  <c r="X121" i="3"/>
  <c r="W121" i="3"/>
  <c r="S121" i="3"/>
  <c r="R121" i="3"/>
  <c r="Q121" i="3"/>
  <c r="M121" i="3"/>
  <c r="L121" i="3"/>
  <c r="K121" i="3"/>
  <c r="G121" i="3"/>
  <c r="F121" i="3"/>
  <c r="E121" i="3"/>
  <c r="Z120" i="3"/>
  <c r="W120" i="3"/>
  <c r="Y120" i="3" s="1"/>
  <c r="S120" i="3"/>
  <c r="R120" i="3"/>
  <c r="Q120" i="3"/>
  <c r="M120" i="3"/>
  <c r="L120" i="3"/>
  <c r="K120" i="3"/>
  <c r="E120" i="3"/>
  <c r="G120" i="3" s="1"/>
  <c r="Z119" i="3"/>
  <c r="W119" i="3"/>
  <c r="Y119" i="3" s="1"/>
  <c r="S119" i="3"/>
  <c r="R119" i="3"/>
  <c r="Q119" i="3"/>
  <c r="M119" i="3"/>
  <c r="L119" i="3"/>
  <c r="K119" i="3"/>
  <c r="G119" i="3"/>
  <c r="E119" i="3"/>
  <c r="F119" i="3" s="1"/>
  <c r="Z118" i="3"/>
  <c r="W118" i="3"/>
  <c r="Y118" i="3" s="1"/>
  <c r="Q118" i="3"/>
  <c r="S118" i="3" s="1"/>
  <c r="M118" i="3"/>
  <c r="L118" i="3"/>
  <c r="K118" i="3"/>
  <c r="E118" i="3"/>
  <c r="G118" i="3" s="1"/>
  <c r="Z117" i="3"/>
  <c r="Y117" i="3"/>
  <c r="X117" i="3"/>
  <c r="W117" i="3"/>
  <c r="Q117" i="3"/>
  <c r="M117" i="3"/>
  <c r="L117" i="3"/>
  <c r="K117" i="3"/>
  <c r="E117" i="3"/>
  <c r="G117" i="3" s="1"/>
  <c r="Z116" i="3"/>
  <c r="Y116" i="3"/>
  <c r="X116" i="3"/>
  <c r="W116" i="3"/>
  <c r="S116" i="3"/>
  <c r="Q116" i="3"/>
  <c r="R116" i="3" s="1"/>
  <c r="M116" i="3"/>
  <c r="L116" i="3"/>
  <c r="K116" i="3"/>
  <c r="G116" i="3"/>
  <c r="F116" i="3"/>
  <c r="E116" i="3"/>
  <c r="Z114" i="3"/>
  <c r="Y114" i="3"/>
  <c r="X114" i="3"/>
  <c r="W114" i="3"/>
  <c r="S114" i="3"/>
  <c r="R114" i="3"/>
  <c r="Q114" i="3"/>
  <c r="M114" i="3"/>
  <c r="L114" i="3"/>
  <c r="K114" i="3"/>
  <c r="E114" i="3"/>
  <c r="G114" i="3" s="1"/>
  <c r="Z113" i="3"/>
  <c r="W113" i="3"/>
  <c r="Y113" i="3" s="1"/>
  <c r="Q113" i="3"/>
  <c r="S113" i="3" s="1"/>
  <c r="M113" i="3"/>
  <c r="L113" i="3"/>
  <c r="K113" i="3"/>
  <c r="G113" i="3"/>
  <c r="F113" i="3"/>
  <c r="E113" i="3"/>
  <c r="Z112" i="3"/>
  <c r="Y112" i="3"/>
  <c r="X112" i="3"/>
  <c r="W112" i="3"/>
  <c r="S112" i="3"/>
  <c r="R112" i="3"/>
  <c r="Q112" i="3"/>
  <c r="M112" i="3"/>
  <c r="L112" i="3"/>
  <c r="K112" i="3"/>
  <c r="F112" i="3"/>
  <c r="E112" i="3"/>
  <c r="G112" i="3" s="1"/>
  <c r="Z111" i="3"/>
  <c r="Y111" i="3"/>
  <c r="X111" i="3"/>
  <c r="W111" i="3"/>
  <c r="S111" i="3"/>
  <c r="R111" i="3"/>
  <c r="Q111" i="3"/>
  <c r="M111" i="3"/>
  <c r="L111" i="3"/>
  <c r="K111" i="3"/>
  <c r="G111" i="3"/>
  <c r="F111" i="3"/>
  <c r="E111" i="3"/>
  <c r="Z110" i="3"/>
  <c r="Y110" i="3"/>
  <c r="X110" i="3"/>
  <c r="W110" i="3"/>
  <c r="S110" i="3"/>
  <c r="R110" i="3"/>
  <c r="Q110" i="3"/>
  <c r="M110" i="3"/>
  <c r="L110" i="3"/>
  <c r="K110" i="3"/>
  <c r="G110" i="3"/>
  <c r="F110" i="3"/>
  <c r="E110" i="3"/>
  <c r="Z109" i="3"/>
  <c r="Y109" i="3"/>
  <c r="X109" i="3"/>
  <c r="W109" i="3"/>
  <c r="S109" i="3"/>
  <c r="R109" i="3"/>
  <c r="Q109" i="3"/>
  <c r="M109" i="3"/>
  <c r="L109" i="3"/>
  <c r="K109" i="3"/>
  <c r="G109" i="3"/>
  <c r="F109" i="3"/>
  <c r="E109" i="3"/>
  <c r="Z108" i="3"/>
  <c r="Y108" i="3"/>
  <c r="X108" i="3"/>
  <c r="W108" i="3"/>
  <c r="S108" i="3"/>
  <c r="R108" i="3"/>
  <c r="Q108" i="3"/>
  <c r="M108" i="3"/>
  <c r="L108" i="3"/>
  <c r="K108" i="3"/>
  <c r="F108" i="3"/>
  <c r="E108" i="3"/>
  <c r="G108" i="3" s="1"/>
  <c r="Z107" i="3"/>
  <c r="Y107" i="3"/>
  <c r="X107" i="3"/>
  <c r="W107" i="3"/>
  <c r="S107" i="3"/>
  <c r="R107" i="3"/>
  <c r="Q107" i="3"/>
  <c r="M107" i="3"/>
  <c r="L107" i="3"/>
  <c r="K107" i="3"/>
  <c r="G107" i="3"/>
  <c r="F107" i="3"/>
  <c r="E107" i="3"/>
  <c r="Z106" i="3"/>
  <c r="Y106" i="3"/>
  <c r="X106" i="3"/>
  <c r="W106" i="3"/>
  <c r="S106" i="3"/>
  <c r="R106" i="3"/>
  <c r="Q106" i="3"/>
  <c r="M106" i="3"/>
  <c r="L106" i="3"/>
  <c r="K106" i="3"/>
  <c r="E106" i="3"/>
  <c r="G106" i="3" s="1"/>
  <c r="Z105" i="3"/>
  <c r="Y105" i="3"/>
  <c r="X105" i="3"/>
  <c r="W105" i="3"/>
  <c r="S105" i="3"/>
  <c r="R105" i="3"/>
  <c r="Q105" i="3"/>
  <c r="L105" i="3"/>
  <c r="K105" i="3"/>
  <c r="M105" i="3" s="1"/>
  <c r="G105" i="3"/>
  <c r="F105" i="3"/>
  <c r="E105" i="3"/>
  <c r="Z104" i="3"/>
  <c r="Y104" i="3"/>
  <c r="X104" i="3"/>
  <c r="W104" i="3"/>
  <c r="S104" i="3"/>
  <c r="R104" i="3"/>
  <c r="Q104" i="3"/>
  <c r="M104" i="3"/>
  <c r="L104" i="3"/>
  <c r="K104" i="3"/>
  <c r="E104" i="3"/>
  <c r="G104" i="3" s="1"/>
  <c r="Z103" i="3"/>
  <c r="Y103" i="3"/>
  <c r="X103" i="3"/>
  <c r="W103" i="3"/>
  <c r="S103" i="3"/>
  <c r="R103" i="3"/>
  <c r="Q103" i="3"/>
  <c r="L103" i="3"/>
  <c r="K103" i="3"/>
  <c r="M103" i="3" s="1"/>
  <c r="F103" i="3"/>
  <c r="E103" i="3"/>
  <c r="G103" i="3" s="1"/>
  <c r="Z102" i="3"/>
  <c r="Y102" i="3"/>
  <c r="X102" i="3"/>
  <c r="W102" i="3"/>
  <c r="S102" i="3"/>
  <c r="R102" i="3"/>
  <c r="Q102" i="3"/>
  <c r="K102" i="3"/>
  <c r="M102" i="3" s="1"/>
  <c r="G102" i="3"/>
  <c r="F102" i="3"/>
  <c r="E102" i="3"/>
  <c r="Z101" i="3"/>
  <c r="Y101" i="3"/>
  <c r="X101" i="3"/>
  <c r="W101" i="3"/>
  <c r="S101" i="3"/>
  <c r="R101" i="3"/>
  <c r="Q101" i="3"/>
  <c r="K101" i="3"/>
  <c r="M101" i="3" s="1"/>
  <c r="E101" i="3"/>
  <c r="G101" i="3" s="1"/>
  <c r="Z100" i="3"/>
  <c r="Y100" i="3"/>
  <c r="X100" i="3"/>
  <c r="W100" i="3"/>
  <c r="S100" i="3"/>
  <c r="R100" i="3"/>
  <c r="Q100" i="3"/>
  <c r="M100" i="3"/>
  <c r="L100" i="3"/>
  <c r="K100" i="3"/>
  <c r="F100" i="3"/>
  <c r="E100" i="3"/>
  <c r="G100" i="3" s="1"/>
  <c r="Z99" i="3"/>
  <c r="Y99" i="3"/>
  <c r="X99" i="3"/>
  <c r="W99" i="3"/>
  <c r="S99" i="3"/>
  <c r="R99" i="3"/>
  <c r="Q99" i="3"/>
  <c r="M99" i="3"/>
  <c r="L99" i="3"/>
  <c r="K99" i="3"/>
  <c r="E99" i="3"/>
  <c r="G99" i="3" s="1"/>
  <c r="Z98" i="3"/>
  <c r="Y98" i="3"/>
  <c r="X98" i="3"/>
  <c r="W98" i="3"/>
  <c r="S98" i="3"/>
  <c r="R98" i="3"/>
  <c r="Q98" i="3"/>
  <c r="K98" i="3"/>
  <c r="M98" i="3" s="1"/>
  <c r="G98" i="3"/>
  <c r="F98" i="3"/>
  <c r="E98" i="3"/>
  <c r="Z97" i="3"/>
  <c r="Y97" i="3"/>
  <c r="X97" i="3"/>
  <c r="W97" i="3"/>
  <c r="S97" i="3"/>
  <c r="R97" i="3"/>
  <c r="Q97" i="3"/>
  <c r="K97" i="3"/>
  <c r="M97" i="3" s="1"/>
  <c r="E97" i="3"/>
  <c r="G97" i="3" s="1"/>
  <c r="Z96" i="3"/>
  <c r="X96" i="3"/>
  <c r="W96" i="3"/>
  <c r="Y96" i="3" s="1"/>
  <c r="Q96" i="3"/>
  <c r="S96" i="3" s="1"/>
  <c r="M96" i="3"/>
  <c r="L96" i="3"/>
  <c r="K96" i="3"/>
  <c r="G96" i="3"/>
  <c r="F96" i="3"/>
  <c r="E96" i="3"/>
  <c r="Z95" i="3"/>
  <c r="Y95" i="3"/>
  <c r="W95" i="3"/>
  <c r="X95" i="3" s="1"/>
  <c r="Q95" i="3"/>
  <c r="M95" i="3"/>
  <c r="L95" i="3"/>
  <c r="K95" i="3"/>
  <c r="G95" i="3"/>
  <c r="F95" i="3"/>
  <c r="E95" i="3"/>
  <c r="Z94" i="3"/>
  <c r="Y94" i="3"/>
  <c r="X94" i="3"/>
  <c r="W94" i="3"/>
  <c r="S94" i="3"/>
  <c r="R94" i="3"/>
  <c r="Q94" i="3"/>
  <c r="K94" i="3"/>
  <c r="M94" i="3" s="1"/>
  <c r="E94" i="3"/>
  <c r="G94" i="3" s="1"/>
  <c r="AN92" i="3"/>
  <c r="AK92" i="3"/>
  <c r="Z92" i="3"/>
  <c r="Y92" i="3"/>
  <c r="X92" i="3"/>
  <c r="W92" i="3"/>
  <c r="S92" i="3"/>
  <c r="R92" i="3"/>
  <c r="Q92" i="3"/>
  <c r="K92" i="3"/>
  <c r="L92" i="3" s="1"/>
  <c r="E92" i="3"/>
  <c r="G92" i="3" s="1"/>
  <c r="AO91" i="3"/>
  <c r="AN91" i="3"/>
  <c r="AM91" i="3"/>
  <c r="AK91" i="3"/>
  <c r="Z91" i="3"/>
  <c r="Y91" i="3"/>
  <c r="X91" i="3"/>
  <c r="W91" i="3"/>
  <c r="S91" i="3"/>
  <c r="R91" i="3"/>
  <c r="Q91" i="3"/>
  <c r="K91" i="3"/>
  <c r="M91" i="3" s="1"/>
  <c r="G91" i="3"/>
  <c r="F91" i="3"/>
  <c r="E91" i="3"/>
  <c r="AN90" i="3"/>
  <c r="AK90" i="3"/>
  <c r="Z90" i="3"/>
  <c r="Y90" i="3"/>
  <c r="X90" i="3"/>
  <c r="W90" i="3"/>
  <c r="S90" i="3"/>
  <c r="R90" i="3"/>
  <c r="Q90" i="3"/>
  <c r="K90" i="3"/>
  <c r="G90" i="3"/>
  <c r="F90" i="3"/>
  <c r="E90" i="3"/>
  <c r="AN89" i="3"/>
  <c r="AM89" i="3"/>
  <c r="AK89" i="3"/>
  <c r="Z89" i="3"/>
  <c r="Y89" i="3"/>
  <c r="X89" i="3"/>
  <c r="W89" i="3"/>
  <c r="S89" i="3"/>
  <c r="R89" i="3"/>
  <c r="Q89" i="3"/>
  <c r="M89" i="3"/>
  <c r="L89" i="3"/>
  <c r="K89" i="3"/>
  <c r="G89" i="3"/>
  <c r="F89" i="3"/>
  <c r="E89" i="3"/>
  <c r="Z88" i="3"/>
  <c r="Y88" i="3"/>
  <c r="X88" i="3"/>
  <c r="W88" i="3"/>
  <c r="S88" i="3"/>
  <c r="R88" i="3"/>
  <c r="Q88" i="3"/>
  <c r="M88" i="3"/>
  <c r="L88" i="3"/>
  <c r="K88" i="3"/>
  <c r="G88" i="3"/>
  <c r="F88" i="3"/>
  <c r="E88" i="3"/>
  <c r="Z87" i="3"/>
  <c r="Y87" i="3"/>
  <c r="X87" i="3"/>
  <c r="W87" i="3"/>
  <c r="S87" i="3"/>
  <c r="R87" i="3"/>
  <c r="Q87" i="3"/>
  <c r="M87" i="3"/>
  <c r="L87" i="3"/>
  <c r="K87" i="3"/>
  <c r="G87" i="3"/>
  <c r="F87" i="3"/>
  <c r="E87" i="3"/>
  <c r="AN86" i="3"/>
  <c r="AK86" i="3"/>
  <c r="AM86" i="3" s="1"/>
  <c r="Z86" i="3"/>
  <c r="Y86" i="3"/>
  <c r="X86" i="3"/>
  <c r="W86" i="3"/>
  <c r="S86" i="3"/>
  <c r="R86" i="3"/>
  <c r="Q86" i="3"/>
  <c r="M86" i="3"/>
  <c r="L86" i="3"/>
  <c r="K86" i="3"/>
  <c r="G86" i="3"/>
  <c r="E86" i="3"/>
  <c r="F86" i="3" s="1"/>
  <c r="AN85" i="3"/>
  <c r="AK85" i="3"/>
  <c r="AM85" i="3" s="1"/>
  <c r="Z85" i="3"/>
  <c r="Y85" i="3"/>
  <c r="X85" i="3"/>
  <c r="W85" i="3"/>
  <c r="S85" i="3"/>
  <c r="R85" i="3"/>
  <c r="Q85" i="3"/>
  <c r="K85" i="3"/>
  <c r="M85" i="3" s="1"/>
  <c r="E85" i="3"/>
  <c r="G85" i="3" s="1"/>
  <c r="AN84" i="3"/>
  <c r="AK84" i="3"/>
  <c r="AM84" i="3" s="1"/>
  <c r="Z84" i="3"/>
  <c r="Y84" i="3"/>
  <c r="X84" i="3"/>
  <c r="W84" i="3"/>
  <c r="S84" i="3"/>
  <c r="R84" i="3"/>
  <c r="Q84" i="3"/>
  <c r="M84" i="3"/>
  <c r="K84" i="3"/>
  <c r="L84" i="3" s="1"/>
  <c r="G84" i="3"/>
  <c r="E84" i="3"/>
  <c r="F84" i="3" s="1"/>
  <c r="Z83" i="3"/>
  <c r="Y83" i="3"/>
  <c r="X83" i="3"/>
  <c r="W83" i="3"/>
  <c r="S83" i="3"/>
  <c r="R83" i="3"/>
  <c r="Q83" i="3"/>
  <c r="M83" i="3"/>
  <c r="K83" i="3"/>
  <c r="L83" i="3" s="1"/>
  <c r="E83" i="3"/>
  <c r="Z82" i="3"/>
  <c r="Y82" i="3"/>
  <c r="X82" i="3"/>
  <c r="W82" i="3"/>
  <c r="S82" i="3"/>
  <c r="R82" i="3"/>
  <c r="Q82" i="3"/>
  <c r="M82" i="3"/>
  <c r="L82" i="3"/>
  <c r="K82" i="3"/>
  <c r="G82" i="3"/>
  <c r="F82" i="3"/>
  <c r="E82" i="3"/>
  <c r="Z81" i="3"/>
  <c r="Y81" i="3"/>
  <c r="X81" i="3"/>
  <c r="W81" i="3"/>
  <c r="S81" i="3"/>
  <c r="R81" i="3"/>
  <c r="Q81" i="3"/>
  <c r="M81" i="3"/>
  <c r="L81" i="3"/>
  <c r="K81" i="3"/>
  <c r="E81" i="3"/>
  <c r="G81" i="3" s="1"/>
  <c r="Z80" i="3"/>
  <c r="Y80" i="3"/>
  <c r="X80" i="3"/>
  <c r="W80" i="3"/>
  <c r="S80" i="3"/>
  <c r="R80" i="3"/>
  <c r="Q80" i="3"/>
  <c r="M80" i="3"/>
  <c r="L80" i="3"/>
  <c r="K80" i="3"/>
  <c r="E80" i="3"/>
  <c r="J56" i="3"/>
  <c r="J127" i="3" s="1"/>
  <c r="I56" i="3"/>
  <c r="I127" i="3" s="1"/>
  <c r="H56" i="3"/>
  <c r="H127" i="3" s="1"/>
  <c r="AE127" i="3" s="1"/>
  <c r="D56" i="3"/>
  <c r="D127" i="3" s="1"/>
  <c r="C56" i="3"/>
  <c r="C127" i="3" s="1"/>
  <c r="B56" i="3"/>
  <c r="B127" i="3" s="1"/>
  <c r="AD127" i="3" s="1"/>
  <c r="V55" i="3"/>
  <c r="V126" i="3" s="1"/>
  <c r="U55" i="3"/>
  <c r="U126" i="3" s="1"/>
  <c r="T55" i="3"/>
  <c r="T126" i="3" s="1"/>
  <c r="AG126" i="3" s="1"/>
  <c r="P55" i="3"/>
  <c r="P126" i="3" s="1"/>
  <c r="O55" i="3"/>
  <c r="O126" i="3" s="1"/>
  <c r="N55" i="3"/>
  <c r="N126" i="3" s="1"/>
  <c r="AF126" i="3" s="1"/>
  <c r="J55" i="3"/>
  <c r="I55" i="3"/>
  <c r="D55" i="3"/>
  <c r="D126" i="3" s="1"/>
  <c r="C55" i="3"/>
  <c r="C126" i="3" s="1"/>
  <c r="B55" i="3"/>
  <c r="B126" i="3" s="1"/>
  <c r="AD126" i="3" s="1"/>
  <c r="V54" i="3"/>
  <c r="V125" i="3" s="1"/>
  <c r="U54" i="3"/>
  <c r="U125" i="3" s="1"/>
  <c r="T54" i="3"/>
  <c r="T125" i="3" s="1"/>
  <c r="AG125" i="3" s="1"/>
  <c r="P54" i="3"/>
  <c r="P125" i="3" s="1"/>
  <c r="O54" i="3"/>
  <c r="O125" i="3" s="1"/>
  <c r="N54" i="3"/>
  <c r="N125" i="3" s="1"/>
  <c r="AF125" i="3" s="1"/>
  <c r="J54" i="3"/>
  <c r="J125" i="3" s="1"/>
  <c r="I54" i="3"/>
  <c r="I125" i="3" s="1"/>
  <c r="H54" i="3"/>
  <c r="H125" i="3" s="1"/>
  <c r="AE125" i="3" s="1"/>
  <c r="D54" i="3"/>
  <c r="C54" i="3"/>
  <c r="V53" i="3"/>
  <c r="U53" i="3"/>
  <c r="T53" i="3"/>
  <c r="P53" i="3"/>
  <c r="O53" i="3"/>
  <c r="N53" i="3"/>
  <c r="J53" i="3"/>
  <c r="I53" i="3"/>
  <c r="H53" i="3"/>
  <c r="D53" i="3"/>
  <c r="C53" i="3"/>
  <c r="B53" i="3"/>
  <c r="U52" i="3"/>
  <c r="U124" i="3" s="1"/>
  <c r="T52" i="3"/>
  <c r="T124" i="3" s="1"/>
  <c r="AG124" i="3" s="1"/>
  <c r="P52" i="3"/>
  <c r="P124" i="3" s="1"/>
  <c r="O52" i="3"/>
  <c r="O124" i="3" s="1"/>
  <c r="N52" i="3"/>
  <c r="N124" i="3" s="1"/>
  <c r="AF124" i="3" s="1"/>
  <c r="J52" i="3"/>
  <c r="I52" i="3"/>
  <c r="H52" i="3"/>
  <c r="H124" i="3" s="1"/>
  <c r="AE124" i="3" s="1"/>
  <c r="D52" i="3"/>
  <c r="C52" i="3"/>
  <c r="B52" i="3"/>
  <c r="B124" i="3" s="1"/>
  <c r="AD124" i="3" s="1"/>
  <c r="V51" i="3"/>
  <c r="V123" i="3" s="1"/>
  <c r="U51" i="3"/>
  <c r="U123" i="3" s="1"/>
  <c r="T51" i="3"/>
  <c r="T123" i="3" s="1"/>
  <c r="AG123" i="3" s="1"/>
  <c r="P51" i="3"/>
  <c r="P123" i="3" s="1"/>
  <c r="O51" i="3"/>
  <c r="O123" i="3" s="1"/>
  <c r="N51" i="3"/>
  <c r="N123" i="3" s="1"/>
  <c r="AF123" i="3" s="1"/>
  <c r="J51" i="3"/>
  <c r="I51" i="3"/>
  <c r="H51" i="3"/>
  <c r="H123" i="3" s="1"/>
  <c r="AE123" i="3" s="1"/>
  <c r="D51" i="3"/>
  <c r="D123" i="3" s="1"/>
  <c r="C51" i="3"/>
  <c r="C123" i="3" s="1"/>
  <c r="B51" i="3"/>
  <c r="B123" i="3" s="1"/>
  <c r="AD123" i="3" s="1"/>
  <c r="V50" i="3"/>
  <c r="U50" i="3"/>
  <c r="T50" i="3"/>
  <c r="T122" i="3" s="1"/>
  <c r="AG122" i="3" s="1"/>
  <c r="P50" i="3"/>
  <c r="P122" i="3" s="1"/>
  <c r="O50" i="3"/>
  <c r="O122" i="3" s="1"/>
  <c r="N50" i="3"/>
  <c r="N122" i="3" s="1"/>
  <c r="AF122" i="3" s="1"/>
  <c r="J50" i="3"/>
  <c r="I50" i="3"/>
  <c r="D50" i="3"/>
  <c r="D122" i="3" s="1"/>
  <c r="C50" i="3"/>
  <c r="C122" i="3" s="1"/>
  <c r="B50" i="3"/>
  <c r="B122" i="3" s="1"/>
  <c r="AD122" i="3" s="1"/>
  <c r="V49" i="3"/>
  <c r="U49" i="3"/>
  <c r="T49" i="3"/>
  <c r="T121" i="3" s="1"/>
  <c r="P49" i="3"/>
  <c r="P121" i="3" s="1"/>
  <c r="O49" i="3"/>
  <c r="O121" i="3" s="1"/>
  <c r="N49" i="3"/>
  <c r="N121" i="3" s="1"/>
  <c r="AF121" i="3" s="1"/>
  <c r="J49" i="3"/>
  <c r="I49" i="3"/>
  <c r="H49" i="3"/>
  <c r="H121" i="3" s="1"/>
  <c r="AE121" i="3" s="1"/>
  <c r="D49" i="3"/>
  <c r="D121" i="3" s="1"/>
  <c r="C49" i="3"/>
  <c r="C121" i="3" s="1"/>
  <c r="B49" i="3"/>
  <c r="B121" i="3" s="1"/>
  <c r="AD121" i="3" s="1"/>
  <c r="V48" i="3"/>
  <c r="U48" i="3"/>
  <c r="T48" i="3"/>
  <c r="T120" i="3" s="1"/>
  <c r="AG120" i="3" s="1"/>
  <c r="P48" i="3"/>
  <c r="O48" i="3"/>
  <c r="N48" i="3"/>
  <c r="N120" i="3" s="1"/>
  <c r="AF120" i="3" s="1"/>
  <c r="V47" i="3"/>
  <c r="U47" i="3"/>
  <c r="T47" i="3"/>
  <c r="T119" i="3" s="1"/>
  <c r="AG119" i="3" s="1"/>
  <c r="P47" i="3"/>
  <c r="O47" i="3"/>
  <c r="N47" i="3"/>
  <c r="N119" i="3" s="1"/>
  <c r="AF119" i="3" s="1"/>
  <c r="V46" i="3"/>
  <c r="U46" i="3"/>
  <c r="T46" i="3"/>
  <c r="T118" i="3" s="1"/>
  <c r="AG118" i="3" s="1"/>
  <c r="P46" i="3"/>
  <c r="O46" i="3"/>
  <c r="N46" i="3"/>
  <c r="N118" i="3" s="1"/>
  <c r="AF118" i="3" s="1"/>
  <c r="V45" i="3"/>
  <c r="V117" i="3" s="1"/>
  <c r="U45" i="3"/>
  <c r="U117" i="3" s="1"/>
  <c r="T45" i="3"/>
  <c r="T117" i="3" s="1"/>
  <c r="AG117" i="3" s="1"/>
  <c r="P45" i="3"/>
  <c r="O45" i="3"/>
  <c r="N45" i="3"/>
  <c r="N117" i="3" s="1"/>
  <c r="AF117" i="3" s="1"/>
  <c r="V44" i="3"/>
  <c r="V116" i="3" s="1"/>
  <c r="U44" i="3"/>
  <c r="U116" i="3" s="1"/>
  <c r="T44" i="3"/>
  <c r="T116" i="3" s="1"/>
  <c r="AG116" i="3" s="1"/>
  <c r="P44" i="3"/>
  <c r="O44" i="3"/>
  <c r="N44" i="3"/>
  <c r="N116" i="3" s="1"/>
  <c r="AF116" i="3" s="1"/>
  <c r="D44" i="3"/>
  <c r="D116" i="3" s="1"/>
  <c r="C44" i="3"/>
  <c r="C116" i="3" s="1"/>
  <c r="B44" i="3"/>
  <c r="B116" i="3" s="1"/>
  <c r="AD116" i="3" s="1"/>
  <c r="V42" i="3"/>
  <c r="V114" i="3" s="1"/>
  <c r="U42" i="3"/>
  <c r="U114" i="3" s="1"/>
  <c r="T42" i="3"/>
  <c r="T114" i="3" s="1"/>
  <c r="AG114" i="3" s="1"/>
  <c r="P42" i="3"/>
  <c r="P114" i="3" s="1"/>
  <c r="O42" i="3"/>
  <c r="O114" i="3" s="1"/>
  <c r="N42" i="3"/>
  <c r="N114" i="3" s="1"/>
  <c r="AF114" i="3" s="1"/>
  <c r="J42" i="3"/>
  <c r="I42" i="3"/>
  <c r="H42" i="3"/>
  <c r="H114" i="3" s="1"/>
  <c r="AE114" i="3" s="1"/>
  <c r="D42" i="3"/>
  <c r="C42" i="3"/>
  <c r="B42" i="3"/>
  <c r="B114" i="3" s="1"/>
  <c r="AD114" i="3" s="1"/>
  <c r="D41" i="3"/>
  <c r="D113" i="3" s="1"/>
  <c r="C41" i="3"/>
  <c r="C113" i="3" s="1"/>
  <c r="B41" i="3"/>
  <c r="B113" i="3" s="1"/>
  <c r="AD113" i="3" s="1"/>
  <c r="V40" i="3"/>
  <c r="V112" i="3" s="1"/>
  <c r="U40" i="3"/>
  <c r="U112" i="3" s="1"/>
  <c r="T40" i="3"/>
  <c r="T112" i="3" s="1"/>
  <c r="AG112" i="3" s="1"/>
  <c r="P40" i="3"/>
  <c r="P112" i="3" s="1"/>
  <c r="O40" i="3"/>
  <c r="O112" i="3" s="1"/>
  <c r="N40" i="3"/>
  <c r="N112" i="3" s="1"/>
  <c r="AF112" i="3" s="1"/>
  <c r="J40" i="3"/>
  <c r="I40" i="3"/>
  <c r="H40" i="3"/>
  <c r="H112" i="3" s="1"/>
  <c r="AE112" i="3" s="1"/>
  <c r="D40" i="3"/>
  <c r="C40" i="3"/>
  <c r="B40" i="3"/>
  <c r="B112" i="3" s="1"/>
  <c r="V39" i="3"/>
  <c r="V111" i="3" s="1"/>
  <c r="U39" i="3"/>
  <c r="U111" i="3" s="1"/>
  <c r="T39" i="3"/>
  <c r="T111" i="3" s="1"/>
  <c r="AG111" i="3" s="1"/>
  <c r="P39" i="3"/>
  <c r="P111" i="3" s="1"/>
  <c r="O39" i="3"/>
  <c r="O111" i="3" s="1"/>
  <c r="N39" i="3"/>
  <c r="N111" i="3" s="1"/>
  <c r="AF111" i="3" s="1"/>
  <c r="J39" i="3"/>
  <c r="I39" i="3"/>
  <c r="H39" i="3"/>
  <c r="H111" i="3" s="1"/>
  <c r="AE111" i="3" s="1"/>
  <c r="D39" i="3"/>
  <c r="D111" i="3" s="1"/>
  <c r="C39" i="3"/>
  <c r="C111" i="3" s="1"/>
  <c r="B39" i="3"/>
  <c r="B111" i="3" s="1"/>
  <c r="AD111" i="3" s="1"/>
  <c r="V38" i="3"/>
  <c r="V110" i="3" s="1"/>
  <c r="U38" i="3"/>
  <c r="U110" i="3" s="1"/>
  <c r="T38" i="3"/>
  <c r="T110" i="3" s="1"/>
  <c r="AG110" i="3" s="1"/>
  <c r="P38" i="3"/>
  <c r="P110" i="3" s="1"/>
  <c r="O38" i="3"/>
  <c r="O110" i="3" s="1"/>
  <c r="N38" i="3"/>
  <c r="N110" i="3" s="1"/>
  <c r="AF110" i="3" s="1"/>
  <c r="J38" i="3"/>
  <c r="I38" i="3"/>
  <c r="H38" i="3"/>
  <c r="H110" i="3" s="1"/>
  <c r="AE110" i="3" s="1"/>
  <c r="D38" i="3"/>
  <c r="D110" i="3" s="1"/>
  <c r="C38" i="3"/>
  <c r="C110" i="3" s="1"/>
  <c r="B38" i="3"/>
  <c r="B110" i="3" s="1"/>
  <c r="AD110" i="3" s="1"/>
  <c r="V37" i="3"/>
  <c r="V109" i="3" s="1"/>
  <c r="U37" i="3"/>
  <c r="U109" i="3" s="1"/>
  <c r="T37" i="3"/>
  <c r="T109" i="3" s="1"/>
  <c r="AG109" i="3" s="1"/>
  <c r="P37" i="3"/>
  <c r="P109" i="3" s="1"/>
  <c r="O37" i="3"/>
  <c r="O109" i="3" s="1"/>
  <c r="N37" i="3"/>
  <c r="N109" i="3" s="1"/>
  <c r="AF109" i="3" s="1"/>
  <c r="J37" i="3"/>
  <c r="I37" i="3"/>
  <c r="H37" i="3"/>
  <c r="H109" i="3" s="1"/>
  <c r="AE109" i="3" s="1"/>
  <c r="D37" i="3"/>
  <c r="D109" i="3" s="1"/>
  <c r="C37" i="3"/>
  <c r="C109" i="3" s="1"/>
  <c r="B37" i="3"/>
  <c r="B109" i="3" s="1"/>
  <c r="AD109" i="3" s="1"/>
  <c r="V36" i="3"/>
  <c r="V108" i="3" s="1"/>
  <c r="U36" i="3"/>
  <c r="U108" i="3" s="1"/>
  <c r="T36" i="3"/>
  <c r="T108" i="3" s="1"/>
  <c r="AG108" i="3" s="1"/>
  <c r="P36" i="3"/>
  <c r="P108" i="3" s="1"/>
  <c r="O36" i="3"/>
  <c r="O108" i="3" s="1"/>
  <c r="N36" i="3"/>
  <c r="N108" i="3" s="1"/>
  <c r="AF108" i="3" s="1"/>
  <c r="J36" i="3"/>
  <c r="I36" i="3"/>
  <c r="H36" i="3"/>
  <c r="H108" i="3" s="1"/>
  <c r="AE108" i="3" s="1"/>
  <c r="D36" i="3"/>
  <c r="C36" i="3"/>
  <c r="B36" i="3"/>
  <c r="B108" i="3" s="1"/>
  <c r="AD108" i="3" s="1"/>
  <c r="V35" i="3"/>
  <c r="V107" i="3" s="1"/>
  <c r="U35" i="3"/>
  <c r="U107" i="3" s="1"/>
  <c r="T35" i="3"/>
  <c r="T107" i="3" s="1"/>
  <c r="AG107" i="3" s="1"/>
  <c r="P35" i="3"/>
  <c r="P107" i="3" s="1"/>
  <c r="O35" i="3"/>
  <c r="O107" i="3" s="1"/>
  <c r="N35" i="3"/>
  <c r="N107" i="3" s="1"/>
  <c r="AF107" i="3" s="1"/>
  <c r="J35" i="3"/>
  <c r="J107" i="3" s="1"/>
  <c r="I35" i="3"/>
  <c r="I107" i="3" s="1"/>
  <c r="H35" i="3"/>
  <c r="H107" i="3" s="1"/>
  <c r="AE107" i="3" s="1"/>
  <c r="D35" i="3"/>
  <c r="D107" i="3" s="1"/>
  <c r="C35" i="3"/>
  <c r="C107" i="3" s="1"/>
  <c r="B35" i="3"/>
  <c r="B107" i="3" s="1"/>
  <c r="V34" i="3"/>
  <c r="V106" i="3" s="1"/>
  <c r="U34" i="3"/>
  <c r="U106" i="3" s="1"/>
  <c r="T34" i="3"/>
  <c r="T106" i="3" s="1"/>
  <c r="AG106" i="3" s="1"/>
  <c r="P34" i="3"/>
  <c r="P106" i="3" s="1"/>
  <c r="O34" i="3"/>
  <c r="O106" i="3" s="1"/>
  <c r="N34" i="3"/>
  <c r="N106" i="3" s="1"/>
  <c r="AF106" i="3" s="1"/>
  <c r="J34" i="3"/>
  <c r="J106" i="3" s="1"/>
  <c r="I34" i="3"/>
  <c r="I106" i="3" s="1"/>
  <c r="H34" i="3"/>
  <c r="H106" i="3" s="1"/>
  <c r="AE106" i="3" s="1"/>
  <c r="V33" i="3"/>
  <c r="V105" i="3" s="1"/>
  <c r="U33" i="3"/>
  <c r="U105" i="3" s="1"/>
  <c r="T33" i="3"/>
  <c r="T105" i="3" s="1"/>
  <c r="AG105" i="3" s="1"/>
  <c r="P33" i="3"/>
  <c r="P105" i="3" s="1"/>
  <c r="O33" i="3"/>
  <c r="O105" i="3" s="1"/>
  <c r="N33" i="3"/>
  <c r="N105" i="3" s="1"/>
  <c r="AF105" i="3" s="1"/>
  <c r="J33" i="3"/>
  <c r="I33" i="3"/>
  <c r="H33" i="3"/>
  <c r="H105" i="3" s="1"/>
  <c r="AE105" i="3" s="1"/>
  <c r="D33" i="3"/>
  <c r="D105" i="3" s="1"/>
  <c r="C33" i="3"/>
  <c r="C105" i="3" s="1"/>
  <c r="B33" i="3"/>
  <c r="B105" i="3" s="1"/>
  <c r="AD105" i="3" s="1"/>
  <c r="V32" i="3"/>
  <c r="U32" i="3"/>
  <c r="T32" i="3"/>
  <c r="P32" i="3"/>
  <c r="O32" i="3"/>
  <c r="N32" i="3"/>
  <c r="J32" i="3"/>
  <c r="I32" i="3"/>
  <c r="H32" i="3"/>
  <c r="D32" i="3"/>
  <c r="C32" i="3"/>
  <c r="B32" i="3"/>
  <c r="V31" i="3"/>
  <c r="V104" i="3" s="1"/>
  <c r="U31" i="3"/>
  <c r="U104" i="3" s="1"/>
  <c r="T31" i="3"/>
  <c r="T104" i="3" s="1"/>
  <c r="AG104" i="3" s="1"/>
  <c r="P31" i="3"/>
  <c r="P104" i="3" s="1"/>
  <c r="O31" i="3"/>
  <c r="O104" i="3" s="1"/>
  <c r="N31" i="3"/>
  <c r="N104" i="3" s="1"/>
  <c r="AF104" i="3" s="1"/>
  <c r="J31" i="3"/>
  <c r="I31" i="3"/>
  <c r="H31" i="3"/>
  <c r="H104" i="3" s="1"/>
  <c r="AE104" i="3" s="1"/>
  <c r="D31" i="3"/>
  <c r="C31" i="3"/>
  <c r="B31" i="3"/>
  <c r="B104" i="3" s="1"/>
  <c r="AD104" i="3" s="1"/>
  <c r="V30" i="3"/>
  <c r="V103" i="3" s="1"/>
  <c r="U30" i="3"/>
  <c r="U103" i="3" s="1"/>
  <c r="T30" i="3"/>
  <c r="T103" i="3" s="1"/>
  <c r="AG103" i="3" s="1"/>
  <c r="P30" i="3"/>
  <c r="P103" i="3" s="1"/>
  <c r="O30" i="3"/>
  <c r="O103" i="3" s="1"/>
  <c r="N30" i="3"/>
  <c r="N103" i="3" s="1"/>
  <c r="AF103" i="3" s="1"/>
  <c r="D30" i="3"/>
  <c r="V29" i="3"/>
  <c r="V102" i="3" s="1"/>
  <c r="U29" i="3"/>
  <c r="U102" i="3" s="1"/>
  <c r="T29" i="3"/>
  <c r="T102" i="3" s="1"/>
  <c r="AG102" i="3" s="1"/>
  <c r="P29" i="3"/>
  <c r="P102" i="3" s="1"/>
  <c r="O29" i="3"/>
  <c r="O102" i="3" s="1"/>
  <c r="N29" i="3"/>
  <c r="N102" i="3" s="1"/>
  <c r="AF102" i="3" s="1"/>
  <c r="D29" i="3"/>
  <c r="V28" i="3"/>
  <c r="V101" i="3" s="1"/>
  <c r="U28" i="3"/>
  <c r="U101" i="3" s="1"/>
  <c r="T28" i="3"/>
  <c r="T101" i="3" s="1"/>
  <c r="AG101" i="3" s="1"/>
  <c r="P28" i="3"/>
  <c r="P101" i="3" s="1"/>
  <c r="O28" i="3"/>
  <c r="O101" i="3" s="1"/>
  <c r="N28" i="3"/>
  <c r="N101" i="3" s="1"/>
  <c r="AF101" i="3" s="1"/>
  <c r="J28" i="3"/>
  <c r="I28" i="3"/>
  <c r="H28" i="3"/>
  <c r="H101" i="3" s="1"/>
  <c r="AE101" i="3" s="1"/>
  <c r="D28" i="3"/>
  <c r="C28" i="3"/>
  <c r="B28" i="3"/>
  <c r="B101" i="3" s="1"/>
  <c r="AD101" i="3" s="1"/>
  <c r="V27" i="3"/>
  <c r="V100" i="3" s="1"/>
  <c r="U27" i="3"/>
  <c r="U100" i="3" s="1"/>
  <c r="T27" i="3"/>
  <c r="T100" i="3" s="1"/>
  <c r="AG100" i="3" s="1"/>
  <c r="P27" i="3"/>
  <c r="P100" i="3" s="1"/>
  <c r="O27" i="3"/>
  <c r="O100" i="3" s="1"/>
  <c r="N27" i="3"/>
  <c r="N100" i="3" s="1"/>
  <c r="AF100" i="3" s="1"/>
  <c r="J27" i="3"/>
  <c r="J100" i="3" s="1"/>
  <c r="I27" i="3"/>
  <c r="I100" i="3" s="1"/>
  <c r="H27" i="3"/>
  <c r="H100" i="3" s="1"/>
  <c r="AE100" i="3" s="1"/>
  <c r="D27" i="3"/>
  <c r="V26" i="3"/>
  <c r="V99" i="3" s="1"/>
  <c r="U26" i="3"/>
  <c r="U99" i="3" s="1"/>
  <c r="T26" i="3"/>
  <c r="T99" i="3" s="1"/>
  <c r="AG99" i="3" s="1"/>
  <c r="P26" i="3"/>
  <c r="P99" i="3" s="1"/>
  <c r="O26" i="3"/>
  <c r="O99" i="3" s="1"/>
  <c r="N26" i="3"/>
  <c r="N99" i="3" s="1"/>
  <c r="AF99" i="3" s="1"/>
  <c r="J26" i="3"/>
  <c r="J99" i="3" s="1"/>
  <c r="I26" i="3"/>
  <c r="I99" i="3" s="1"/>
  <c r="H26" i="3"/>
  <c r="H99" i="3" s="1"/>
  <c r="AE99" i="3" s="1"/>
  <c r="D26" i="3"/>
  <c r="V25" i="3"/>
  <c r="U25" i="3"/>
  <c r="T25" i="3"/>
  <c r="P25" i="3"/>
  <c r="O25" i="3"/>
  <c r="N25" i="3"/>
  <c r="J25" i="3"/>
  <c r="I25" i="3"/>
  <c r="H25" i="3"/>
  <c r="D25" i="3"/>
  <c r="C25" i="3"/>
  <c r="B25" i="3"/>
  <c r="A25" i="3"/>
  <c r="V24" i="3"/>
  <c r="U24" i="3"/>
  <c r="T24" i="3"/>
  <c r="P24" i="3"/>
  <c r="O24" i="3"/>
  <c r="N24" i="3"/>
  <c r="J24" i="3"/>
  <c r="I24" i="3"/>
  <c r="H24" i="3"/>
  <c r="D24" i="3"/>
  <c r="C24" i="3"/>
  <c r="B24" i="3"/>
  <c r="A24" i="3"/>
  <c r="V23" i="3"/>
  <c r="U23" i="3"/>
  <c r="T23" i="3"/>
  <c r="P23" i="3"/>
  <c r="O23" i="3"/>
  <c r="N23" i="3"/>
  <c r="J23" i="3"/>
  <c r="I23" i="3"/>
  <c r="H23" i="3"/>
  <c r="D23" i="3"/>
  <c r="C23" i="3"/>
  <c r="B23" i="3"/>
  <c r="A23" i="3"/>
  <c r="V22" i="3"/>
  <c r="U22" i="3"/>
  <c r="T22" i="3"/>
  <c r="P22" i="3"/>
  <c r="O22" i="3"/>
  <c r="N22" i="3"/>
  <c r="J22" i="3"/>
  <c r="I22" i="3"/>
  <c r="H22" i="3"/>
  <c r="D22" i="3"/>
  <c r="C22" i="3"/>
  <c r="B22" i="3"/>
  <c r="A22" i="3"/>
  <c r="V21" i="3"/>
  <c r="V98" i="3" s="1"/>
  <c r="U21" i="3"/>
  <c r="U98" i="3" s="1"/>
  <c r="T21" i="3"/>
  <c r="T98" i="3" s="1"/>
  <c r="AG98" i="3" s="1"/>
  <c r="P21" i="3"/>
  <c r="P98" i="3" s="1"/>
  <c r="O21" i="3"/>
  <c r="O98" i="3" s="1"/>
  <c r="N21" i="3"/>
  <c r="N98" i="3" s="1"/>
  <c r="AF98" i="3" s="1"/>
  <c r="J21" i="3"/>
  <c r="I21" i="3"/>
  <c r="H21" i="3"/>
  <c r="H98" i="3" s="1"/>
  <c r="AE98" i="3" s="1"/>
  <c r="D21" i="3"/>
  <c r="C21" i="3"/>
  <c r="B21" i="3"/>
  <c r="B98" i="3" s="1"/>
  <c r="AD98" i="3" s="1"/>
  <c r="V20" i="3"/>
  <c r="V97" i="3" s="1"/>
  <c r="U20" i="3"/>
  <c r="U97" i="3" s="1"/>
  <c r="T20" i="3"/>
  <c r="T97" i="3" s="1"/>
  <c r="AG97" i="3" s="1"/>
  <c r="P20" i="3"/>
  <c r="P97" i="3" s="1"/>
  <c r="O20" i="3"/>
  <c r="O97" i="3" s="1"/>
  <c r="N20" i="3"/>
  <c r="N97" i="3" s="1"/>
  <c r="AF97" i="3" s="1"/>
  <c r="D19" i="3"/>
  <c r="C19" i="3"/>
  <c r="C96" i="3" s="1"/>
  <c r="B19" i="3"/>
  <c r="B96" i="3" s="1"/>
  <c r="AD96" i="3" s="1"/>
  <c r="J18" i="3"/>
  <c r="I18" i="3"/>
  <c r="I95" i="3" s="1"/>
  <c r="H18" i="3"/>
  <c r="H95" i="3" s="1"/>
  <c r="AE95" i="3" s="1"/>
  <c r="D18" i="3"/>
  <c r="C18" i="3"/>
  <c r="C95" i="3" s="1"/>
  <c r="B18" i="3"/>
  <c r="B95" i="3" s="1"/>
  <c r="AD95" i="3" s="1"/>
  <c r="V17" i="3"/>
  <c r="V94" i="3" s="1"/>
  <c r="U17" i="3"/>
  <c r="U94" i="3" s="1"/>
  <c r="T17" i="3"/>
  <c r="T94" i="3" s="1"/>
  <c r="AG94" i="3" s="1"/>
  <c r="P17" i="3"/>
  <c r="P94" i="3" s="1"/>
  <c r="O17" i="3"/>
  <c r="O94" i="3" s="1"/>
  <c r="N17" i="3"/>
  <c r="N94" i="3" s="1"/>
  <c r="AF94" i="3" s="1"/>
  <c r="V16" i="3"/>
  <c r="V93" i="3" s="1"/>
  <c r="U16" i="3"/>
  <c r="U93" i="3" s="1"/>
  <c r="T16" i="3"/>
  <c r="T93" i="3" s="1"/>
  <c r="P16" i="3"/>
  <c r="P93" i="3" s="1"/>
  <c r="O16" i="3"/>
  <c r="O93" i="3" s="1"/>
  <c r="N16" i="3"/>
  <c r="N93" i="3" s="1"/>
  <c r="J16" i="3"/>
  <c r="J93" i="3" s="1"/>
  <c r="I16" i="3"/>
  <c r="I93" i="3" s="1"/>
  <c r="H16" i="3"/>
  <c r="H93" i="3" s="1"/>
  <c r="D16" i="3"/>
  <c r="D93" i="3" s="1"/>
  <c r="C16" i="3"/>
  <c r="C93" i="3" s="1"/>
  <c r="B16" i="3"/>
  <c r="B93" i="3" s="1"/>
  <c r="V15" i="3"/>
  <c r="V92" i="3" s="1"/>
  <c r="U15" i="3"/>
  <c r="U92" i="3" s="1"/>
  <c r="T15" i="3"/>
  <c r="T92" i="3" s="1"/>
  <c r="AG92" i="3" s="1"/>
  <c r="P15" i="3"/>
  <c r="P92" i="3" s="1"/>
  <c r="O15" i="3"/>
  <c r="O92" i="3" s="1"/>
  <c r="N15" i="3"/>
  <c r="N92" i="3" s="1"/>
  <c r="AF92" i="3" s="1"/>
  <c r="V14" i="3"/>
  <c r="V91" i="3" s="1"/>
  <c r="U14" i="3"/>
  <c r="U91" i="3" s="1"/>
  <c r="T14" i="3"/>
  <c r="T91" i="3" s="1"/>
  <c r="AG91" i="3" s="1"/>
  <c r="P14" i="3"/>
  <c r="P91" i="3" s="1"/>
  <c r="O14" i="3"/>
  <c r="O91" i="3" s="1"/>
  <c r="N14" i="3"/>
  <c r="N91" i="3" s="1"/>
  <c r="AF91" i="3" s="1"/>
  <c r="V13" i="3"/>
  <c r="V90" i="3" s="1"/>
  <c r="U13" i="3"/>
  <c r="U90" i="3" s="1"/>
  <c r="T13" i="3"/>
  <c r="T90" i="3" s="1"/>
  <c r="AG90" i="3" s="1"/>
  <c r="P13" i="3"/>
  <c r="P90" i="3" s="1"/>
  <c r="O13" i="3"/>
  <c r="O90" i="3" s="1"/>
  <c r="N13" i="3"/>
  <c r="N90" i="3" s="1"/>
  <c r="AF90" i="3" s="1"/>
  <c r="D13" i="3"/>
  <c r="D90" i="3" s="1"/>
  <c r="C13" i="3"/>
  <c r="C90" i="3" s="1"/>
  <c r="B13" i="3"/>
  <c r="B90" i="3" s="1"/>
  <c r="AD90" i="3" s="1"/>
  <c r="V12" i="3"/>
  <c r="V89" i="3" s="1"/>
  <c r="U12" i="3"/>
  <c r="U89" i="3" s="1"/>
  <c r="T12" i="3"/>
  <c r="T89" i="3" s="1"/>
  <c r="AG89" i="3" s="1"/>
  <c r="P12" i="3"/>
  <c r="P89" i="3" s="1"/>
  <c r="O12" i="3"/>
  <c r="O89" i="3" s="1"/>
  <c r="N12" i="3"/>
  <c r="N89" i="3" s="1"/>
  <c r="AF89" i="3" s="1"/>
  <c r="J12" i="3"/>
  <c r="J89" i="3" s="1"/>
  <c r="I12" i="3"/>
  <c r="I89" i="3" s="1"/>
  <c r="H12" i="3"/>
  <c r="H89" i="3" s="1"/>
  <c r="AE89" i="3" s="1"/>
  <c r="D12" i="3"/>
  <c r="C12" i="3"/>
  <c r="V11" i="3"/>
  <c r="V88" i="3" s="1"/>
  <c r="U11" i="3"/>
  <c r="U88" i="3" s="1"/>
  <c r="T11" i="3"/>
  <c r="T88" i="3" s="1"/>
  <c r="AG88" i="3" s="1"/>
  <c r="P11" i="3"/>
  <c r="P88" i="3" s="1"/>
  <c r="O11" i="3"/>
  <c r="O88" i="3" s="1"/>
  <c r="N11" i="3"/>
  <c r="N88" i="3" s="1"/>
  <c r="AF88" i="3" s="1"/>
  <c r="J11" i="3"/>
  <c r="I11" i="3"/>
  <c r="H11" i="3"/>
  <c r="H88" i="3" s="1"/>
  <c r="AE88" i="3" s="1"/>
  <c r="D11" i="3"/>
  <c r="D88" i="3" s="1"/>
  <c r="C11" i="3"/>
  <c r="C88" i="3" s="1"/>
  <c r="B11" i="3"/>
  <c r="B88" i="3" s="1"/>
  <c r="AD88" i="3" s="1"/>
  <c r="V10" i="3"/>
  <c r="V87" i="3" s="1"/>
  <c r="U10" i="3"/>
  <c r="U87" i="3" s="1"/>
  <c r="T10" i="3"/>
  <c r="T87" i="3" s="1"/>
  <c r="AG87" i="3" s="1"/>
  <c r="P10" i="3"/>
  <c r="P87" i="3" s="1"/>
  <c r="O10" i="3"/>
  <c r="O87" i="3" s="1"/>
  <c r="N10" i="3"/>
  <c r="N87" i="3" s="1"/>
  <c r="AF87" i="3" s="1"/>
  <c r="J10" i="3"/>
  <c r="J87" i="3" s="1"/>
  <c r="I10" i="3"/>
  <c r="I87" i="3" s="1"/>
  <c r="H10" i="3"/>
  <c r="H87" i="3" s="1"/>
  <c r="AE87" i="3" s="1"/>
  <c r="D10" i="3"/>
  <c r="D87" i="3" s="1"/>
  <c r="C10" i="3"/>
  <c r="C87" i="3" s="1"/>
  <c r="B10" i="3"/>
  <c r="B87" i="3" s="1"/>
  <c r="AD87" i="3" s="1"/>
  <c r="V9" i="3"/>
  <c r="V86" i="3" s="1"/>
  <c r="U9" i="3"/>
  <c r="U86" i="3" s="1"/>
  <c r="T9" i="3"/>
  <c r="T86" i="3" s="1"/>
  <c r="AG86" i="3" s="1"/>
  <c r="P9" i="3"/>
  <c r="P86" i="3" s="1"/>
  <c r="O9" i="3"/>
  <c r="O86" i="3" s="1"/>
  <c r="N9" i="3"/>
  <c r="N86" i="3" s="1"/>
  <c r="AF86" i="3" s="1"/>
  <c r="J9" i="3"/>
  <c r="J86" i="3" s="1"/>
  <c r="I9" i="3"/>
  <c r="I86" i="3" s="1"/>
  <c r="H9" i="3"/>
  <c r="H86" i="3" s="1"/>
  <c r="AE86" i="3" s="1"/>
  <c r="D9" i="3"/>
  <c r="C9" i="3"/>
  <c r="V8" i="3"/>
  <c r="V85" i="3" s="1"/>
  <c r="U8" i="3"/>
  <c r="U85" i="3" s="1"/>
  <c r="T8" i="3"/>
  <c r="T85" i="3" s="1"/>
  <c r="AG85" i="3" s="1"/>
  <c r="P8" i="3"/>
  <c r="P85" i="3" s="1"/>
  <c r="O8" i="3"/>
  <c r="O85" i="3" s="1"/>
  <c r="N8" i="3"/>
  <c r="N85" i="3" s="1"/>
  <c r="AF85" i="3" s="1"/>
  <c r="J8" i="3"/>
  <c r="I8" i="3"/>
  <c r="D8" i="3"/>
  <c r="C8" i="3"/>
  <c r="V7" i="3"/>
  <c r="V84" i="3" s="1"/>
  <c r="U7" i="3"/>
  <c r="U84" i="3" s="1"/>
  <c r="T7" i="3"/>
  <c r="T84" i="3" s="1"/>
  <c r="AG84" i="3" s="1"/>
  <c r="P7" i="3"/>
  <c r="P84" i="3" s="1"/>
  <c r="O7" i="3"/>
  <c r="O84" i="3" s="1"/>
  <c r="N7" i="3"/>
  <c r="N84" i="3" s="1"/>
  <c r="AF84" i="3" s="1"/>
  <c r="J7" i="3"/>
  <c r="I7" i="3"/>
  <c r="D7" i="3"/>
  <c r="C7" i="3"/>
  <c r="V6" i="3"/>
  <c r="V83" i="3" s="1"/>
  <c r="U6" i="3"/>
  <c r="U83" i="3" s="1"/>
  <c r="T6" i="3"/>
  <c r="T83" i="3" s="1"/>
  <c r="AG83" i="3" s="1"/>
  <c r="P6" i="3"/>
  <c r="P83" i="3" s="1"/>
  <c r="O6" i="3"/>
  <c r="O83" i="3" s="1"/>
  <c r="N6" i="3"/>
  <c r="N83" i="3" s="1"/>
  <c r="AF83" i="3" s="1"/>
  <c r="J6" i="3"/>
  <c r="I6" i="3"/>
  <c r="D6" i="3"/>
  <c r="C6" i="3"/>
  <c r="V5" i="3"/>
  <c r="V82" i="3" s="1"/>
  <c r="U5" i="3"/>
  <c r="U82" i="3" s="1"/>
  <c r="T5" i="3"/>
  <c r="T82" i="3" s="1"/>
  <c r="AG82" i="3" s="1"/>
  <c r="P5" i="3"/>
  <c r="P82" i="3" s="1"/>
  <c r="O5" i="3"/>
  <c r="O82" i="3" s="1"/>
  <c r="N5" i="3"/>
  <c r="N82" i="3" s="1"/>
  <c r="AF82" i="3" s="1"/>
  <c r="J5" i="3"/>
  <c r="J82" i="3" s="1"/>
  <c r="I5" i="3"/>
  <c r="I82" i="3" s="1"/>
  <c r="H5" i="3"/>
  <c r="H82" i="3" s="1"/>
  <c r="AE82" i="3" s="1"/>
  <c r="D5" i="3"/>
  <c r="D82" i="3" s="1"/>
  <c r="C5" i="3"/>
  <c r="C82" i="3" s="1"/>
  <c r="B5" i="3"/>
  <c r="B82" i="3" s="1"/>
  <c r="AD82" i="3" s="1"/>
  <c r="V4" i="3"/>
  <c r="V81" i="3" s="1"/>
  <c r="U4" i="3"/>
  <c r="U81" i="3" s="1"/>
  <c r="T4" i="3"/>
  <c r="T81" i="3" s="1"/>
  <c r="AG81" i="3" s="1"/>
  <c r="P4" i="3"/>
  <c r="P81" i="3" s="1"/>
  <c r="O4" i="3"/>
  <c r="O81" i="3" s="1"/>
  <c r="N4" i="3"/>
  <c r="N81" i="3" s="1"/>
  <c r="AF81" i="3" s="1"/>
  <c r="J4" i="3"/>
  <c r="I4" i="3"/>
  <c r="D4" i="3"/>
  <c r="C4" i="3"/>
  <c r="V3" i="3"/>
  <c r="U3" i="3"/>
  <c r="T3" i="3"/>
  <c r="P3" i="3"/>
  <c r="O3" i="3"/>
  <c r="N3" i="3"/>
  <c r="J3" i="3"/>
  <c r="I3" i="3"/>
  <c r="H3" i="3"/>
  <c r="D3" i="3"/>
  <c r="C3" i="3"/>
  <c r="B3" i="3"/>
  <c r="V2" i="3"/>
  <c r="V80" i="3" s="1"/>
  <c r="U2" i="3"/>
  <c r="U80" i="3" s="1"/>
  <c r="T2" i="3"/>
  <c r="T80" i="3" s="1"/>
  <c r="AG80" i="3" s="1"/>
  <c r="P2" i="3"/>
  <c r="P80" i="3" s="1"/>
  <c r="O2" i="3"/>
  <c r="O80" i="3" s="1"/>
  <c r="N2" i="3"/>
  <c r="N80" i="3" s="1"/>
  <c r="AF80" i="3" s="1"/>
  <c r="J2" i="3"/>
  <c r="I2" i="3"/>
  <c r="H2" i="3"/>
  <c r="H80" i="3" s="1"/>
  <c r="AE80" i="3" s="1"/>
  <c r="D2" i="3"/>
  <c r="C2" i="3"/>
  <c r="B2" i="3"/>
  <c r="B80" i="3" s="1"/>
  <c r="GB64" i="2"/>
  <c r="FT64" i="2"/>
  <c r="FL64" i="2"/>
  <c r="FD64" i="2"/>
  <c r="DO64" i="2"/>
  <c r="DP64" i="2" s="1"/>
  <c r="CS64" i="2"/>
  <c r="CM64" i="2"/>
  <c r="BF64" i="2"/>
  <c r="BC64" i="2"/>
  <c r="H64" i="2"/>
  <c r="GB63" i="2"/>
  <c r="FT63" i="2"/>
  <c r="FL63" i="2"/>
  <c r="FD63" i="2"/>
  <c r="EX63" i="2"/>
  <c r="S63" i="2" s="1"/>
  <c r="EH63" i="2"/>
  <c r="EM63" i="2" s="1"/>
  <c r="CS63" i="2"/>
  <c r="CN63" i="2"/>
  <c r="CM63" i="2"/>
  <c r="BQ63" i="2"/>
  <c r="BP63" i="2"/>
  <c r="BN63" i="2"/>
  <c r="T56" i="3" s="1"/>
  <c r="T127" i="3" s="1"/>
  <c r="AG127" i="3" s="1"/>
  <c r="BM63" i="2"/>
  <c r="BL63" i="2"/>
  <c r="BK63" i="2"/>
  <c r="BJ63" i="2"/>
  <c r="H63" i="2"/>
  <c r="Q63" i="2" s="1"/>
  <c r="A127" i="3"/>
  <c r="AC127" i="3" s="1"/>
  <c r="GB62" i="2"/>
  <c r="FT62" i="2"/>
  <c r="FL62" i="2"/>
  <c r="FD62" i="2"/>
  <c r="DO62" i="2"/>
  <c r="DP62" i="2" s="1"/>
  <c r="CS62" i="2"/>
  <c r="CN62" i="2"/>
  <c r="CM62" i="2"/>
  <c r="BF62" i="2"/>
  <c r="BC62" i="2"/>
  <c r="H62" i="2"/>
  <c r="AC62" i="2" s="1"/>
  <c r="A55" i="3"/>
  <c r="FL61" i="2"/>
  <c r="FD61" i="2"/>
  <c r="DC61" i="2"/>
  <c r="CM61" i="2"/>
  <c r="BB61" i="2"/>
  <c r="AY61" i="2"/>
  <c r="H61" i="2"/>
  <c r="P61" i="2" s="1"/>
  <c r="A125" i="3"/>
  <c r="AC125" i="3" s="1"/>
  <c r="FL60" i="2"/>
  <c r="FD60" i="2"/>
  <c r="CS60" i="2"/>
  <c r="CQ60" i="2"/>
  <c r="L60" i="2" s="1"/>
  <c r="CM60" i="2"/>
  <c r="H60" i="2"/>
  <c r="AC60" i="2" s="1"/>
  <c r="FD59" i="2"/>
  <c r="EY59" i="2"/>
  <c r="EA59" i="2"/>
  <c r="DO59" i="2"/>
  <c r="DC59" i="2"/>
  <c r="CQ59" i="2" s="1"/>
  <c r="L59" i="2" s="1"/>
  <c r="CP59" i="2"/>
  <c r="AB59" i="2"/>
  <c r="Z59" i="2"/>
  <c r="H59" i="2"/>
  <c r="FD58" i="2"/>
  <c r="X58" i="2" s="1"/>
  <c r="EY58" i="2"/>
  <c r="EA58" i="2"/>
  <c r="DO58" i="2"/>
  <c r="CS58" i="2"/>
  <c r="D51" i="10" s="1"/>
  <c r="S51" i="10" s="1"/>
  <c r="CQ58" i="2"/>
  <c r="L58" i="2" s="1"/>
  <c r="CP58" i="2"/>
  <c r="BF58" i="2"/>
  <c r="H58" i="2"/>
  <c r="HH57" i="2"/>
  <c r="HG57" i="2"/>
  <c r="FC57" i="2" s="1"/>
  <c r="HB57" i="2"/>
  <c r="GZ57" i="2"/>
  <c r="GR57" i="2"/>
  <c r="GJ57" i="2"/>
  <c r="GB57" i="2"/>
  <c r="FT57" i="2"/>
  <c r="FL57" i="2"/>
  <c r="FJ57" i="2"/>
  <c r="FR57" i="2" s="1"/>
  <c r="FZ57" i="2" s="1"/>
  <c r="GH57" i="2" s="1"/>
  <c r="GP57" i="2" s="1"/>
  <c r="FD57" i="2"/>
  <c r="EY57" i="2"/>
  <c r="ES57" i="2"/>
  <c r="EX57" i="2" s="1"/>
  <c r="S57" i="2" s="1"/>
  <c r="DO57" i="2"/>
  <c r="DP57" i="2" s="1"/>
  <c r="BC57" i="2"/>
  <c r="H43" i="6" s="1"/>
  <c r="AB57" i="2"/>
  <c r="H57" i="2"/>
  <c r="HX56" i="2"/>
  <c r="HV56" i="2"/>
  <c r="HP56" i="2"/>
  <c r="HH56" i="2"/>
  <c r="HG56" i="2"/>
  <c r="HO56" i="2" s="1"/>
  <c r="HB56" i="2"/>
  <c r="GZ56" i="2"/>
  <c r="GR56" i="2"/>
  <c r="GJ56" i="2"/>
  <c r="GB56" i="2"/>
  <c r="FT56" i="2"/>
  <c r="FL56" i="2"/>
  <c r="FK56" i="2"/>
  <c r="FN56" i="2" s="1"/>
  <c r="FV56" i="2" s="1"/>
  <c r="GD56" i="2" s="1"/>
  <c r="GL56" i="2" s="1"/>
  <c r="GT56" i="2" s="1"/>
  <c r="GT57" i="2" s="1"/>
  <c r="FJ56" i="2"/>
  <c r="FR56" i="2" s="1"/>
  <c r="FZ56" i="2" s="1"/>
  <c r="GH56" i="2" s="1"/>
  <c r="GP56" i="2" s="1"/>
  <c r="FD56" i="2"/>
  <c r="EY56" i="2"/>
  <c r="DO56" i="2"/>
  <c r="DP56" i="2" s="1"/>
  <c r="AB56" i="2"/>
  <c r="H56" i="2"/>
  <c r="FL55" i="2"/>
  <c r="FJ55" i="2"/>
  <c r="FD55" i="2"/>
  <c r="FC55" i="2"/>
  <c r="FK55" i="2" s="1"/>
  <c r="FB55" i="2"/>
  <c r="EX55" i="2"/>
  <c r="S55" i="2" s="1"/>
  <c r="EM55" i="2"/>
  <c r="R55" i="2" s="1"/>
  <c r="BE55" i="2"/>
  <c r="BD55" i="2"/>
  <c r="BC55" i="2"/>
  <c r="H41" i="6" s="1"/>
  <c r="BA55" i="2"/>
  <c r="D41" i="6" s="1"/>
  <c r="AZ55" i="2"/>
  <c r="AY55" i="2"/>
  <c r="B41" i="6" s="1"/>
  <c r="A48" i="3"/>
  <c r="GR54" i="2"/>
  <c r="GP54" i="2"/>
  <c r="GJ54" i="2"/>
  <c r="GH54" i="2"/>
  <c r="GB54" i="2"/>
  <c r="FZ54" i="2"/>
  <c r="FT54" i="2"/>
  <c r="FR54" i="2"/>
  <c r="FL54" i="2"/>
  <c r="FJ54" i="2"/>
  <c r="FD54" i="2"/>
  <c r="FC54" i="2"/>
  <c r="FK54" i="2" s="1"/>
  <c r="FB54" i="2"/>
  <c r="EX54" i="2"/>
  <c r="S54" i="2" s="1"/>
  <c r="EM54" i="2"/>
  <c r="R54" i="2" s="1"/>
  <c r="CS54" i="2"/>
  <c r="BE54" i="2"/>
  <c r="J40" i="6" s="1"/>
  <c r="BD54" i="2"/>
  <c r="I40" i="6" s="1"/>
  <c r="BC54" i="2"/>
  <c r="BA54" i="2"/>
  <c r="AZ54" i="2"/>
  <c r="AY54" i="2"/>
  <c r="B47" i="3" s="1"/>
  <c r="B119" i="3" s="1"/>
  <c r="AD119" i="3" s="1"/>
  <c r="FL53" i="2"/>
  <c r="FJ53" i="2"/>
  <c r="FD53" i="2"/>
  <c r="FC53" i="2"/>
  <c r="FK53" i="2" s="1"/>
  <c r="FB53" i="2"/>
  <c r="EX53" i="2"/>
  <c r="S53" i="2" s="1"/>
  <c r="EM53" i="2"/>
  <c r="R53" i="2" s="1"/>
  <c r="CM53" i="2"/>
  <c r="BE53" i="2"/>
  <c r="J46" i="3" s="1"/>
  <c r="BD53" i="2"/>
  <c r="BC53" i="2"/>
  <c r="BA53" i="2"/>
  <c r="AZ53" i="2"/>
  <c r="AY53" i="2"/>
  <c r="AX53" i="2"/>
  <c r="AV53" i="2"/>
  <c r="FL52" i="2"/>
  <c r="FJ52" i="2"/>
  <c r="FD52" i="2"/>
  <c r="FC52" i="2"/>
  <c r="FK52" i="2" s="1"/>
  <c r="FB52" i="2"/>
  <c r="EM52" i="2"/>
  <c r="R52" i="2" s="1"/>
  <c r="CS52" i="2"/>
  <c r="BE52" i="2"/>
  <c r="J38" i="6" s="1"/>
  <c r="BD52" i="2"/>
  <c r="I38" i="6" s="1"/>
  <c r="BC52" i="2"/>
  <c r="H38" i="6" s="1"/>
  <c r="BA52" i="2"/>
  <c r="D38" i="6" s="1"/>
  <c r="AZ52" i="2"/>
  <c r="C38" i="6" s="1"/>
  <c r="AY52" i="2"/>
  <c r="B38" i="6" s="1"/>
  <c r="S52" i="2"/>
  <c r="FL51" i="2"/>
  <c r="FJ51" i="2"/>
  <c r="FD51" i="2"/>
  <c r="FB51" i="2"/>
  <c r="CC51" i="2"/>
  <c r="GI54" i="2" s="1"/>
  <c r="CB51" i="2"/>
  <c r="BE51" i="2"/>
  <c r="BD51" i="2"/>
  <c r="BC51" i="2"/>
  <c r="S51" i="2"/>
  <c r="A44" i="3"/>
  <c r="CQ50" i="2"/>
  <c r="CM50" i="2"/>
  <c r="BP50" i="2"/>
  <c r="BO50" i="2"/>
  <c r="BN50" i="2"/>
  <c r="BL50" i="2"/>
  <c r="BK50" i="2"/>
  <c r="BJ50" i="2"/>
  <c r="BE50" i="2"/>
  <c r="BD50" i="2"/>
  <c r="BC50" i="2"/>
  <c r="BA50" i="2"/>
  <c r="AZ50" i="2"/>
  <c r="AY50" i="2"/>
  <c r="X50" i="2"/>
  <c r="O50" i="2"/>
  <c r="H50" i="2"/>
  <c r="I50" i="2" s="1"/>
  <c r="GB49" i="2"/>
  <c r="GA49" i="2"/>
  <c r="FT49" i="2"/>
  <c r="FS49" i="2"/>
  <c r="FL49" i="2"/>
  <c r="FD49" i="2"/>
  <c r="FC49" i="2"/>
  <c r="FK49" i="2" s="1"/>
  <c r="S49" i="2"/>
  <c r="R49" i="2"/>
  <c r="EB49" i="2"/>
  <c r="CQ49" i="2" s="1"/>
  <c r="L49" i="2" s="1"/>
  <c r="EA49" i="2"/>
  <c r="DO49" i="2"/>
  <c r="CW49" i="2"/>
  <c r="CS49" i="2"/>
  <c r="CM49" i="2"/>
  <c r="BP49" i="2"/>
  <c r="V36" i="6" s="1"/>
  <c r="BO49" i="2"/>
  <c r="U36" i="6" s="1"/>
  <c r="BN49" i="2"/>
  <c r="T36" i="6" s="1"/>
  <c r="BL49" i="2"/>
  <c r="P36" i="6" s="1"/>
  <c r="BK49" i="2"/>
  <c r="O36" i="6" s="1"/>
  <c r="BJ49" i="2"/>
  <c r="N36" i="6" s="1"/>
  <c r="BI49" i="2"/>
  <c r="BH49" i="2"/>
  <c r="BG49" i="2"/>
  <c r="BE49" i="2"/>
  <c r="BD49" i="2"/>
  <c r="I43" i="3" s="1"/>
  <c r="BC49" i="2"/>
  <c r="H43" i="3" s="1"/>
  <c r="H115" i="3" s="1"/>
  <c r="H49" i="2"/>
  <c r="A36" i="6"/>
  <c r="A87" i="6" s="1"/>
  <c r="FD48" i="2"/>
  <c r="X48" i="2" s="1"/>
  <c r="DP48" i="2"/>
  <c r="CQ48" i="2" s="1"/>
  <c r="CW48" i="2"/>
  <c r="CS48" i="2"/>
  <c r="D42" i="10" s="1"/>
  <c r="S42" i="10" s="1"/>
  <c r="CM48" i="2"/>
  <c r="CC48" i="2"/>
  <c r="AH48" i="2" s="1"/>
  <c r="CB48" i="2"/>
  <c r="A35" i="6"/>
  <c r="A86" i="6" s="1"/>
  <c r="FD47" i="2"/>
  <c r="X47" i="2" s="1"/>
  <c r="DB47" i="2" s="1"/>
  <c r="S47" i="2"/>
  <c r="R47" i="2"/>
  <c r="EA47" i="2"/>
  <c r="DR47" i="2"/>
  <c r="DO47" i="2"/>
  <c r="CW47" i="2"/>
  <c r="CS47" i="2"/>
  <c r="D41" i="10" s="1"/>
  <c r="S41" i="10" s="1"/>
  <c r="CQ47" i="2"/>
  <c r="L47" i="2" s="1"/>
  <c r="CM47" i="2"/>
  <c r="BP47" i="2"/>
  <c r="V34" i="6" s="1"/>
  <c r="BO47" i="2"/>
  <c r="BN47" i="2"/>
  <c r="T34" i="6" s="1"/>
  <c r="BL47" i="2"/>
  <c r="BK47" i="2"/>
  <c r="BJ47" i="2"/>
  <c r="N34" i="6" s="1"/>
  <c r="BE47" i="2"/>
  <c r="J34" i="6" s="1"/>
  <c r="BD47" i="2"/>
  <c r="I34" i="6" s="1"/>
  <c r="BC47" i="2"/>
  <c r="H34" i="6" s="1"/>
  <c r="H47" i="2"/>
  <c r="P47" i="2" s="1"/>
  <c r="A34" i="6"/>
  <c r="A85" i="6" s="1"/>
  <c r="FD46" i="2"/>
  <c r="X46" i="2" s="1"/>
  <c r="EA46" i="2"/>
  <c r="DR46" i="2"/>
  <c r="DO46" i="2"/>
  <c r="DG46" i="2"/>
  <c r="CU46" i="2"/>
  <c r="CQ46" i="2"/>
  <c r="L46" i="2" s="1"/>
  <c r="CM46" i="2"/>
  <c r="H46" i="2"/>
  <c r="AC46" i="2" s="1"/>
  <c r="FD45" i="2"/>
  <c r="FC45" i="2"/>
  <c r="DP45" i="2"/>
  <c r="CQ45" i="2" s="1"/>
  <c r="L45" i="2" s="1"/>
  <c r="DO45" i="2"/>
  <c r="BF45" i="2"/>
  <c r="H45" i="2"/>
  <c r="AC45" i="2" s="1"/>
  <c r="A39" i="3"/>
  <c r="FT44" i="2"/>
  <c r="FS44" i="2"/>
  <c r="FL44" i="2"/>
  <c r="FK44" i="2"/>
  <c r="FD44" i="2"/>
  <c r="DP44" i="2"/>
  <c r="CQ44" i="2" s="1"/>
  <c r="L44" i="2" s="1"/>
  <c r="DO44" i="2"/>
  <c r="BF44" i="2"/>
  <c r="H44" i="2"/>
  <c r="A110" i="3"/>
  <c r="AC110" i="3" s="1"/>
  <c r="FL43" i="2"/>
  <c r="FD43" i="2"/>
  <c r="FC43" i="2"/>
  <c r="FK43" i="2" s="1"/>
  <c r="DP43" i="2"/>
  <c r="CQ43" i="2" s="1"/>
  <c r="L43" i="2" s="1"/>
  <c r="DO43" i="2"/>
  <c r="BF43" i="2"/>
  <c r="H43" i="2"/>
  <c r="A30" i="6"/>
  <c r="A81" i="6" s="1"/>
  <c r="FL42" i="2"/>
  <c r="FD42" i="2"/>
  <c r="DT42" i="2"/>
  <c r="CD42" i="2" s="1"/>
  <c r="DC42" i="2" s="1"/>
  <c r="DI42" i="2"/>
  <c r="DE42" i="2"/>
  <c r="E36" i="10" s="1"/>
  <c r="CS42" i="2"/>
  <c r="CB42" i="2"/>
  <c r="FC42" i="2" s="1"/>
  <c r="FL41" i="2"/>
  <c r="FD41" i="2"/>
  <c r="DT41" i="2"/>
  <c r="CD41" i="2" s="1"/>
  <c r="DC41" i="2" s="1"/>
  <c r="DI41" i="2"/>
  <c r="DE41" i="2"/>
  <c r="E35" i="10" s="1"/>
  <c r="CS41" i="2"/>
  <c r="CB41" i="2"/>
  <c r="DP41" i="2" s="1"/>
  <c r="AX41" i="2"/>
  <c r="A35" i="3"/>
  <c r="FL40" i="2"/>
  <c r="FD40" i="2"/>
  <c r="DT40" i="2"/>
  <c r="CD40" i="2" s="1"/>
  <c r="DC40" i="2" s="1"/>
  <c r="DI40" i="2"/>
  <c r="DE40" i="2"/>
  <c r="E34" i="10" s="1"/>
  <c r="CS40" i="2"/>
  <c r="CB40" i="2"/>
  <c r="BA40" i="2"/>
  <c r="D27" i="6" s="1"/>
  <c r="AZ40" i="2"/>
  <c r="C27" i="6" s="1"/>
  <c r="A34" i="3"/>
  <c r="FL39" i="2"/>
  <c r="FD39" i="2"/>
  <c r="DT39" i="2"/>
  <c r="CD39" i="2" s="1"/>
  <c r="DP39" i="2"/>
  <c r="CQ39" i="2" s="1"/>
  <c r="DI39" i="2"/>
  <c r="DE39" i="2"/>
  <c r="E33" i="10" s="1"/>
  <c r="CS39" i="2"/>
  <c r="FL38" i="2"/>
  <c r="FD38" i="2"/>
  <c r="DT38" i="2"/>
  <c r="CD38" i="2" s="1"/>
  <c r="DI38" i="2"/>
  <c r="DE38" i="2"/>
  <c r="E32" i="10" s="1"/>
  <c r="CS38" i="2"/>
  <c r="CQ38" i="2"/>
  <c r="FD37" i="2"/>
  <c r="CD37" i="2"/>
  <c r="AX37" i="2"/>
  <c r="FD36" i="2"/>
  <c r="X36" i="2" s="1"/>
  <c r="W36" i="2" s="1"/>
  <c r="DR36" i="2"/>
  <c r="CS36" i="2"/>
  <c r="D30" i="10" s="1"/>
  <c r="S30" i="10" s="1"/>
  <c r="BE36" i="2"/>
  <c r="AY36" i="2"/>
  <c r="AZ36" i="2" s="1"/>
  <c r="C30" i="3" s="1"/>
  <c r="A103" i="3"/>
  <c r="AC103" i="3" s="1"/>
  <c r="FD35" i="2"/>
  <c r="X35" i="2" s="1"/>
  <c r="DR35" i="2"/>
  <c r="CS35" i="2"/>
  <c r="D29" i="10" s="1"/>
  <c r="S29" i="10" s="1"/>
  <c r="CB35" i="2"/>
  <c r="FC35" i="2" s="1"/>
  <c r="BE35" i="2"/>
  <c r="J23" i="6" s="1"/>
  <c r="AY35" i="2"/>
  <c r="BC35" i="2" s="1"/>
  <c r="FD34" i="2"/>
  <c r="FC34" i="2"/>
  <c r="DR34" i="2"/>
  <c r="CS34" i="2"/>
  <c r="D28" i="10" s="1"/>
  <c r="S28" i="10" s="1"/>
  <c r="FD33" i="2"/>
  <c r="X33" i="2" s="1"/>
  <c r="DR33" i="2"/>
  <c r="DE33" i="2"/>
  <c r="E27" i="10" s="1"/>
  <c r="CS33" i="2"/>
  <c r="D27" i="10" s="1"/>
  <c r="AY33" i="2"/>
  <c r="A100" i="3"/>
  <c r="AC100" i="3" s="1"/>
  <c r="FD32" i="2"/>
  <c r="X32" i="2" s="1"/>
  <c r="DR32" i="2"/>
  <c r="DE32" i="2"/>
  <c r="E26" i="10" s="1"/>
  <c r="CS32" i="2"/>
  <c r="AY32" i="2"/>
  <c r="AZ32" i="2" s="1"/>
  <c r="C20" i="6" s="1"/>
  <c r="A99" i="3"/>
  <c r="AC99" i="3" s="1"/>
  <c r="X28" i="2"/>
  <c r="M28" i="2" s="1"/>
  <c r="H28" i="2"/>
  <c r="FD27" i="2"/>
  <c r="X27" i="2" s="1"/>
  <c r="FC27" i="2"/>
  <c r="DO27" i="2"/>
  <c r="CU27" i="2"/>
  <c r="CS27" i="2"/>
  <c r="D21" i="10" s="1"/>
  <c r="S21" i="10" s="1"/>
  <c r="CQ27" i="2"/>
  <c r="L27" i="2" s="1"/>
  <c r="H27" i="2"/>
  <c r="AC27" i="2" s="1"/>
  <c r="FD26" i="2"/>
  <c r="DR26" i="2"/>
  <c r="CD26" i="2" s="1"/>
  <c r="CS26" i="2"/>
  <c r="CB26" i="2"/>
  <c r="BF26" i="2"/>
  <c r="BE26" i="2"/>
  <c r="BD26" i="2"/>
  <c r="BC26" i="2"/>
  <c r="H18" i="6" s="1"/>
  <c r="BB26" i="2"/>
  <c r="BA26" i="2"/>
  <c r="AZ26" i="2"/>
  <c r="C18" i="6" s="1"/>
  <c r="AY26" i="2"/>
  <c r="FD25" i="2"/>
  <c r="X25" i="2" s="1"/>
  <c r="DR25" i="2"/>
  <c r="CD25" i="2" s="1"/>
  <c r="EX25" i="2" s="1"/>
  <c r="ES25" i="2" s="1"/>
  <c r="CS25" i="2"/>
  <c r="BP25" i="2"/>
  <c r="BN25" i="2"/>
  <c r="T17" i="6" s="1"/>
  <c r="BL25" i="2"/>
  <c r="BK25" i="2"/>
  <c r="O17" i="6" s="1"/>
  <c r="BJ25" i="2"/>
  <c r="N17" i="6" s="1"/>
  <c r="BF25" i="2"/>
  <c r="BE25" i="2"/>
  <c r="J17" i="6" s="1"/>
  <c r="BD25" i="2"/>
  <c r="I17" i="6" s="1"/>
  <c r="BC25" i="2"/>
  <c r="H17" i="6" s="1"/>
  <c r="A19" i="3"/>
  <c r="FD24" i="2"/>
  <c r="X24" i="2" s="1"/>
  <c r="EQ24" i="2"/>
  <c r="DR24" i="2"/>
  <c r="DE24" i="2"/>
  <c r="E18" i="10" s="1"/>
  <c r="CS24" i="2"/>
  <c r="BL24" i="2"/>
  <c r="P16" i="6" s="1"/>
  <c r="BJ24" i="2"/>
  <c r="A18" i="3"/>
  <c r="FD23" i="2"/>
  <c r="X23" i="2" s="1"/>
  <c r="W23" i="2" s="1"/>
  <c r="DR23" i="2"/>
  <c r="DE23" i="2"/>
  <c r="E17" i="10" s="1"/>
  <c r="CS23" i="2"/>
  <c r="BE23" i="2"/>
  <c r="BD23" i="2"/>
  <c r="I17" i="3" s="1"/>
  <c r="BC23" i="2"/>
  <c r="BB23" i="2"/>
  <c r="BA23" i="2"/>
  <c r="AZ23" i="2"/>
  <c r="AY23" i="2"/>
  <c r="B15" i="6" s="1"/>
  <c r="A17" i="3"/>
  <c r="FD22" i="2"/>
  <c r="X22" i="2" s="1"/>
  <c r="W22" i="2" s="1"/>
  <c r="DR22" i="2"/>
  <c r="DE22" i="2"/>
  <c r="E16" i="10" s="1"/>
  <c r="CS22" i="2"/>
  <c r="CQ22" i="2"/>
  <c r="A16" i="3"/>
  <c r="FT21" i="2"/>
  <c r="FL21" i="2"/>
  <c r="FD21" i="2"/>
  <c r="EA21" i="2"/>
  <c r="DV21" i="2"/>
  <c r="DT21" i="2"/>
  <c r="DP21" i="2"/>
  <c r="DO21" i="2"/>
  <c r="DC21" i="2"/>
  <c r="CZ21" i="2"/>
  <c r="CS21" i="2"/>
  <c r="D15" i="10" s="1"/>
  <c r="S15" i="10" s="1"/>
  <c r="BE21" i="2"/>
  <c r="BD21" i="2"/>
  <c r="BC21" i="2"/>
  <c r="H14" i="6" s="1"/>
  <c r="BA21" i="2"/>
  <c r="D14" i="6" s="1"/>
  <c r="AZ21" i="2"/>
  <c r="AY21" i="2"/>
  <c r="B14" i="6" s="1"/>
  <c r="AA21" i="2"/>
  <c r="H21" i="2"/>
  <c r="I21" i="2" s="1"/>
  <c r="FT20" i="2"/>
  <c r="FL20" i="2"/>
  <c r="FD20" i="2"/>
  <c r="EA20" i="2"/>
  <c r="DV20" i="2"/>
  <c r="DT20" i="2"/>
  <c r="DO20" i="2"/>
  <c r="DE20" i="2"/>
  <c r="E14" i="10" s="1"/>
  <c r="DC20" i="2"/>
  <c r="CQ20" i="2" s="1"/>
  <c r="L20" i="2" s="1"/>
  <c r="CZ20" i="2"/>
  <c r="CS20" i="2"/>
  <c r="D14" i="10" s="1"/>
  <c r="BE20" i="2"/>
  <c r="J13" i="6" s="1"/>
  <c r="BD20" i="2"/>
  <c r="I13" i="6" s="1"/>
  <c r="BC20" i="2"/>
  <c r="H13" i="6" s="1"/>
  <c r="BA20" i="2"/>
  <c r="D13" i="6" s="1"/>
  <c r="AZ20" i="2"/>
  <c r="C13" i="6" s="1"/>
  <c r="AY20" i="2"/>
  <c r="B13" i="6" s="1"/>
  <c r="AA20" i="2"/>
  <c r="H20" i="2"/>
  <c r="A14" i="3"/>
  <c r="FT19" i="2"/>
  <c r="FL19" i="2"/>
  <c r="FD19" i="2"/>
  <c r="EA19" i="2"/>
  <c r="DV19" i="2"/>
  <c r="DT19" i="2"/>
  <c r="DP19" i="2"/>
  <c r="CQ19" i="2" s="1"/>
  <c r="L19" i="2" s="1"/>
  <c r="DO19" i="2"/>
  <c r="CZ19" i="2"/>
  <c r="CS19" i="2"/>
  <c r="D13" i="10" s="1"/>
  <c r="S13" i="10" s="1"/>
  <c r="BE19" i="2"/>
  <c r="BD19" i="2"/>
  <c r="BC19" i="2"/>
  <c r="AA19" i="2"/>
  <c r="H19" i="2"/>
  <c r="I19" i="2" s="1"/>
  <c r="FT18" i="2"/>
  <c r="FL18" i="2"/>
  <c r="FD18" i="2"/>
  <c r="EA18" i="2"/>
  <c r="DV18" i="2"/>
  <c r="DT18" i="2"/>
  <c r="DO18" i="2"/>
  <c r="DE18" i="2"/>
  <c r="E12" i="10" s="1"/>
  <c r="DC18" i="2"/>
  <c r="CQ18" i="2" s="1"/>
  <c r="L18" i="2" s="1"/>
  <c r="CZ18" i="2"/>
  <c r="CS18" i="2"/>
  <c r="D12" i="10" s="1"/>
  <c r="AY18" i="2"/>
  <c r="AA18" i="2"/>
  <c r="H18" i="2"/>
  <c r="A12" i="3"/>
  <c r="FT17" i="2"/>
  <c r="FL17" i="2"/>
  <c r="FD17" i="2"/>
  <c r="EB17" i="2"/>
  <c r="CQ17" i="2" s="1"/>
  <c r="L17" i="2" s="1"/>
  <c r="EA17" i="2"/>
  <c r="DV17" i="2"/>
  <c r="DT17" i="2"/>
  <c r="DO17" i="2"/>
  <c r="DE17" i="2"/>
  <c r="E11" i="10" s="1"/>
  <c r="CZ17" i="2"/>
  <c r="CS17" i="2"/>
  <c r="D11" i="10" s="1"/>
  <c r="BG17" i="2"/>
  <c r="H17" i="2"/>
  <c r="I17" i="2" s="1"/>
  <c r="A10" i="6"/>
  <c r="A61" i="6" s="1"/>
  <c r="FT16" i="2"/>
  <c r="FL16" i="2"/>
  <c r="FD16" i="2"/>
  <c r="EB16" i="2"/>
  <c r="CQ16" i="2" s="1"/>
  <c r="L16" i="2" s="1"/>
  <c r="EA16" i="2"/>
  <c r="DV16" i="2"/>
  <c r="DT16" i="2"/>
  <c r="DO16" i="2"/>
  <c r="DE16" i="2"/>
  <c r="E10" i="10" s="1"/>
  <c r="CZ16" i="2"/>
  <c r="CS16" i="2"/>
  <c r="D10" i="10" s="1"/>
  <c r="BG16" i="2"/>
  <c r="H16" i="2"/>
  <c r="AC16" i="2" s="1"/>
  <c r="FD15" i="2"/>
  <c r="X15" i="2" s="1"/>
  <c r="DC15" i="2"/>
  <c r="CQ15" i="2" s="1"/>
  <c r="CB15" i="2"/>
  <c r="DO15" i="2" s="1"/>
  <c r="BB15" i="2"/>
  <c r="AY15" i="2"/>
  <c r="B8" i="6" s="1"/>
  <c r="Q15" i="2"/>
  <c r="A8" i="6"/>
  <c r="A59" i="6" s="1"/>
  <c r="FD14" i="2"/>
  <c r="X14" i="2" s="1"/>
  <c r="CD14" i="2"/>
  <c r="CC14" i="2"/>
  <c r="CB14" i="2"/>
  <c r="BC14" i="2"/>
  <c r="AY14" i="2"/>
  <c r="Q14" i="2"/>
  <c r="A7" i="6"/>
  <c r="A58" i="6" s="1"/>
  <c r="FD13" i="2"/>
  <c r="X13" i="2" s="1"/>
  <c r="CD13" i="2"/>
  <c r="CC13" i="2"/>
  <c r="CB13" i="2"/>
  <c r="BC13" i="2"/>
  <c r="BB13" i="2"/>
  <c r="AY13" i="2"/>
  <c r="Q13" i="2"/>
  <c r="FD12" i="2"/>
  <c r="X12" i="2" s="1"/>
  <c r="DC12" i="2" s="1"/>
  <c r="FC12" i="2"/>
  <c r="EA12" i="2"/>
  <c r="DP12" i="2"/>
  <c r="DO12" i="2"/>
  <c r="BF12" i="2"/>
  <c r="H5" i="6"/>
  <c r="BB12" i="2"/>
  <c r="B5" i="6"/>
  <c r="Q12" i="2"/>
  <c r="H12" i="2"/>
  <c r="AC12" i="2" s="1"/>
  <c r="FD11" i="2"/>
  <c r="X11" i="2" s="1"/>
  <c r="DG11" i="2"/>
  <c r="DE11" i="2"/>
  <c r="CU11" i="2"/>
  <c r="CS11" i="2"/>
  <c r="CQ11" i="2"/>
  <c r="Q11" i="2"/>
  <c r="FD10" i="2"/>
  <c r="X10" i="2" s="1"/>
  <c r="FC10" i="2"/>
  <c r="EA10" i="2"/>
  <c r="DR10" i="2"/>
  <c r="DP10" i="2"/>
  <c r="DO10" i="2"/>
  <c r="BF10" i="2"/>
  <c r="H3" i="6"/>
  <c r="B3" i="6"/>
  <c r="AB10" i="2"/>
  <c r="Q10" i="2"/>
  <c r="H10" i="2"/>
  <c r="A274" i="5"/>
  <c r="FD9" i="2"/>
  <c r="X9" i="2" s="1"/>
  <c r="DT9" i="2"/>
  <c r="DG9" i="2"/>
  <c r="DE9" i="2"/>
  <c r="E3" i="10" s="1"/>
  <c r="CU9" i="2"/>
  <c r="CS9" i="2"/>
  <c r="CQ9" i="2"/>
  <c r="Z9" i="2"/>
  <c r="Q9" i="2"/>
  <c r="A3" i="3"/>
  <c r="FD8" i="2"/>
  <c r="X8" i="2" s="1"/>
  <c r="W8" i="2" s="1"/>
  <c r="DG8" i="2"/>
  <c r="DE8" i="2"/>
  <c r="CU8" i="2"/>
  <c r="CS8" i="2"/>
  <c r="CQ8" i="2"/>
  <c r="Q8" i="2"/>
  <c r="S14" i="10" l="1"/>
  <c r="S10" i="10"/>
  <c r="S12" i="10"/>
  <c r="S27" i="10"/>
  <c r="S11" i="10"/>
  <c r="D95" i="3"/>
  <c r="CC22" i="2"/>
  <c r="AH22" i="2" s="1"/>
  <c r="D16" i="10"/>
  <c r="S16" i="10" s="1"/>
  <c r="CC39" i="2"/>
  <c r="D33" i="10"/>
  <c r="S33" i="10" s="1"/>
  <c r="CC52" i="2"/>
  <c r="EA52" i="2" s="1"/>
  <c r="D45" i="10"/>
  <c r="S45" i="10" s="1"/>
  <c r="CC9" i="2"/>
  <c r="D3" i="10"/>
  <c r="S3" i="10" s="1"/>
  <c r="CC25" i="2"/>
  <c r="AH25" i="2" s="1"/>
  <c r="D19" i="10"/>
  <c r="S19" i="10" s="1"/>
  <c r="CC40" i="2"/>
  <c r="H40" i="2" s="1"/>
  <c r="P40" i="2" s="1"/>
  <c r="D34" i="10"/>
  <c r="S34" i="10" s="1"/>
  <c r="CC23" i="2"/>
  <c r="AH23" i="2" s="1"/>
  <c r="D17" i="10"/>
  <c r="S17" i="10" s="1"/>
  <c r="CC26" i="2"/>
  <c r="D20" i="10"/>
  <c r="S20" i="10" s="1"/>
  <c r="J95" i="3"/>
  <c r="I57" i="2"/>
  <c r="E57" i="2"/>
  <c r="D96" i="3"/>
  <c r="CC24" i="2"/>
  <c r="AH24" i="2" s="1"/>
  <c r="D18" i="10"/>
  <c r="S18" i="10" s="1"/>
  <c r="CC41" i="2"/>
  <c r="EA41" i="2" s="1"/>
  <c r="D35" i="10"/>
  <c r="S35" i="10" s="1"/>
  <c r="CC11" i="2"/>
  <c r="D5" i="10"/>
  <c r="CC8" i="2"/>
  <c r="D2" i="10"/>
  <c r="CD11" i="2"/>
  <c r="E5" i="10"/>
  <c r="CB37" i="2"/>
  <c r="FC37" i="2" s="1"/>
  <c r="D31" i="10"/>
  <c r="S31" i="10" s="1"/>
  <c r="CD8" i="2"/>
  <c r="E2" i="10"/>
  <c r="CC38" i="2"/>
  <c r="D32" i="10"/>
  <c r="S32" i="10" s="1"/>
  <c r="CB32" i="2"/>
  <c r="FC32" i="2" s="1"/>
  <c r="D26" i="10"/>
  <c r="S26" i="10" s="1"/>
  <c r="CC42" i="2"/>
  <c r="H42" i="2" s="1"/>
  <c r="AC42" i="2" s="1"/>
  <c r="D36" i="10"/>
  <c r="S36" i="10" s="1"/>
  <c r="I56" i="2"/>
  <c r="E56" i="2"/>
  <c r="CC54" i="2"/>
  <c r="EA54" i="2" s="1"/>
  <c r="D47" i="10"/>
  <c r="S47" i="10" s="1"/>
  <c r="I115" i="3"/>
  <c r="AE115" i="3"/>
  <c r="J36" i="6"/>
  <c r="J87" i="6" s="1"/>
  <c r="M87" i="6" s="1"/>
  <c r="J43" i="3"/>
  <c r="J115" i="3" s="1"/>
  <c r="O87" i="6"/>
  <c r="R87" i="6" s="1"/>
  <c r="O43" i="3"/>
  <c r="P87" i="6"/>
  <c r="S87" i="6" s="1"/>
  <c r="P43" i="3"/>
  <c r="T87" i="6"/>
  <c r="W87" i="6" s="1"/>
  <c r="T43" i="3"/>
  <c r="T115" i="3" s="1"/>
  <c r="N87" i="6"/>
  <c r="Q87" i="6" s="1"/>
  <c r="N43" i="3"/>
  <c r="N115" i="3" s="1"/>
  <c r="AF115" i="3" s="1"/>
  <c r="U43" i="3"/>
  <c r="V87" i="6"/>
  <c r="Y87" i="6" s="1"/>
  <c r="V43" i="3"/>
  <c r="DC10" i="2"/>
  <c r="CQ10" i="2" s="1"/>
  <c r="L10" i="2" s="1"/>
  <c r="DB10" i="2"/>
  <c r="I43" i="2"/>
  <c r="J43" i="2" s="1"/>
  <c r="AC10" i="2"/>
  <c r="I10" i="2"/>
  <c r="AC44" i="2"/>
  <c r="I44" i="2"/>
  <c r="J44" i="2" s="1"/>
  <c r="H81" i="6"/>
  <c r="K81" i="6" s="1"/>
  <c r="H82" i="6"/>
  <c r="K82" i="6" s="1"/>
  <c r="I28" i="2"/>
  <c r="Y28" i="2" s="1"/>
  <c r="N28" i="2"/>
  <c r="L48" i="2"/>
  <c r="L15" i="2"/>
  <c r="N45" i="2"/>
  <c r="N59" i="2"/>
  <c r="M47" i="2"/>
  <c r="N47" i="2"/>
  <c r="N44" i="2"/>
  <c r="N58" i="2"/>
  <c r="M58" i="2"/>
  <c r="N16" i="2"/>
  <c r="M15" i="2"/>
  <c r="M46" i="2"/>
  <c r="N46" i="2"/>
  <c r="M48" i="2"/>
  <c r="N17" i="2"/>
  <c r="N43" i="2"/>
  <c r="M27" i="2"/>
  <c r="N27" i="2"/>
  <c r="N49" i="2"/>
  <c r="N60" i="2"/>
  <c r="N18" i="2"/>
  <c r="N20" i="2"/>
  <c r="N19" i="2"/>
  <c r="CB25" i="2"/>
  <c r="AC50" i="2"/>
  <c r="W33" i="2"/>
  <c r="H57" i="3"/>
  <c r="H128" i="3" s="1"/>
  <c r="J128" i="3" s="1"/>
  <c r="H49" i="6"/>
  <c r="H100" i="6" s="1"/>
  <c r="K100" i="6" s="1"/>
  <c r="X42" i="2"/>
  <c r="W32" i="2"/>
  <c r="J19" i="2"/>
  <c r="AC47" i="2"/>
  <c r="P12" i="2"/>
  <c r="FC15" i="2"/>
  <c r="I63" i="2"/>
  <c r="AC49" i="2"/>
  <c r="G49" i="2"/>
  <c r="P63" i="2"/>
  <c r="X19" i="2"/>
  <c r="W19" i="2" s="1"/>
  <c r="Y19" i="2" s="1"/>
  <c r="I171" i="3" s="1"/>
  <c r="P49" i="2"/>
  <c r="AC63" i="2"/>
  <c r="EA15" i="2"/>
  <c r="AC18" i="2"/>
  <c r="X43" i="2"/>
  <c r="I47" i="2"/>
  <c r="J47" i="2" s="1"/>
  <c r="CD22" i="2"/>
  <c r="FN57" i="2"/>
  <c r="FV57" i="2" s="1"/>
  <c r="GD57" i="2" s="1"/>
  <c r="GL57" i="2" s="1"/>
  <c r="CC32" i="2"/>
  <c r="CC33" i="2" s="1"/>
  <c r="CC34" i="2" s="1"/>
  <c r="DO34" i="2" s="1"/>
  <c r="Q61" i="2"/>
  <c r="GI56" i="2"/>
  <c r="GQ56" i="2" s="1"/>
  <c r="GQ57" i="2" s="1"/>
  <c r="FS54" i="2"/>
  <c r="GA54" i="2" s="1"/>
  <c r="W13" i="2"/>
  <c r="A49" i="6"/>
  <c r="A100" i="6" s="1"/>
  <c r="A57" i="3"/>
  <c r="A128" i="3"/>
  <c r="AC128" i="3" s="1"/>
  <c r="P19" i="2"/>
  <c r="W12" i="2"/>
  <c r="O58" i="2"/>
  <c r="W58" i="2"/>
  <c r="H23" i="6"/>
  <c r="H74" i="6" s="1"/>
  <c r="K74" i="6" s="1"/>
  <c r="BD35" i="2"/>
  <c r="H13" i="2"/>
  <c r="AC13" i="2" s="1"/>
  <c r="AC19" i="2"/>
  <c r="CB23" i="2"/>
  <c r="CD24" i="2"/>
  <c r="I27" i="2"/>
  <c r="J27" i="2" s="1"/>
  <c r="Q49" i="2"/>
  <c r="X55" i="2"/>
  <c r="W55" i="2" s="1"/>
  <c r="Q64" i="2"/>
  <c r="C26" i="3"/>
  <c r="C24" i="6"/>
  <c r="C75" i="6" s="1"/>
  <c r="F75" i="6" s="1"/>
  <c r="J17" i="2"/>
  <c r="X39" i="2"/>
  <c r="W39" i="2" s="1"/>
  <c r="X60" i="2"/>
  <c r="O61" i="2" s="1"/>
  <c r="AC64" i="2"/>
  <c r="CD23" i="2"/>
  <c r="A21" i="6"/>
  <c r="A72" i="6" s="1"/>
  <c r="P17" i="2"/>
  <c r="X17" i="2"/>
  <c r="M17" i="2" s="1"/>
  <c r="Q17" i="2"/>
  <c r="X21" i="2"/>
  <c r="DB21" i="2" s="1"/>
  <c r="CQ57" i="2"/>
  <c r="L57" i="2" s="1"/>
  <c r="B23" i="6"/>
  <c r="B74" i="6" s="1"/>
  <c r="E74" i="6" s="1"/>
  <c r="AZ35" i="2"/>
  <c r="H51" i="2"/>
  <c r="AC52" i="2" s="1"/>
  <c r="X63" i="2"/>
  <c r="O64" i="2" s="1"/>
  <c r="A88" i="3"/>
  <c r="AC88" i="3" s="1"/>
  <c r="CB9" i="2"/>
  <c r="FC9" i="2" s="1"/>
  <c r="CC37" i="2"/>
  <c r="DC37" i="2" s="1"/>
  <c r="W11" i="2"/>
  <c r="X20" i="2"/>
  <c r="DB20" i="2" s="1"/>
  <c r="CB22" i="2"/>
  <c r="Y50" i="2"/>
  <c r="FC56" i="2"/>
  <c r="FS56" i="2" s="1"/>
  <c r="FS57" i="2" s="1"/>
  <c r="X62" i="2"/>
  <c r="DB62" i="2" s="1"/>
  <c r="B21" i="6"/>
  <c r="B72" i="6" s="1"/>
  <c r="E72" i="6" s="1"/>
  <c r="AZ33" i="2"/>
  <c r="W35" i="2"/>
  <c r="FC51" i="2"/>
  <c r="FK51" i="2" s="1"/>
  <c r="X64" i="2"/>
  <c r="DB64" i="2" s="1"/>
  <c r="X16" i="2"/>
  <c r="W16" i="2" s="1"/>
  <c r="CB24" i="2"/>
  <c r="X41" i="2"/>
  <c r="W41" i="2" s="1"/>
  <c r="AC43" i="2"/>
  <c r="C98" i="3"/>
  <c r="J104" i="3"/>
  <c r="J105" i="3"/>
  <c r="V119" i="3"/>
  <c r="C101" i="3"/>
  <c r="O116" i="3"/>
  <c r="P116" i="3"/>
  <c r="I104" i="3"/>
  <c r="I105" i="3"/>
  <c r="I114" i="3"/>
  <c r="C108" i="3"/>
  <c r="AH98" i="3"/>
  <c r="C104" i="3"/>
  <c r="I108" i="3"/>
  <c r="I109" i="3"/>
  <c r="I110" i="3"/>
  <c r="I111" i="3"/>
  <c r="C114" i="3"/>
  <c r="O119" i="3"/>
  <c r="J109" i="3"/>
  <c r="J110" i="3"/>
  <c r="J111" i="3"/>
  <c r="D114" i="3"/>
  <c r="P119" i="3"/>
  <c r="I101" i="3"/>
  <c r="U120" i="3"/>
  <c r="V118" i="3"/>
  <c r="I88" i="3"/>
  <c r="U118" i="3"/>
  <c r="V120" i="3"/>
  <c r="U119" i="3"/>
  <c r="B65" i="6"/>
  <c r="E65" i="6" s="1"/>
  <c r="AH109" i="3"/>
  <c r="C112" i="3"/>
  <c r="AD112" i="3"/>
  <c r="AH112" i="3" s="1"/>
  <c r="D98" i="3"/>
  <c r="X44" i="2"/>
  <c r="W44" i="2" s="1"/>
  <c r="P117" i="3"/>
  <c r="H15" i="2"/>
  <c r="P15" i="2" s="1"/>
  <c r="I46" i="2"/>
  <c r="AC56" i="2"/>
  <c r="A11" i="3"/>
  <c r="J114" i="3"/>
  <c r="DB48" i="2"/>
  <c r="W10" i="2"/>
  <c r="A6" i="3"/>
  <c r="A298" i="5"/>
  <c r="AC17" i="2"/>
  <c r="AC20" i="2"/>
  <c r="P46" i="2"/>
  <c r="AH88" i="3"/>
  <c r="AH108" i="3"/>
  <c r="A37" i="3"/>
  <c r="H50" i="3"/>
  <c r="H122" i="3" s="1"/>
  <c r="AE122" i="3" s="1"/>
  <c r="AH122" i="3" s="1"/>
  <c r="CB39" i="2"/>
  <c r="FC39" i="2" s="1"/>
  <c r="FK39" i="2" s="1"/>
  <c r="O47" i="2"/>
  <c r="A8" i="3"/>
  <c r="A41" i="3"/>
  <c r="D101" i="3"/>
  <c r="I61" i="2"/>
  <c r="I64" i="2"/>
  <c r="J121" i="3"/>
  <c r="P43" i="2"/>
  <c r="X54" i="2"/>
  <c r="W54" i="2" s="1"/>
  <c r="AH107" i="3"/>
  <c r="D112" i="3"/>
  <c r="O118" i="3"/>
  <c r="O48" i="2"/>
  <c r="X56" i="2"/>
  <c r="W56" i="2" s="1"/>
  <c r="AC61" i="2"/>
  <c r="A30" i="3"/>
  <c r="D104" i="3"/>
  <c r="P118" i="3"/>
  <c r="W47" i="2"/>
  <c r="W48" i="2"/>
  <c r="A42" i="3"/>
  <c r="A37" i="6"/>
  <c r="A88" i="6" s="1"/>
  <c r="AH101" i="3"/>
  <c r="CD9" i="2"/>
  <c r="CB11" i="2"/>
  <c r="A2" i="6"/>
  <c r="A247" i="5"/>
  <c r="H14" i="2"/>
  <c r="AC14" i="2" s="1"/>
  <c r="CQ21" i="2"/>
  <c r="L21" i="2" s="1"/>
  <c r="S25" i="2"/>
  <c r="CS53" i="2"/>
  <c r="I59" i="2"/>
  <c r="J59" i="2" s="1"/>
  <c r="I60" i="2"/>
  <c r="J60" i="2" s="1"/>
  <c r="J112" i="3"/>
  <c r="DC14" i="2"/>
  <c r="CQ14" i="2" s="1"/>
  <c r="L14" i="2" s="1"/>
  <c r="J80" i="3"/>
  <c r="AD80" i="3"/>
  <c r="AH80" i="3" s="1"/>
  <c r="D80" i="3"/>
  <c r="BN24" i="2"/>
  <c r="T16" i="6" s="1"/>
  <c r="T67" i="6" s="1"/>
  <c r="W67" i="6" s="1"/>
  <c r="BO24" i="2"/>
  <c r="U16" i="6" s="1"/>
  <c r="U67" i="6" s="1"/>
  <c r="X67" i="6" s="1"/>
  <c r="B34" i="3"/>
  <c r="B106" i="3" s="1"/>
  <c r="AD106" i="3" s="1"/>
  <c r="AH106" i="3" s="1"/>
  <c r="J45" i="3"/>
  <c r="B14" i="3"/>
  <c r="B91" i="3" s="1"/>
  <c r="AD91" i="3" s="1"/>
  <c r="C34" i="3"/>
  <c r="BF20" i="2"/>
  <c r="H19" i="3"/>
  <c r="H96" i="3" s="1"/>
  <c r="AE96" i="3" s="1"/>
  <c r="I19" i="3"/>
  <c r="O19" i="3"/>
  <c r="BB21" i="2"/>
  <c r="T19" i="3"/>
  <c r="T96" i="3" s="1"/>
  <c r="AG96" i="3" s="1"/>
  <c r="H45" i="3"/>
  <c r="H117" i="3" s="1"/>
  <c r="AE117" i="3" s="1"/>
  <c r="BB20" i="2"/>
  <c r="I45" i="3"/>
  <c r="T48" i="6"/>
  <c r="T99" i="6" s="1"/>
  <c r="W99" i="6" s="1"/>
  <c r="J108" i="3"/>
  <c r="J74" i="6"/>
  <c r="M74" i="6" s="1"/>
  <c r="C78" i="6"/>
  <c r="F78" i="6" s="1"/>
  <c r="T54" i="6"/>
  <c r="W54" i="6" s="1"/>
  <c r="H55" i="6"/>
  <c r="K55" i="6" s="1"/>
  <c r="T55" i="6"/>
  <c r="W55" i="6" s="1"/>
  <c r="O59" i="6"/>
  <c r="R59" i="6" s="1"/>
  <c r="O61" i="6"/>
  <c r="R61" i="6" s="1"/>
  <c r="D62" i="6"/>
  <c r="G62" i="6" s="1"/>
  <c r="J70" i="6"/>
  <c r="M70" i="6" s="1"/>
  <c r="H79" i="6"/>
  <c r="K79" i="6" s="1"/>
  <c r="H80" i="6"/>
  <c r="K80" i="6" s="1"/>
  <c r="T80" i="6"/>
  <c r="W80" i="6" s="1"/>
  <c r="T82" i="6"/>
  <c r="W82" i="6" s="1"/>
  <c r="H83" i="6"/>
  <c r="K83" i="6" s="1"/>
  <c r="H84" i="6"/>
  <c r="K84" i="6" s="1"/>
  <c r="P88" i="6"/>
  <c r="S88" i="6" s="1"/>
  <c r="V89" i="6"/>
  <c r="Y89" i="6" s="1"/>
  <c r="P90" i="6"/>
  <c r="S90" i="6" s="1"/>
  <c r="P92" i="6"/>
  <c r="S92" i="6" s="1"/>
  <c r="P93" i="6"/>
  <c r="S93" i="6" s="1"/>
  <c r="D94" i="6"/>
  <c r="G94" i="6" s="1"/>
  <c r="O100" i="6"/>
  <c r="R100" i="6" s="1"/>
  <c r="D78" i="6"/>
  <c r="G78" i="6" s="1"/>
  <c r="D89" i="6"/>
  <c r="G89" i="6" s="1"/>
  <c r="D54" i="6"/>
  <c r="G54" i="6" s="1"/>
  <c r="C69" i="6"/>
  <c r="F69" i="6" s="1"/>
  <c r="D92" i="6"/>
  <c r="G92" i="6" s="1"/>
  <c r="B78" i="6"/>
  <c r="E78" i="6" s="1"/>
  <c r="B60" i="6"/>
  <c r="E60" i="6" s="1"/>
  <c r="N61" i="6"/>
  <c r="Q61" i="6" s="1"/>
  <c r="O62" i="6"/>
  <c r="R62" i="6" s="1"/>
  <c r="C63" i="6"/>
  <c r="F63" i="6" s="1"/>
  <c r="U69" i="6"/>
  <c r="X69" i="6" s="1"/>
  <c r="I70" i="6"/>
  <c r="L70" i="6" s="1"/>
  <c r="J71" i="6"/>
  <c r="M71" i="6" s="1"/>
  <c r="V71" i="6"/>
  <c r="Y71" i="6" s="1"/>
  <c r="V72" i="6"/>
  <c r="Y72" i="6" s="1"/>
  <c r="J73" i="6"/>
  <c r="M73" i="6" s="1"/>
  <c r="P76" i="6"/>
  <c r="S76" i="6" s="1"/>
  <c r="D77" i="6"/>
  <c r="G77" i="6" s="1"/>
  <c r="D86" i="6"/>
  <c r="G86" i="6" s="1"/>
  <c r="D87" i="6"/>
  <c r="G87" i="6" s="1"/>
  <c r="O88" i="6"/>
  <c r="R88" i="6" s="1"/>
  <c r="U89" i="6"/>
  <c r="X89" i="6" s="1"/>
  <c r="U91" i="6"/>
  <c r="X91" i="6" s="1"/>
  <c r="O92" i="6"/>
  <c r="R92" i="6" s="1"/>
  <c r="C93" i="6"/>
  <c r="F93" i="6" s="1"/>
  <c r="D95" i="6"/>
  <c r="G95" i="6" s="1"/>
  <c r="N100" i="6"/>
  <c r="Q100" i="6" s="1"/>
  <c r="C56" i="6"/>
  <c r="F56" i="6" s="1"/>
  <c r="U59" i="6"/>
  <c r="X59" i="6" s="1"/>
  <c r="I61" i="6"/>
  <c r="L61" i="6" s="1"/>
  <c r="V62" i="6"/>
  <c r="Y62" i="6" s="1"/>
  <c r="O55" i="6"/>
  <c r="R55" i="6" s="1"/>
  <c r="O79" i="6"/>
  <c r="R79" i="6" s="1"/>
  <c r="P63" i="6"/>
  <c r="S63" i="6" s="1"/>
  <c r="V66" i="6"/>
  <c r="Y66" i="6" s="1"/>
  <c r="T71" i="6"/>
  <c r="W71" i="6" s="1"/>
  <c r="H72" i="6"/>
  <c r="K72" i="6" s="1"/>
  <c r="J79" i="6"/>
  <c r="M79" i="6" s="1"/>
  <c r="V82" i="6"/>
  <c r="Y82" i="6" s="1"/>
  <c r="U98" i="6"/>
  <c r="X98" i="6" s="1"/>
  <c r="U77" i="6"/>
  <c r="X77" i="6" s="1"/>
  <c r="O56" i="6"/>
  <c r="R56" i="6" s="1"/>
  <c r="D57" i="6"/>
  <c r="G57" i="6" s="1"/>
  <c r="H61" i="6"/>
  <c r="K61" i="6" s="1"/>
  <c r="T61" i="6"/>
  <c r="W61" i="6" s="1"/>
  <c r="U62" i="6"/>
  <c r="X62" i="6" s="1"/>
  <c r="C70" i="6"/>
  <c r="F70" i="6" s="1"/>
  <c r="D71" i="6"/>
  <c r="G71" i="6" s="1"/>
  <c r="P71" i="6"/>
  <c r="S71" i="6" s="1"/>
  <c r="P72" i="6"/>
  <c r="S72" i="6" s="1"/>
  <c r="D73" i="6"/>
  <c r="G73" i="6" s="1"/>
  <c r="V75" i="6"/>
  <c r="Y75" i="6" s="1"/>
  <c r="J77" i="6"/>
  <c r="M77" i="6" s="1"/>
  <c r="V77" i="6"/>
  <c r="Y77" i="6" s="1"/>
  <c r="V86" i="6"/>
  <c r="Y86" i="6" s="1"/>
  <c r="O91" i="6"/>
  <c r="R91" i="6" s="1"/>
  <c r="U93" i="6"/>
  <c r="X93" i="6" s="1"/>
  <c r="N79" i="6"/>
  <c r="Q79" i="6" s="1"/>
  <c r="B82" i="6"/>
  <c r="E82" i="6" s="1"/>
  <c r="B83" i="6"/>
  <c r="E83" i="6" s="1"/>
  <c r="E84" i="6"/>
  <c r="P91" i="6"/>
  <c r="S91" i="6" s="1"/>
  <c r="V93" i="6"/>
  <c r="Y93" i="6" s="1"/>
  <c r="I100" i="6"/>
  <c r="L100" i="6" s="1"/>
  <c r="U100" i="6"/>
  <c r="X100" i="6" s="1"/>
  <c r="N85" i="6"/>
  <c r="Q85" i="6" s="1"/>
  <c r="I54" i="6"/>
  <c r="L54" i="6" s="1"/>
  <c r="U55" i="6"/>
  <c r="X55" i="6" s="1"/>
  <c r="D59" i="6"/>
  <c r="G59" i="6" s="1"/>
  <c r="T63" i="6"/>
  <c r="W63" i="6" s="1"/>
  <c r="N66" i="6"/>
  <c r="Q66" i="6" s="1"/>
  <c r="O74" i="6"/>
  <c r="R74" i="6" s="1"/>
  <c r="I78" i="6"/>
  <c r="L78" i="6" s="1"/>
  <c r="I79" i="6"/>
  <c r="L79" i="6" s="1"/>
  <c r="I80" i="6"/>
  <c r="L80" i="6" s="1"/>
  <c r="U80" i="6"/>
  <c r="X80" i="6" s="1"/>
  <c r="I84" i="6"/>
  <c r="L84" i="6" s="1"/>
  <c r="T68" i="6"/>
  <c r="W68" i="6" s="1"/>
  <c r="N76" i="6"/>
  <c r="Q76" i="6" s="1"/>
  <c r="B86" i="6"/>
  <c r="E86" i="6" s="1"/>
  <c r="N86" i="6"/>
  <c r="Q86" i="6" s="1"/>
  <c r="P98" i="6"/>
  <c r="S98" i="6" s="1"/>
  <c r="H54" i="6"/>
  <c r="K54" i="6" s="1"/>
  <c r="P84" i="6"/>
  <c r="S84" i="6" s="1"/>
  <c r="D64" i="6"/>
  <c r="G64" i="6" s="1"/>
  <c r="V64" i="6"/>
  <c r="Y64" i="6" s="1"/>
  <c r="H92" i="6"/>
  <c r="K92" i="6" s="1"/>
  <c r="B53" i="6"/>
  <c r="E53" i="6" s="1"/>
  <c r="P54" i="6"/>
  <c r="S54" i="6" s="1"/>
  <c r="P55" i="6"/>
  <c r="S55" i="6" s="1"/>
  <c r="U64" i="6"/>
  <c r="X64" i="6" s="1"/>
  <c r="C68" i="6"/>
  <c r="F68" i="6" s="1"/>
  <c r="D79" i="6"/>
  <c r="G79" i="6" s="1"/>
  <c r="P79" i="6"/>
  <c r="S79" i="6" s="1"/>
  <c r="D80" i="6"/>
  <c r="G80" i="6" s="1"/>
  <c r="P80" i="6"/>
  <c r="S80" i="6" s="1"/>
  <c r="P81" i="6"/>
  <c r="S81" i="6" s="1"/>
  <c r="D82" i="6"/>
  <c r="G82" i="6" s="1"/>
  <c r="D83" i="6"/>
  <c r="G83" i="6" s="1"/>
  <c r="P83" i="6"/>
  <c r="S83" i="6" s="1"/>
  <c r="D84" i="6"/>
  <c r="G84" i="6" s="1"/>
  <c r="B98" i="6"/>
  <c r="E98" i="6" s="1"/>
  <c r="C99" i="6"/>
  <c r="F99" i="6" s="1"/>
  <c r="O53" i="6"/>
  <c r="R53" i="6" s="1"/>
  <c r="V56" i="6"/>
  <c r="Y56" i="6" s="1"/>
  <c r="C60" i="6"/>
  <c r="F60" i="6" s="1"/>
  <c r="D68" i="6"/>
  <c r="G68" i="6" s="1"/>
  <c r="T73" i="6"/>
  <c r="W73" i="6" s="1"/>
  <c r="B95" i="6"/>
  <c r="E95" i="6" s="1"/>
  <c r="B96" i="6"/>
  <c r="E96" i="6" s="1"/>
  <c r="O67" i="6"/>
  <c r="R67" i="6" s="1"/>
  <c r="D53" i="6"/>
  <c r="G53" i="6" s="1"/>
  <c r="J57" i="6"/>
  <c r="M57" i="6" s="1"/>
  <c r="V57" i="6"/>
  <c r="Y57" i="6" s="1"/>
  <c r="P61" i="6"/>
  <c r="S61" i="6" s="1"/>
  <c r="N62" i="6"/>
  <c r="Q62" i="6" s="1"/>
  <c r="B63" i="6"/>
  <c r="E63" i="6" s="1"/>
  <c r="B67" i="6"/>
  <c r="E67" i="6" s="1"/>
  <c r="H70" i="6"/>
  <c r="K70" i="6" s="1"/>
  <c r="T70" i="6"/>
  <c r="W70" i="6" s="1"/>
  <c r="I71" i="6"/>
  <c r="L71" i="6" s="1"/>
  <c r="U71" i="6"/>
  <c r="X71" i="6" s="1"/>
  <c r="U72" i="6"/>
  <c r="X72" i="6" s="1"/>
  <c r="I73" i="6"/>
  <c r="L73" i="6" s="1"/>
  <c r="C76" i="6"/>
  <c r="F76" i="6" s="1"/>
  <c r="O76" i="6"/>
  <c r="R76" i="6" s="1"/>
  <c r="C86" i="6"/>
  <c r="F86" i="6" s="1"/>
  <c r="O86" i="6"/>
  <c r="R86" i="6" s="1"/>
  <c r="C87" i="6"/>
  <c r="F87" i="6" s="1"/>
  <c r="B88" i="6"/>
  <c r="E88" i="6" s="1"/>
  <c r="N88" i="6"/>
  <c r="Q88" i="6" s="1"/>
  <c r="T91" i="6"/>
  <c r="W91" i="6" s="1"/>
  <c r="N92" i="6"/>
  <c r="Q92" i="6" s="1"/>
  <c r="N93" i="6"/>
  <c r="Q93" i="6" s="1"/>
  <c r="O94" i="6"/>
  <c r="R94" i="6" s="1"/>
  <c r="C95" i="6"/>
  <c r="F95" i="6" s="1"/>
  <c r="C96" i="6"/>
  <c r="F96" i="6" s="1"/>
  <c r="D97" i="6"/>
  <c r="G97" i="6" s="1"/>
  <c r="P97" i="6"/>
  <c r="S97" i="6" s="1"/>
  <c r="T98" i="6"/>
  <c r="W98" i="6" s="1"/>
  <c r="C100" i="6"/>
  <c r="F100" i="6" s="1"/>
  <c r="J76" i="6"/>
  <c r="M76" i="6" s="1"/>
  <c r="V54" i="6"/>
  <c r="Y54" i="6" s="1"/>
  <c r="C58" i="6"/>
  <c r="F58" i="6" s="1"/>
  <c r="V76" i="6"/>
  <c r="Y76" i="6" s="1"/>
  <c r="V80" i="6"/>
  <c r="Y80" i="6" s="1"/>
  <c r="U88" i="6"/>
  <c r="X88" i="6" s="1"/>
  <c r="T97" i="6"/>
  <c r="W97" i="6" s="1"/>
  <c r="I53" i="6"/>
  <c r="L53" i="6" s="1"/>
  <c r="U53" i="6"/>
  <c r="X53" i="6" s="1"/>
  <c r="O57" i="6"/>
  <c r="R57" i="6" s="1"/>
  <c r="V63" i="6"/>
  <c r="Y63" i="6" s="1"/>
  <c r="V65" i="6"/>
  <c r="Y65" i="6" s="1"/>
  <c r="P66" i="6"/>
  <c r="S66" i="6" s="1"/>
  <c r="D67" i="6"/>
  <c r="G67" i="6" s="1"/>
  <c r="D70" i="6"/>
  <c r="G70" i="6" s="1"/>
  <c r="N71" i="6"/>
  <c r="Q71" i="6" s="1"/>
  <c r="B73" i="6"/>
  <c r="E73" i="6" s="1"/>
  <c r="N73" i="6"/>
  <c r="Q73" i="6" s="1"/>
  <c r="H76" i="6"/>
  <c r="K76" i="6" s="1"/>
  <c r="T76" i="6"/>
  <c r="W76" i="6" s="1"/>
  <c r="T77" i="6"/>
  <c r="W77" i="6" s="1"/>
  <c r="B79" i="6"/>
  <c r="E79" i="6" s="1"/>
  <c r="H86" i="6"/>
  <c r="K86" i="6" s="1"/>
  <c r="T86" i="6"/>
  <c r="W86" i="6" s="1"/>
  <c r="D88" i="6"/>
  <c r="G88" i="6" s="1"/>
  <c r="T94" i="6"/>
  <c r="W94" i="6" s="1"/>
  <c r="T95" i="6"/>
  <c r="W95" i="6" s="1"/>
  <c r="T96" i="6"/>
  <c r="W96" i="6" s="1"/>
  <c r="I97" i="6"/>
  <c r="L97" i="6" s="1"/>
  <c r="U97" i="6"/>
  <c r="X97" i="6" s="1"/>
  <c r="J98" i="6"/>
  <c r="M98" i="6" s="1"/>
  <c r="J99" i="6"/>
  <c r="M99" i="6" s="1"/>
  <c r="V55" i="6"/>
  <c r="Y55" i="6" s="1"/>
  <c r="P58" i="6"/>
  <c r="S58" i="6" s="1"/>
  <c r="O66" i="6"/>
  <c r="R66" i="6" s="1"/>
  <c r="P74" i="6"/>
  <c r="S74" i="6" s="1"/>
  <c r="V81" i="6"/>
  <c r="Y81" i="6" s="1"/>
  <c r="C88" i="6"/>
  <c r="F88" i="6" s="1"/>
  <c r="U92" i="6"/>
  <c r="X92" i="6" s="1"/>
  <c r="J96" i="6"/>
  <c r="M96" i="6" s="1"/>
  <c r="J53" i="6"/>
  <c r="M53" i="6" s="1"/>
  <c r="N56" i="6"/>
  <c r="Q56" i="6" s="1"/>
  <c r="C57" i="6"/>
  <c r="F57" i="6" s="1"/>
  <c r="P57" i="6"/>
  <c r="S57" i="6" s="1"/>
  <c r="H62" i="6"/>
  <c r="K62" i="6" s="1"/>
  <c r="T62" i="6"/>
  <c r="W62" i="6" s="1"/>
  <c r="B70" i="6"/>
  <c r="E70" i="6" s="1"/>
  <c r="N70" i="6"/>
  <c r="Q70" i="6" s="1"/>
  <c r="O71" i="6"/>
  <c r="R71" i="6" s="1"/>
  <c r="O72" i="6"/>
  <c r="R72" i="6" s="1"/>
  <c r="C73" i="6"/>
  <c r="F73" i="6" s="1"/>
  <c r="D74" i="6"/>
  <c r="G74" i="6" s="1"/>
  <c r="I76" i="6"/>
  <c r="L76" i="6" s="1"/>
  <c r="U76" i="6"/>
  <c r="X76" i="6" s="1"/>
  <c r="I86" i="6"/>
  <c r="L86" i="6" s="1"/>
  <c r="T88" i="6"/>
  <c r="W88" i="6" s="1"/>
  <c r="N91" i="6"/>
  <c r="Q91" i="6" s="1"/>
  <c r="H93" i="6"/>
  <c r="K93" i="6" s="1"/>
  <c r="T93" i="6"/>
  <c r="W93" i="6" s="1"/>
  <c r="U94" i="6"/>
  <c r="X94" i="6" s="1"/>
  <c r="U95" i="6"/>
  <c r="X95" i="6" s="1"/>
  <c r="J97" i="6"/>
  <c r="M97" i="6" s="1"/>
  <c r="O54" i="6"/>
  <c r="R54" i="6" s="1"/>
  <c r="C55" i="6"/>
  <c r="F55" i="6" s="1"/>
  <c r="D56" i="6"/>
  <c r="G56" i="6" s="1"/>
  <c r="I58" i="6"/>
  <c r="L58" i="6" s="1"/>
  <c r="V59" i="6"/>
  <c r="Y59" i="6" s="1"/>
  <c r="J60" i="6"/>
  <c r="M60" i="6" s="1"/>
  <c r="V60" i="6"/>
  <c r="Y60" i="6" s="1"/>
  <c r="J61" i="6"/>
  <c r="M61" i="6" s="1"/>
  <c r="N63" i="6"/>
  <c r="Q63" i="6" s="1"/>
  <c r="T64" i="6"/>
  <c r="W64" i="6" s="1"/>
  <c r="N65" i="6"/>
  <c r="Q65" i="6" s="1"/>
  <c r="T66" i="6"/>
  <c r="W66" i="6" s="1"/>
  <c r="B68" i="6"/>
  <c r="E68" i="6" s="1"/>
  <c r="U74" i="6"/>
  <c r="X74" i="6" s="1"/>
  <c r="C79" i="6"/>
  <c r="F79" i="6" s="1"/>
  <c r="O80" i="6"/>
  <c r="R80" i="6" s="1"/>
  <c r="C81" i="6"/>
  <c r="F81" i="6" s="1"/>
  <c r="O81" i="6"/>
  <c r="R81" i="6" s="1"/>
  <c r="C82" i="6"/>
  <c r="F82" i="6" s="1"/>
  <c r="O82" i="6"/>
  <c r="R82" i="6" s="1"/>
  <c r="O83" i="6"/>
  <c r="R83" i="6" s="1"/>
  <c r="C84" i="6"/>
  <c r="F84" i="6" s="1"/>
  <c r="O84" i="6"/>
  <c r="R84" i="6" s="1"/>
  <c r="C85" i="6"/>
  <c r="F85" i="6" s="1"/>
  <c r="N98" i="6"/>
  <c r="Q98" i="6" s="1"/>
  <c r="B99" i="6"/>
  <c r="E99" i="6" s="1"/>
  <c r="J100" i="6"/>
  <c r="M100" i="6" s="1"/>
  <c r="V100" i="6"/>
  <c r="Y100" i="6" s="1"/>
  <c r="N58" i="6"/>
  <c r="Q58" i="6" s="1"/>
  <c r="C59" i="6"/>
  <c r="F59" i="6" s="1"/>
  <c r="O60" i="6"/>
  <c r="R60" i="6" s="1"/>
  <c r="C61" i="6"/>
  <c r="F61" i="6" s="1"/>
  <c r="P62" i="6"/>
  <c r="S62" i="6" s="1"/>
  <c r="V69" i="6"/>
  <c r="Y69" i="6" s="1"/>
  <c r="N74" i="6"/>
  <c r="Q74" i="6" s="1"/>
  <c r="H78" i="6"/>
  <c r="K78" i="6" s="1"/>
  <c r="T79" i="6"/>
  <c r="W79" i="6" s="1"/>
  <c r="H96" i="6"/>
  <c r="K96" i="6" s="1"/>
  <c r="U54" i="6"/>
  <c r="X54" i="6" s="1"/>
  <c r="O58" i="6"/>
  <c r="R58" i="6" s="1"/>
  <c r="P60" i="6"/>
  <c r="S60" i="6" s="1"/>
  <c r="D61" i="6"/>
  <c r="G61" i="6" s="1"/>
  <c r="T65" i="6"/>
  <c r="W65" i="6" s="1"/>
  <c r="C71" i="6"/>
  <c r="F71" i="6" s="1"/>
  <c r="I77" i="6"/>
  <c r="L77" i="6" s="1"/>
  <c r="U79" i="6"/>
  <c r="X79" i="6" s="1"/>
  <c r="U81" i="6"/>
  <c r="X81" i="6" s="1"/>
  <c r="I82" i="6"/>
  <c r="L82" i="6" s="1"/>
  <c r="U82" i="6"/>
  <c r="X82" i="6" s="1"/>
  <c r="I83" i="6"/>
  <c r="L83" i="6" s="1"/>
  <c r="I96" i="6"/>
  <c r="L96" i="6" s="1"/>
  <c r="H99" i="6"/>
  <c r="K99" i="6" s="1"/>
  <c r="P100" i="6"/>
  <c r="S100" i="6" s="1"/>
  <c r="H53" i="6"/>
  <c r="K53" i="6" s="1"/>
  <c r="N57" i="6"/>
  <c r="Q57" i="6" s="1"/>
  <c r="U63" i="6"/>
  <c r="X63" i="6" s="1"/>
  <c r="U65" i="6"/>
  <c r="X65" i="6" s="1"/>
  <c r="D72" i="6"/>
  <c r="G72" i="6" s="1"/>
  <c r="P73" i="6"/>
  <c r="S73" i="6" s="1"/>
  <c r="J78" i="6"/>
  <c r="M78" i="6" s="1"/>
  <c r="V78" i="6"/>
  <c r="Y78" i="6" s="1"/>
  <c r="J80" i="6"/>
  <c r="M80" i="6" s="1"/>
  <c r="J81" i="6"/>
  <c r="M81" i="6" s="1"/>
  <c r="J83" i="6"/>
  <c r="M83" i="6" s="1"/>
  <c r="V84" i="6"/>
  <c r="Y84" i="6" s="1"/>
  <c r="I98" i="6"/>
  <c r="L98" i="6" s="1"/>
  <c r="I99" i="6"/>
  <c r="L99" i="6" s="1"/>
  <c r="O78" i="6"/>
  <c r="R78" i="6" s="1"/>
  <c r="C80" i="6"/>
  <c r="F80" i="6" s="1"/>
  <c r="C83" i="6"/>
  <c r="F83" i="6" s="1"/>
  <c r="V97" i="6"/>
  <c r="Y97" i="6" s="1"/>
  <c r="P82" i="6"/>
  <c r="S82" i="6" s="1"/>
  <c r="J86" i="6"/>
  <c r="M86" i="6" s="1"/>
  <c r="O89" i="6"/>
  <c r="R89" i="6" s="1"/>
  <c r="I93" i="6"/>
  <c r="L93" i="6" s="1"/>
  <c r="J94" i="6"/>
  <c r="M94" i="6" s="1"/>
  <c r="V95" i="6"/>
  <c r="Y95" i="6" s="1"/>
  <c r="N97" i="6"/>
  <c r="Q97" i="6" s="1"/>
  <c r="C53" i="6"/>
  <c r="F53" i="6" s="1"/>
  <c r="N54" i="6"/>
  <c r="Q54" i="6" s="1"/>
  <c r="B55" i="6"/>
  <c r="E55" i="6" s="1"/>
  <c r="N55" i="6"/>
  <c r="Q55" i="6" s="1"/>
  <c r="P56" i="6"/>
  <c r="S56" i="6" s="1"/>
  <c r="U61" i="6"/>
  <c r="X61" i="6" s="1"/>
  <c r="J62" i="6"/>
  <c r="M62" i="6" s="1"/>
  <c r="N78" i="6"/>
  <c r="Q78" i="6" s="1"/>
  <c r="N80" i="6"/>
  <c r="Q80" i="6" s="1"/>
  <c r="N82" i="6"/>
  <c r="Q82" i="6" s="1"/>
  <c r="N84" i="6"/>
  <c r="Q84" i="6" s="1"/>
  <c r="V88" i="6"/>
  <c r="Y88" i="6" s="1"/>
  <c r="V90" i="6"/>
  <c r="Y90" i="6" s="1"/>
  <c r="V92" i="6"/>
  <c r="Y92" i="6" s="1"/>
  <c r="T56" i="6"/>
  <c r="W56" i="6" s="1"/>
  <c r="I72" i="6"/>
  <c r="L72" i="6" s="1"/>
  <c r="B56" i="6"/>
  <c r="E56" i="6" s="1"/>
  <c r="N53" i="6"/>
  <c r="Q53" i="6" s="1"/>
  <c r="C54" i="6"/>
  <c r="F54" i="6" s="1"/>
  <c r="D55" i="6"/>
  <c r="G55" i="6" s="1"/>
  <c r="T57" i="6"/>
  <c r="W57" i="6" s="1"/>
  <c r="J58" i="6"/>
  <c r="M58" i="6" s="1"/>
  <c r="V58" i="6"/>
  <c r="Y58" i="6" s="1"/>
  <c r="N59" i="6"/>
  <c r="Q59" i="6" s="1"/>
  <c r="O63" i="6"/>
  <c r="R63" i="6" s="1"/>
  <c r="O65" i="6"/>
  <c r="R65" i="6" s="1"/>
  <c r="U66" i="6"/>
  <c r="X66" i="6" s="1"/>
  <c r="I67" i="6"/>
  <c r="L67" i="6" s="1"/>
  <c r="V74" i="6"/>
  <c r="Y74" i="6" s="1"/>
  <c r="O93" i="6"/>
  <c r="R93" i="6" s="1"/>
  <c r="D96" i="6"/>
  <c r="G96" i="6" s="1"/>
  <c r="V67" i="6"/>
  <c r="Y67" i="6" s="1"/>
  <c r="I57" i="6"/>
  <c r="L57" i="6" s="1"/>
  <c r="U57" i="6"/>
  <c r="X57" i="6" s="1"/>
  <c r="P65" i="6"/>
  <c r="S65" i="6" s="1"/>
  <c r="J67" i="6"/>
  <c r="M67" i="6" s="1"/>
  <c r="T72" i="6"/>
  <c r="W72" i="6" s="1"/>
  <c r="N75" i="6"/>
  <c r="Q75" i="6" s="1"/>
  <c r="B77" i="6"/>
  <c r="E77" i="6" s="1"/>
  <c r="N77" i="6"/>
  <c r="Q77" i="6" s="1"/>
  <c r="T81" i="6"/>
  <c r="W81" i="6" s="1"/>
  <c r="B87" i="6"/>
  <c r="E87" i="6" s="1"/>
  <c r="N94" i="6"/>
  <c r="Q94" i="6" s="1"/>
  <c r="N96" i="6"/>
  <c r="Q96" i="6" s="1"/>
  <c r="O97" i="6"/>
  <c r="R97" i="6" s="1"/>
  <c r="C98" i="6"/>
  <c r="F98" i="6" s="1"/>
  <c r="D99" i="6"/>
  <c r="G99" i="6" s="1"/>
  <c r="AH124" i="3"/>
  <c r="DB46" i="2"/>
  <c r="O46" i="2"/>
  <c r="CQ62" i="2"/>
  <c r="L62" i="2" s="1"/>
  <c r="P62" i="2"/>
  <c r="P64" i="2"/>
  <c r="CQ64" i="2"/>
  <c r="L64" i="2" s="1"/>
  <c r="CQ12" i="2"/>
  <c r="L12" i="2" s="1"/>
  <c r="O12" i="2"/>
  <c r="P56" i="2"/>
  <c r="DB27" i="2"/>
  <c r="CQ63" i="2"/>
  <c r="L63" i="2" s="1"/>
  <c r="R63" i="2"/>
  <c r="AH82" i="3"/>
  <c r="CQ41" i="2"/>
  <c r="V18" i="3"/>
  <c r="D18" i="6"/>
  <c r="D69" i="6" s="1"/>
  <c r="G69" i="6" s="1"/>
  <c r="D20" i="3"/>
  <c r="C40" i="6"/>
  <c r="C91" i="6" s="1"/>
  <c r="F91" i="6" s="1"/>
  <c r="C47" i="3"/>
  <c r="C119" i="3" s="1"/>
  <c r="X59" i="2"/>
  <c r="W59" i="2" s="1"/>
  <c r="I62" i="2"/>
  <c r="N48" i="6"/>
  <c r="N99" i="6" s="1"/>
  <c r="Q99" i="6" s="1"/>
  <c r="N56" i="3"/>
  <c r="N127" i="3" s="1"/>
  <c r="AF127" i="3" s="1"/>
  <c r="AH127" i="3" s="1"/>
  <c r="I80" i="3"/>
  <c r="AC31" i="2"/>
  <c r="AC30" i="2"/>
  <c r="D40" i="6"/>
  <c r="D91" i="6" s="1"/>
  <c r="G91" i="6" s="1"/>
  <c r="D47" i="3"/>
  <c r="D119" i="3" s="1"/>
  <c r="A122" i="3"/>
  <c r="AC122" i="3" s="1"/>
  <c r="A50" i="3"/>
  <c r="A53" i="3"/>
  <c r="O48" i="6"/>
  <c r="O99" i="6" s="1"/>
  <c r="R99" i="6" s="1"/>
  <c r="O56" i="3"/>
  <c r="G80" i="3"/>
  <c r="F80" i="3"/>
  <c r="A44" i="6"/>
  <c r="A95" i="6" s="1"/>
  <c r="A123" i="3"/>
  <c r="AC123" i="3" s="1"/>
  <c r="A51" i="3"/>
  <c r="B39" i="6"/>
  <c r="B90" i="6" s="1"/>
  <c r="E90" i="6" s="1"/>
  <c r="B46" i="3"/>
  <c r="B118" i="3" s="1"/>
  <c r="AD118" i="3" s="1"/>
  <c r="Q62" i="2"/>
  <c r="H7" i="6"/>
  <c r="H58" i="6" s="1"/>
  <c r="K58" i="6" s="1"/>
  <c r="H8" i="3"/>
  <c r="H85" i="3" s="1"/>
  <c r="I85" i="3" s="1"/>
  <c r="I16" i="2"/>
  <c r="J16" i="2" s="1"/>
  <c r="I20" i="2"/>
  <c r="J20" i="2" s="1"/>
  <c r="U17" i="6"/>
  <c r="U68" i="6" s="1"/>
  <c r="X68" i="6" s="1"/>
  <c r="U19" i="3"/>
  <c r="AC28" i="2"/>
  <c r="A23" i="6"/>
  <c r="A74" i="6" s="1"/>
  <c r="A102" i="3"/>
  <c r="AC102" i="3" s="1"/>
  <c r="I45" i="2"/>
  <c r="J45" i="2" s="1"/>
  <c r="C39" i="6"/>
  <c r="C90" i="6" s="1"/>
  <c r="F90" i="6" s="1"/>
  <c r="C46" i="3"/>
  <c r="C41" i="6"/>
  <c r="C92" i="6" s="1"/>
  <c r="F92" i="6" s="1"/>
  <c r="C48" i="3"/>
  <c r="P58" i="2"/>
  <c r="I58" i="2"/>
  <c r="J58" i="2" s="1"/>
  <c r="U48" i="6"/>
  <c r="U99" i="6" s="1"/>
  <c r="X99" i="6" s="1"/>
  <c r="U56" i="3"/>
  <c r="U127" i="3" s="1"/>
  <c r="AG121" i="3"/>
  <c r="AH121" i="3" s="1"/>
  <c r="U121" i="3"/>
  <c r="AH110" i="3"/>
  <c r="V48" i="6"/>
  <c r="V99" i="6" s="1"/>
  <c r="Y99" i="6" s="1"/>
  <c r="V56" i="3"/>
  <c r="V127" i="3" s="1"/>
  <c r="J19" i="3"/>
  <c r="A43" i="6"/>
  <c r="A94" i="6" s="1"/>
  <c r="V17" i="6"/>
  <c r="V68" i="6" s="1"/>
  <c r="Y68" i="6" s="1"/>
  <c r="V19" i="3"/>
  <c r="P21" i="2"/>
  <c r="A108" i="3"/>
  <c r="AC108" i="3" s="1"/>
  <c r="A36" i="3"/>
  <c r="A29" i="6"/>
  <c r="A80" i="6" s="1"/>
  <c r="H39" i="6"/>
  <c r="H90" i="6" s="1"/>
  <c r="K90" i="6" s="1"/>
  <c r="H46" i="3"/>
  <c r="H118" i="3" s="1"/>
  <c r="AE118" i="3" s="1"/>
  <c r="AC57" i="2"/>
  <c r="N19" i="3"/>
  <c r="N96" i="3" s="1"/>
  <c r="AF96" i="3" s="1"/>
  <c r="L94" i="3"/>
  <c r="L101" i="3"/>
  <c r="J20" i="3"/>
  <c r="J18" i="6"/>
  <c r="J69" i="6" s="1"/>
  <c r="M69" i="6" s="1"/>
  <c r="A38" i="6"/>
  <c r="A89" i="6" s="1"/>
  <c r="A117" i="3"/>
  <c r="AC117" i="3" s="1"/>
  <c r="B24" i="6"/>
  <c r="B75" i="6" s="1"/>
  <c r="E75" i="6" s="1"/>
  <c r="B30" i="3"/>
  <c r="B103" i="3" s="1"/>
  <c r="C103" i="3" s="1"/>
  <c r="X37" i="2"/>
  <c r="W37" i="2" s="1"/>
  <c r="P16" i="2"/>
  <c r="X18" i="2"/>
  <c r="O18" i="2" s="1"/>
  <c r="P20" i="2"/>
  <c r="BC36" i="2"/>
  <c r="BD36" i="2" s="1"/>
  <c r="A86" i="3"/>
  <c r="AC86" i="3" s="1"/>
  <c r="H89" i="6"/>
  <c r="K89" i="6" s="1"/>
  <c r="A14" i="6"/>
  <c r="A65" i="6" s="1"/>
  <c r="A92" i="3"/>
  <c r="AC92" i="3" s="1"/>
  <c r="A15" i="3"/>
  <c r="H40" i="6"/>
  <c r="H91" i="6" s="1"/>
  <c r="K91" i="6" s="1"/>
  <c r="H47" i="3"/>
  <c r="H119" i="3" s="1"/>
  <c r="AE119" i="3" s="1"/>
  <c r="AH119" i="3" s="1"/>
  <c r="A9" i="6"/>
  <c r="A60" i="6" s="1"/>
  <c r="A10" i="3"/>
  <c r="P17" i="6"/>
  <c r="P68" i="6" s="1"/>
  <c r="S68" i="6" s="1"/>
  <c r="P19" i="3"/>
  <c r="CQ40" i="2"/>
  <c r="DO40" i="2"/>
  <c r="I39" i="6"/>
  <c r="I90" i="6" s="1"/>
  <c r="L90" i="6" s="1"/>
  <c r="I46" i="3"/>
  <c r="I41" i="6"/>
  <c r="I92" i="6" s="1"/>
  <c r="L92" i="6" s="1"/>
  <c r="I48" i="3"/>
  <c r="Q16" i="2"/>
  <c r="J24" i="6"/>
  <c r="J75" i="6" s="1"/>
  <c r="M75" i="6" s="1"/>
  <c r="J30" i="3"/>
  <c r="J41" i="6"/>
  <c r="J92" i="6" s="1"/>
  <c r="M92" i="6" s="1"/>
  <c r="J48" i="3"/>
  <c r="AC58" i="2"/>
  <c r="H47" i="6"/>
  <c r="H98" i="6" s="1"/>
  <c r="K98" i="6" s="1"/>
  <c r="H55" i="3"/>
  <c r="H126" i="3" s="1"/>
  <c r="AE126" i="3" s="1"/>
  <c r="AH126" i="3" s="1"/>
  <c r="B40" i="6"/>
  <c r="B91" i="6" s="1"/>
  <c r="E91" i="6" s="1"/>
  <c r="H20" i="3"/>
  <c r="H97" i="3" s="1"/>
  <c r="AE97" i="3" s="1"/>
  <c r="D39" i="6"/>
  <c r="D46" i="3"/>
  <c r="FC40" i="2"/>
  <c r="FK40" i="2" s="1"/>
  <c r="P57" i="2"/>
  <c r="P48" i="6"/>
  <c r="P99" i="6" s="1"/>
  <c r="S99" i="6" s="1"/>
  <c r="P56" i="3"/>
  <c r="DO14" i="2"/>
  <c r="AC21" i="2"/>
  <c r="P45" i="2"/>
  <c r="P67" i="6"/>
  <c r="S67" i="6" s="1"/>
  <c r="D108" i="3"/>
  <c r="H41" i="3"/>
  <c r="H113" i="3" s="1"/>
  <c r="AE113" i="3" s="1"/>
  <c r="C14" i="6"/>
  <c r="C65" i="6" s="1"/>
  <c r="F65" i="6" s="1"/>
  <c r="C15" i="3"/>
  <c r="X45" i="2"/>
  <c r="W45" i="2" s="1"/>
  <c r="DO48" i="2"/>
  <c r="C14" i="3"/>
  <c r="B17" i="3"/>
  <c r="B94" i="3" s="1"/>
  <c r="AD94" i="3" s="1"/>
  <c r="I41" i="3"/>
  <c r="AH114" i="3"/>
  <c r="I15" i="6"/>
  <c r="I66" i="6" s="1"/>
  <c r="L66" i="6" s="1"/>
  <c r="AC29" i="2"/>
  <c r="EA40" i="2"/>
  <c r="A13" i="3"/>
  <c r="A12" i="6"/>
  <c r="A63" i="6" s="1"/>
  <c r="A90" i="3"/>
  <c r="AC90" i="3" s="1"/>
  <c r="CB38" i="2"/>
  <c r="L38" i="2" s="1"/>
  <c r="A33" i="6"/>
  <c r="A84" i="6" s="1"/>
  <c r="A112" i="3"/>
  <c r="AC112" i="3" s="1"/>
  <c r="A40" i="3"/>
  <c r="O34" i="6"/>
  <c r="O85" i="6" s="1"/>
  <c r="R85" i="6" s="1"/>
  <c r="O41" i="3"/>
  <c r="GA56" i="2"/>
  <c r="GA57" i="2" s="1"/>
  <c r="X57" i="2"/>
  <c r="W57" i="2" s="1"/>
  <c r="A46" i="6"/>
  <c r="A97" i="6" s="1"/>
  <c r="A54" i="3"/>
  <c r="B6" i="3"/>
  <c r="B83" i="3" s="1"/>
  <c r="AD83" i="3" s="1"/>
  <c r="D14" i="3"/>
  <c r="J41" i="3"/>
  <c r="EA14" i="2"/>
  <c r="A31" i="6"/>
  <c r="A82" i="6" s="1"/>
  <c r="A38" i="3"/>
  <c r="P34" i="6"/>
  <c r="P85" i="6" s="1"/>
  <c r="S85" i="6" s="1"/>
  <c r="X49" i="2"/>
  <c r="W49" i="2" s="1"/>
  <c r="J88" i="3"/>
  <c r="H14" i="3"/>
  <c r="H91" i="3" s="1"/>
  <c r="AE91" i="3" s="1"/>
  <c r="N41" i="3"/>
  <c r="N113" i="3" s="1"/>
  <c r="AF113" i="3" s="1"/>
  <c r="A6" i="6"/>
  <c r="A57" i="6" s="1"/>
  <c r="A84" i="3"/>
  <c r="AC84" i="3" s="1"/>
  <c r="DB14" i="2"/>
  <c r="FK57" i="2"/>
  <c r="GI57" i="2" s="1"/>
  <c r="A9" i="3"/>
  <c r="I14" i="3"/>
  <c r="AH111" i="3"/>
  <c r="P41" i="3"/>
  <c r="H64" i="6"/>
  <c r="A80" i="3"/>
  <c r="AC80" i="3" s="1"/>
  <c r="DC13" i="2"/>
  <c r="I14" i="6"/>
  <c r="I65" i="6" s="1"/>
  <c r="L65" i="6" s="1"/>
  <c r="I15" i="3"/>
  <c r="B26" i="3"/>
  <c r="B99" i="3" s="1"/>
  <c r="B20" i="6"/>
  <c r="B71" i="6" s="1"/>
  <c r="E71" i="6" s="1"/>
  <c r="A101" i="3"/>
  <c r="AC101" i="3" s="1"/>
  <c r="A22" i="6"/>
  <c r="A73" i="6" s="1"/>
  <c r="A28" i="3"/>
  <c r="U34" i="6"/>
  <c r="U85" i="6" s="1"/>
  <c r="X85" i="6" s="1"/>
  <c r="U41" i="3"/>
  <c r="H6" i="3"/>
  <c r="H83" i="3" s="1"/>
  <c r="AE83" i="3" s="1"/>
  <c r="B9" i="3"/>
  <c r="B86" i="3" s="1"/>
  <c r="AD86" i="3" s="1"/>
  <c r="AH86" i="3" s="1"/>
  <c r="J14" i="3"/>
  <c r="T41" i="3"/>
  <c r="T113" i="3" s="1"/>
  <c r="AG113" i="3" s="1"/>
  <c r="U122" i="3"/>
  <c r="H15" i="6"/>
  <c r="H66" i="6" s="1"/>
  <c r="K66" i="6" s="1"/>
  <c r="H17" i="3"/>
  <c r="H94" i="3" s="1"/>
  <c r="AE94" i="3" s="1"/>
  <c r="A81" i="3"/>
  <c r="AC81" i="3" s="1"/>
  <c r="A3" i="6"/>
  <c r="A54" i="6" s="1"/>
  <c r="A32" i="6"/>
  <c r="A83" i="6" s="1"/>
  <c r="A111" i="3"/>
  <c r="AC111" i="3" s="1"/>
  <c r="A17" i="6"/>
  <c r="A68" i="6" s="1"/>
  <c r="A96" i="3"/>
  <c r="AC96" i="3" s="1"/>
  <c r="A27" i="6"/>
  <c r="A78" i="6" s="1"/>
  <c r="A106" i="3"/>
  <c r="AC106" i="3" s="1"/>
  <c r="A45" i="6"/>
  <c r="A96" i="6" s="1"/>
  <c r="A52" i="3"/>
  <c r="A124" i="3"/>
  <c r="AC124" i="3" s="1"/>
  <c r="V41" i="3"/>
  <c r="B48" i="3"/>
  <c r="B120" i="3" s="1"/>
  <c r="AD120" i="3" s="1"/>
  <c r="V122" i="3"/>
  <c r="F92" i="3"/>
  <c r="J64" i="6"/>
  <c r="M64" i="6" s="1"/>
  <c r="A91" i="3"/>
  <c r="AC91" i="3" s="1"/>
  <c r="A13" i="6"/>
  <c r="A64" i="6" s="1"/>
  <c r="W14" i="2"/>
  <c r="FC26" i="2"/>
  <c r="D34" i="3"/>
  <c r="D48" i="3"/>
  <c r="AH123" i="3"/>
  <c r="F81" i="3"/>
  <c r="D15" i="6"/>
  <c r="D66" i="6" s="1"/>
  <c r="G66" i="6" s="1"/>
  <c r="D17" i="3"/>
  <c r="A15" i="6"/>
  <c r="A66" i="6" s="1"/>
  <c r="A94" i="3"/>
  <c r="AC94" i="3" s="1"/>
  <c r="W46" i="2"/>
  <c r="H13" i="3"/>
  <c r="H90" i="3" s="1"/>
  <c r="AE90" i="3" s="1"/>
  <c r="AH90" i="3" s="1"/>
  <c r="BF19" i="2"/>
  <c r="H12" i="6"/>
  <c r="W27" i="2"/>
  <c r="I44" i="3"/>
  <c r="I37" i="6"/>
  <c r="I88" i="6" s="1"/>
  <c r="L88" i="6" s="1"/>
  <c r="A4" i="3"/>
  <c r="I98" i="3"/>
  <c r="A29" i="3"/>
  <c r="H48" i="3"/>
  <c r="H120" i="3" s="1"/>
  <c r="AE120" i="3" s="1"/>
  <c r="B8" i="3"/>
  <c r="B85" i="3" s="1"/>
  <c r="D85" i="3" s="1"/>
  <c r="B7" i="6"/>
  <c r="B58" i="6" s="1"/>
  <c r="E58" i="6" s="1"/>
  <c r="FC14" i="2"/>
  <c r="BF21" i="2"/>
  <c r="DB13" i="2"/>
  <c r="W15" i="2"/>
  <c r="I18" i="2"/>
  <c r="J18" i="2" s="1"/>
  <c r="I13" i="3"/>
  <c r="I12" i="6"/>
  <c r="I63" i="6" s="1"/>
  <c r="L63" i="6" s="1"/>
  <c r="A25" i="6"/>
  <c r="A76" i="6" s="1"/>
  <c r="A31" i="3"/>
  <c r="A104" i="3"/>
  <c r="AC104" i="3" s="1"/>
  <c r="J44" i="3"/>
  <c r="J37" i="6"/>
  <c r="J88" i="6" s="1"/>
  <c r="M88" i="6" s="1"/>
  <c r="B46" i="6"/>
  <c r="B97" i="6" s="1"/>
  <c r="E97" i="6" s="1"/>
  <c r="B54" i="3"/>
  <c r="B125" i="3" s="1"/>
  <c r="D125" i="3" s="1"/>
  <c r="B4" i="3"/>
  <c r="B81" i="3" s="1"/>
  <c r="AD81" i="3" s="1"/>
  <c r="J98" i="3"/>
  <c r="B29" i="3"/>
  <c r="B102" i="3" s="1"/>
  <c r="AD102" i="3" s="1"/>
  <c r="M90" i="3"/>
  <c r="L90" i="3"/>
  <c r="B6" i="6"/>
  <c r="B57" i="6" s="1"/>
  <c r="E57" i="6" s="1"/>
  <c r="B7" i="3"/>
  <c r="B84" i="3" s="1"/>
  <c r="D84" i="3" s="1"/>
  <c r="I12" i="2"/>
  <c r="A89" i="3"/>
  <c r="AC89" i="3" s="1"/>
  <c r="A11" i="6"/>
  <c r="A62" i="6" s="1"/>
  <c r="P44" i="2"/>
  <c r="DO13" i="2"/>
  <c r="A32" i="3"/>
  <c r="P120" i="3"/>
  <c r="I36" i="6"/>
  <c r="I87" i="6" s="1"/>
  <c r="L87" i="6" s="1"/>
  <c r="O49" i="2"/>
  <c r="W24" i="2"/>
  <c r="DP42" i="2"/>
  <c r="W25" i="2"/>
  <c r="H36" i="6"/>
  <c r="H87" i="6" s="1"/>
  <c r="K87" i="6" s="1"/>
  <c r="A40" i="6"/>
  <c r="A91" i="6" s="1"/>
  <c r="A119" i="3"/>
  <c r="AC119" i="3" s="1"/>
  <c r="A47" i="3"/>
  <c r="A121" i="3"/>
  <c r="AC121" i="3" s="1"/>
  <c r="A49" i="3"/>
  <c r="A42" i="6"/>
  <c r="A93" i="6" s="1"/>
  <c r="H4" i="3"/>
  <c r="H81" i="3" s="1"/>
  <c r="AE81" i="3" s="1"/>
  <c r="D15" i="3"/>
  <c r="H29" i="3"/>
  <c r="H102" i="3" s="1"/>
  <c r="AE102" i="3" s="1"/>
  <c r="A45" i="3"/>
  <c r="A87" i="3"/>
  <c r="AC87" i="3" s="1"/>
  <c r="S95" i="3"/>
  <c r="R95" i="3"/>
  <c r="AH105" i="3"/>
  <c r="V85" i="6"/>
  <c r="Y85" i="6" s="1"/>
  <c r="X34" i="2"/>
  <c r="J50" i="2"/>
  <c r="H15" i="3"/>
  <c r="H92" i="3" s="1"/>
  <c r="AE92" i="3" s="1"/>
  <c r="B45" i="3"/>
  <c r="B117" i="3" s="1"/>
  <c r="AD117" i="3" s="1"/>
  <c r="A85" i="3"/>
  <c r="AC85" i="3" s="1"/>
  <c r="X51" i="2"/>
  <c r="W9" i="2"/>
  <c r="X40" i="2"/>
  <c r="O40" i="2" s="1"/>
  <c r="X26" i="2"/>
  <c r="A2" i="3"/>
  <c r="A7" i="3"/>
  <c r="O18" i="3"/>
  <c r="J29" i="3"/>
  <c r="C45" i="3"/>
  <c r="H6" i="6"/>
  <c r="H57" i="6" s="1"/>
  <c r="K57" i="6" s="1"/>
  <c r="H7" i="3"/>
  <c r="H84" i="3" s="1"/>
  <c r="A98" i="3"/>
  <c r="AC98" i="3" s="1"/>
  <c r="A19" i="6"/>
  <c r="A70" i="6" s="1"/>
  <c r="A21" i="3"/>
  <c r="J15" i="3"/>
  <c r="J14" i="6"/>
  <c r="J65" i="6" s="1"/>
  <c r="M65" i="6" s="1"/>
  <c r="P10" i="2"/>
  <c r="J13" i="3"/>
  <c r="J12" i="6"/>
  <c r="J63" i="6" s="1"/>
  <c r="M63" i="6" s="1"/>
  <c r="A4" i="6"/>
  <c r="A55" i="6" s="1"/>
  <c r="A82" i="3"/>
  <c r="AC82" i="3" s="1"/>
  <c r="A5" i="3"/>
  <c r="P18" i="2"/>
  <c r="X38" i="2"/>
  <c r="W38" i="2" s="1"/>
  <c r="CQ61" i="2"/>
  <c r="L61" i="2" s="1"/>
  <c r="DB15" i="2"/>
  <c r="O15" i="2"/>
  <c r="N16" i="6"/>
  <c r="N67" i="6" s="1"/>
  <c r="Q67" i="6" s="1"/>
  <c r="N18" i="3"/>
  <c r="N95" i="3" s="1"/>
  <c r="AF95" i="3" s="1"/>
  <c r="DC34" i="2"/>
  <c r="CD35" i="2"/>
  <c r="CD36" i="2" s="1"/>
  <c r="GQ54" i="2"/>
  <c r="X61" i="2"/>
  <c r="P18" i="3"/>
  <c r="A27" i="3"/>
  <c r="D45" i="3"/>
  <c r="G83" i="3"/>
  <c r="F83" i="3"/>
  <c r="H48" i="2"/>
  <c r="G48" i="2" s="1"/>
  <c r="EA48" i="2"/>
  <c r="A5" i="6"/>
  <c r="A56" i="6" s="1"/>
  <c r="A83" i="3"/>
  <c r="AC83" i="3" s="1"/>
  <c r="A18" i="6"/>
  <c r="A69" i="6" s="1"/>
  <c r="A20" i="3"/>
  <c r="A97" i="3"/>
  <c r="AC97" i="3" s="1"/>
  <c r="AC59" i="2"/>
  <c r="P59" i="2"/>
  <c r="A26" i="6"/>
  <c r="A77" i="6" s="1"/>
  <c r="A105" i="3"/>
  <c r="AC105" i="3" s="1"/>
  <c r="A33" i="3"/>
  <c r="FK42" i="2"/>
  <c r="EA51" i="2"/>
  <c r="C80" i="3"/>
  <c r="B27" i="3"/>
  <c r="B100" i="3" s="1"/>
  <c r="AD100" i="3" s="1"/>
  <c r="AH100" i="3" s="1"/>
  <c r="J15" i="6"/>
  <c r="J66" i="6" s="1"/>
  <c r="M66" i="6" s="1"/>
  <c r="J17" i="3"/>
  <c r="I20" i="3"/>
  <c r="I18" i="6"/>
  <c r="I69" i="6" s="1"/>
  <c r="L69" i="6" s="1"/>
  <c r="H37" i="6"/>
  <c r="H88" i="6" s="1"/>
  <c r="K88" i="6" s="1"/>
  <c r="H44" i="3"/>
  <c r="H116" i="3" s="1"/>
  <c r="AE116" i="3" s="1"/>
  <c r="AH116" i="3" s="1"/>
  <c r="EA13" i="2"/>
  <c r="H41" i="2"/>
  <c r="P41" i="2" s="1"/>
  <c r="FC41" i="2"/>
  <c r="FK41" i="2" s="1"/>
  <c r="FC13" i="2"/>
  <c r="DO51" i="2"/>
  <c r="CB8" i="2"/>
  <c r="DB12" i="2"/>
  <c r="B12" i="3"/>
  <c r="B89" i="3" s="1"/>
  <c r="AD89" i="3" s="1"/>
  <c r="AH89" i="3" s="1"/>
  <c r="B11" i="6"/>
  <c r="B62" i="6" s="1"/>
  <c r="E62" i="6" s="1"/>
  <c r="C15" i="6"/>
  <c r="C66" i="6" s="1"/>
  <c r="F66" i="6" s="1"/>
  <c r="C17" i="3"/>
  <c r="B18" i="6"/>
  <c r="B69" i="6" s="1"/>
  <c r="E69" i="6" s="1"/>
  <c r="B20" i="3"/>
  <c r="B97" i="3" s="1"/>
  <c r="AD97" i="3" s="1"/>
  <c r="EH51" i="2"/>
  <c r="EM51" i="2" s="1"/>
  <c r="R51" i="2" s="1"/>
  <c r="A39" i="6"/>
  <c r="A90" i="6" s="1"/>
  <c r="A46" i="3"/>
  <c r="A118" i="3"/>
  <c r="AC118" i="3" s="1"/>
  <c r="A41" i="6"/>
  <c r="A92" i="6" s="1"/>
  <c r="A120" i="3"/>
  <c r="AC120" i="3" s="1"/>
  <c r="HW56" i="2"/>
  <c r="HZ56" i="2" s="1"/>
  <c r="A47" i="6"/>
  <c r="A98" i="6" s="1"/>
  <c r="A126" i="3"/>
  <c r="AC126" i="3" s="1"/>
  <c r="AH87" i="3"/>
  <c r="Y127" i="3"/>
  <c r="X127" i="3"/>
  <c r="H60" i="6"/>
  <c r="K60" i="6" s="1"/>
  <c r="B76" i="6"/>
  <c r="E76" i="6" s="1"/>
  <c r="I60" i="6"/>
  <c r="L60" i="6" s="1"/>
  <c r="H73" i="6"/>
  <c r="K73" i="6" s="1"/>
  <c r="J84" i="6"/>
  <c r="M84" i="6" s="1"/>
  <c r="V124" i="3"/>
  <c r="L91" i="3"/>
  <c r="F99" i="3"/>
  <c r="X120" i="3"/>
  <c r="B59" i="6"/>
  <c r="E59" i="6" s="1"/>
  <c r="N64" i="6"/>
  <c r="Q64" i="6" s="1"/>
  <c r="P69" i="6"/>
  <c r="S69" i="6" s="1"/>
  <c r="N89" i="6"/>
  <c r="Q89" i="6" s="1"/>
  <c r="C97" i="6"/>
  <c r="F97" i="6" s="1"/>
  <c r="M92" i="3"/>
  <c r="O64" i="6"/>
  <c r="R64" i="6" s="1"/>
  <c r="I91" i="6"/>
  <c r="L91" i="6" s="1"/>
  <c r="T92" i="6"/>
  <c r="W92" i="6" s="1"/>
  <c r="O117" i="3"/>
  <c r="F85" i="3"/>
  <c r="A109" i="3"/>
  <c r="AC109" i="3" s="1"/>
  <c r="D63" i="6"/>
  <c r="G63" i="6" s="1"/>
  <c r="P64" i="6"/>
  <c r="S64" i="6" s="1"/>
  <c r="P89" i="6"/>
  <c r="S89" i="6" s="1"/>
  <c r="J91" i="6"/>
  <c r="M91" i="6" s="1"/>
  <c r="AH104" i="3"/>
  <c r="N60" i="6"/>
  <c r="Q60" i="6" s="1"/>
  <c r="V61" i="6"/>
  <c r="Y61" i="6" s="1"/>
  <c r="A20" i="6"/>
  <c r="A71" i="6" s="1"/>
  <c r="A114" i="3"/>
  <c r="AC114" i="3" s="1"/>
  <c r="T69" i="6"/>
  <c r="W69" i="6" s="1"/>
  <c r="A24" i="6"/>
  <c r="A75" i="6" s="1"/>
  <c r="H59" i="6"/>
  <c r="K59" i="6" s="1"/>
  <c r="P95" i="6"/>
  <c r="S95" i="6" s="1"/>
  <c r="H97" i="6"/>
  <c r="K97" i="6" s="1"/>
  <c r="D100" i="6"/>
  <c r="G100" i="6" s="1"/>
  <c r="L85" i="3"/>
  <c r="F118" i="3"/>
  <c r="I59" i="6"/>
  <c r="L59" i="6" s="1"/>
  <c r="I94" i="6"/>
  <c r="L94" i="6" s="1"/>
  <c r="A56" i="3"/>
  <c r="F104" i="3"/>
  <c r="X119" i="3"/>
  <c r="P53" i="6"/>
  <c r="J59" i="6"/>
  <c r="M59" i="6" s="1"/>
  <c r="J72" i="6"/>
  <c r="M72" i="6" s="1"/>
  <c r="U87" i="6"/>
  <c r="X87" i="6" s="1"/>
  <c r="B93" i="6"/>
  <c r="E93" i="6" s="1"/>
  <c r="O120" i="3"/>
  <c r="F97" i="3"/>
  <c r="L98" i="3"/>
  <c r="I55" i="6"/>
  <c r="L55" i="6" s="1"/>
  <c r="I68" i="6"/>
  <c r="L68" i="6" s="1"/>
  <c r="F114" i="3"/>
  <c r="Y122" i="3"/>
  <c r="X122" i="3"/>
  <c r="J55" i="6"/>
  <c r="M55" i="6" s="1"/>
  <c r="T60" i="6"/>
  <c r="W60" i="6" s="1"/>
  <c r="J68" i="6"/>
  <c r="M68" i="6" s="1"/>
  <c r="B54" i="6"/>
  <c r="E54" i="6" s="1"/>
  <c r="D58" i="6"/>
  <c r="G58" i="6" s="1"/>
  <c r="A16" i="6"/>
  <c r="A67" i="6" s="1"/>
  <c r="V98" i="6"/>
  <c r="Y98" i="6" s="1"/>
  <c r="A113" i="3"/>
  <c r="AC113" i="3" s="1"/>
  <c r="T53" i="6"/>
  <c r="U56" i="6"/>
  <c r="X56" i="6" s="1"/>
  <c r="D65" i="6"/>
  <c r="G65" i="6" s="1"/>
  <c r="N68" i="6"/>
  <c r="Q68" i="6" s="1"/>
  <c r="A48" i="6"/>
  <c r="A99" i="6" s="1"/>
  <c r="O68" i="6"/>
  <c r="R68" i="6" s="1"/>
  <c r="J39" i="6"/>
  <c r="J90" i="6" s="1"/>
  <c r="M90" i="6" s="1"/>
  <c r="L97" i="3"/>
  <c r="R118" i="3"/>
  <c r="H65" i="6"/>
  <c r="K65" i="6" s="1"/>
  <c r="B81" i="6"/>
  <c r="E81" i="6" s="1"/>
  <c r="J82" i="6"/>
  <c r="M82" i="6" s="1"/>
  <c r="P86" i="6"/>
  <c r="S86" i="6" s="1"/>
  <c r="P94" i="6"/>
  <c r="S94" i="6" s="1"/>
  <c r="B15" i="3"/>
  <c r="B92" i="3" s="1"/>
  <c r="AD92" i="3" s="1"/>
  <c r="C20" i="3"/>
  <c r="E85" i="6"/>
  <c r="I49" i="2"/>
  <c r="J49" i="2" s="1"/>
  <c r="A95" i="3"/>
  <c r="AC95" i="3" s="1"/>
  <c r="C67" i="6"/>
  <c r="F67" i="6" s="1"/>
  <c r="C77" i="6"/>
  <c r="F77" i="6" s="1"/>
  <c r="D81" i="6"/>
  <c r="G81" i="6" s="1"/>
  <c r="T83" i="6"/>
  <c r="W83" i="6" s="1"/>
  <c r="J93" i="6"/>
  <c r="M93" i="6" s="1"/>
  <c r="V79" i="6"/>
  <c r="Y79" i="6" s="1"/>
  <c r="U83" i="6"/>
  <c r="X83" i="6" s="1"/>
  <c r="D85" i="6"/>
  <c r="G85" i="6" s="1"/>
  <c r="I121" i="3"/>
  <c r="X118" i="3"/>
  <c r="F120" i="3"/>
  <c r="J54" i="6"/>
  <c r="M54" i="6" s="1"/>
  <c r="T59" i="6"/>
  <c r="W59" i="6" s="1"/>
  <c r="V83" i="6"/>
  <c r="Y83" i="6" s="1"/>
  <c r="I112" i="3"/>
  <c r="F117" i="3"/>
  <c r="O75" i="6"/>
  <c r="R75" i="6" s="1"/>
  <c r="P78" i="6"/>
  <c r="S78" i="6" s="1"/>
  <c r="H85" i="6"/>
  <c r="K85" i="6" s="1"/>
  <c r="P75" i="6"/>
  <c r="S75" i="6" s="1"/>
  <c r="I85" i="6"/>
  <c r="L85" i="6" s="1"/>
  <c r="A116" i="3"/>
  <c r="AC116" i="3" s="1"/>
  <c r="H77" i="6"/>
  <c r="K77" i="6" s="1"/>
  <c r="I81" i="6"/>
  <c r="L81" i="6" s="1"/>
  <c r="J85" i="6"/>
  <c r="M85" i="6" s="1"/>
  <c r="C124" i="3"/>
  <c r="B89" i="6"/>
  <c r="E89" i="6" s="1"/>
  <c r="D124" i="3"/>
  <c r="C89" i="6"/>
  <c r="F89" i="6" s="1"/>
  <c r="A107" i="3"/>
  <c r="AC107" i="3" s="1"/>
  <c r="A28" i="6"/>
  <c r="A79" i="6" s="1"/>
  <c r="L102" i="3"/>
  <c r="S117" i="3"/>
  <c r="R117" i="3"/>
  <c r="B64" i="6"/>
  <c r="T75" i="6"/>
  <c r="W75" i="6" s="1"/>
  <c r="A26" i="3"/>
  <c r="J101" i="3"/>
  <c r="I47" i="3"/>
  <c r="V121" i="3"/>
  <c r="I124" i="3"/>
  <c r="F94" i="3"/>
  <c r="R96" i="3"/>
  <c r="F101" i="3"/>
  <c r="F106" i="3"/>
  <c r="R113" i="3"/>
  <c r="C64" i="6"/>
  <c r="F64" i="6" s="1"/>
  <c r="H69" i="6"/>
  <c r="K69" i="6" s="1"/>
  <c r="U75" i="6"/>
  <c r="X75" i="6" s="1"/>
  <c r="J47" i="3"/>
  <c r="J124" i="3"/>
  <c r="D60" i="6"/>
  <c r="G60" i="6" s="1"/>
  <c r="N81" i="6"/>
  <c r="Q81" i="6" s="1"/>
  <c r="D98" i="6"/>
  <c r="G98" i="6" s="1"/>
  <c r="I64" i="6"/>
  <c r="L64" i="6" s="1"/>
  <c r="B66" i="6"/>
  <c r="E66" i="6" s="1"/>
  <c r="V53" i="6"/>
  <c r="C62" i="6"/>
  <c r="F62" i="6" s="1"/>
  <c r="O70" i="6"/>
  <c r="R70" i="6" s="1"/>
  <c r="T89" i="6"/>
  <c r="W89" i="6" s="1"/>
  <c r="H95" i="6"/>
  <c r="K95" i="6" s="1"/>
  <c r="O96" i="6"/>
  <c r="R96" i="6" s="1"/>
  <c r="U60" i="6"/>
  <c r="X60" i="6" s="1"/>
  <c r="P70" i="6"/>
  <c r="S70" i="6" s="1"/>
  <c r="T78" i="6"/>
  <c r="W78" i="6" s="1"/>
  <c r="B80" i="6"/>
  <c r="E80" i="6" s="1"/>
  <c r="B94" i="6"/>
  <c r="E94" i="6" s="1"/>
  <c r="I95" i="6"/>
  <c r="L95" i="6" s="1"/>
  <c r="P96" i="6"/>
  <c r="S96" i="6" s="1"/>
  <c r="T100" i="6"/>
  <c r="W100" i="6" s="1"/>
  <c r="U78" i="6"/>
  <c r="X78" i="6" s="1"/>
  <c r="C94" i="6"/>
  <c r="F94" i="6" s="1"/>
  <c r="J95" i="6"/>
  <c r="M95" i="6" s="1"/>
  <c r="P59" i="6"/>
  <c r="S59" i="6" s="1"/>
  <c r="U86" i="6"/>
  <c r="X86" i="6" s="1"/>
  <c r="B61" i="6"/>
  <c r="E61" i="6" s="1"/>
  <c r="I62" i="6"/>
  <c r="L62" i="6" s="1"/>
  <c r="N69" i="6"/>
  <c r="Q69" i="6" s="1"/>
  <c r="U70" i="6"/>
  <c r="X70" i="6" s="1"/>
  <c r="O77" i="6"/>
  <c r="R77" i="6" s="1"/>
  <c r="N95" i="6"/>
  <c r="Q95" i="6" s="1"/>
  <c r="U96" i="6"/>
  <c r="X96" i="6" s="1"/>
  <c r="O69" i="6"/>
  <c r="R69" i="6" s="1"/>
  <c r="V70" i="6"/>
  <c r="Y70" i="6" s="1"/>
  <c r="P77" i="6"/>
  <c r="S77" i="6" s="1"/>
  <c r="H94" i="6"/>
  <c r="K94" i="6" s="1"/>
  <c r="O95" i="6"/>
  <c r="R95" i="6" s="1"/>
  <c r="V96" i="6"/>
  <c r="Y96" i="6" s="1"/>
  <c r="D76" i="6"/>
  <c r="G76" i="6" s="1"/>
  <c r="D93" i="6"/>
  <c r="G93" i="6" s="1"/>
  <c r="O98" i="6"/>
  <c r="R98" i="6" s="1"/>
  <c r="H68" i="6"/>
  <c r="K68" i="6" s="1"/>
  <c r="T74" i="6"/>
  <c r="W74" i="6" s="1"/>
  <c r="T85" i="6"/>
  <c r="W85" i="6" s="1"/>
  <c r="V91" i="6"/>
  <c r="Y91" i="6" s="1"/>
  <c r="T58" i="6"/>
  <c r="W58" i="6" s="1"/>
  <c r="O73" i="6"/>
  <c r="R73" i="6" s="1"/>
  <c r="N90" i="6"/>
  <c r="Q90" i="6" s="1"/>
  <c r="B100" i="6"/>
  <c r="E100" i="6" s="1"/>
  <c r="U58" i="6"/>
  <c r="X58" i="6" s="1"/>
  <c r="O90" i="6"/>
  <c r="R90" i="6" s="1"/>
  <c r="B92" i="6"/>
  <c r="E92" i="6" s="1"/>
  <c r="D75" i="6"/>
  <c r="G75" i="6" s="1"/>
  <c r="H56" i="6"/>
  <c r="K56" i="6" s="1"/>
  <c r="I123" i="3"/>
  <c r="X113" i="3"/>
  <c r="I56" i="6"/>
  <c r="L56" i="6" s="1"/>
  <c r="N72" i="6"/>
  <c r="Q72" i="6" s="1"/>
  <c r="U73" i="6"/>
  <c r="X73" i="6" s="1"/>
  <c r="T84" i="6"/>
  <c r="W84" i="6" s="1"/>
  <c r="I89" i="6"/>
  <c r="L89" i="6" s="1"/>
  <c r="T90" i="6"/>
  <c r="W90" i="6" s="1"/>
  <c r="V94" i="6"/>
  <c r="Y94" i="6" s="1"/>
  <c r="J123" i="3"/>
  <c r="J56" i="6"/>
  <c r="M56" i="6" s="1"/>
  <c r="H67" i="6"/>
  <c r="K67" i="6" s="1"/>
  <c r="H71" i="6"/>
  <c r="K71" i="6" s="1"/>
  <c r="V73" i="6"/>
  <c r="Y73" i="6" s="1"/>
  <c r="N83" i="6"/>
  <c r="Q83" i="6" s="1"/>
  <c r="U84" i="6"/>
  <c r="X84" i="6" s="1"/>
  <c r="J89" i="6"/>
  <c r="M89" i="6" s="1"/>
  <c r="U90" i="6"/>
  <c r="X90" i="6" s="1"/>
  <c r="FC23" i="2" l="1"/>
  <c r="DP23" i="2"/>
  <c r="DC23" i="2"/>
  <c r="AH26" i="2"/>
  <c r="DC26" i="2"/>
  <c r="Y56" i="2"/>
  <c r="AE171" i="3" s="1"/>
  <c r="DO41" i="2"/>
  <c r="DO52" i="2"/>
  <c r="DO26" i="2"/>
  <c r="H26" i="2"/>
  <c r="DP26" i="2"/>
  <c r="P26" i="2" s="1"/>
  <c r="EA42" i="2"/>
  <c r="L40" i="2"/>
  <c r="O10" i="2"/>
  <c r="H22" i="2"/>
  <c r="AC22" i="2" s="1"/>
  <c r="DB26" i="2"/>
  <c r="DO54" i="2"/>
  <c r="DO42" i="2"/>
  <c r="DA91" i="2"/>
  <c r="EA26" i="2"/>
  <c r="L41" i="2"/>
  <c r="O8" i="2"/>
  <c r="O26" i="2"/>
  <c r="CB36" i="2"/>
  <c r="FC36" i="2" s="1"/>
  <c r="DB42" i="2"/>
  <c r="S2" i="10"/>
  <c r="DC52" i="2"/>
  <c r="O52" i="2" s="1"/>
  <c r="S5" i="10"/>
  <c r="DO25" i="2"/>
  <c r="DP25" i="2"/>
  <c r="CC53" i="2"/>
  <c r="EA53" i="2" s="1"/>
  <c r="D46" i="10"/>
  <c r="S46" i="10" s="1"/>
  <c r="O11" i="2"/>
  <c r="EH25" i="2"/>
  <c r="EM25" i="2" s="1"/>
  <c r="R25" i="2" s="1"/>
  <c r="CB33" i="2"/>
  <c r="FC33" i="2" s="1"/>
  <c r="P115" i="3"/>
  <c r="O115" i="3"/>
  <c r="V115" i="3"/>
  <c r="AG115" i="3"/>
  <c r="AH115" i="3" s="1"/>
  <c r="U115" i="3"/>
  <c r="Z45" i="2"/>
  <c r="Z44" i="2"/>
  <c r="EX24" i="2"/>
  <c r="ES24" i="2" s="1"/>
  <c r="H24" i="2"/>
  <c r="I24" i="2" s="1"/>
  <c r="Y24" i="2" s="1"/>
  <c r="EH24" i="2"/>
  <c r="EM24" i="2" s="1"/>
  <c r="W43" i="2"/>
  <c r="Y43" i="2" s="1"/>
  <c r="O63" i="2"/>
  <c r="Y46" i="2"/>
  <c r="W63" i="2"/>
  <c r="Y63" i="2" s="1"/>
  <c r="O42" i="2"/>
  <c r="W42" i="2"/>
  <c r="EA23" i="2"/>
  <c r="DB25" i="2"/>
  <c r="C99" i="3"/>
  <c r="O25" i="2"/>
  <c r="W21" i="2"/>
  <c r="Y21" i="2" s="1"/>
  <c r="L8" i="2"/>
  <c r="L22" i="2"/>
  <c r="I13" i="2"/>
  <c r="Y13" i="2" s="1"/>
  <c r="M20" i="2"/>
  <c r="L39" i="2"/>
  <c r="L9" i="2"/>
  <c r="I15" i="2"/>
  <c r="J15" i="2" s="1"/>
  <c r="W62" i="2"/>
  <c r="Y62" i="2" s="1"/>
  <c r="AI171" i="3" s="1"/>
  <c r="AJ171" i="3" s="1"/>
  <c r="L11" i="2"/>
  <c r="DO23" i="2"/>
  <c r="DB23" i="2"/>
  <c r="W60" i="2"/>
  <c r="Y60" i="2" s="1"/>
  <c r="AH171" i="3" s="1"/>
  <c r="M60" i="2"/>
  <c r="DB19" i="2"/>
  <c r="O23" i="2"/>
  <c r="O19" i="2"/>
  <c r="P13" i="2"/>
  <c r="DB63" i="2"/>
  <c r="DB60" i="2"/>
  <c r="M43" i="2"/>
  <c r="H23" i="2"/>
  <c r="AC15" i="2"/>
  <c r="M38" i="2"/>
  <c r="I42" i="2"/>
  <c r="M19" i="2"/>
  <c r="M11" i="2"/>
  <c r="N15" i="2"/>
  <c r="M63" i="2"/>
  <c r="N63" i="2"/>
  <c r="EA22" i="2"/>
  <c r="H25" i="2"/>
  <c r="M62" i="2"/>
  <c r="N62" i="2"/>
  <c r="M39" i="2"/>
  <c r="M64" i="2"/>
  <c r="N64" i="2"/>
  <c r="DO22" i="2"/>
  <c r="O22" i="2"/>
  <c r="FC22" i="2"/>
  <c r="N41" i="2"/>
  <c r="M41" i="2"/>
  <c r="N14" i="2"/>
  <c r="M14" i="2"/>
  <c r="H39" i="2"/>
  <c r="N39" i="2" s="1"/>
  <c r="EA39" i="2"/>
  <c r="DB39" i="2"/>
  <c r="M10" i="2"/>
  <c r="N10" i="2"/>
  <c r="M49" i="2"/>
  <c r="M44" i="2"/>
  <c r="DO39" i="2"/>
  <c r="O21" i="2"/>
  <c r="H32" i="2"/>
  <c r="AC32" i="2" s="1"/>
  <c r="M59" i="2"/>
  <c r="N57" i="2"/>
  <c r="M57" i="2"/>
  <c r="EA25" i="2"/>
  <c r="J57" i="2"/>
  <c r="M22" i="2"/>
  <c r="M9" i="2"/>
  <c r="M16" i="2"/>
  <c r="N12" i="2"/>
  <c r="M12" i="2"/>
  <c r="M18" i="2"/>
  <c r="FC25" i="2"/>
  <c r="M8" i="2"/>
  <c r="N48" i="2"/>
  <c r="J21" i="2"/>
  <c r="M21" i="2"/>
  <c r="N21" i="2"/>
  <c r="M61" i="2"/>
  <c r="N61" i="2"/>
  <c r="M40" i="2"/>
  <c r="N40" i="2"/>
  <c r="M45" i="2"/>
  <c r="O39" i="2"/>
  <c r="Y27" i="2"/>
  <c r="N171" i="3" s="1"/>
  <c r="I14" i="2"/>
  <c r="Y14" i="2" s="1"/>
  <c r="E171" i="3" s="1"/>
  <c r="O20" i="2"/>
  <c r="W20" i="2"/>
  <c r="Y20" i="2" s="1"/>
  <c r="O24" i="2"/>
  <c r="P14" i="2"/>
  <c r="O41" i="2"/>
  <c r="O14" i="2"/>
  <c r="DB9" i="2"/>
  <c r="J61" i="2"/>
  <c r="DB41" i="2"/>
  <c r="Y12" i="2"/>
  <c r="C171" i="3" s="1"/>
  <c r="J64" i="2"/>
  <c r="AE128" i="3"/>
  <c r="AH128" i="3" s="1"/>
  <c r="I40" i="2"/>
  <c r="J40" i="2" s="1"/>
  <c r="Y47" i="2"/>
  <c r="Y171" i="3" s="1"/>
  <c r="AC40" i="2"/>
  <c r="I128" i="3"/>
  <c r="DO32" i="2"/>
  <c r="DB11" i="2"/>
  <c r="W18" i="2"/>
  <c r="Y18" i="2" s="1"/>
  <c r="H171" i="3" s="1"/>
  <c r="DP34" i="2"/>
  <c r="CQ34" i="2" s="1"/>
  <c r="L34" i="2" s="1"/>
  <c r="J63" i="2"/>
  <c r="CC35" i="2"/>
  <c r="H35" i="2" s="1"/>
  <c r="I35" i="2" s="1"/>
  <c r="Y35" i="2" s="1"/>
  <c r="H11" i="2"/>
  <c r="AC11" i="2" s="1"/>
  <c r="H34" i="2"/>
  <c r="I34" i="2" s="1"/>
  <c r="DB24" i="2"/>
  <c r="CC36" i="2"/>
  <c r="DB32" i="2"/>
  <c r="DO24" i="2"/>
  <c r="FC24" i="2"/>
  <c r="EA11" i="2"/>
  <c r="DC32" i="2"/>
  <c r="DC33" i="2" s="1"/>
  <c r="FC11" i="2"/>
  <c r="EA24" i="2"/>
  <c r="AC53" i="2"/>
  <c r="AC54" i="2"/>
  <c r="AC51" i="2"/>
  <c r="AC26" i="2"/>
  <c r="I51" i="2"/>
  <c r="Y54" i="2" s="1"/>
  <c r="H168" i="3" s="1"/>
  <c r="AD171" i="3" s="1"/>
  <c r="CS55" i="2"/>
  <c r="H9" i="2"/>
  <c r="Y44" i="2"/>
  <c r="V171" i="3" s="1"/>
  <c r="DB22" i="2"/>
  <c r="DO11" i="2"/>
  <c r="AC55" i="2"/>
  <c r="DB52" i="2"/>
  <c r="P127" i="3"/>
  <c r="Y10" i="2"/>
  <c r="I26" i="2"/>
  <c r="O9" i="2"/>
  <c r="C21" i="6"/>
  <c r="C72" i="6" s="1"/>
  <c r="F72" i="6" s="1"/>
  <c r="C27" i="3"/>
  <c r="C100" i="3" s="1"/>
  <c r="DP37" i="2"/>
  <c r="CQ37" i="2" s="1"/>
  <c r="L37" i="2" s="1"/>
  <c r="O56" i="2"/>
  <c r="EA9" i="2"/>
  <c r="DO9" i="2"/>
  <c r="W17" i="2"/>
  <c r="Y17" i="2" s="1"/>
  <c r="C29" i="3"/>
  <c r="C102" i="3" s="1"/>
  <c r="C23" i="6"/>
  <c r="C74" i="6" s="1"/>
  <c r="F74" i="6" s="1"/>
  <c r="H37" i="2"/>
  <c r="H117" i="6"/>
  <c r="O17" i="2"/>
  <c r="O37" i="2"/>
  <c r="DB17" i="2"/>
  <c r="I23" i="6"/>
  <c r="I74" i="6" s="1"/>
  <c r="L74" i="6" s="1"/>
  <c r="I29" i="3"/>
  <c r="I102" i="3" s="1"/>
  <c r="O16" i="2"/>
  <c r="D89" i="3"/>
  <c r="I30" i="3"/>
  <c r="I24" i="6"/>
  <c r="I75" i="6" s="1"/>
  <c r="L75" i="6" s="1"/>
  <c r="W64" i="2"/>
  <c r="Y64" i="2" s="1"/>
  <c r="DB16" i="2"/>
  <c r="Y16" i="2"/>
  <c r="J118" i="3"/>
  <c r="J96" i="3"/>
  <c r="D102" i="3"/>
  <c r="I122" i="3"/>
  <c r="J126" i="3"/>
  <c r="C89" i="3"/>
  <c r="D86" i="3"/>
  <c r="P113" i="3"/>
  <c r="J122" i="3"/>
  <c r="I126" i="3"/>
  <c r="I83" i="3"/>
  <c r="C81" i="3"/>
  <c r="I81" i="3"/>
  <c r="D83" i="3"/>
  <c r="L116" i="6"/>
  <c r="Y58" i="2"/>
  <c r="F117" i="6"/>
  <c r="AH102" i="3"/>
  <c r="Y118" i="6"/>
  <c r="X118" i="6"/>
  <c r="W118" i="6"/>
  <c r="Q117" i="6"/>
  <c r="M118" i="6"/>
  <c r="N116" i="6"/>
  <c r="S116" i="6"/>
  <c r="T117" i="6"/>
  <c r="Y116" i="6"/>
  <c r="X116" i="6"/>
  <c r="S118" i="6"/>
  <c r="N117" i="6"/>
  <c r="Y117" i="6"/>
  <c r="X117" i="6"/>
  <c r="R116" i="6"/>
  <c r="H118" i="6"/>
  <c r="Q116" i="6"/>
  <c r="T118" i="6"/>
  <c r="G118" i="6"/>
  <c r="F118" i="6"/>
  <c r="T116" i="6"/>
  <c r="G116" i="6"/>
  <c r="L118" i="6"/>
  <c r="W117" i="6"/>
  <c r="B118" i="6"/>
  <c r="W116" i="6"/>
  <c r="E118" i="6"/>
  <c r="B116" i="6"/>
  <c r="R118" i="6"/>
  <c r="F116" i="6"/>
  <c r="Q118" i="6"/>
  <c r="N118" i="6"/>
  <c r="S117" i="6"/>
  <c r="K118" i="6"/>
  <c r="R117" i="6"/>
  <c r="E116" i="6"/>
  <c r="M117" i="6"/>
  <c r="L117" i="6"/>
  <c r="C94" i="3"/>
  <c r="M116" i="6"/>
  <c r="G117" i="6"/>
  <c r="B117" i="6"/>
  <c r="C83" i="3"/>
  <c r="C106" i="3"/>
  <c r="J119" i="3"/>
  <c r="I119" i="3"/>
  <c r="J102" i="3"/>
  <c r="B111" i="6" a="1"/>
  <c r="B111" i="6" s="1"/>
  <c r="D81" i="3"/>
  <c r="I96" i="3"/>
  <c r="D106" i="3"/>
  <c r="U18" i="3"/>
  <c r="T110" i="6" a="1"/>
  <c r="T110" i="6" s="1"/>
  <c r="T18" i="3"/>
  <c r="T95" i="3" s="1"/>
  <c r="AG95" i="3" s="1"/>
  <c r="I97" i="3"/>
  <c r="O113" i="3"/>
  <c r="J94" i="3"/>
  <c r="AH91" i="3"/>
  <c r="D91" i="3"/>
  <c r="C91" i="3"/>
  <c r="T111" i="6" a="1"/>
  <c r="T111" i="6" s="1"/>
  <c r="T109" i="6" a="1"/>
  <c r="T109" i="6" s="1"/>
  <c r="J91" i="3"/>
  <c r="AH96" i="3"/>
  <c r="V96" i="3"/>
  <c r="AH97" i="3"/>
  <c r="D117" i="3"/>
  <c r="I91" i="3"/>
  <c r="I116" i="3"/>
  <c r="V113" i="3"/>
  <c r="U113" i="3"/>
  <c r="C117" i="3"/>
  <c r="K64" i="6"/>
  <c r="K117" i="6" s="1"/>
  <c r="AH94" i="3"/>
  <c r="AH113" i="3"/>
  <c r="I117" i="3"/>
  <c r="I90" i="3"/>
  <c r="H63" i="6"/>
  <c r="H116" i="6"/>
  <c r="AH92" i="3"/>
  <c r="O96" i="3"/>
  <c r="J90" i="3"/>
  <c r="AH118" i="3"/>
  <c r="J116" i="3"/>
  <c r="D120" i="3"/>
  <c r="E64" i="6"/>
  <c r="E117" i="6" s="1"/>
  <c r="J92" i="3"/>
  <c r="AH117" i="3"/>
  <c r="I118" i="3"/>
  <c r="J97" i="3"/>
  <c r="U96" i="3"/>
  <c r="J117" i="3"/>
  <c r="R110" i="6" a="1"/>
  <c r="R110" i="6" s="1"/>
  <c r="R109" i="6" a="1"/>
  <c r="R109" i="6" s="1"/>
  <c r="R111" i="6" a="1"/>
  <c r="R111" i="6" s="1"/>
  <c r="X110" i="6" a="1"/>
  <c r="X110" i="6" s="1"/>
  <c r="X109" i="6" a="1"/>
  <c r="X109" i="6" s="1"/>
  <c r="X111" i="6" a="1"/>
  <c r="X111" i="6" s="1"/>
  <c r="Q110" i="6" a="1"/>
  <c r="Q110" i="6" s="1"/>
  <c r="Q109" i="6" a="1"/>
  <c r="Q109" i="6" s="1"/>
  <c r="Q111" i="6" a="1"/>
  <c r="Q111" i="6" s="1"/>
  <c r="M110" i="6" a="1"/>
  <c r="M110" i="6" s="1"/>
  <c r="M111" i="6" a="1"/>
  <c r="M111" i="6" s="1"/>
  <c r="M109" i="6" a="1"/>
  <c r="M109" i="6" s="1"/>
  <c r="N110" i="6" a="1"/>
  <c r="N110" i="6" s="1"/>
  <c r="N111" i="6" a="1"/>
  <c r="N111" i="6" s="1"/>
  <c r="P109" i="6" a="1"/>
  <c r="P109" i="6" s="1"/>
  <c r="N109" i="6" a="1"/>
  <c r="N109" i="6" s="1"/>
  <c r="P110" i="6" a="1"/>
  <c r="P110" i="6" s="1"/>
  <c r="P111" i="6" a="1"/>
  <c r="P111" i="6" s="1"/>
  <c r="U111" i="6" a="1"/>
  <c r="U111" i="6" s="1"/>
  <c r="U109" i="6" a="1"/>
  <c r="U109" i="6" s="1"/>
  <c r="U110" i="6" a="1"/>
  <c r="U110" i="6" s="1"/>
  <c r="O110" i="6" a="1"/>
  <c r="O110" i="6" s="1"/>
  <c r="V110" i="6" a="1"/>
  <c r="V110" i="6" s="1"/>
  <c r="O111" i="6" a="1"/>
  <c r="O111" i="6" s="1"/>
  <c r="V111" i="6" a="1"/>
  <c r="V111" i="6" s="1"/>
  <c r="O109" i="6" a="1"/>
  <c r="O109" i="6" s="1"/>
  <c r="V109" i="6" a="1"/>
  <c r="V109" i="6" s="1"/>
  <c r="D109" i="6" a="1"/>
  <c r="D109" i="6" s="1"/>
  <c r="J111" i="6" a="1"/>
  <c r="J111" i="6" s="1"/>
  <c r="B110" i="6" a="1"/>
  <c r="B110" i="6" s="1"/>
  <c r="B109" i="6" a="1"/>
  <c r="B109" i="6" s="1"/>
  <c r="J109" i="6" a="1"/>
  <c r="J109" i="6" s="1"/>
  <c r="J110" i="6" a="1"/>
  <c r="J110" i="6" s="1"/>
  <c r="D90" i="6"/>
  <c r="G90" i="6" s="1"/>
  <c r="G103" i="6" s="1" a="1"/>
  <c r="G103" i="6" s="1"/>
  <c r="D111" i="6" a="1"/>
  <c r="D111" i="6" s="1"/>
  <c r="D110" i="6" a="1"/>
  <c r="D110" i="6" s="1"/>
  <c r="AE85" i="3"/>
  <c r="J85" i="3"/>
  <c r="D94" i="3"/>
  <c r="Y57" i="2"/>
  <c r="AF171" i="3" s="1"/>
  <c r="O57" i="2"/>
  <c r="AF145" i="3"/>
  <c r="W26" i="2"/>
  <c r="N103" i="6" a="1"/>
  <c r="N103" i="6" s="1"/>
  <c r="N105" i="6" a="1"/>
  <c r="N105" i="6" s="1"/>
  <c r="R104" i="6" a="1"/>
  <c r="R104" i="6" s="1"/>
  <c r="R105" i="6" a="1"/>
  <c r="R105" i="6" s="1"/>
  <c r="R103" i="6" a="1"/>
  <c r="R103" i="6" s="1"/>
  <c r="P95" i="3"/>
  <c r="DB37" i="2"/>
  <c r="N104" i="6" a="1"/>
  <c r="N104" i="6" s="1"/>
  <c r="Q104" i="6" a="1"/>
  <c r="Q104" i="6" s="1"/>
  <c r="Q105" i="6" a="1"/>
  <c r="Q105" i="6" s="1"/>
  <c r="Q103" i="6" a="1"/>
  <c r="Q103" i="6" s="1"/>
  <c r="DB61" i="2"/>
  <c r="W61" i="2"/>
  <c r="Y61" i="2" s="1"/>
  <c r="O62" i="2"/>
  <c r="AE84" i="3"/>
  <c r="I84" i="3"/>
  <c r="J84" i="3"/>
  <c r="DC54" i="2"/>
  <c r="DB54" i="2"/>
  <c r="J10" i="2"/>
  <c r="DP51" i="2"/>
  <c r="J83" i="3"/>
  <c r="V105" i="6" a="1"/>
  <c r="V105" i="6" s="1"/>
  <c r="V103" i="6" a="1"/>
  <c r="V103" i="6" s="1"/>
  <c r="Y53" i="6"/>
  <c r="V104" i="6" a="1"/>
  <c r="V104" i="6" s="1"/>
  <c r="J120" i="3"/>
  <c r="J12" i="2"/>
  <c r="DC35" i="2"/>
  <c r="O34" i="2"/>
  <c r="AD84" i="3"/>
  <c r="C84" i="3"/>
  <c r="DO38" i="2"/>
  <c r="FC38" i="2"/>
  <c r="FK38" i="2" s="1"/>
  <c r="EA38" i="2"/>
  <c r="DB38" i="2"/>
  <c r="O38" i="2"/>
  <c r="H38" i="2"/>
  <c r="N38" i="2" s="1"/>
  <c r="Y59" i="2"/>
  <c r="O59" i="2"/>
  <c r="D92" i="3"/>
  <c r="U103" i="6" a="1"/>
  <c r="U103" i="6" s="1"/>
  <c r="O95" i="3"/>
  <c r="H24" i="6"/>
  <c r="H75" i="6" s="1"/>
  <c r="K75" i="6" s="1"/>
  <c r="H30" i="3"/>
  <c r="H103" i="3" s="1"/>
  <c r="U104" i="6" a="1"/>
  <c r="U104" i="6" s="1"/>
  <c r="AD85" i="3"/>
  <c r="C85" i="3"/>
  <c r="C120" i="3"/>
  <c r="J104" i="6" a="1"/>
  <c r="J104" i="6" s="1"/>
  <c r="U105" i="6" a="1"/>
  <c r="U105" i="6" s="1"/>
  <c r="J81" i="3"/>
  <c r="M105" i="6" a="1"/>
  <c r="M105" i="6" s="1"/>
  <c r="M104" i="6" a="1"/>
  <c r="M104" i="6" s="1"/>
  <c r="M103" i="6" a="1"/>
  <c r="M103" i="6" s="1"/>
  <c r="X105" i="6" a="1"/>
  <c r="X105" i="6" s="1"/>
  <c r="X103" i="6" a="1"/>
  <c r="X103" i="6" s="1"/>
  <c r="X104" i="6" a="1"/>
  <c r="X104" i="6" s="1"/>
  <c r="O103" i="6" a="1"/>
  <c r="O103" i="6" s="1"/>
  <c r="AH120" i="3"/>
  <c r="C118" i="3"/>
  <c r="J103" i="6" a="1"/>
  <c r="J103" i="6" s="1"/>
  <c r="D97" i="3"/>
  <c r="Y49" i="2"/>
  <c r="Z171" i="3" s="1"/>
  <c r="DB49" i="2"/>
  <c r="J105" i="6" a="1"/>
  <c r="J105" i="6" s="1"/>
  <c r="O104" i="6" a="1"/>
  <c r="O104" i="6" s="1"/>
  <c r="DB18" i="2"/>
  <c r="D100" i="3"/>
  <c r="O105" i="6" a="1"/>
  <c r="O105" i="6" s="1"/>
  <c r="S53" i="6"/>
  <c r="P104" i="6" a="1"/>
  <c r="P104" i="6" s="1"/>
  <c r="P105" i="6" a="1"/>
  <c r="P105" i="6" s="1"/>
  <c r="P103" i="6" a="1"/>
  <c r="P103" i="6" s="1"/>
  <c r="C86" i="3"/>
  <c r="I113" i="3"/>
  <c r="B103" i="6" a="1"/>
  <c r="B103" i="6" s="1"/>
  <c r="EA8" i="2"/>
  <c r="H8" i="2"/>
  <c r="N8" i="2" s="1"/>
  <c r="DB8" i="2"/>
  <c r="FC8" i="2"/>
  <c r="DO8" i="2"/>
  <c r="I120" i="3"/>
  <c r="B105" i="6" a="1"/>
  <c r="B105" i="6" s="1"/>
  <c r="W53" i="6"/>
  <c r="T105" i="6" a="1"/>
  <c r="T105" i="6" s="1"/>
  <c r="T103" i="6" a="1"/>
  <c r="T103" i="6" s="1"/>
  <c r="T104" i="6" a="1"/>
  <c r="T104" i="6" s="1"/>
  <c r="DB40" i="2"/>
  <c r="J62" i="2"/>
  <c r="DB59" i="2"/>
  <c r="O51" i="2"/>
  <c r="DB58" i="2"/>
  <c r="AD99" i="3"/>
  <c r="AH99" i="3" s="1"/>
  <c r="D99" i="3"/>
  <c r="W51" i="2"/>
  <c r="P42" i="2"/>
  <c r="CQ42" i="2"/>
  <c r="L42" i="2" s="1"/>
  <c r="W34" i="2"/>
  <c r="AH81" i="3"/>
  <c r="D103" i="3"/>
  <c r="AD103" i="3"/>
  <c r="AD125" i="3"/>
  <c r="AH125" i="3" s="1"/>
  <c r="C125" i="3"/>
  <c r="I92" i="3"/>
  <c r="D118" i="3"/>
  <c r="O127" i="3"/>
  <c r="Y45" i="2"/>
  <c r="W171" i="3" s="1"/>
  <c r="I41" i="2"/>
  <c r="Y41" i="2" s="1"/>
  <c r="AC41" i="2"/>
  <c r="J113" i="3"/>
  <c r="W40" i="2"/>
  <c r="CQ13" i="2"/>
  <c r="L13" i="2" s="1"/>
  <c r="O13" i="2"/>
  <c r="P96" i="3"/>
  <c r="B104" i="6" a="1"/>
  <c r="B104" i="6" s="1"/>
  <c r="I48" i="2"/>
  <c r="AC48" i="2"/>
  <c r="Q48" i="2"/>
  <c r="P48" i="2"/>
  <c r="AH83" i="3"/>
  <c r="DB34" i="2"/>
  <c r="C97" i="3"/>
  <c r="DB51" i="2"/>
  <c r="C92" i="3"/>
  <c r="I94" i="3"/>
  <c r="N22" i="2" l="1"/>
  <c r="I22" i="2"/>
  <c r="J22" i="2" s="1"/>
  <c r="P22" i="2"/>
  <c r="DB36" i="2"/>
  <c r="DC53" i="2"/>
  <c r="O53" i="2" s="1"/>
  <c r="DB53" i="2"/>
  <c r="CQ26" i="2"/>
  <c r="L26" i="2" s="1"/>
  <c r="AG145" i="3"/>
  <c r="DO33" i="2"/>
  <c r="H33" i="2"/>
  <c r="AC33" i="2" s="1"/>
  <c r="DB33" i="2"/>
  <c r="CQ25" i="2"/>
  <c r="L25" i="2" s="1"/>
  <c r="DO53" i="2"/>
  <c r="CC55" i="2"/>
  <c r="EA55" i="2" s="1"/>
  <c r="D48" i="10"/>
  <c r="S48" i="10" s="1"/>
  <c r="P24" i="2"/>
  <c r="AC24" i="2"/>
  <c r="S24" i="2"/>
  <c r="U171" i="3"/>
  <c r="I25" i="2"/>
  <c r="Y25" i="2" s="1"/>
  <c r="DO35" i="2"/>
  <c r="P39" i="2"/>
  <c r="AC39" i="2"/>
  <c r="AC35" i="2"/>
  <c r="I39" i="2"/>
  <c r="J39" i="2" s="1"/>
  <c r="Y42" i="2"/>
  <c r="AG171" i="3"/>
  <c r="I23" i="2"/>
  <c r="Y23" i="2" s="1"/>
  <c r="K171" i="3" s="1"/>
  <c r="P23" i="2"/>
  <c r="O32" i="2"/>
  <c r="DC36" i="2"/>
  <c r="O36" i="2" s="1"/>
  <c r="CQ32" i="2"/>
  <c r="L32" i="2" s="1"/>
  <c r="Y15" i="2"/>
  <c r="AC23" i="2"/>
  <c r="I111" i="6" a="1"/>
  <c r="I111" i="6" s="1"/>
  <c r="DB35" i="2"/>
  <c r="CQ23" i="2"/>
  <c r="L23" i="2" s="1"/>
  <c r="P32" i="2"/>
  <c r="I9" i="2"/>
  <c r="J9" i="2" s="1"/>
  <c r="N9" i="2"/>
  <c r="J13" i="2"/>
  <c r="M13" i="2"/>
  <c r="N13" i="2"/>
  <c r="I11" i="2"/>
  <c r="J11" i="2" s="1"/>
  <c r="N11" i="2"/>
  <c r="J42" i="2"/>
  <c r="N42" i="2"/>
  <c r="M42" i="2"/>
  <c r="AC25" i="2"/>
  <c r="P25" i="2"/>
  <c r="M34" i="2"/>
  <c r="N34" i="2"/>
  <c r="I32" i="2"/>
  <c r="Y32" i="2" s="1"/>
  <c r="O171" i="3" s="1"/>
  <c r="J14" i="2"/>
  <c r="M26" i="2"/>
  <c r="M37" i="2"/>
  <c r="N37" i="2"/>
  <c r="Y22" i="2"/>
  <c r="DP35" i="2"/>
  <c r="P35" i="2" s="1"/>
  <c r="P11" i="2"/>
  <c r="J34" i="2"/>
  <c r="C109" i="6" a="1"/>
  <c r="C109" i="6" s="1"/>
  <c r="C103" i="6" a="1"/>
  <c r="C103" i="6" s="1"/>
  <c r="P34" i="2"/>
  <c r="Y34" i="2"/>
  <c r="J26" i="2"/>
  <c r="AC34" i="2"/>
  <c r="C111" i="6" a="1"/>
  <c r="C111" i="6" s="1"/>
  <c r="Y40" i="2"/>
  <c r="AC9" i="2"/>
  <c r="Y26" i="2"/>
  <c r="C110" i="6" a="1"/>
  <c r="C110" i="6" s="1"/>
  <c r="P9" i="2"/>
  <c r="L109" i="6" a="1"/>
  <c r="L109" i="6" s="1"/>
  <c r="DP36" i="2"/>
  <c r="H36" i="2"/>
  <c r="DO36" i="2"/>
  <c r="AC37" i="2"/>
  <c r="G37" i="2"/>
  <c r="Y51" i="2"/>
  <c r="B168" i="3" s="1"/>
  <c r="D168" i="3" s="1"/>
  <c r="F168" i="3" s="1"/>
  <c r="K168" i="3" s="1"/>
  <c r="Y55" i="2"/>
  <c r="V95" i="3"/>
  <c r="F104" i="6" a="1"/>
  <c r="F104" i="6" s="1"/>
  <c r="F111" i="6" a="1"/>
  <c r="F111" i="6" s="1"/>
  <c r="F103" i="6" a="1"/>
  <c r="F103" i="6" s="1"/>
  <c r="F105" i="6" a="1"/>
  <c r="F105" i="6" s="1"/>
  <c r="L110" i="6" a="1"/>
  <c r="L110" i="6" s="1"/>
  <c r="L103" i="6" a="1"/>
  <c r="L103" i="6" s="1"/>
  <c r="L111" i="6" a="1"/>
  <c r="L111" i="6" s="1"/>
  <c r="C104" i="6" a="1"/>
  <c r="C104" i="6" s="1"/>
  <c r="C105" i="6" a="1"/>
  <c r="C105" i="6" s="1"/>
  <c r="I104" i="6" a="1"/>
  <c r="I104" i="6" s="1"/>
  <c r="I105" i="6" a="1"/>
  <c r="I105" i="6" s="1"/>
  <c r="L104" i="6" a="1"/>
  <c r="L104" i="6" s="1"/>
  <c r="F109" i="6" a="1"/>
  <c r="F109" i="6" s="1"/>
  <c r="F110" i="6" a="1"/>
  <c r="F110" i="6" s="1"/>
  <c r="P37" i="2"/>
  <c r="I109" i="6" a="1"/>
  <c r="I109" i="6" s="1"/>
  <c r="L105" i="6" a="1"/>
  <c r="L105" i="6" s="1"/>
  <c r="I37" i="2"/>
  <c r="Y37" i="2" s="1"/>
  <c r="I103" i="6" a="1"/>
  <c r="I103" i="6" s="1"/>
  <c r="I110" i="6" a="1"/>
  <c r="I110" i="6" s="1"/>
  <c r="AH85" i="3"/>
  <c r="U95" i="3"/>
  <c r="AE103" i="3"/>
  <c r="AH103" i="3" s="1"/>
  <c r="I103" i="3"/>
  <c r="J103" i="3"/>
  <c r="R120" i="6"/>
  <c r="L120" i="6"/>
  <c r="G120" i="6"/>
  <c r="W120" i="6"/>
  <c r="M120" i="6"/>
  <c r="E120" i="6"/>
  <c r="H120" i="6"/>
  <c r="AH84" i="3"/>
  <c r="AH95" i="3"/>
  <c r="F120" i="6"/>
  <c r="B120" i="6"/>
  <c r="X120" i="6"/>
  <c r="T120" i="6"/>
  <c r="Y120" i="6"/>
  <c r="S120" i="6"/>
  <c r="N120" i="6"/>
  <c r="Q120" i="6"/>
  <c r="T112" i="6"/>
  <c r="D103" i="6" a="1"/>
  <c r="D103" i="6" s="1"/>
  <c r="E103" i="6" a="1"/>
  <c r="E103" i="6" s="1"/>
  <c r="E109" i="6" a="1"/>
  <c r="E109" i="6" s="1"/>
  <c r="E110" i="6" a="1"/>
  <c r="E110" i="6" s="1"/>
  <c r="E111" i="6" a="1"/>
  <c r="E111" i="6" s="1"/>
  <c r="E105" i="6" a="1"/>
  <c r="E105" i="6" s="1"/>
  <c r="E104" i="6" a="1"/>
  <c r="E104" i="6" s="1"/>
  <c r="Q112" i="6"/>
  <c r="K63" i="6"/>
  <c r="K116" i="6" s="1"/>
  <c r="K120" i="6" s="1"/>
  <c r="R112" i="6"/>
  <c r="X112" i="6"/>
  <c r="M112" i="6"/>
  <c r="D104" i="6" a="1"/>
  <c r="D104" i="6" s="1"/>
  <c r="G105" i="6" a="1"/>
  <c r="G105" i="6" s="1"/>
  <c r="G104" i="6" a="1"/>
  <c r="G104" i="6" s="1"/>
  <c r="O112" i="6"/>
  <c r="G109" i="6" a="1"/>
  <c r="G109" i="6" s="1"/>
  <c r="G110" i="6" a="1"/>
  <c r="G110" i="6" s="1"/>
  <c r="W110" i="6" a="1"/>
  <c r="W110" i="6" s="1"/>
  <c r="W109" i="6" a="1"/>
  <c r="W109" i="6" s="1"/>
  <c r="W111" i="6" a="1"/>
  <c r="W111" i="6" s="1"/>
  <c r="S110" i="6" a="1"/>
  <c r="S110" i="6" s="1"/>
  <c r="S109" i="6" a="1"/>
  <c r="S109" i="6" s="1"/>
  <c r="S111" i="6" a="1"/>
  <c r="S111" i="6" s="1"/>
  <c r="Y109" i="6" a="1"/>
  <c r="Y109" i="6" s="1"/>
  <c r="Y111" i="6" a="1"/>
  <c r="Y111" i="6" s="1"/>
  <c r="Y110" i="6" a="1"/>
  <c r="Y110" i="6" s="1"/>
  <c r="G111" i="6" a="1"/>
  <c r="G111" i="6" s="1"/>
  <c r="U112" i="6"/>
  <c r="N112" i="6"/>
  <c r="V112" i="6"/>
  <c r="P112" i="6"/>
  <c r="D105" i="6" a="1"/>
  <c r="D105" i="6" s="1"/>
  <c r="D112" i="6"/>
  <c r="H104" i="6" a="1"/>
  <c r="H104" i="6" s="1"/>
  <c r="H105" i="6" a="1"/>
  <c r="H105" i="6" s="1"/>
  <c r="H103" i="6" a="1"/>
  <c r="H103" i="6" s="1"/>
  <c r="H110" i="6" a="1"/>
  <c r="H110" i="6" s="1"/>
  <c r="Z110" i="6" s="1"/>
  <c r="B112" i="6"/>
  <c r="H111" i="6" a="1"/>
  <c r="H111" i="6" s="1"/>
  <c r="Z111" i="6" s="1"/>
  <c r="H109" i="6" a="1"/>
  <c r="H109" i="6" s="1"/>
  <c r="Z109" i="6" s="1"/>
  <c r="Y105" i="6" a="1"/>
  <c r="Y105" i="6" s="1"/>
  <c r="Y103" i="6" a="1"/>
  <c r="Y103" i="6" s="1"/>
  <c r="Y104" i="6" a="1"/>
  <c r="Y104" i="6" s="1"/>
  <c r="CQ51" i="2"/>
  <c r="L51" i="2" s="1"/>
  <c r="DP52" i="2"/>
  <c r="P51" i="2"/>
  <c r="DP55" i="2"/>
  <c r="P55" i="2" s="1"/>
  <c r="DP53" i="2"/>
  <c r="P53" i="2" s="1"/>
  <c r="DP54" i="2"/>
  <c r="P54" i="2" s="1"/>
  <c r="O33" i="2"/>
  <c r="CQ33" i="2"/>
  <c r="L33" i="2" s="1"/>
  <c r="P38" i="2"/>
  <c r="AC38" i="2"/>
  <c r="I38" i="2"/>
  <c r="AC8" i="2"/>
  <c r="P8" i="2"/>
  <c r="I8" i="2"/>
  <c r="J41" i="2"/>
  <c r="O54" i="2"/>
  <c r="O35" i="2"/>
  <c r="S104" i="6" a="1"/>
  <c r="S104" i="6" s="1"/>
  <c r="S105" i="6" a="1"/>
  <c r="S105" i="6" s="1"/>
  <c r="S103" i="6" a="1"/>
  <c r="S103" i="6" s="1"/>
  <c r="Y48" i="2"/>
  <c r="J48" i="2"/>
  <c r="W105" i="6" a="1"/>
  <c r="W105" i="6" s="1"/>
  <c r="W103" i="6" a="1"/>
  <c r="W103" i="6" s="1"/>
  <c r="W104" i="6" a="1"/>
  <c r="W104" i="6" s="1"/>
  <c r="AD145" i="3"/>
  <c r="DC55" i="2" l="1"/>
  <c r="O55" i="2" s="1"/>
  <c r="I33" i="2"/>
  <c r="Y33" i="2" s="1"/>
  <c r="N25" i="2"/>
  <c r="N26" i="2"/>
  <c r="P33" i="2"/>
  <c r="DB55" i="2"/>
  <c r="M25" i="2"/>
  <c r="DO55" i="2"/>
  <c r="N32" i="2"/>
  <c r="Y39" i="2"/>
  <c r="J25" i="2"/>
  <c r="M32" i="2"/>
  <c r="C112" i="6"/>
  <c r="J32" i="2"/>
  <c r="N23" i="2"/>
  <c r="M23" i="2"/>
  <c r="J23" i="2"/>
  <c r="Y11" i="2"/>
  <c r="CQ35" i="2"/>
  <c r="L35" i="2" s="1"/>
  <c r="M33" i="2"/>
  <c r="N33" i="2"/>
  <c r="Y9" i="2"/>
  <c r="J51" i="2"/>
  <c r="M51" i="2"/>
  <c r="N51" i="2"/>
  <c r="P36" i="2"/>
  <c r="J37" i="2"/>
  <c r="CQ36" i="2"/>
  <c r="L36" i="2" s="1"/>
  <c r="AB171" i="3"/>
  <c r="F112" i="6"/>
  <c r="AC36" i="2"/>
  <c r="I36" i="2"/>
  <c r="Y36" i="2" s="1"/>
  <c r="Z112" i="6"/>
  <c r="Q113" i="6"/>
  <c r="Z120" i="6"/>
  <c r="J33" i="2"/>
  <c r="L112" i="6"/>
  <c r="I112" i="6"/>
  <c r="CQ54" i="2"/>
  <c r="L54" i="2" s="1"/>
  <c r="L113" i="6"/>
  <c r="X113" i="6"/>
  <c r="R113" i="6"/>
  <c r="K111" i="6" a="1"/>
  <c r="K111" i="6" s="1"/>
  <c r="AE145" i="3"/>
  <c r="AH145" i="3" s="1"/>
  <c r="AH146" i="3"/>
  <c r="M113" i="6"/>
  <c r="F113" i="6"/>
  <c r="K105" i="6" a="1"/>
  <c r="K105" i="6" s="1"/>
  <c r="K103" i="6" a="1"/>
  <c r="K103" i="6" s="1"/>
  <c r="K110" i="6" a="1"/>
  <c r="K110" i="6" s="1"/>
  <c r="CQ53" i="2"/>
  <c r="L53" i="2" s="1"/>
  <c r="E113" i="6"/>
  <c r="E112" i="6"/>
  <c r="H112" i="6"/>
  <c r="W112" i="6"/>
  <c r="W113" i="6"/>
  <c r="S112" i="6"/>
  <c r="S113" i="6"/>
  <c r="G112" i="6"/>
  <c r="G113" i="6"/>
  <c r="K109" i="6" a="1"/>
  <c r="K109" i="6" s="1"/>
  <c r="Y112" i="6"/>
  <c r="Y113" i="6"/>
  <c r="K104" i="6" a="1"/>
  <c r="K104" i="6" s="1"/>
  <c r="J112" i="6"/>
  <c r="J8" i="2"/>
  <c r="Y8" i="2"/>
  <c r="A171" i="3" s="1"/>
  <c r="B171" i="3" s="1"/>
  <c r="J38" i="2"/>
  <c r="Y38" i="2"/>
  <c r="P52" i="2"/>
  <c r="CQ52" i="2"/>
  <c r="L52" i="2" s="1"/>
  <c r="CQ55" i="2"/>
  <c r="L55" i="2" s="1"/>
  <c r="A53" i="6"/>
  <c r="M36" i="2" l="1"/>
  <c r="N36" i="2"/>
  <c r="J53" i="2"/>
  <c r="M53" i="2"/>
  <c r="N53" i="2"/>
  <c r="J54" i="2"/>
  <c r="N54" i="2"/>
  <c r="M54" i="2"/>
  <c r="J52" i="2"/>
  <c r="M52" i="2"/>
  <c r="N52" i="2"/>
  <c r="J55" i="2"/>
  <c r="N55" i="2"/>
  <c r="M55" i="2"/>
  <c r="J35" i="2"/>
  <c r="M35" i="2"/>
  <c r="N35" i="2"/>
  <c r="J36" i="2"/>
  <c r="K112" i="6"/>
  <c r="I118" i="6"/>
  <c r="U118" i="6"/>
  <c r="O116" i="6"/>
  <c r="U117" i="6"/>
  <c r="C118" i="6"/>
  <c r="C116" i="6"/>
  <c r="U116" i="6"/>
  <c r="O117" i="6"/>
  <c r="O118" i="6"/>
  <c r="I117" i="6"/>
  <c r="C117" i="6"/>
  <c r="I116" i="6"/>
  <c r="K113" i="6"/>
  <c r="U120" i="6" l="1"/>
  <c r="T113" i="6" s="1"/>
  <c r="I120" i="6"/>
  <c r="H113" i="6" s="1"/>
  <c r="C120" i="6"/>
  <c r="O120" i="6"/>
  <c r="AA120" i="6" l="1"/>
  <c r="Z113" i="6" s="1"/>
  <c r="N113" i="6"/>
  <c r="B113" i="6"/>
  <c r="CQ24" i="2"/>
  <c r="N24" i="2" s="1"/>
  <c r="R24" i="2" l="1"/>
  <c r="L24" i="2"/>
  <c r="J24" i="2"/>
  <c r="M24" i="2"/>
  <c r="EX56" i="2"/>
  <c r="S56" i="2" s="1"/>
  <c r="CQ56" i="2" l="1"/>
  <c r="M56" i="2" s="1"/>
  <c r="N56" i="2" l="1"/>
  <c r="J56" i="2"/>
  <c r="L56" i="2"/>
  <c r="CQ80" i="2" l="1"/>
  <c r="M80" i="2" s="1"/>
  <c r="EH80" i="2"/>
  <c r="R80" i="2" s="1"/>
  <c r="N80" i="2" l="1"/>
  <c r="J80" i="2"/>
  <c r="L8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CONSIGNY François</author>
    <author>François CONSIGNY</author>
    <author>tc={50446792-4351-4791-9A0B-7A0FF88700DE}</author>
    <author>tc={B11ADEEF-A3CC-4163-9BAE-4C141FBED51B}</author>
  </authors>
  <commentList>
    <comment ref="AR5" authorId="0" shapeId="0" xr:uid="{4A097827-33D0-4F1E-B467-3DC9FA0693CE}">
      <text>
        <r>
          <rPr>
            <b/>
            <sz val="9"/>
            <color indexed="81"/>
            <rFont val="Tahoma"/>
            <family val="2"/>
          </rPr>
          <t>CONSIGNY François:</t>
        </r>
        <r>
          <rPr>
            <sz val="9"/>
            <color indexed="81"/>
            <rFont val="Tahoma"/>
            <family val="2"/>
          </rPr>
          <t xml:space="preserve">
Rèf: 
FprEN 1995-1-2:2025 (E)
</t>
        </r>
      </text>
    </comment>
    <comment ref="T7" authorId="1" shapeId="0" xr:uid="{3D66066E-ACC7-480F-9502-6D4DE5DA7D1C}">
      <text>
        <r>
          <rPr>
            <b/>
            <sz val="9"/>
            <color indexed="81"/>
            <rFont val="Tahoma"/>
            <family val="2"/>
          </rPr>
          <t>François CONSIGNY:</t>
        </r>
        <r>
          <rPr>
            <sz val="9"/>
            <color indexed="81"/>
            <rFont val="Tahoma"/>
            <family val="2"/>
          </rPr>
          <t xml:space="preserve">
1 =&gt; number calculated and placed by brisk_calc.py (add_sprinkler)
&gt;1 Bris_pre_calculated files</t>
        </r>
      </text>
    </comment>
    <comment ref="AU7" authorId="0" shapeId="0" xr:uid="{868340BE-8054-4073-B8A3-2F5290154C66}">
      <text>
        <r>
          <rPr>
            <b/>
            <sz val="9"/>
            <color indexed="81"/>
            <rFont val="Tahoma"/>
            <family val="2"/>
          </rPr>
          <t>CONSIGNY François:</t>
        </r>
        <r>
          <rPr>
            <sz val="9"/>
            <color indexed="81"/>
            <rFont val="Tahoma"/>
            <family val="2"/>
          </rPr>
          <t xml:space="preserve">
Rèf: 
FprEN 1995-1-2:2025 (E)
</t>
        </r>
      </text>
    </comment>
    <comment ref="E8" authorId="0" shapeId="0" xr:uid="{00000000-0006-0000-0100-000001000000}">
      <text>
        <r>
          <rPr>
            <sz val="11"/>
            <color theme="1"/>
            <rFont val="Calibri"/>
            <family val="2"/>
            <scheme val="minor"/>
          </rPr>
          <t>CONSIGNY François:
4.5MW Propane
Furniture equivalent: 710 MJ/m²</t>
        </r>
      </text>
    </comment>
    <comment ref="Z8" authorId="0" shapeId="0" xr:uid="{00000000-0006-0000-0100-000002000000}">
      <text>
        <r>
          <rPr>
            <sz val="11"/>
            <color theme="1"/>
            <rFont val="Calibri"/>
            <family val="2"/>
            <scheme val="minor"/>
          </rPr>
          <t xml:space="preserve">CONSIGNY François:
Mesured HRR
</t>
        </r>
      </text>
    </comment>
    <comment ref="AA8" authorId="0" shapeId="0" xr:uid="{00000000-0006-0000-0100-000003000000}">
      <text>
        <r>
          <rPr>
            <sz val="11"/>
            <color theme="1"/>
            <rFont val="Calibri"/>
            <family val="2"/>
            <scheme val="minor"/>
          </rPr>
          <t>CONSIGNY François:
Propane HRR</t>
        </r>
      </text>
    </comment>
    <comment ref="AL8" authorId="0" shapeId="0" xr:uid="{00000000-0006-0000-0100-000004000000}">
      <text>
        <r>
          <rPr>
            <sz val="11"/>
            <color theme="1"/>
            <rFont val="Calibri"/>
            <family val="2"/>
            <scheme val="minor"/>
          </rPr>
          <t>CONSIGNY François:
Average
(Plate therm 1212°C; Localised 1304°C)</t>
        </r>
      </text>
    </comment>
    <comment ref="AQ8" authorId="0" shapeId="0" xr:uid="{D267B6C1-5718-45B4-A1A4-43F8F03BD8F7}">
      <text>
        <r>
          <rPr>
            <b/>
            <sz val="9"/>
            <color indexed="81"/>
            <rFont val="Tahoma"/>
            <family val="2"/>
          </rPr>
          <t>CONSIGNY François:</t>
        </r>
        <r>
          <rPr>
            <sz val="9"/>
            <color indexed="81"/>
            <rFont val="Tahoma"/>
            <family val="2"/>
          </rPr>
          <t xml:space="preserve">
Fail of first gypsum layer at 40mn, second 48mn</t>
        </r>
      </text>
    </comment>
    <comment ref="AV8" authorId="0" shapeId="0" xr:uid="{00000000-0006-0000-0100-000005000000}">
      <text>
        <r>
          <rPr>
            <sz val="11"/>
            <color theme="1"/>
            <rFont val="Calibri"/>
            <family val="2"/>
            <scheme val="minor"/>
          </rPr>
          <t xml:space="preserve">CONSIGNY François:
At 105 minutes some delamination of the first layer of CLT began to occur exposing the second layer. Some o f the delaminated members hang in place, seen in Figure 63, and ignite exposing the structure to flames. The fire grew as further delamination occurs and at 115 minutes the room began to re-enter flashover.
</t>
        </r>
      </text>
    </comment>
    <comment ref="AW8" authorId="0" shapeId="0" xr:uid="{00000000-0006-0000-0100-000006000000}">
      <text>
        <r>
          <rPr>
            <sz val="11"/>
            <color theme="1"/>
            <rFont val="Calibri"/>
            <family val="2"/>
            <scheme val="minor"/>
          </rPr>
          <t>CONSIGNY François:
The fire grew as further  delamination occurs and at 115 minutes the room began to re-enter flashover. The fire was extinguished at 119 minutes after the flames started to exit the room  as seen in Figure 64.</t>
        </r>
      </text>
    </comment>
    <comment ref="BB8" authorId="0" shapeId="0" xr:uid="{00000000-0006-0000-0100-000007000000}">
      <text>
        <r>
          <rPr>
            <sz val="11"/>
            <color theme="1"/>
            <rFont val="Calibri"/>
            <family val="2"/>
            <scheme val="minor"/>
          </rPr>
          <t>CONSIGNY François:
Max average : "Wall 4"</t>
        </r>
      </text>
    </comment>
    <comment ref="BF8" authorId="0" shapeId="0" xr:uid="{00000000-0006-0000-0100-000008000000}">
      <text>
        <r>
          <rPr>
            <sz val="11"/>
            <color theme="1"/>
            <rFont val="Calibri"/>
            <family val="2"/>
            <scheme val="minor"/>
          </rPr>
          <t xml:space="preserve">CONSIGNY François:
Max average : "Ceil 2"
</t>
        </r>
      </text>
    </comment>
    <comment ref="CV8" authorId="0" shapeId="0" xr:uid="{00000000-0006-0000-0100-000009000000}">
      <text>
        <r>
          <rPr>
            <sz val="11"/>
            <color theme="1"/>
            <rFont val="Calibri"/>
            <family val="2"/>
            <scheme val="minor"/>
          </rPr>
          <t>CONSIGNY François:
Only on Front Wall</t>
        </r>
      </text>
    </comment>
    <comment ref="EB8" authorId="0" shapeId="0" xr:uid="{00000000-0006-0000-0100-00000A000000}">
      <text>
        <r>
          <rPr>
            <sz val="11"/>
            <color theme="1"/>
            <rFont val="Calibri"/>
            <family val="2"/>
            <scheme val="minor"/>
          </rPr>
          <t>CONSIGNY François:
flooring taked in account in Fuel load</t>
        </r>
      </text>
    </comment>
    <comment ref="F9" authorId="0" shapeId="0" xr:uid="{B3930FAB-F5C5-4322-A685-10A5F10781E2}">
      <text>
        <r>
          <rPr>
            <sz val="11"/>
            <color theme="1"/>
            <rFont val="Calibri"/>
            <family val="2"/>
            <scheme val="minor"/>
          </rPr>
          <t>CONSIGNY François:
same as test&amp; using furniture as fire source</t>
        </r>
      </text>
    </comment>
    <comment ref="AQ9" authorId="0" shapeId="0" xr:uid="{2BB703BE-C19F-4833-A75D-F4121AE541BA}">
      <text>
        <r>
          <rPr>
            <b/>
            <sz val="9"/>
            <color indexed="81"/>
            <rFont val="Tahoma"/>
            <family val="2"/>
          </rPr>
          <t>CONSIGNY François:</t>
        </r>
        <r>
          <rPr>
            <sz val="9"/>
            <color indexed="81"/>
            <rFont val="Tahoma"/>
            <family val="2"/>
          </rPr>
          <t xml:space="preserve">
gypsum panel on ceils fails @37mn</t>
        </r>
      </text>
    </comment>
    <comment ref="AW9" authorId="0" shapeId="0" xr:uid="{00000000-0006-0000-0100-00000D000000}">
      <text>
        <r>
          <rPr>
            <sz val="11"/>
            <color theme="1"/>
            <rFont val="Calibri"/>
            <family val="2"/>
            <scheme val="minor"/>
          </rPr>
          <t>CONSIGNY François:
The HRR continued to decay at a steady rate until the test ended and the room was cooled with water after 60 minutes.</t>
        </r>
      </text>
    </comment>
    <comment ref="CV9" authorId="0" shapeId="0" xr:uid="{00000000-0006-0000-0100-00000E000000}">
      <text>
        <r>
          <rPr>
            <sz val="11"/>
            <color theme="1"/>
            <rFont val="Calibri"/>
            <family val="2"/>
            <scheme val="minor"/>
          </rPr>
          <t>CONSIGNY François:
Only on Front Wall</t>
        </r>
      </text>
    </comment>
    <comment ref="E10" authorId="0" shapeId="0" xr:uid="{00000000-0006-0000-0100-00000F000000}">
      <text>
        <r>
          <rPr>
            <sz val="11"/>
            <color theme="1"/>
            <rFont val="Calibri"/>
            <family val="2"/>
            <scheme val="minor"/>
          </rPr>
          <t>CONSIGNY François:
3MW Propane
Furniture equivalent 266 MJ/m²</t>
        </r>
      </text>
    </comment>
    <comment ref="AB10" authorId="0" shapeId="0" xr:uid="{00000000-0006-0000-0100-000010000000}">
      <text>
        <r>
          <rPr>
            <sz val="11"/>
            <color theme="1"/>
            <rFont val="Calibri"/>
            <family val="2"/>
            <scheme val="minor"/>
          </rPr>
          <t>CONSIGNY François:
large spike in HRR (&gt;10MW) at approximately 15 minutes, shown in Figure 77 is the result o f an increase in the speed of the extraction fans to remove a buildup o f smoke in the tunnel upstream of the test. The higher flow rate and concentration o f smoke passing the sensors whilst the buildup cleared resulted in a spike in the calculated HRR. The magnitude of the spike is disregarded for this test, however the total area under the graph is relevant for analysis as it represents the energy released (oxygen consumed) during the test.</t>
        </r>
      </text>
    </comment>
    <comment ref="AV10" authorId="0" shapeId="0" xr:uid="{AD2D42F4-0614-4E73-80C8-08452D790123}">
      <text>
        <r>
          <rPr>
            <b/>
            <sz val="9"/>
            <color indexed="81"/>
            <rFont val="Tahoma"/>
            <family val="2"/>
          </rPr>
          <t>CONSIGNY François:</t>
        </r>
        <r>
          <rPr>
            <sz val="9"/>
            <color indexed="81"/>
            <rFont val="Tahoma"/>
            <family val="2"/>
          </rPr>
          <t xml:space="preserve">
Some localised flaming was observed at 58 minutes where some minor  delamination was observed, however this was sporadic and unsustained</t>
        </r>
      </text>
    </comment>
    <comment ref="AW10" authorId="0" shapeId="0" xr:uid="{00000000-0006-0000-0100-000011000000}">
      <text>
        <r>
          <rPr>
            <sz val="11"/>
            <color theme="1"/>
            <rFont val="Calibri"/>
            <family val="2"/>
            <scheme val="minor"/>
          </rPr>
          <t xml:space="preserve">CONSIGNY François:
HRR drops below 1.055 MW at 27:45 minutes and begins to stabilise settling at approximately 0.45 MW after 35:00 minutes.
Some localised flaming was observed at 58 minutes where some minor delamination was observed, however this was sporadic and unsustained. The room was cooled with water after 60 minutes.
</t>
        </r>
      </text>
    </comment>
    <comment ref="BB10" authorId="0" shapeId="0" xr:uid="{00000000-0006-0000-0100-000012000000}">
      <text>
        <r>
          <rPr>
            <sz val="11"/>
            <color theme="1"/>
            <rFont val="Calibri"/>
            <family val="2"/>
            <scheme val="minor"/>
          </rPr>
          <t>CONSIGNY François:
Sur les 12 premiers mm:
0.81 0-6mm
0.51 6-12mm</t>
        </r>
      </text>
    </comment>
    <comment ref="BF10" authorId="0" shapeId="0" xr:uid="{00000000-0006-0000-0100-000013000000}">
      <text>
        <r>
          <rPr>
            <sz val="11"/>
            <color theme="1"/>
            <rFont val="Calibri"/>
            <family val="2"/>
            <scheme val="minor"/>
          </rPr>
          <t xml:space="preserve">CONSIGNY François:
Sur les 12 premiers mm, max:
"C2"
</t>
        </r>
      </text>
    </comment>
    <comment ref="CT10" authorId="0" shapeId="0" xr:uid="{00000000-0006-0000-0100-000014000000}">
      <text>
        <r>
          <rPr>
            <sz val="11"/>
            <color theme="1"/>
            <rFont val="Calibri"/>
            <family val="2"/>
            <scheme val="minor"/>
          </rPr>
          <t>CONSIGNY François:
Only on Front Wall</t>
        </r>
      </text>
    </comment>
    <comment ref="F11" authorId="0" shapeId="0" xr:uid="{8B070FA7-05BB-4DFA-B1F3-4C9F46FE8F44}">
      <text>
        <r>
          <rPr>
            <sz val="11"/>
            <color theme="1"/>
            <rFont val="Calibri"/>
            <family val="2"/>
            <scheme val="minor"/>
          </rPr>
          <t>CONSIGNY François:
repeat of Test 2 for which the temperature data had been lost</t>
        </r>
      </text>
    </comment>
    <comment ref="K11" authorId="0" shapeId="0" xr:uid="{00000000-0006-0000-0100-000016000000}">
      <text>
        <r>
          <rPr>
            <sz val="11"/>
            <color theme="1"/>
            <rFont val="Calibri"/>
            <family val="2"/>
            <scheme val="minor"/>
          </rPr>
          <t>CONSIGNY François:
19mm Hardwood</t>
        </r>
      </text>
    </comment>
    <comment ref="AQ11" authorId="0" shapeId="0" xr:uid="{382FDCEE-B316-4104-95CE-968B3DB34A80}">
      <text>
        <r>
          <rPr>
            <b/>
            <sz val="9"/>
            <color indexed="81"/>
            <rFont val="Tahoma"/>
            <family val="2"/>
          </rPr>
          <t>CONSIGNY François:</t>
        </r>
        <r>
          <rPr>
            <sz val="9"/>
            <color indexed="81"/>
            <rFont val="Tahoma"/>
            <family val="2"/>
          </rPr>
          <t xml:space="preserve">
Similar to Test 2, the majority of the gypsum board remained in place with a  panel above the bed collapsing at 39:24 minutes. The fire was extinguished after 53:34  minutes.
The temperatures at the CLT/Gypsum board interface are presented in Figure 98 which  show the failure of the first layer of gypsum board after approximately 21 minutes and  the first indication of failure of the second layer after 43 minutes</t>
        </r>
      </text>
    </comment>
    <comment ref="AW11" authorId="0" shapeId="0" xr:uid="{00000000-0006-0000-0100-000018000000}">
      <text>
        <r>
          <rPr>
            <sz val="11"/>
            <color theme="1"/>
            <rFont val="Calibri"/>
            <family val="2"/>
            <scheme val="minor"/>
          </rPr>
          <t>CONSIGNY François:
Similar to Test 2, the majority of the gypsum board remained in place with a panel above the bed collapsing at 39:24 minutes. The fire was extinguished after 53:34 minutes.</t>
        </r>
      </text>
    </comment>
    <comment ref="CV11" authorId="0" shapeId="0" xr:uid="{00000000-0006-0000-0100-000019000000}">
      <text>
        <r>
          <rPr>
            <sz val="11"/>
            <color theme="1"/>
            <rFont val="Calibri"/>
            <family val="2"/>
            <scheme val="minor"/>
          </rPr>
          <t>CONSIGNY François:
Only on Front Wall</t>
        </r>
      </text>
    </comment>
    <comment ref="AA12" authorId="0" shapeId="0" xr:uid="{00000000-0006-0000-0100-00001A000000}">
      <text>
        <r>
          <rPr>
            <sz val="11"/>
            <color theme="1"/>
            <rFont val="Calibri"/>
            <family val="2"/>
            <scheme val="minor"/>
          </rPr>
          <t>CONSIGNY François:
Average Test 2 &amp; 4</t>
        </r>
      </text>
    </comment>
    <comment ref="AB12" authorId="0" shapeId="0" xr:uid="{00000000-0006-0000-0100-00001B000000}">
      <text>
        <r>
          <rPr>
            <sz val="11"/>
            <color theme="1"/>
            <rFont val="Calibri"/>
            <family val="2"/>
            <scheme val="minor"/>
          </rPr>
          <t>CONSIGNY François:
5 @ early stage, 6 after delamination</t>
        </r>
      </text>
    </comment>
    <comment ref="AV12" authorId="0" shapeId="0" xr:uid="{C06DE393-2015-46CD-9E50-014AA6BFFCDB}">
      <text>
        <r>
          <rPr>
            <b/>
            <sz val="9"/>
            <color indexed="81"/>
            <rFont val="Tahoma"/>
            <family val="2"/>
          </rPr>
          <t>CONSIGNY François:</t>
        </r>
        <r>
          <rPr>
            <sz val="9"/>
            <color indexed="81"/>
            <rFont val="Tahoma"/>
            <family val="2"/>
          </rPr>
          <t xml:space="preserve">
At 39 minutes, the HRR  begins to rise again entering a second growth phase, at which time the pieces of the first  CLT layer were observed delaminating and falling off. Similar to Test 1, this  delamination contributed to the fire load in the room and exposed unburned wood that  caused the fire to grow.</t>
        </r>
      </text>
    </comment>
    <comment ref="AW12" authorId="0" shapeId="0" xr:uid="{00000000-0006-0000-0100-00001C000000}">
      <text>
        <r>
          <rPr>
            <sz val="11"/>
            <color theme="1"/>
            <rFont val="Calibri"/>
            <family val="2"/>
            <scheme val="minor"/>
          </rPr>
          <t>CONSIGNY François:
The HRR appears to stabilise at approximately 5.7 MW after 57 minutes and the test was stopped at 63 minutes to protect the integrity o f the structure.</t>
        </r>
      </text>
    </comment>
    <comment ref="BB12" authorId="0" shapeId="0" xr:uid="{00000000-0006-0000-0100-00001D000000}">
      <text>
        <r>
          <rPr>
            <sz val="11"/>
            <color theme="1"/>
            <rFont val="Calibri"/>
            <family val="2"/>
            <scheme val="minor"/>
          </rPr>
          <t>CONSIGNY François:
Sur les 24 premiers mm:
0.53 0-6mm
1.08 6-24mm</t>
        </r>
      </text>
    </comment>
    <comment ref="BF12" authorId="0" shapeId="0" xr:uid="{00000000-0006-0000-0100-00001E000000}">
      <text>
        <r>
          <rPr>
            <sz val="11"/>
            <color theme="1"/>
            <rFont val="Calibri"/>
            <family val="2"/>
            <scheme val="minor"/>
          </rPr>
          <t xml:space="preserve">CONSIGNY François:
Sur les 12 premiers mm,
Max average "C1"
</t>
        </r>
      </text>
    </comment>
    <comment ref="CT12" authorId="0" shapeId="0" xr:uid="{00000000-0006-0000-0100-00001F000000}">
      <text>
        <r>
          <rPr>
            <sz val="11"/>
            <color theme="1"/>
            <rFont val="Calibri"/>
            <family val="2"/>
            <scheme val="minor"/>
          </rPr>
          <t>CONSIGNY François:
CONSIGNY François:
Only on Front Wall</t>
        </r>
      </text>
    </comment>
    <comment ref="AO13" authorId="1" shapeId="0" xr:uid="{00000000-0006-0000-0100-000020000000}">
      <text>
        <r>
          <rPr>
            <sz val="11"/>
            <color theme="1"/>
            <rFont val="Calibri"/>
            <family val="2"/>
            <scheme val="minor"/>
          </rPr>
          <t>François CONSIGNY:
The room underwent a second flashover at about 12:37PM, 75 minutes from the start of the test. At this point, the first layer of gypsum board protection on the ceiling had completely fallen off and the fuel source was solely the CLT walls.At around 12:49PM, 87 minutes after ignition, the last layer of gypsum board protection on the ceiling fell off. Temperatures in the room continued to decrease and burning kept taking place in the second layer of CLT. The temperature in the room continued to decrease 120 minutes into the test. Just over two hours after ignition (123min) the room fire was extinguished  by the firefighters as there was no indication of panel self-extinguishment and the third and last layer of the unprotected CLT panels had started to char.</t>
        </r>
      </text>
    </comment>
    <comment ref="AV13" authorId="0" shapeId="0" xr:uid="{6029904D-708A-43FB-A786-0CDB1903B3EB}">
      <text>
        <r>
          <rPr>
            <b/>
            <sz val="9"/>
            <color indexed="81"/>
            <rFont val="Tahoma"/>
            <family val="2"/>
          </rPr>
          <t>CONSIGNY François:</t>
        </r>
        <r>
          <rPr>
            <sz val="9"/>
            <color indexed="81"/>
            <rFont val="Tahoma"/>
            <family val="2"/>
          </rPr>
          <t xml:space="preserve">
The main reason for the re-ignition of the room after it was almost out was delamination  of CLT plies before being fully charred.</t>
        </r>
      </text>
    </comment>
    <comment ref="AW13" authorId="0" shapeId="0" xr:uid="{00000000-0006-0000-0100-000021000000}">
      <text>
        <r>
          <rPr>
            <sz val="11"/>
            <color theme="1"/>
            <rFont val="Calibri"/>
            <family val="2"/>
            <scheme val="minor"/>
          </rPr>
          <t xml:space="preserve">CONSIGNY François:
Just over two hours after ignition (123min) the room fire was extinguished by the firefighters as there was no indication of panel self-extinguishment and the third and last layer of the unprotected CLT panels had started to char.
</t>
        </r>
      </text>
    </comment>
    <comment ref="AY13" authorId="0" shapeId="0" xr:uid="{00000000-0006-0000-0100-000022000000}">
      <text>
        <r>
          <rPr>
            <sz val="11"/>
            <color theme="1"/>
            <rFont val="Calibri"/>
            <family val="2"/>
            <scheme val="minor"/>
          </rPr>
          <t>CONSIGNY François:
45 for all wall</t>
        </r>
      </text>
    </comment>
    <comment ref="AQ14" authorId="0" shapeId="0" xr:uid="{4C43E4E1-AF44-42C9-8B52-98364055AD15}">
      <text>
        <r>
          <rPr>
            <b/>
            <sz val="9"/>
            <color indexed="81"/>
            <rFont val="Tahoma"/>
            <family val="2"/>
          </rPr>
          <t>CONSIGNY François:</t>
        </r>
        <r>
          <rPr>
            <sz val="9"/>
            <color indexed="81"/>
            <rFont val="Tahoma"/>
            <family val="2"/>
          </rPr>
          <t xml:space="preserve">
1st GB ceiling fail @27mn
1st GB fail back wall fail @31mn
2 GB fail @45mn on ceiling</t>
        </r>
      </text>
    </comment>
    <comment ref="AV14" authorId="0" shapeId="0" xr:uid="{3D9366E9-0928-438A-97BB-2F2BB45C9590}">
      <text>
        <r>
          <rPr>
            <b/>
            <sz val="9"/>
            <color indexed="81"/>
            <rFont val="Tahoma"/>
            <family val="2"/>
          </rPr>
          <t>CONSIGNY François:</t>
        </r>
        <r>
          <rPr>
            <sz val="9"/>
            <color indexed="81"/>
            <rFont val="Tahoma"/>
            <family val="2"/>
          </rPr>
          <t xml:space="preserve">
40 min:The right unprotected wall starts to burn more vigorously due to  the onset delamination of the first CLT ply.</t>
        </r>
      </text>
    </comment>
    <comment ref="AW14" authorId="0" shapeId="0" xr:uid="{00000000-0006-0000-0100-000024000000}">
      <text>
        <r>
          <rPr>
            <sz val="11"/>
            <color theme="1"/>
            <rFont val="Calibri"/>
            <family val="2"/>
            <scheme val="minor"/>
          </rPr>
          <t>CONSIGNY François:
Fire fighters intervene and the room fire is put out</t>
        </r>
      </text>
    </comment>
    <comment ref="AY14" authorId="0" shapeId="0" xr:uid="{00000000-0006-0000-0100-000025000000}">
      <text>
        <r>
          <rPr>
            <sz val="11"/>
            <color theme="1"/>
            <rFont val="Calibri"/>
            <family val="2"/>
            <scheme val="minor"/>
          </rPr>
          <t>CONSIGNY François:
32 for all wall</t>
        </r>
      </text>
    </comment>
    <comment ref="AW15" authorId="0" shapeId="0" xr:uid="{00000000-0006-0000-0100-000027000000}">
      <text>
        <r>
          <rPr>
            <sz val="11"/>
            <color theme="1"/>
            <rFont val="Calibri"/>
            <family val="2"/>
            <scheme val="minor"/>
          </rPr>
          <t>CONSIGNY François:
The temperature kept dropping until it reached 161°C on the plate thermometer at 12:36 PM at which point it was decided to extinguish the room, Figure 4-58. As Figure 4-57 shows the room was smoldering at this time with no signs of reigniting.</t>
        </r>
      </text>
    </comment>
    <comment ref="Z16" authorId="0" shapeId="0" xr:uid="{00000000-0006-0000-0100-000028000000}">
      <text>
        <r>
          <rPr>
            <sz val="11"/>
            <color theme="1"/>
            <rFont val="Calibri"/>
            <family val="2"/>
            <scheme val="minor"/>
          </rPr>
          <t>CONSIGNY François:
Total HR 18 000 MJ</t>
        </r>
      </text>
    </comment>
    <comment ref="AW16" authorId="0" shapeId="0" xr:uid="{00000000-0006-0000-0100-000029000000}">
      <text>
        <r>
          <rPr>
            <sz val="11"/>
            <color theme="1"/>
            <rFont val="Calibri"/>
            <family val="2"/>
            <scheme val="minor"/>
          </rPr>
          <t>CONSIGNY François:
The test lasted over 2 h and was terminated at 134 min after continuous fire decay (the heat release rate falling to 300 kW at the end). A household garden hose was used to mist water over the debris on the floor to terminate the test.</t>
        </r>
      </text>
    </comment>
    <comment ref="BR16" authorId="0" shapeId="0" xr:uid="{9E40B13D-A74C-46FA-8391-9009361F082B}">
      <text>
        <r>
          <rPr>
            <b/>
            <sz val="9"/>
            <color indexed="81"/>
            <rFont val="Tahoma"/>
            <family val="2"/>
          </rPr>
          <t>CONSIGNY François:</t>
        </r>
        <r>
          <rPr>
            <sz val="9"/>
            <color indexed="81"/>
            <rFont val="Tahoma"/>
            <family val="2"/>
          </rPr>
          <t xml:space="preserve">
@2.4m and 4.8m</t>
        </r>
      </text>
    </comment>
    <comment ref="BV16" authorId="0" shapeId="0" xr:uid="{BE80DDF7-7FF4-46FC-84F5-B33961086222}">
      <text>
        <r>
          <rPr>
            <b/>
            <sz val="9"/>
            <color indexed="81"/>
            <rFont val="Tahoma"/>
            <family val="2"/>
          </rPr>
          <t>CONSIGNY François:</t>
        </r>
        <r>
          <rPr>
            <sz val="9"/>
            <color indexed="81"/>
            <rFont val="Tahoma"/>
            <family val="2"/>
          </rPr>
          <t xml:space="preserve">
40 @2.4m
12 @4.8m</t>
        </r>
      </text>
    </comment>
    <comment ref="CJ16" authorId="1" shapeId="0" xr:uid="{00000000-0006-0000-0100-00002A000000}">
      <text>
        <r>
          <rPr>
            <sz val="11"/>
            <color theme="1"/>
            <rFont val="Calibri"/>
            <family val="2"/>
            <scheme val="minor"/>
          </rPr>
          <t>François CONSIGNY:
CLT block thikness [mm] on floor</t>
        </r>
      </text>
    </comment>
    <comment ref="CX16" authorId="0" shapeId="0" xr:uid="{00000000-0006-0000-0100-00002B000000}">
      <text>
        <r>
          <rPr>
            <sz val="11"/>
            <color theme="1"/>
            <rFont val="Calibri"/>
            <family val="2"/>
            <scheme val="minor"/>
          </rPr>
          <t>CONSIGNY François:
manufactured using 2 x 4 spruce-pine-fir (SPF) lumber glued with a polyurethane adhesive (with a brand name of HBE2, 1% of the panel weight) for all wall and ceiling assemblies.</t>
        </r>
      </text>
    </comment>
    <comment ref="DJ16" authorId="0" shapeId="0" xr:uid="{00000000-0006-0000-0100-00002C000000}">
      <text>
        <r>
          <rPr>
            <sz val="11"/>
            <color theme="1"/>
            <rFont val="Calibri"/>
            <family val="2"/>
            <scheme val="minor"/>
          </rPr>
          <t>CONSIGNY François:
manufactured using 2 x 4 spruce-pine-fir (SPF) lumber glued with a polyurethane adhesive (with a brand name of HBE2, 1% of the panel weight) for all wall and ceiling assemblies.</t>
        </r>
      </text>
    </comment>
    <comment ref="Z17" authorId="0" shapeId="0" xr:uid="{00000000-0006-0000-0100-00002D000000}">
      <text>
        <r>
          <rPr>
            <sz val="11"/>
            <color theme="1"/>
            <rFont val="Calibri"/>
            <family val="2"/>
            <scheme val="minor"/>
          </rPr>
          <t>CONSIGNY François:
Total HR 18 000 MJ</t>
        </r>
      </text>
    </comment>
    <comment ref="AW17" authorId="0" shapeId="0" xr:uid="{00000000-0006-0000-0100-00002E000000}">
      <text>
        <r>
          <rPr>
            <sz val="11"/>
            <color theme="1"/>
            <rFont val="Calibri"/>
            <family val="2"/>
            <scheme val="minor"/>
          </rPr>
          <t>CONSIGNY François:
The test lasted for 104 min and was terminated after continuous fire decay (the heat release rate falling to below 500 kW at the end). A fire hose was used to lightly spray water over the debris on the floor to terminate the test.</t>
        </r>
      </text>
    </comment>
    <comment ref="BC17" authorId="1" shapeId="0" xr:uid="{537C1533-4C51-45B2-87A4-405D99D2A7EE}">
      <text>
        <r>
          <rPr>
            <b/>
            <sz val="9"/>
            <color indexed="81"/>
            <rFont val="Tahoma"/>
            <family val="2"/>
          </rPr>
          <t>François CONSIGNY:</t>
        </r>
        <r>
          <rPr>
            <sz val="9"/>
            <color indexed="81"/>
            <rFont val="Tahoma"/>
            <family val="2"/>
          </rPr>
          <t xml:space="preserve">
1 if protected contribution</t>
        </r>
      </text>
    </comment>
    <comment ref="BV17" authorId="0" shapeId="0" xr:uid="{96FA4C41-AA94-490F-9439-108FCC763420}">
      <text>
        <r>
          <rPr>
            <b/>
            <sz val="9"/>
            <color indexed="81"/>
            <rFont val="Tahoma"/>
            <family val="2"/>
          </rPr>
          <t>CONSIGNY François:</t>
        </r>
        <r>
          <rPr>
            <sz val="9"/>
            <color indexed="81"/>
            <rFont val="Tahoma"/>
            <family val="2"/>
          </rPr>
          <t xml:space="preserve">
65 @2.4m
22 @4.8m</t>
        </r>
      </text>
    </comment>
    <comment ref="AV18" authorId="0" shapeId="0" xr:uid="{353D68D0-D44E-4D0F-88A2-3B03A2D83395}">
      <text>
        <r>
          <rPr>
            <b/>
            <sz val="9"/>
            <color indexed="81"/>
            <rFont val="Tahoma"/>
            <family val="2"/>
          </rPr>
          <t>CONSIGNY François:</t>
        </r>
        <r>
          <rPr>
            <sz val="9"/>
            <color indexed="81"/>
            <rFont val="Tahoma"/>
            <family val="2"/>
          </rPr>
          <t xml:space="preserve">
Given that 35 mm inside CLT corresponds with a glueline and that the char front should be at around 300 °C, this temperature rise indicates that the delamination of the first ply of the CLT occurred prior to the char front reaching the first glueline. The embedded thermocouple in 65 mm depth of the W1 wall shows a similar temperature rise at around 210 min, indicating the delamination of the second ply of the CLT prior to the char front reaching the second glueline.</t>
        </r>
      </text>
    </comment>
    <comment ref="AW18" authorId="0" shapeId="0" xr:uid="{00000000-0006-0000-0100-00002F000000}">
      <text>
        <r>
          <rPr>
            <sz val="11"/>
            <color theme="1"/>
            <rFont val="Calibri"/>
            <family val="2"/>
            <scheme val="minor"/>
          </rPr>
          <t>CONSIGNY François:
When the charred second ply started to fall off, the flame on the W1 wall diminished again from 205 min to the end of the test (Figure 62(g)). The test was terminated at 242 min (4 h after ignition). A fire hose was used to lightly spray water over the W1 wall and the debris on the floor to terminate the test. At the end of the test, two layers of gypsum board were still on the W3 and W4 walls and the ceiling</t>
        </r>
      </text>
    </comment>
    <comment ref="AX18" authorId="0" shapeId="0" xr:uid="{00000000-0006-0000-0100-000030000000}">
      <text>
        <r>
          <rPr>
            <sz val="11"/>
            <color theme="1"/>
            <rFont val="Calibri"/>
            <family val="2"/>
            <scheme val="minor"/>
          </rPr>
          <t>CONSIGNY François:
242</t>
        </r>
      </text>
    </comment>
    <comment ref="AY18" authorId="0" shapeId="0" xr:uid="{00000000-0006-0000-0100-000031000000}">
      <text>
        <r>
          <rPr>
            <sz val="11"/>
            <color theme="1"/>
            <rFont val="Calibri"/>
            <family val="2"/>
            <scheme val="minor"/>
          </rPr>
          <t>CONSIGNY François:
Based on the timing when the embedded thermocouples in the W1 wall (mid-length at 1.8 m height) measured 300 °C, the char front reached 20 mm, 35 mm, 50 mm and 65 mm deep at 32 min, 83 min, 172 min and 213 min, respectively, in the CLT panel 10_018. The embedded thermocouple in 35 mm depth of the W1 wall shows a sharp temperature rise at around 80 min, from approximately 220 °C to 500 °C.</t>
        </r>
      </text>
    </comment>
    <comment ref="BV18" authorId="0" shapeId="0" xr:uid="{BFE7A6EE-7962-41DE-BD08-46B438542CBD}">
      <text>
        <r>
          <rPr>
            <b/>
            <sz val="9"/>
            <color indexed="81"/>
            <rFont val="Tahoma"/>
            <family val="2"/>
          </rPr>
          <t>CONSIGNY François:</t>
        </r>
        <r>
          <rPr>
            <sz val="9"/>
            <color indexed="81"/>
            <rFont val="Tahoma"/>
            <family val="2"/>
          </rPr>
          <t xml:space="preserve">
65 @2.4m
25 @4.8m</t>
        </r>
      </text>
    </comment>
    <comment ref="AV19" authorId="0" shapeId="0" xr:uid="{A3FCCDB1-99A6-4523-BBDE-EBD08B407B4A}">
      <text>
        <r>
          <rPr>
            <b/>
            <sz val="9"/>
            <color indexed="81"/>
            <rFont val="Tahoma"/>
            <family val="2"/>
          </rPr>
          <t>CONSIGNY François:</t>
        </r>
        <r>
          <rPr>
            <sz val="9"/>
            <color indexed="81"/>
            <rFont val="Tahoma"/>
            <family val="2"/>
          </rPr>
          <t xml:space="preserve">
The delamination of the first ply of the CLT might have occurred after the char front passing the first glueline at that location. However, the embedded thermocouple in 65 mm depth of the ceiling does show a sharp temperature rise at around 150 min, from approximately 240 °C to 500 °C. This indicates that the delamination of the second ply of the CLT occurred prior to the char front reaching the second glueline.</t>
        </r>
      </text>
    </comment>
    <comment ref="AW19" authorId="0" shapeId="0" xr:uid="{00000000-0006-0000-0100-000032000000}">
      <text>
        <r>
          <rPr>
            <sz val="11"/>
            <color theme="1"/>
            <rFont val="Calibri"/>
            <family val="2"/>
            <scheme val="minor"/>
          </rPr>
          <t>CONSIGNY François:
The test was terminated by manual fire suppression at 159 min after the second ply of the CLT panels fell off the ceiling and the third ply became involved. Two fire hoses were used to spray water to the compartment to terminate the test. (The laboratory safety criterion was to terminate the test when more than two plies of CLT ceiling were charred or lost.) At the end of the test, two layers of gypsum board were still on all the walls. After the test, there was a 46-mm (1 7/8”) deflection occurred and two and half plies of CLT were lost at the centre of the ceiling.</t>
        </r>
      </text>
    </comment>
    <comment ref="BC19" authorId="0" shapeId="0" xr:uid="{00000000-0006-0000-0100-000033000000}">
      <text>
        <r>
          <rPr>
            <sz val="11"/>
            <color theme="1"/>
            <rFont val="Calibri"/>
            <family val="2"/>
            <scheme val="minor"/>
          </rPr>
          <t>CONSIGNY François:
Based on the timing when the embedded thermocouples in the ceiling measured 300 °C, the char front reached 20 mm, 35 mm, 50 mm and 65 mm deep at 37 min, 58 min, 116 min and 153 min, respectively, in the CLT ceiling panel 11_003.</t>
        </r>
      </text>
    </comment>
    <comment ref="BF19" authorId="0" shapeId="0" xr:uid="{00000000-0006-0000-0100-000034000000}">
      <text>
        <r>
          <rPr>
            <sz val="11"/>
            <color theme="1"/>
            <rFont val="Calibri"/>
            <family val="2"/>
            <scheme val="minor"/>
          </rPr>
          <t>CONSIGNY François:
Global sur l'ensemble de la durée du Test</t>
        </r>
      </text>
    </comment>
    <comment ref="BV19" authorId="0" shapeId="0" xr:uid="{FEB8E3F6-2B99-4683-8E18-DE22B481D711}">
      <text>
        <r>
          <rPr>
            <b/>
            <sz val="9"/>
            <color indexed="81"/>
            <rFont val="Tahoma"/>
            <family val="2"/>
          </rPr>
          <t>CONSIGNY François:</t>
        </r>
        <r>
          <rPr>
            <sz val="9"/>
            <color indexed="81"/>
            <rFont val="Tahoma"/>
            <family val="2"/>
          </rPr>
          <t xml:space="preserve">
45 @2.4m
17 @4.8m</t>
        </r>
      </text>
    </comment>
    <comment ref="AB20" authorId="0" shapeId="0" xr:uid="{00000000-0006-0000-0100-000035000000}">
      <text>
        <r>
          <rPr>
            <sz val="11"/>
            <color theme="1"/>
            <rFont val="Calibri"/>
            <family val="2"/>
            <scheme val="minor"/>
          </rPr>
          <t>CONSIGNY François:
3.3; 6.3; 9.5</t>
        </r>
      </text>
    </comment>
    <comment ref="AV20" authorId="0" shapeId="0" xr:uid="{63C86648-9152-4381-B090-741EE3FBBB2F}">
      <text>
        <r>
          <rPr>
            <b/>
            <sz val="9"/>
            <color indexed="81"/>
            <rFont val="Tahoma"/>
            <family val="2"/>
          </rPr>
          <t>CONSIGNY François:</t>
        </r>
        <r>
          <rPr>
            <sz val="9"/>
            <color indexed="81"/>
            <rFont val="Tahoma"/>
            <family val="2"/>
          </rPr>
          <t xml:space="preserve">
The embedded thermocouples in 70 mm depth at the five locations in the W1 wall reached 300 °C at 140-154 min during the second flashover with sharp temperature rises from below 300 °C to the prevailing compartment temperature. This indicated delamination of the second ply of the CLT prior to the char front reaching the second glueline.</t>
        </r>
      </text>
    </comment>
    <comment ref="AW20" authorId="0" shapeId="0" xr:uid="{00000000-0006-0000-0100-000036000000}">
      <text>
        <r>
          <rPr>
            <sz val="11"/>
            <color theme="1"/>
            <rFont val="Calibri"/>
            <family val="2"/>
            <scheme val="minor"/>
          </rPr>
          <t>CONSIGNY François:
The ceiling started full involvement in the fire at 150 min and the W3 and W4 walls also became fully involved at 185 min, after losing all gypsum board protection (see subsection 3.5.5). By this time, all CLT panels in the compartment contributed to the compartment fire. The test was terminated at 202 min with fire suppression using two fire hoses spraying water to the compartment.</t>
        </r>
      </text>
    </comment>
    <comment ref="AY20" authorId="0" shapeId="0" xr:uid="{00000000-0006-0000-0100-000037000000}">
      <text>
        <r>
          <rPr>
            <sz val="11"/>
            <color theme="1"/>
            <rFont val="Calibri"/>
            <family val="2"/>
            <scheme val="minor"/>
          </rPr>
          <t>CONSIGNY François:
he char front reached the depths of 20 mm, 35 mm, 50 mm, 70 mm, 90 mm and 115 mm at 43 min, 59 min, 80 min, 142 min, 175 min and 202 min, respectively, in CLT panel 10_018. At the end of the test, the temperature at 140 mm depth in the CLT panel was 85 °C.</t>
        </r>
      </text>
    </comment>
    <comment ref="BB20" authorId="0" shapeId="0" xr:uid="{00000000-0006-0000-0100-000038000000}">
      <text>
        <r>
          <rPr>
            <sz val="11"/>
            <color theme="1"/>
            <rFont val="Calibri"/>
            <family val="2"/>
            <scheme val="minor"/>
          </rPr>
          <t>CONSIGNY François:
Global sur l'ensemble de la durée du Test</t>
        </r>
      </text>
    </comment>
    <comment ref="BF20" authorId="0" shapeId="0" xr:uid="{00000000-0006-0000-0100-000039000000}">
      <text>
        <r>
          <rPr>
            <sz val="11"/>
            <color theme="1"/>
            <rFont val="Calibri"/>
            <family val="2"/>
            <scheme val="minor"/>
          </rPr>
          <t>CONSIGNY François:
Global sur l'ensemble de la durée du Test</t>
        </r>
      </text>
    </comment>
    <comment ref="BV20" authorId="0" shapeId="0" xr:uid="{2BF5AC4F-BDD4-4BD1-93C2-4DCC33B672DB}">
      <text>
        <r>
          <rPr>
            <b/>
            <sz val="9"/>
            <color indexed="81"/>
            <rFont val="Tahoma"/>
            <family val="2"/>
          </rPr>
          <t>CONSIGNY François:</t>
        </r>
        <r>
          <rPr>
            <sz val="9"/>
            <color indexed="81"/>
            <rFont val="Tahoma"/>
            <family val="2"/>
          </rPr>
          <t xml:space="preserve">
40 @2.4m
15 @4.8m</t>
        </r>
      </text>
    </comment>
    <comment ref="AB21" authorId="0" shapeId="0" xr:uid="{00000000-0006-0000-0100-00003A000000}">
      <text>
        <r>
          <rPr>
            <sz val="11"/>
            <color theme="1"/>
            <rFont val="Calibri"/>
            <family val="2"/>
            <scheme val="minor"/>
          </rPr>
          <t>CONSIGNY François:
7.5; 10</t>
        </r>
      </text>
    </comment>
    <comment ref="AV21" authorId="0" shapeId="0" xr:uid="{D2FA3F19-D9FC-4CB1-8E0F-97B9AA740AD5}">
      <text>
        <r>
          <rPr>
            <b/>
            <sz val="9"/>
            <color indexed="81"/>
            <rFont val="Tahoma"/>
            <family val="2"/>
          </rPr>
          <t>CONSIGNY François:</t>
        </r>
        <r>
          <rPr>
            <sz val="9"/>
            <color indexed="81"/>
            <rFont val="Tahoma"/>
            <family val="2"/>
          </rPr>
          <t xml:space="preserve">
The data from the ceiling indicate that delamination may occur before or after the char front passing the glueline (i.e., below or above the charring temperature) in the test.</t>
        </r>
      </text>
    </comment>
    <comment ref="AW21" authorId="0" shapeId="0" xr:uid="{00000000-0006-0000-0100-00003B000000}">
      <text>
        <r>
          <rPr>
            <sz val="11"/>
            <color theme="1"/>
            <rFont val="Calibri"/>
            <family val="2"/>
            <scheme val="minor"/>
          </rPr>
          <t>CONSIGNY François:
At 150 min, flames burnt through a hole at the ceiling-wall junction between panels 10_009 and 11_003 near the ceiling spline joint. At 156 min flames burnt through the ceiling joint between ceiling panels 11_003 and 11_004. The test was terminated at 160 min with fire suppression. Ceiling panel 11_003 (one of the four ceiling panels) collapsed into the compartment at 30 s after commencing the fire suppression. The large flame was extinguished within 1 min and glowing debris were extinguished within 5 min of the fire suppression operation. Connected to a stand pipe opening at 690 kPa (100 psi), two charged hose lines (38 mm diameter or 1.5 in. diameter) delivered 6.3 L/s (100 gpm) of water each through two low-pressure nozzles (517 kPa or 75 psi). Lower flow rates and pressures were used for overhaul.</t>
        </r>
      </text>
    </comment>
    <comment ref="AY21" authorId="0" shapeId="0" xr:uid="{00000000-0006-0000-0100-00003C000000}">
      <text>
        <r>
          <rPr>
            <sz val="11"/>
            <color theme="1"/>
            <rFont val="Calibri"/>
            <family val="2"/>
            <scheme val="minor"/>
          </rPr>
          <t>CONSIGNY François:
easured 300 °C in the depths of 20 mm, 35 mm, 50 mm, 65 mm, 70 mm, 90 mm and 115 mm at 49 min, 65 min, 85 min, 101 min, 105 min, 133 min and 154 min, respectively.</t>
        </r>
      </text>
    </comment>
    <comment ref="BB21" authorId="0" shapeId="0" xr:uid="{00000000-0006-0000-0100-00003D000000}">
      <text>
        <r>
          <rPr>
            <sz val="11"/>
            <color theme="1"/>
            <rFont val="Calibri"/>
            <family val="2"/>
            <scheme val="minor"/>
          </rPr>
          <t>CONSIGNY François:
Global sur l'ensemble de la durée du Test</t>
        </r>
      </text>
    </comment>
    <comment ref="BC21" authorId="0" shapeId="0" xr:uid="{00000000-0006-0000-0100-00003E000000}">
      <text>
        <r>
          <rPr>
            <sz val="11"/>
            <color theme="1"/>
            <rFont val="Calibri"/>
            <family val="2"/>
            <scheme val="minor"/>
          </rPr>
          <t>CONSIGNY François:
the char front reached the depths of 20 mm, 35 mm, 50 mm, 65 mm, 70 mm, 90 mm and 115 mm at 44 min, 59 min, 67 min, 84 min, 98 min, 126 min and 160 min, respectively, in the CLT ceiling panel 11_003 (near the centre of the compartment)</t>
        </r>
      </text>
    </comment>
    <comment ref="BF21" authorId="0" shapeId="0" xr:uid="{00000000-0006-0000-0100-00003F000000}">
      <text>
        <r>
          <rPr>
            <sz val="11"/>
            <color theme="1"/>
            <rFont val="Calibri"/>
            <family val="2"/>
            <scheme val="minor"/>
          </rPr>
          <t>CONSIGNY François:
Global sur l'ensemble de la durée du Test</t>
        </r>
      </text>
    </comment>
    <comment ref="BV21" authorId="0" shapeId="0" xr:uid="{361F741B-ADAF-4D9C-A40F-1D97C52AC3D9}">
      <text>
        <r>
          <rPr>
            <b/>
            <sz val="9"/>
            <color indexed="81"/>
            <rFont val="Tahoma"/>
            <family val="2"/>
          </rPr>
          <t>CONSIGNY François:</t>
        </r>
        <r>
          <rPr>
            <sz val="9"/>
            <color indexed="81"/>
            <rFont val="Tahoma"/>
            <family val="2"/>
          </rPr>
          <t xml:space="preserve">
55 @2.4m
20 @4.8m</t>
        </r>
      </text>
    </comment>
    <comment ref="AP22" authorId="1" shapeId="0" xr:uid="{7697B9F6-1F11-4796-8AB3-9FE7EFCA7515}">
      <text>
        <r>
          <rPr>
            <b/>
            <sz val="9"/>
            <color indexed="81"/>
            <rFont val="Tahoma"/>
            <family val="2"/>
          </rPr>
          <t>François CONSIGNY:</t>
        </r>
        <r>
          <rPr>
            <sz val="9"/>
            <color indexed="81"/>
            <rFont val="Tahoma"/>
            <family val="2"/>
          </rPr>
          <t xml:space="preserve">
GB Back reaching 300°C
</t>
        </r>
      </text>
    </comment>
    <comment ref="AQ22" authorId="1" shapeId="0" xr:uid="{79BC5C19-622E-4EDD-94AC-5A046385757A}">
      <text>
        <r>
          <rPr>
            <b/>
            <sz val="9"/>
            <color indexed="81"/>
            <rFont val="Tahoma"/>
            <family val="2"/>
          </rPr>
          <t>François CONSIGNY:</t>
        </r>
        <r>
          <rPr>
            <sz val="9"/>
            <color indexed="81"/>
            <rFont val="Tahoma"/>
            <family val="2"/>
          </rPr>
          <t xml:space="preserve">
GB Back reaching 300°C
</t>
        </r>
      </text>
    </comment>
    <comment ref="AV22" authorId="0" shapeId="0" xr:uid="{F98C84C1-CDCC-4BEF-AC1C-21B9EC52CE60}">
      <text>
        <r>
          <rPr>
            <b/>
            <sz val="9"/>
            <color indexed="81"/>
            <rFont val="Tahoma"/>
            <family val="2"/>
          </rPr>
          <t>CONSIGNY François:</t>
        </r>
        <r>
          <rPr>
            <sz val="9"/>
            <color indexed="81"/>
            <rFont val="Tahoma"/>
            <family val="2"/>
          </rPr>
          <t xml:space="preserve">
CLT panels manufactured using 2x4 spruce-pine-fir lumber glued with a thermal resistive polyurethane adhesive (with a brand name of HBX4) were used to construct the enclosure of the test rooms. This CLT product was manufactured with an adhesive which meets the full-scale fire test requirements recently added to ANSI/APA PRG-320-2018 [5].</t>
        </r>
      </text>
    </comment>
    <comment ref="AW22" authorId="0" shapeId="0" xr:uid="{00000000-0006-0000-0100-000040000000}">
      <text>
        <r>
          <rPr>
            <sz val="11"/>
            <color theme="1"/>
            <rFont val="Calibri"/>
            <family val="2"/>
            <scheme val="minor"/>
          </rPr>
          <t>CONSIGNY François:
The fire later reached a total burnout to self-extinguishment at 150 min.</t>
        </r>
      </text>
    </comment>
    <comment ref="CX22" authorId="0" shapeId="0" xr:uid="{00000000-0006-0000-0100-000041000000}">
      <text>
        <r>
          <rPr>
            <sz val="11"/>
            <color theme="1"/>
            <rFont val="Calibri"/>
            <family val="2"/>
            <scheme val="minor"/>
          </rPr>
          <t>CONSIGNY François:
CLT panels manufactured using 2x4 spruce-pine-fir lumber glued with a thermal resistive polyurethane adhesive (with a brand name of HBX) were used to construct the enclosure of the test rooms. This CLT product was manufactured with an adhesive which meets the full-scale fire test requirements recently added to ANSI/APA PRG-320-2018</t>
        </r>
      </text>
    </comment>
    <comment ref="DJ22" authorId="0" shapeId="0" xr:uid="{00000000-0006-0000-0100-000042000000}">
      <text>
        <r>
          <rPr>
            <sz val="11"/>
            <color theme="1"/>
            <rFont val="Calibri"/>
            <family val="2"/>
            <scheme val="minor"/>
          </rPr>
          <t>CONSIGNY François:
CLT panels manufactured using 2x4 spruce-pine-fir lumber glued with a thermal resistive polyurethane adhesive (with a brand name of HBX) were used to construct the enclosure of the test rooms. This CLT product was manufactured with an adhesive which meets the full-scale fire test requirements recently added to ANSI/APA PRG-320-2018</t>
        </r>
      </text>
    </comment>
    <comment ref="AW23" authorId="0" shapeId="0" xr:uid="{00000000-0006-0000-0100-000043000000}">
      <text>
        <r>
          <rPr>
            <sz val="11"/>
            <color theme="1"/>
            <rFont val="Calibri"/>
            <family val="2"/>
            <scheme val="minor"/>
          </rPr>
          <t>CONSIGNY François:
The fire was eventually burnout to self-extinguishment. The test was terminated at 247 min (over 4 hours). At the end of the test, the face layer of gypsum board was largely gone but the base layer was still on Wall B, Wall C, Wall D and the ceiling although with some cracks.</t>
        </r>
      </text>
    </comment>
    <comment ref="BB23" authorId="0" shapeId="0" xr:uid="{00000000-0006-0000-0100-000044000000}">
      <text>
        <r>
          <rPr>
            <sz val="11"/>
            <color theme="1"/>
            <rFont val="Calibri"/>
            <family val="2"/>
            <scheme val="minor"/>
          </rPr>
          <t>CONSIGNY François:
the CLT char rate was initially 0.63-1.0 mm/min depending on locations and reduced to 0.18 mm/min as the char front moved to the first bond line (at 35 mm)
For the walls and ceiling portion with the gypsum board protection, the CLT char rate was less than 0.15 mm/min.</t>
        </r>
      </text>
    </comment>
    <comment ref="AW24" authorId="0" shapeId="0" xr:uid="{00000000-0006-0000-0100-000045000000}">
      <text>
        <r>
          <rPr>
            <sz val="11"/>
            <color theme="1"/>
            <rFont val="Calibri"/>
            <family val="2"/>
            <scheme val="minor"/>
          </rPr>
          <t>CONSIGNY François:
The glulam beams and columns were seen burning steadily until the end of the test. The test was terminated at 245 min by spraying water mist to the room using a garden hose.</t>
        </r>
      </text>
    </comment>
    <comment ref="AY24" authorId="1" shapeId="0" xr:uid="{E020E110-9BFC-47EE-945E-DC4C0E5870F8}">
      <text>
        <r>
          <rPr>
            <b/>
            <sz val="9"/>
            <color indexed="81"/>
            <rFont val="Tahoma"/>
            <family val="2"/>
          </rPr>
          <t>François CONSIGNY:</t>
        </r>
        <r>
          <rPr>
            <sz val="9"/>
            <color indexed="81"/>
            <rFont val="Tahoma"/>
            <family val="2"/>
          </rPr>
          <t xml:space="preserve">
protected CLT</t>
        </r>
      </text>
    </comment>
    <comment ref="BC24" authorId="1" shapeId="0" xr:uid="{F2ACB612-E904-4767-8B41-FE114617A54F}">
      <text>
        <r>
          <rPr>
            <b/>
            <sz val="9"/>
            <color indexed="81"/>
            <rFont val="Tahoma"/>
            <family val="2"/>
          </rPr>
          <t>François CONSIGNY:</t>
        </r>
        <r>
          <rPr>
            <sz val="9"/>
            <color indexed="81"/>
            <rFont val="Tahoma"/>
            <family val="2"/>
          </rPr>
          <t xml:space="preserve">
protected</t>
        </r>
      </text>
    </comment>
    <comment ref="BM24" authorId="0" shapeId="0" xr:uid="{00000000-0006-0000-0100-000046000000}">
      <text>
        <r>
          <rPr>
            <sz val="11"/>
            <color theme="1"/>
            <rFont val="Calibri"/>
            <family val="2"/>
            <scheme val="minor"/>
          </rPr>
          <t>CONSIGNY François:
0.38 to 0.67</t>
        </r>
      </text>
    </comment>
    <comment ref="BQ24" authorId="0" shapeId="0" xr:uid="{00000000-0006-0000-0100-000047000000}">
      <text>
        <r>
          <rPr>
            <sz val="11"/>
            <color theme="1"/>
            <rFont val="Calibri"/>
            <family val="2"/>
            <scheme val="minor"/>
          </rPr>
          <t>CONSIGNY François:
0.38 to 0.67</t>
        </r>
      </text>
    </comment>
    <comment ref="ED24" authorId="0" shapeId="0" xr:uid="{00000000-0006-0000-0100-000048000000}">
      <text>
        <r>
          <rPr>
            <sz val="11"/>
            <color theme="1"/>
            <rFont val="Calibri"/>
            <family val="2"/>
            <scheme val="minor"/>
          </rPr>
          <t>CONSIGNY François:
“The face bonding and end joints are bonded with a polyurethane adhesive (for end-joints: Ashland UX-100/WD3-A322, CCMC 13512-L; for edge laminations: Ashland WD3-A322/CX-47, CCMC 13591-L; for face laminations: Purbond HB-E452).”</t>
        </r>
      </text>
    </comment>
    <comment ref="EM24" authorId="0" shapeId="0" xr:uid="{B13C4745-6FE7-4DEA-81B5-D1C8C809F7EC}">
      <text>
        <r>
          <rPr>
            <b/>
            <sz val="9"/>
            <color indexed="81"/>
            <rFont val="Tahoma"/>
            <family val="2"/>
          </rPr>
          <t>CONSIGNY François:</t>
        </r>
        <r>
          <rPr>
            <sz val="9"/>
            <color indexed="81"/>
            <rFont val="Tahoma"/>
            <family val="2"/>
          </rPr>
          <t xml:space="preserve">
report 4.54</t>
        </r>
      </text>
    </comment>
    <comment ref="EO24" authorId="0" shapeId="0" xr:uid="{00000000-0006-0000-0100-000049000000}">
      <text>
        <r>
          <rPr>
            <sz val="11"/>
            <color theme="1"/>
            <rFont val="Calibri"/>
            <family val="2"/>
            <scheme val="minor"/>
          </rPr>
          <t>CONSIGNY François:
“The face bonding and end joints are bonded with a polyurethane adhesive (for end-joints: Ashland UX-100/WD3-A322, CCMC 13512-L; for edge laminations: Ashland WD3-A322/CX-47, CCMC 13591-L; for face laminations: Purbond HB-E452).”</t>
        </r>
      </text>
    </comment>
    <comment ref="EX24" authorId="0" shapeId="0" xr:uid="{50EE6BD3-3804-4C61-96A3-3780D29DD9FF}">
      <text>
        <r>
          <rPr>
            <b/>
            <sz val="9"/>
            <color indexed="81"/>
            <rFont val="Tahoma"/>
            <family val="2"/>
          </rPr>
          <t>CONSIGNY François:</t>
        </r>
        <r>
          <rPr>
            <sz val="9"/>
            <color indexed="81"/>
            <rFont val="Tahoma"/>
            <family val="2"/>
          </rPr>
          <t xml:space="preserve">
report 9.62</t>
        </r>
      </text>
    </comment>
    <comment ref="AW25" authorId="0" shapeId="0" xr:uid="{00000000-0006-0000-0100-00004A000000}">
      <text>
        <r>
          <rPr>
            <sz val="11"/>
            <color theme="1"/>
            <rFont val="Calibri"/>
            <family val="2"/>
            <scheme val="minor"/>
          </rPr>
          <t>CONSIGNY François:
At 170 min, the fire was complete self-extinguished.</t>
        </r>
      </text>
    </comment>
    <comment ref="AY25" authorId="1" shapeId="0" xr:uid="{BF79928C-D1A5-4EF5-9835-5EFFAD58F94B}">
      <text>
        <r>
          <rPr>
            <b/>
            <sz val="9"/>
            <color indexed="81"/>
            <rFont val="Tahoma"/>
            <family val="2"/>
          </rPr>
          <t>François CONSIGNY:</t>
        </r>
        <r>
          <rPr>
            <sz val="9"/>
            <color indexed="81"/>
            <rFont val="Tahoma"/>
            <family val="2"/>
          </rPr>
          <t xml:space="preserve">
protected</t>
        </r>
      </text>
    </comment>
    <comment ref="BF25" authorId="0" shapeId="0" xr:uid="{00000000-0006-0000-0100-00004B000000}">
      <text>
        <r>
          <rPr>
            <sz val="11"/>
            <color theme="1"/>
            <rFont val="Calibri"/>
            <family val="2"/>
            <scheme val="minor"/>
          </rPr>
          <t>CONSIGNY François:
For the exposed ceiling, the CLT char rate was changed from 0.8 mm/min initially to 0.4 mm/min as the char front moved closer to the first bond line (at 35 mm). For the wall assemblies with the gypsum board protection, the CLT char rate was approximately 0.14 mm/min.</t>
        </r>
      </text>
    </comment>
    <comment ref="BM25" authorId="0" shapeId="0" xr:uid="{00000000-0006-0000-0100-00004C000000}">
      <text>
        <r>
          <rPr>
            <sz val="11"/>
            <color theme="1"/>
            <rFont val="Calibri"/>
            <family val="2"/>
            <scheme val="minor"/>
          </rPr>
          <t>CONSIGNY François:
the char depth was in a range of 60 mm to 90 mm for each exposed side of the Glulam in four hours, translating to a char rate of 0.26 to 0.38 mm/min. The average char depth was 70 mm for each exposed side and the average Glulam char rate was 0.30 mm/min in Test 4.</t>
        </r>
      </text>
    </comment>
    <comment ref="EM25" authorId="0" shapeId="0" xr:uid="{1ABD210D-1270-41E2-AC53-F6346520DA1F}">
      <text>
        <r>
          <rPr>
            <b/>
            <sz val="9"/>
            <color indexed="81"/>
            <rFont val="Tahoma"/>
            <family val="2"/>
          </rPr>
          <t>CONSIGNY François:</t>
        </r>
        <r>
          <rPr>
            <sz val="9"/>
            <color indexed="81"/>
            <rFont val="Tahoma"/>
            <family val="2"/>
          </rPr>
          <t xml:space="preserve">
report 2.46</t>
        </r>
      </text>
    </comment>
    <comment ref="EX25" authorId="0" shapeId="0" xr:uid="{67FCE126-D543-433E-80A3-0FFB242525A8}">
      <text>
        <r>
          <rPr>
            <b/>
            <sz val="9"/>
            <color indexed="81"/>
            <rFont val="Tahoma"/>
            <family val="2"/>
          </rPr>
          <t>CONSIGNY François:</t>
        </r>
        <r>
          <rPr>
            <sz val="9"/>
            <color indexed="81"/>
            <rFont val="Tahoma"/>
            <family val="2"/>
          </rPr>
          <t xml:space="preserve">
report 4.81</t>
        </r>
      </text>
    </comment>
    <comment ref="AW26" authorId="0" shapeId="0" xr:uid="{00000000-0006-0000-0100-00004D000000}">
      <text>
        <r>
          <rPr>
            <sz val="11"/>
            <color theme="1"/>
            <rFont val="Calibri"/>
            <family val="2"/>
            <scheme val="minor"/>
          </rPr>
          <t>CONSIGNY François:
After 220 min, small flames started to appear in the bottom portion of the exposed Wall B and Wall D, and gradually moved upward. At 230 min, the fire spread over the Wall B and Wall D surfaces. The ceiling was subsequently re-ignited, followed by a full involvement of the room in fire. The test was terminated at 250 min with fire suppression using a charged hose line (38 mm diameter at 414 kPa). Before the re-ignition, two layers of gypsum board were largely on Wall A and Wall C although cracked. The face layer gypsum board fell off after fire re-ignition and the base layer fell off during fire suppression.</t>
        </r>
      </text>
    </comment>
    <comment ref="AX26" authorId="0" shapeId="0" xr:uid="{00000000-0006-0000-0100-00004E000000}">
      <text>
        <r>
          <rPr>
            <sz val="11"/>
            <color theme="1"/>
            <rFont val="Calibri"/>
            <family val="2"/>
            <scheme val="minor"/>
          </rPr>
          <t>CONSIGNY François:
After 220 min, small flames started to appear in the bottom portion of the exposed Wall B and Wall D, and gradually moved upward. At 230 min, the fire spread over the Wall B and Wall D surfaces. The ceiling was subsequently re-ignited, followed by a full involvement of the room in fire. The test was terminated at 250 min with fire suppression using a charged hose line (38 mm diameter at 414 kPa). Before the re-ignition, two layers of gypsum board were largely on Wall A and Wall C although cracked. The face layer gypsum board fell off after fire re-ignition and the base layer fell off during fire suppression.</t>
        </r>
      </text>
    </comment>
    <comment ref="K27" authorId="1" shapeId="0" xr:uid="{00000000-0006-0000-0100-00004F000000}">
      <text>
        <r>
          <rPr>
            <sz val="11"/>
            <color theme="1"/>
            <rFont val="Calibri"/>
            <family val="2"/>
            <scheme val="minor"/>
          </rPr>
          <t xml:space="preserve">François CONSIGNY:
Interior CLT protected; exterior unprotected
</t>
        </r>
      </text>
    </comment>
    <comment ref="Z27" authorId="0" shapeId="0" xr:uid="{00000000-0006-0000-0100-000050000000}">
      <text>
        <r>
          <rPr>
            <sz val="11"/>
            <color theme="1"/>
            <rFont val="Calibri"/>
            <family val="2"/>
            <scheme val="minor"/>
          </rPr>
          <t>CONSIGNY François:
Not in report</t>
        </r>
      </text>
    </comment>
    <comment ref="AU27" authorId="0" shapeId="0" xr:uid="{653B5AFE-D607-48C0-82CA-2FDAACEB8FC7}">
      <text>
        <r>
          <rPr>
            <b/>
            <sz val="9"/>
            <color indexed="81"/>
            <rFont val="Tahoma"/>
            <family val="2"/>
          </rPr>
          <t>CONSIGNY François:</t>
        </r>
        <r>
          <rPr>
            <sz val="9"/>
            <color indexed="81"/>
            <rFont val="Tahoma"/>
            <family val="2"/>
          </rPr>
          <t xml:space="preserve">
Min(Sprot=30.5;Tfpr=35.6) for one type F 15.9mm
 /!\ fibreglass neglected
Ceiling and wall protections differs</t>
        </r>
      </text>
    </comment>
    <comment ref="BA27" authorId="0" shapeId="0" xr:uid="{00000000-0006-0000-0100-000051000000}">
      <text>
        <r>
          <rPr>
            <sz val="11"/>
            <color theme="1"/>
            <rFont val="Calibri"/>
            <family val="2"/>
            <scheme val="minor"/>
          </rPr>
          <t>CONSIGNY François:
The three walls did not
contribute to the growth of fire in the apartment. The gypsum board fell off only after water hose
was used to extinguish the fire.
After the fire demonstration, it was observed that only the surface ply of the CLT wall panels
inside the apartment was charred. The four inner plies of the CLT wall panels were not affected
by the fire. The exterior side of the CLT panels had no char.
After the demonstration, it was observed that there was less than 5 mm deep char developed on
the CLT surface of the shaft Wall in the upper left quarter. The other three quarters had no char on the CLT
surface. The impact of the fire on the CLT shaft wall was very limited.</t>
        </r>
      </text>
    </comment>
    <comment ref="BC27" authorId="0" shapeId="0" xr:uid="{00000000-0006-0000-0100-000052000000}">
      <text>
        <r>
          <rPr>
            <sz val="11"/>
            <color theme="1"/>
            <rFont val="Calibri"/>
            <family val="2"/>
            <scheme val="minor"/>
          </rPr>
          <t>CONSIGNY François:
The encapsulation time
for the CLT ceiling panels was 15.2 min based on a single point temperature rise or 15.7 min on
the average temperature rise for the nine thermocouples. After these times, visual observation
and the temperature profiles indicated fall off of the ceiling gypsum board. After 16 min, the
ceiling CLT panels became involved in the fire but there was no flame penetration through the
CLT panels during the 2 h demonstration.
As shown in Figure 32, the third ply of the CLT ceiling panels charred at some locations, but remained mostly unaffected.
It was observed after the demonstration that two plies of the CLT ceiling panels were charred and consumed in the fire, but fell off after applying the water hose stream to extinguish the fire. The remaining plies of the CLT ceiling panels were not significantly affected by the fire. The third ply charred at some locations, but remained mostly unaffected.</t>
        </r>
      </text>
    </comment>
    <comment ref="DE27" authorId="0" shapeId="0" xr:uid="{68BA2652-FBC3-4D7E-82B1-AEB51398B348}">
      <text>
        <r>
          <rPr>
            <b/>
            <sz val="9"/>
            <color indexed="81"/>
            <rFont val="Tahoma"/>
            <family val="2"/>
          </rPr>
          <t>CONSIGNY François:</t>
        </r>
        <r>
          <rPr>
            <sz val="9"/>
            <color indexed="81"/>
            <rFont val="Tahoma"/>
            <family val="2"/>
          </rPr>
          <t xml:space="preserve">
one layer</t>
        </r>
      </text>
    </comment>
    <comment ref="DF27" authorId="0" shapeId="0" xr:uid="{BFD91E22-77F0-498E-AED1-7A969ABA4096}">
      <text>
        <r>
          <rPr>
            <b/>
            <sz val="9"/>
            <color indexed="81"/>
            <rFont val="Tahoma"/>
            <family val="2"/>
          </rPr>
          <t>CONSIGNY François:</t>
        </r>
        <r>
          <rPr>
            <sz val="9"/>
            <color indexed="81"/>
            <rFont val="Tahoma"/>
            <family val="2"/>
          </rPr>
          <t xml:space="preserve">
/!\ fiberglass and CLT inverted (for Brisk calculations and interface temp…)</t>
        </r>
      </text>
    </comment>
    <comment ref="DQ27" authorId="0" shapeId="0" xr:uid="{00000000-0006-0000-0100-000053000000}">
      <text>
        <r>
          <rPr>
            <sz val="11"/>
            <color theme="1"/>
            <rFont val="Calibri"/>
            <family val="2"/>
            <scheme val="minor"/>
          </rPr>
          <t>CONSIGNY François:
A floating laminated floor with an acoustic underlay was installed on the concrete floor slab in
the apartment.</t>
        </r>
      </text>
    </comment>
    <comment ref="DT27" authorId="0" shapeId="0" xr:uid="{00000000-0006-0000-0100-000054000000}">
      <text>
        <r>
          <rPr>
            <sz val="11"/>
            <color theme="1"/>
            <rFont val="Calibri"/>
            <family val="2"/>
            <scheme val="minor"/>
          </rPr>
          <t>CONSIGNY François:
not given</t>
        </r>
      </text>
    </comment>
    <comment ref="E32" authorId="1" shapeId="0" xr:uid="{7AB6132F-386D-41D7-BBC9-5118F5CD3D78}">
      <text>
        <r>
          <rPr>
            <b/>
            <sz val="9"/>
            <color indexed="81"/>
            <rFont val="Tahoma"/>
            <family val="2"/>
          </rPr>
          <t>François CONSIGNY:</t>
        </r>
        <r>
          <rPr>
            <sz val="9"/>
            <color indexed="81"/>
            <rFont val="Tahoma"/>
            <family val="2"/>
          </rPr>
          <t xml:space="preserve">
Modified from mass loss see report and HRR_Experiment.xls...</t>
        </r>
      </text>
    </comment>
    <comment ref="G32" authorId="1" shapeId="0" xr:uid="{57699C45-3FE3-4BAE-B69B-29C6D56F1DAB}">
      <text>
        <r>
          <rPr>
            <b/>
            <sz val="9"/>
            <color indexed="81"/>
            <rFont val="Tahoma"/>
            <family val="2"/>
          </rPr>
          <t>François CONSIGNY:</t>
        </r>
        <r>
          <rPr>
            <sz val="9"/>
            <color indexed="81"/>
            <rFont val="Tahoma"/>
            <family val="2"/>
          </rPr>
          <t xml:space="preserve">
Assuming a heat of combustion of 17.5 MJ/ kg, the fuel load was 132 MJ/m2</t>
        </r>
      </text>
    </comment>
    <comment ref="AO32" authorId="1" shapeId="0" xr:uid="{00000000-0006-0000-0100-000055000000}">
      <text>
        <r>
          <rPr>
            <sz val="11"/>
            <color theme="1"/>
            <rFont val="Calibri"/>
            <family val="2"/>
            <scheme val="minor"/>
          </rPr>
          <t>François CONSIGNY:
During the test there was significant fall-off of the plasterboard encapsulation system. This had the effect of directly exposing the timber surfaces to fire. The first recorded fall-off of the plasterboard was at 22.6 min. Twenty-six instances of plasterboard fall-off were recorded by the load cell system, with an average mass of 3.8 kg resulting in a total of 99 kg of plasterboard. Post experiment visual observations indicated that the entire area of encapsulated timber was eventually exposed.</t>
        </r>
      </text>
    </comment>
    <comment ref="AW32" authorId="0" shapeId="0" xr:uid="{00000000-0006-0000-0100-000056000000}">
      <text>
        <r>
          <rPr>
            <sz val="11"/>
            <color theme="1"/>
            <rFont val="Calibri"/>
            <family val="2"/>
            <scheme val="minor"/>
          </rPr>
          <t>CONSIGNY François:
The fire then maintained a steady state of approximately 4000 kW until it was manually extinguished after 61.3 min.</t>
        </r>
      </text>
    </comment>
    <comment ref="AO33" authorId="1" shapeId="0" xr:uid="{00000000-0006-0000-0100-000057000000}">
      <text>
        <r>
          <rPr>
            <sz val="11"/>
            <color theme="1"/>
            <rFont val="Calibri"/>
            <family val="2"/>
            <scheme val="minor"/>
          </rPr>
          <t>François CONSIGNY:
As before, approximately 105 kg of plasterboard was recorded to have fallen off the encapsulated surfaces, starting from 25.0 min and continuing until the end of the test.</t>
        </r>
      </text>
    </comment>
    <comment ref="AV33" authorId="0" shapeId="0" xr:uid="{94544214-572E-4D69-94F5-1747B3736F53}">
      <text>
        <r>
          <rPr>
            <b/>
            <sz val="9"/>
            <color indexed="81"/>
            <rFont val="Tahoma"/>
            <family val="2"/>
          </rPr>
          <t>CONSIGNY François:</t>
        </r>
        <r>
          <rPr>
            <sz val="9"/>
            <color indexed="81"/>
            <rFont val="Tahoma"/>
            <family val="2"/>
          </rPr>
          <t xml:space="preserve">
Fall-off of the char exposing the fresh timber to the high heat fluxes inside the compartment allows rapid pyrolysis and increase of the HRR. Heat release rate and the auto-extinction will then become a function of the area of fall-off and the thickness of the lamella. This behaviour was observed in Beta-2 and to a lesser extent Alpha-2. This can be evaluated with knowledge of the duration of the fire associated with the compartment fuel load and thermal penetration time of the timber layers</t>
        </r>
      </text>
    </comment>
    <comment ref="AW33" authorId="0" shapeId="0" xr:uid="{5684C349-00FF-4392-955F-785AA3AC584A}">
      <text>
        <r>
          <rPr>
            <b/>
            <sz val="9"/>
            <color indexed="81"/>
            <rFont val="Tahoma"/>
            <family val="2"/>
          </rPr>
          <t>CONSIGNY François:</t>
        </r>
        <r>
          <rPr>
            <sz val="9"/>
            <color indexed="81"/>
            <rFont val="Tahoma"/>
            <family val="2"/>
          </rPr>
          <t xml:space="preserve">
This was followed by a period of increase up to approximately 3500 kW prior to manual extinction after 60 min</t>
        </r>
      </text>
    </comment>
    <comment ref="AO34" authorId="1" shapeId="0" xr:uid="{00000000-0006-0000-0100-000058000000}">
      <text>
        <r>
          <rPr>
            <sz val="11"/>
            <color theme="1"/>
            <rFont val="Calibri"/>
            <family val="2"/>
            <scheme val="minor"/>
          </rPr>
          <t>François CONSIGNY:
No plasterboard fall-off was observed in the encapsulation system.</t>
        </r>
      </text>
    </comment>
    <comment ref="AV34" authorId="1" shapeId="0" xr:uid="{00000000-0006-0000-0100-000059000000}">
      <text>
        <r>
          <rPr>
            <sz val="11"/>
            <color theme="1"/>
            <rFont val="Calibri"/>
            <family val="2"/>
            <scheme val="minor"/>
          </rPr>
          <t>François CONSIGNY:
Post-test images show that charring was predominantly limited to the first layer with only localised areas of fall-off of the char</t>
        </r>
      </text>
    </comment>
    <comment ref="AO35" authorId="1" shapeId="0" xr:uid="{00000000-0006-0000-0100-00005A000000}">
      <text>
        <r>
          <rPr>
            <sz val="11"/>
            <color theme="1"/>
            <rFont val="Calibri"/>
            <family val="2"/>
            <scheme val="minor"/>
          </rPr>
          <t>François CONSIGNY:
Loss of approximately 8 kg of plasterboard was recorded during the full duration of this test, starting from 23 min.</t>
        </r>
      </text>
    </comment>
    <comment ref="AV35" authorId="0" shapeId="0" xr:uid="{7AD5FC03-337D-4F13-8564-BCFB9C8AD164}">
      <text>
        <r>
          <rPr>
            <b/>
            <sz val="9"/>
            <color indexed="81"/>
            <rFont val="Tahoma"/>
            <family val="2"/>
          </rPr>
          <t>CONSIGNY François:</t>
        </r>
        <r>
          <rPr>
            <sz val="9"/>
            <color indexed="81"/>
            <rFont val="Tahoma"/>
            <family val="2"/>
          </rPr>
          <t xml:space="preserve">
Fall-off of the char exposing the fresh timber to the high heat fluxes inside the compartment allows rapid pyrolysis and increase of the HRR. Heat release rate and the auto-extinction will then become a function of the area of fall-off and the thickness of the lamella. This behaviour was observed in Beta-2 and to a lesser extent Alpha-2. This can be evaluated with knowledge of the duration of the fire associated with the compartment fuel load and thermal penetration time of the timber layers</t>
        </r>
      </text>
    </comment>
    <comment ref="AO36" authorId="1" shapeId="0" xr:uid="{00000000-0006-0000-0100-00005B000000}">
      <text>
        <r>
          <rPr>
            <sz val="11"/>
            <color theme="1"/>
            <rFont val="Calibri"/>
            <family val="2"/>
            <scheme val="minor"/>
          </rPr>
          <t>François CONSIGNY:
The mass of plasterboard falling off could not be estimated due to failure of the load cells.</t>
        </r>
      </text>
    </comment>
    <comment ref="AW36" authorId="0" shapeId="0" xr:uid="{00000000-0006-0000-0100-00005C000000}">
      <text>
        <r>
          <rPr>
            <sz val="11"/>
            <color theme="1"/>
            <rFont val="Calibri"/>
            <family val="2"/>
            <scheme val="minor"/>
          </rPr>
          <t>CONSIGNY François:
For compartment configurations with three exposed timber surfaces, auto-extinction was not observed</t>
        </r>
      </text>
    </comment>
    <comment ref="E37" authorId="0" shapeId="0" xr:uid="{00000000-0006-0000-0100-00005D000000}">
      <text>
        <r>
          <rPr>
            <sz val="11"/>
            <color theme="1"/>
            <rFont val="Calibri"/>
            <family val="2"/>
            <scheme val="minor"/>
          </rPr>
          <t>CONSIGNY François:
2MW crib</t>
        </r>
      </text>
    </comment>
    <comment ref="AA37" authorId="0" shapeId="0" xr:uid="{00000000-0006-0000-0100-00005E000000}">
      <text>
        <r>
          <rPr>
            <sz val="11"/>
            <color theme="1"/>
            <rFont val="Calibri"/>
            <family val="2"/>
            <scheme val="minor"/>
          </rPr>
          <t>CONSIGNY François:
Based on the crib configuration,
it would be expected that the maximum heat release rate (for each free burning crib) would be approximately
2 MW</t>
        </r>
      </text>
    </comment>
    <comment ref="BA37" authorId="0" shapeId="0" xr:uid="{00000000-0006-0000-0100-00005F000000}">
      <text>
        <r>
          <rPr>
            <sz val="11"/>
            <color theme="1"/>
            <rFont val="Calibri"/>
            <family val="2"/>
            <scheme val="minor"/>
          </rPr>
          <t>CONSIGNY François:
It was observed that the
maximum char depth (excluding local imperfections) was approximately 20 mm.</t>
        </r>
      </text>
    </comment>
    <comment ref="BE37" authorId="0" shapeId="0" xr:uid="{00000000-0006-0000-0100-000060000000}">
      <text>
        <r>
          <rPr>
            <sz val="11"/>
            <color theme="1"/>
            <rFont val="Calibri"/>
            <family val="2"/>
            <scheme val="minor"/>
          </rPr>
          <t>CONSIGNY François:
It was observed that the
maximum char depth (excluding local imperfections) was approximately 20 mm.</t>
        </r>
      </text>
    </comment>
    <comment ref="CR37" authorId="0" shapeId="0" xr:uid="{00000000-0006-0000-0100-000061000000}">
      <text>
        <r>
          <rPr>
            <sz val="11"/>
            <color theme="1"/>
            <rFont val="Calibri"/>
            <family val="2"/>
            <scheme val="minor"/>
          </rPr>
          <t>CONSIGNY François:
Where the CLT walls were provided with non-combustible
linings, this was comprised of 2×13 mm Knauf FireShield plasterboard liners independently secured at 200
mm spacing.</t>
        </r>
      </text>
    </comment>
    <comment ref="CD38" authorId="0" shapeId="0" xr:uid="{00000000-0006-0000-0100-000062000000}">
      <text>
        <r>
          <rPr>
            <sz val="11"/>
            <color theme="1"/>
            <rFont val="Calibri"/>
            <family val="2"/>
            <scheme val="minor"/>
          </rPr>
          <t>CONSIGNY François:
Except Drop ceiling (2.17m long) in kitchen : 2.44</t>
        </r>
      </text>
    </comment>
    <comment ref="DH38" authorId="0" shapeId="0" xr:uid="{00000000-0006-0000-0100-000063000000}">
      <text>
        <r>
          <rPr>
            <sz val="11"/>
            <color theme="1"/>
            <rFont val="Calibri"/>
            <family val="2"/>
            <scheme val="minor"/>
          </rPr>
          <t>CONSIGNY François:
The exterior surface of the CLT ceiling assembly (that is, the “roof” of the test structure) was protected with two layers of 12.7-mm- (1/2in.-) thick cement board (Durock Brand Cement Board, USG Corporation)</t>
        </r>
      </text>
    </comment>
    <comment ref="DQ38" authorId="0" shapeId="0" xr:uid="{00000000-0006-0000-0100-000064000000}">
      <text>
        <r>
          <rPr>
            <sz val="11"/>
            <color theme="1"/>
            <rFont val="Calibri"/>
            <family val="2"/>
            <scheme val="minor"/>
          </rPr>
          <t>CONSIGNY François:
The additional wood included 20 sheets of 1.22-m-wide by 2.44-m-long by 11.1-mm-thick (4-ft-wide by 8-ft-long by 7/16-in.-thick) OSB. The OSB sheets, which were used to simulate a combustible floor covering by providing a similar amount of fuel load to that of hardwood flooring, were placed on top of the cement board, which made up the finished floor of the test structure</t>
        </r>
      </text>
    </comment>
    <comment ref="EB38" authorId="0" shapeId="0" xr:uid="{00000000-0006-0000-0100-000065000000}">
      <text>
        <r>
          <rPr>
            <sz val="11"/>
            <color theme="1"/>
            <rFont val="Calibri"/>
            <family val="2"/>
            <scheme val="minor"/>
          </rPr>
          <t>CONSIGNY François:
flooring taked in account in Fuel load</t>
        </r>
      </text>
    </comment>
    <comment ref="BC39" authorId="1" shapeId="0" xr:uid="{00000000-0006-0000-0100-000066000000}">
      <text>
        <r>
          <rPr>
            <sz val="11"/>
            <color theme="1"/>
            <rFont val="Calibri"/>
            <family val="2"/>
            <scheme val="minor"/>
          </rPr>
          <t>François CONSIGNY:
 Figures 103 to 105 provide the temperatures of the 
embedded thermocouples located in the ceiling of the living room for Tests 2, 4, and 5, which all had exposed CLT. 
Charring, taken as a temperature of 300°C, occurred at  depths 23 mm and less into the CLT for Test 2 and less than  12 mm for Test 5. Because of the rapid sprinkler activation 
in Test 4, charring did not occur in the living room ceiling.</t>
        </r>
      </text>
    </comment>
    <comment ref="BE39" authorId="1" shapeId="0" xr:uid="{00000000-0006-0000-0100-000067000000}">
      <text>
        <r>
          <rPr>
            <sz val="11"/>
            <color theme="1"/>
            <rFont val="Calibri"/>
            <family val="2"/>
            <scheme val="minor"/>
          </rPr>
          <t>François CONSIGNY:
 Figures 103 to 105 provide the temperatures of the 
embedded thermocouples located in the ceiling of the living 
room for Tests 2, 4, and 5, which all had exposed CLT. 
Charring, taken as a temperature of 300°C, occurred at  depths 23 mm and less into the CLT for Test 2 and less than 
12 mm for Test 5. Because of the rapid sprinkler activation 
in Test 4, charring did not occur in the living room ceiling.</t>
        </r>
      </text>
    </comment>
    <comment ref="AV40" authorId="0" shapeId="0" xr:uid="{8185FE74-811B-45F2-B2D6-B53167D645FF}">
      <text>
        <r>
          <rPr>
            <b/>
            <sz val="9"/>
            <color indexed="81"/>
            <rFont val="Tahoma"/>
            <family val="2"/>
          </rPr>
          <t>CONSIGNY François:</t>
        </r>
        <r>
          <rPr>
            <sz val="9"/>
            <color indexed="81"/>
            <rFont val="Tahoma"/>
            <family val="2"/>
          </rPr>
          <t xml:space="preserve">
The second spike in Test 3 around 115 min was from localized delamination and increased flaming in the immediate vicinity of the DFT. The DFT data for Test 3 then became noisy and was cut off; this occurred when the DFT fell off the wall.</t>
        </r>
      </text>
    </comment>
    <comment ref="AY40" authorId="1" shapeId="0" xr:uid="{00000000-0006-0000-0100-000068000000}">
      <text>
        <r>
          <rPr>
            <sz val="11"/>
            <color theme="1"/>
            <rFont val="Calibri"/>
            <family val="2"/>
            <scheme val="minor"/>
          </rPr>
          <t xml:space="preserve">François CONSIGNY:
Fig 207 to 210 (Embedded TC)
</t>
        </r>
      </text>
    </comment>
    <comment ref="K41" authorId="0" shapeId="0" xr:uid="{00000000-0006-0000-0100-000069000000}">
      <text>
        <r>
          <rPr>
            <sz val="11"/>
            <color theme="1"/>
            <rFont val="Calibri"/>
            <family val="2"/>
            <scheme val="minor"/>
          </rPr>
          <t>CONSIGNY François:
Sp auto activated @2.37mn</t>
        </r>
      </text>
    </comment>
    <comment ref="Z41" authorId="0" shapeId="0" xr:uid="{00000000-0006-0000-0100-00006A000000}">
      <text>
        <r>
          <rPr>
            <sz val="11"/>
            <color theme="1"/>
            <rFont val="Calibri"/>
            <family val="2"/>
            <scheme val="minor"/>
          </rPr>
          <t xml:space="preserve">CONSIGNY François:
Negligible
</t>
        </r>
      </text>
    </comment>
    <comment ref="AX41" authorId="1" shapeId="0" xr:uid="{00000000-0006-0000-0100-00006B000000}">
      <text>
        <r>
          <rPr>
            <sz val="11"/>
            <color theme="1"/>
            <rFont val="Calibri"/>
            <family val="2"/>
            <scheme val="minor"/>
          </rPr>
          <t>François CONSIGNY:
SPK activated, no char</t>
        </r>
      </text>
    </comment>
    <comment ref="EY41" authorId="0" shapeId="0" xr:uid="{00000000-0006-0000-0100-00006C000000}">
      <text>
        <r>
          <rPr>
            <sz val="11"/>
            <color theme="1"/>
            <rFont val="Calibri"/>
            <family val="2"/>
            <scheme val="minor"/>
          </rPr>
          <t>CONSIGNY François:
For Tests 4 and 5, tempered glass that was 6.35 mm (1/4 in.) thick was installed in each opening. A metal window frame with plastic trim was used to secure the glass. As shown in Figure 27, the window frame divided the opening into three sections. Each opening in the window frame was approximately 1.15 m (3.78 ft) wide by 2.34 m (7.67 ft) high.</t>
        </r>
      </text>
    </comment>
    <comment ref="K42" authorId="0" shapeId="0" xr:uid="{00000000-0006-0000-0100-00006D000000}">
      <text>
        <r>
          <rPr>
            <sz val="11"/>
            <color theme="1"/>
            <rFont val="Calibri"/>
            <family val="2"/>
            <scheme val="minor"/>
          </rPr>
          <t>CONSIGNY François:
Sp manually activated @ 23mn</t>
        </r>
      </text>
    </comment>
    <comment ref="EY42" authorId="0" shapeId="0" xr:uid="{00000000-0006-0000-0100-00006E000000}">
      <text>
        <r>
          <rPr>
            <sz val="11"/>
            <color theme="1"/>
            <rFont val="Calibri"/>
            <family val="2"/>
            <scheme val="minor"/>
          </rPr>
          <t>CONSIGNY François:
For Tests 4 and 5, tempered glass that was 6.35 mm (1/4 in.) thick was installed in each opening. A metal window frame with plastic trim was used to secure the glass. As shown in Figure 27, the window frame divided the opening into three sections. Each opening in the window frame was approximately 1.15 m (3.78 ft) wide by 2.34 m (7.67 ft) high.</t>
        </r>
      </text>
    </comment>
    <comment ref="G43" authorId="1" shapeId="0" xr:uid="{1A728C91-72EB-42EF-8FA3-5DAF36EA6BFD}">
      <text>
        <r>
          <rPr>
            <b/>
            <sz val="9"/>
            <color indexed="81"/>
            <rFont val="Tahoma"/>
            <family val="2"/>
          </rPr>
          <t>François CONSIGNY:</t>
        </r>
        <r>
          <rPr>
            <sz val="9"/>
            <color indexed="81"/>
            <rFont val="Tahoma"/>
            <family val="2"/>
          </rPr>
          <t xml:space="preserve">
hree litres heptane per crib were used for ignition. The cribs were ignited simultaneously during each test. Assuming a heat of combustion of 17.5 MJ/kg for wood [4] and 44.6 MJ/kg for heptane [5] (and a heptane density of 680 kg/m3), the total achieved fire load density related to the total floor surface area was thus 891 MJ/m² for each compartment.</t>
        </r>
      </text>
    </comment>
    <comment ref="AV43" authorId="1" shapeId="0" xr:uid="{00000000-0006-0000-0100-00006F000000}">
      <text>
        <r>
          <rPr>
            <sz val="11"/>
            <color theme="1"/>
            <rFont val="Calibri"/>
            <family val="2"/>
            <scheme val="minor"/>
          </rPr>
          <t>François CONSIGNY:
Not delamination?
-&gt; "progressive delamination" ?</t>
        </r>
      </text>
    </comment>
    <comment ref="DJ43" authorId="1" shapeId="0" xr:uid="{00000000-0006-0000-0100-000071000000}">
      <text>
        <r>
          <rPr>
            <sz val="11"/>
            <color theme="1"/>
            <rFont val="Calibri"/>
            <family val="2"/>
            <scheme val="minor"/>
          </rPr>
          <t>François CONSIGNY:
The adhesive used, manufactured by the company PURBOND, consisted of a single-component polyurethane resin, HB S709.</t>
        </r>
      </text>
    </comment>
    <comment ref="DQ43" authorId="1" shapeId="0" xr:uid="{00000000-0006-0000-0100-000072000000}">
      <text>
        <r>
          <rPr>
            <sz val="11"/>
            <color theme="1"/>
            <rFont val="Calibri"/>
            <family val="2"/>
            <scheme val="minor"/>
          </rPr>
          <t>François CONSIGNY:
Tc 0.212 Sh 1000 d 900</t>
        </r>
      </text>
    </comment>
    <comment ref="DS43" authorId="1" shapeId="0" xr:uid="{00000000-0006-0000-0100-000073000000}">
      <text>
        <r>
          <rPr>
            <sz val="11"/>
            <color theme="1"/>
            <rFont val="Calibri"/>
            <family val="2"/>
            <scheme val="minor"/>
          </rPr>
          <t>François CONSIGNY:
Tc 0.05 Sh 1000 d 96</t>
        </r>
      </text>
    </comment>
    <comment ref="DU43" authorId="1" shapeId="0" xr:uid="{00000000-0006-0000-0100-000074000000}">
      <text>
        <r>
          <rPr>
            <sz val="11"/>
            <color theme="1"/>
            <rFont val="Calibri"/>
            <family val="2"/>
            <scheme val="minor"/>
          </rPr>
          <t>François CONSIGNY:
Tc 0.36, Sh 1000, d 350</t>
        </r>
      </text>
    </comment>
    <comment ref="AX44" authorId="0" shapeId="0" xr:uid="{00000000-0006-0000-0100-000075000000}">
      <text>
        <r>
          <rPr>
            <sz val="11"/>
            <color theme="1"/>
            <rFont val="Calibri"/>
            <family val="2"/>
            <scheme val="minor"/>
          </rPr>
          <t>CONSIGNY François:
Failure @29h</t>
        </r>
      </text>
    </comment>
    <comment ref="BC44" authorId="0" shapeId="0" xr:uid="{FBBEBE9D-66E6-44C9-98CD-142CECF45A69}">
      <text>
        <r>
          <rPr>
            <b/>
            <sz val="9"/>
            <color indexed="81"/>
            <rFont val="Tahoma"/>
            <family val="2"/>
          </rPr>
          <t>CONSIGNY François:</t>
        </r>
        <r>
          <rPr>
            <sz val="9"/>
            <color indexed="81"/>
            <rFont val="Tahoma"/>
            <family val="2"/>
          </rPr>
          <t xml:space="preserve">
The estimated char depths (i.e. based on the 300 °C isotherms) were found to be consistent with the remaining lamellae of the slabs at the end of the natural fire tests. For Scenario 1 (Figure 65), 3.5 layers of CLT remained. For Scenario 2, after the collapse of the slab at 29 hours, only 2.5 layers remained. No observation was possible at the end of Scenario 3.
FC=&gt; 1.5*33 = 50 mm Scenario 1
2.5*33=83mm Scenario 2 (but 68 from figure @ 65mn)</t>
        </r>
      </text>
    </comment>
    <comment ref="BE44" authorId="1" shapeId="0" xr:uid="{00000000-0006-0000-0100-000076000000}">
      <text>
        <r>
          <rPr>
            <sz val="11"/>
            <color theme="1"/>
            <rFont val="Calibri"/>
            <family val="2"/>
            <scheme val="minor"/>
          </rPr>
          <t>François CONSIGNY:
The estimated char depths (i.e. based on the 300 °C isotherms) were found to be consistent with the remaining lamellae of the slabs at the end of the natural fire tests. For Scenario 1 (Figure 65), 3.5 layers of CLT remained. For Scenario 2, after the collapse of the slab at 29 hours, only 2.5 layers remained. No observation was possible at the end of Scenario 3.
FC=&gt; 43mm Scenario 1
78mm Scenario 2 (but 68 from figure @ 65mn)</t>
        </r>
      </text>
    </comment>
    <comment ref="AX45" authorId="0" shapeId="0" xr:uid="{00000000-0006-0000-0100-000077000000}">
      <text>
        <r>
          <rPr>
            <sz val="11"/>
            <color theme="1"/>
            <rFont val="Calibri"/>
            <family val="2"/>
            <scheme val="minor"/>
          </rPr>
          <t>CONSIGNY François:
Failure @108mn</t>
        </r>
      </text>
    </comment>
    <comment ref="BC45" authorId="0" shapeId="0" xr:uid="{8161DB02-FFB3-4156-908E-920299082A62}">
      <text>
        <r>
          <rPr>
            <b/>
            <sz val="9"/>
            <color indexed="81"/>
            <rFont val="Tahoma"/>
            <family val="2"/>
          </rPr>
          <t>CONSIGNY François:</t>
        </r>
        <r>
          <rPr>
            <sz val="9"/>
            <color indexed="81"/>
            <rFont val="Tahoma"/>
            <family val="2"/>
          </rPr>
          <t xml:space="preserve">
Fig 63-64</t>
        </r>
      </text>
    </comment>
    <comment ref="G46" authorId="1" shapeId="0" xr:uid="{15ABBCCB-4E5E-40E1-87AA-57FB2330FEB9}">
      <text>
        <r>
          <rPr>
            <b/>
            <sz val="9"/>
            <color indexed="81"/>
            <rFont val="Tahoma"/>
            <family val="2"/>
          </rPr>
          <t>François CONSIGNY:</t>
        </r>
        <r>
          <rPr>
            <sz val="9"/>
            <color indexed="81"/>
            <rFont val="Tahoma"/>
            <family val="2"/>
          </rPr>
          <t xml:space="preserve">
The fuel load consisted of essentially the same furniture package as used in NRC’s CLT compartment fire studies conducted for NFPA’s Fire Protection Research Foundation [28]: NRC &amp; NIST
Set to 18 (to low?)</t>
        </r>
      </text>
    </comment>
    <comment ref="O46" authorId="0" shapeId="0" xr:uid="{00000000-0006-0000-0100-000078000000}">
      <text>
        <r>
          <rPr>
            <sz val="11"/>
            <color theme="1"/>
            <rFont val="Calibri"/>
            <family val="2"/>
            <scheme val="minor"/>
          </rPr>
          <t>CONSIGNY François:
lining plywood 25mm</t>
        </r>
      </text>
    </comment>
    <comment ref="AW46" authorId="0" shapeId="0" xr:uid="{00000000-0006-0000-0100-000079000000}">
      <text>
        <r>
          <rPr>
            <sz val="11"/>
            <color theme="1"/>
            <rFont val="Calibri"/>
            <family val="2"/>
            <scheme val="minor"/>
          </rPr>
          <t>CONSIGNY François:
4.5.4 Post Fire Operations After more than four hours of fire testing, both tests left hidden hot spots in the connections and/or junctions. The Ottawa Fire Services were deployed to tackle the remaining hot spots and to cool down the space after Test 1 and Test 2, involving interior and exterior operations (including the adjacent suites and the rooftop). These hot spots were fully extinguished by the post test operations. Subsequent fire watches observed no more hot spots or smouldering</t>
        </r>
      </text>
    </comment>
    <comment ref="CN46" authorId="0" shapeId="0" xr:uid="{00000000-0006-0000-0100-00007A000000}">
      <text>
        <r>
          <rPr>
            <sz val="11"/>
            <color theme="1"/>
            <rFont val="Calibri"/>
            <family val="2"/>
            <scheme val="minor"/>
          </rPr>
          <t>CONSIGNY François:
"southeast"</t>
        </r>
      </text>
    </comment>
    <comment ref="DD46" authorId="0" shapeId="0" xr:uid="{00000000-0006-0000-0100-00007B000000}">
      <text>
        <r>
          <rPr>
            <sz val="11"/>
            <color theme="1"/>
            <rFont val="Calibri"/>
            <family val="2"/>
            <scheme val="minor"/>
          </rPr>
          <t>CONSIGNY François:
One layer of 25 mm thick plywood was used as the combustible lining on the walls, and two layers of 12.7 mm thick fire retardant treated plywood (flame-spread rating ≤ 25) on the ceiling.</t>
        </r>
      </text>
    </comment>
    <comment ref="AA47" authorId="0" shapeId="0" xr:uid="{00000000-0006-0000-0100-00007C000000}">
      <text>
        <r>
          <rPr>
            <sz val="11"/>
            <color theme="1"/>
            <rFont val="Calibri"/>
            <family val="2"/>
            <scheme val="minor"/>
          </rPr>
          <t>CONSIGNY François:
Estimated HRR 8Mw
0.7 × 1.56 × A0 x racine(H0)</t>
        </r>
      </text>
    </comment>
    <comment ref="AV47" authorId="0" shapeId="0" xr:uid="{00000000-0006-0000-0100-00007D000000}">
      <text>
        <r>
          <rPr>
            <sz val="11"/>
            <color theme="1"/>
            <rFont val="Calibri"/>
            <family val="2"/>
            <scheme val="minor"/>
          </rPr>
          <t xml:space="preserve">CONSIGNY François:
Minor localized delamination from the CLT ceiling was observed during Test 2 as shown in Figure 44. The delamination nevertheless did not lead to re-ignition nor fire regrowth.
</t>
        </r>
      </text>
    </comment>
    <comment ref="CN47" authorId="0" shapeId="0" xr:uid="{00000000-0006-0000-0100-00007E000000}">
      <text>
        <r>
          <rPr>
            <sz val="11"/>
            <color theme="1"/>
            <rFont val="Calibri"/>
            <family val="2"/>
            <scheme val="minor"/>
          </rPr>
          <t>CONSIGNY François:
"northwest"</t>
        </r>
      </text>
    </comment>
    <comment ref="CT47" authorId="0" shapeId="0" xr:uid="{00000000-0006-0000-0100-00007F000000}">
      <text>
        <r>
          <rPr>
            <sz val="11"/>
            <color theme="1"/>
            <rFont val="Calibri"/>
            <family val="2"/>
            <scheme val="minor"/>
          </rPr>
          <t>CONSIGNY François:
For shaft wall (other separation steel stud + Gypsum)</t>
        </r>
      </text>
    </comment>
    <comment ref="EV47" authorId="0" shapeId="0" xr:uid="{0C31CC88-F734-4DB7-9F35-43E5423EEB8B}">
      <text>
        <r>
          <rPr>
            <b/>
            <sz val="9"/>
            <color indexed="81"/>
            <rFont val="Tahoma"/>
            <family val="2"/>
          </rPr>
          <t>CONSIGNY François:</t>
        </r>
        <r>
          <rPr>
            <sz val="9"/>
            <color indexed="81"/>
            <rFont val="Tahoma"/>
            <family val="2"/>
          </rPr>
          <t xml:space="preserve">
0.395</t>
        </r>
      </text>
    </comment>
    <comment ref="E48" authorId="0" shapeId="0" xr:uid="{00000000-0006-0000-0100-000080000000}">
      <text>
        <r>
          <rPr>
            <sz val="11"/>
            <color theme="1"/>
            <rFont val="Calibri"/>
            <family val="2"/>
            <scheme val="minor"/>
          </rPr>
          <t>CONSIGNY François:
Chantier</t>
        </r>
      </text>
    </comment>
    <comment ref="P48" authorId="0" shapeId="0" xr:uid="{00000000-0006-0000-0100-000081000000}">
      <text>
        <r>
          <rPr>
            <sz val="11"/>
            <color theme="1"/>
            <rFont val="Calibri"/>
            <family val="2"/>
            <scheme val="minor"/>
          </rPr>
          <t>CONSIGNY François:
Ceiling+Floor</t>
        </r>
      </text>
    </comment>
    <comment ref="G49" authorId="1" shapeId="0" xr:uid="{4C7780D9-E633-408C-A23F-CB8BF60A59BD}">
      <text>
        <r>
          <rPr>
            <b/>
            <sz val="9"/>
            <color indexed="81"/>
            <rFont val="Tahoma"/>
            <family val="2"/>
          </rPr>
          <t>François CONSIGNY:</t>
        </r>
        <r>
          <rPr>
            <sz val="9"/>
            <color indexed="81"/>
            <rFont val="Tahoma"/>
            <family val="2"/>
          </rPr>
          <t xml:space="preserve">
To simulate a realistic scenario during construction of a residential unit, the fuel load included exposed 24 wood framing for interior walls (no gypsum board) and six large wood cribs (50 kg each). The wood cribs simulated combustibles building materials in the mass timber construction sites. Each wood crib consisted of 38 mm  89 mm  800 mm SPF lumber pieces in rows of six stacked to 712 mm high (8 layers high) [21]. The 24 wood framing was constructed using 300 kg of 38 mm  89 mm SPF. The wood cribs and the exposed wood framing provided a fuel load density of 224 MJ/m2 in addition to the exposed mass timber elements.</t>
        </r>
      </text>
    </comment>
    <comment ref="P49" authorId="0" shapeId="0" xr:uid="{00000000-0006-0000-0100-000082000000}">
      <text>
        <r>
          <rPr>
            <sz val="11"/>
            <color theme="1"/>
            <rFont val="Calibri"/>
            <family val="2"/>
            <scheme val="minor"/>
          </rPr>
          <t>CONSIGNY François:
Ceiling+Floor</t>
        </r>
      </text>
    </comment>
    <comment ref="AI49" authorId="1" shapeId="0" xr:uid="{1365BFE0-6B9F-48E3-A57F-4086DFD21828}">
      <text>
        <r>
          <rPr>
            <b/>
            <sz val="9"/>
            <color indexed="81"/>
            <rFont val="Tahoma"/>
            <family val="2"/>
          </rPr>
          <t>François CONSIGNY:</t>
        </r>
        <r>
          <rPr>
            <sz val="9"/>
            <color indexed="81"/>
            <rFont val="Tahoma"/>
            <family val="2"/>
          </rPr>
          <t xml:space="preserve">
Cribs + Light frame</t>
        </r>
      </text>
    </comment>
    <comment ref="AW49" authorId="0" shapeId="0" xr:uid="{00000000-0006-0000-0100-000083000000}">
      <text>
        <r>
          <rPr>
            <sz val="11"/>
            <color theme="1"/>
            <rFont val="Calibri"/>
            <family val="2"/>
            <scheme val="minor"/>
          </rPr>
          <t>CONSIGNY François:
Although the fire reached decay stage, it did not go all the way to the full extinguishment and the compartment stayed at relatively high temperatures. By the end of the test, the compartment temperatures at the ceiling levels were still up to 600 °C. This is also evident in the infrared images shown in Figure 53. Due to the smoke being blown towards the occupied buildings on the campus, the test had to be terminated at 148 min</t>
        </r>
      </text>
    </comment>
    <comment ref="DD49" authorId="0" shapeId="0" xr:uid="{00000000-0006-0000-0100-000084000000}">
      <text>
        <r>
          <rPr>
            <sz val="11"/>
            <color theme="1"/>
            <rFont val="Calibri"/>
            <family val="2"/>
            <scheme val="minor"/>
          </rPr>
          <t>CONSIGNY François:
DLT (dowel-laminated timber</t>
        </r>
      </text>
    </comment>
    <comment ref="H50" authorId="0" shapeId="0" xr:uid="{00000000-0006-0000-0100-000085000000}">
      <text>
        <r>
          <rPr>
            <sz val="11"/>
            <color theme="1"/>
            <rFont val="Calibri"/>
            <family val="2"/>
            <scheme val="minor"/>
          </rPr>
          <t>CONSIGNY François:
Two floor compartment with L shape</t>
        </r>
      </text>
    </comment>
    <comment ref="AV50" authorId="0" shapeId="0" xr:uid="{00000000-0006-0000-0100-000086000000}">
      <text>
        <r>
          <rPr>
            <sz val="11"/>
            <color theme="1"/>
            <rFont val="Calibri"/>
            <family val="2"/>
            <scheme val="minor"/>
          </rPr>
          <t>CONSIGNY François:
After 190 min, the Bay 2 ceiling became smoky, and localized delamination occurred from the ceiling near the shaft. This was confirmed later in the post fire inspection. But this localized delamination did not cause re-ignition nor fire regrowth. The space continued to cool down. The test was terminated at 250 min.</t>
        </r>
      </text>
    </comment>
    <comment ref="BP50" authorId="0" shapeId="0" xr:uid="{00000000-0006-0000-0100-000087000000}">
      <text>
        <r>
          <rPr>
            <sz val="11"/>
            <color theme="1"/>
            <rFont val="Calibri"/>
            <family val="2"/>
            <scheme val="minor"/>
          </rPr>
          <t>CONSIGNY François:
Bay4</t>
        </r>
      </text>
    </comment>
    <comment ref="BS50" authorId="0" shapeId="0" xr:uid="{9501553A-0AE3-43FA-983A-7776D650FE09}">
      <text>
        <r>
          <rPr>
            <b/>
            <sz val="9"/>
            <color indexed="81"/>
            <rFont val="Tahoma"/>
            <family val="2"/>
          </rPr>
          <t>CONSIGNY François:</t>
        </r>
        <r>
          <rPr>
            <sz val="9"/>
            <color indexed="81"/>
            <rFont val="Tahoma"/>
            <family val="2"/>
          </rPr>
          <t xml:space="preserve">
1 Front, 2 Rigth</t>
        </r>
      </text>
    </comment>
    <comment ref="BV50" authorId="0" shapeId="0" xr:uid="{4AFB2A5A-E65F-4C47-B40D-C4758633DD9B}">
      <text>
        <r>
          <rPr>
            <b/>
            <sz val="9"/>
            <color indexed="81"/>
            <rFont val="Tahoma"/>
            <family val="2"/>
          </rPr>
          <t>CONSIGNY François:</t>
        </r>
        <r>
          <rPr>
            <sz val="9"/>
            <color indexed="81"/>
            <rFont val="Tahoma"/>
            <family val="2"/>
          </rPr>
          <t xml:space="preserve">
Strong thermal radiation from the fire was measured and felt at distance during the initial fullydeveloped burning period. Figure 23 shows heat fluxes at distances to the structure during the test, smoothed by 1-min running average. The peak heat fluxes reached 58 kW/m2 at 3 m away from window openings #5, #8 and #10; 39 kW/m2 at 4.5 m away from window openings #5 and #8; and 28 kW/m2 at 4.5 m away from window opening #10.</t>
        </r>
      </text>
    </comment>
    <comment ref="E51" authorId="0" shapeId="0" xr:uid="{00000000-0006-0000-0100-000088000000}">
      <text>
        <r>
          <rPr>
            <sz val="11"/>
            <color theme="1"/>
            <rFont val="Calibri"/>
            <family val="2"/>
            <scheme val="minor"/>
          </rPr>
          <t>CONSIGNY François:
Wood Crib, Norway spruce 45x45mm 435kg/m3 Humidity 13%</t>
        </r>
      </text>
    </comment>
    <comment ref="BJ51" authorId="0" shapeId="0" xr:uid="{00000000-0006-0000-0100-000089000000}">
      <text>
        <r>
          <rPr>
            <sz val="11"/>
            <color theme="1"/>
            <rFont val="Calibri"/>
            <family val="2"/>
            <scheme val="minor"/>
          </rPr>
          <t>CONSIGNY François:
Point measurement method.
Area method: 32mm</t>
        </r>
      </text>
    </comment>
    <comment ref="BK51" authorId="0" shapeId="0" xr:uid="{00000000-0006-0000-0100-00008A000000}">
      <text>
        <r>
          <rPr>
            <sz val="11"/>
            <color theme="1"/>
            <rFont val="Calibri"/>
            <family val="2"/>
            <scheme val="minor"/>
          </rPr>
          <t>CONSIGNY François:
mesured on sketch (residual cross section from photo) for all min &amp; max values of Rise1 to 5</t>
        </r>
      </text>
    </comment>
    <comment ref="CR51" authorId="0" shapeId="0" xr:uid="{00000000-0006-0000-0100-00008B000000}">
      <text>
        <r>
          <rPr>
            <sz val="11"/>
            <color theme="1"/>
            <rFont val="Calibri"/>
            <family val="2"/>
            <scheme val="minor"/>
          </rPr>
          <t>CONSIGNY François:
Densité 673 kg/m3</t>
        </r>
      </text>
    </comment>
    <comment ref="DS51" authorId="0" shapeId="0" xr:uid="{00000000-0006-0000-0100-00008C000000}">
      <text>
        <r>
          <rPr>
            <sz val="11"/>
            <color theme="1"/>
            <rFont val="Calibri"/>
            <family val="2"/>
            <scheme val="minor"/>
          </rPr>
          <t>CONSIGNY François:
stone wool</t>
        </r>
      </text>
    </comment>
    <comment ref="BJ52" authorId="0" shapeId="0" xr:uid="{00000000-0006-0000-0100-00008D000000}">
      <text>
        <r>
          <rPr>
            <sz val="11"/>
            <color theme="1"/>
            <rFont val="Calibri"/>
            <family val="2"/>
            <scheme val="minor"/>
          </rPr>
          <t>CONSIGNY François:
Point measurement method.
Area method: 52mm</t>
        </r>
      </text>
    </comment>
    <comment ref="J53" authorId="0" shapeId="0" xr:uid="{00000000-0006-0000-0100-00008E000000}">
      <text>
        <r>
          <rPr>
            <sz val="11"/>
            <color theme="1"/>
            <rFont val="Calibri"/>
            <family val="2"/>
            <scheme val="minor"/>
          </rPr>
          <t>CONSIGNY François:
100.6m² calculés pour 96.2m² suivant rapport</t>
        </r>
      </text>
    </comment>
    <comment ref="AV53" authorId="0" shapeId="0" xr:uid="{00000000-0006-0000-0100-00008F000000}">
      <text>
        <r>
          <rPr>
            <sz val="11"/>
            <color theme="1"/>
            <rFont val="Calibri"/>
            <family val="2"/>
            <scheme val="minor"/>
          </rPr>
          <t>CONSIGNY François:
Not delamination but Overall temp increase during the decay phase (increaded flaming of CLT, fire re-growth during the decay phase)</t>
        </r>
      </text>
    </comment>
    <comment ref="AW53" authorId="0" shapeId="0" xr:uid="{00000000-0006-0000-0100-000090000000}">
      <text>
        <r>
          <rPr>
            <sz val="11"/>
            <color theme="1"/>
            <rFont val="Calibri"/>
            <family val="2"/>
            <scheme val="minor"/>
          </rPr>
          <t>CONSIGNY François:
The following quantifiable adaptation of the ICC pass criterion was developed by the project Steering Group at the outset of this project and was included in the test plan: 
- At 4 hours after ignition the plate thermometer temperatures should be below 300 °C. The corresponding incident radiant heat flux is roughly 6 kW/m2, which has previously been identified as one of the extinction criteria of smoldering in timber (Crielaard, 2019). Achieving a complete stop of all smoldering is, however, not an aim of this study. Instead, this study aims at assessing techniques for fire fighters of locating and extinguishing smoldering that is left after the fire. 
- No secondary flashover (identified by absence of flashover criteria as specified in UL 1715, ASTM E2257, and ISO 9705) should occur between 3 hours and 4 hours after ignition. Flashover shall be considered to have occurred when any two of the following conditions have been attained: 
a. Heat release rate exceeds 0.12 MW/m2 of floor area, which is determined from the mass loss rate)
b. Average upper layer temperature exceeds 600°C
c. Flames exit one of the openings.</t>
        </r>
      </text>
    </comment>
    <comment ref="BJ53" authorId="0" shapeId="0" xr:uid="{00000000-0006-0000-0100-000091000000}">
      <text>
        <r>
          <rPr>
            <sz val="11"/>
            <color theme="1"/>
            <rFont val="Calibri"/>
            <family val="2"/>
            <scheme val="minor"/>
          </rPr>
          <t>CONSIGNY François:
Point measurement method.
Area method: 52mm</t>
        </r>
      </text>
    </comment>
    <comment ref="BN53" authorId="0" shapeId="0" xr:uid="{00000000-0006-0000-0100-000092000000}">
      <text>
        <r>
          <rPr>
            <sz val="11"/>
            <color theme="1"/>
            <rFont val="Calibri"/>
            <family val="2"/>
            <scheme val="minor"/>
          </rPr>
          <t>CONSIGNY François:
Not given in report
=&gt; Set to Beam value</t>
        </r>
      </text>
    </comment>
    <comment ref="CM53" authorId="0" shapeId="0" xr:uid="{00000000-0006-0000-0100-000093000000}">
      <text>
        <r>
          <rPr>
            <sz val="11"/>
            <color theme="1"/>
            <rFont val="Calibri"/>
            <family val="2"/>
            <scheme val="minor"/>
          </rPr>
          <t>CONSIGNY François:
0.45 to 1.35 m/s</t>
        </r>
      </text>
    </comment>
    <comment ref="J54" authorId="0" shapeId="0" xr:uid="{00000000-0006-0000-0100-000094000000}">
      <text>
        <r>
          <rPr>
            <sz val="11"/>
            <color theme="1"/>
            <rFont val="Calibri"/>
            <family val="2"/>
            <scheme val="minor"/>
          </rPr>
          <t>CONSIGNY François:
81.6m² calculés pour 77.9m² suivant rapport</t>
        </r>
      </text>
    </comment>
    <comment ref="BJ54" authorId="0" shapeId="0" xr:uid="{16175E89-9CB7-4612-80A8-2F53E0C51096}">
      <text>
        <r>
          <rPr>
            <sz val="11"/>
            <color theme="1"/>
            <rFont val="Calibri"/>
            <family val="2"/>
            <scheme val="minor"/>
          </rPr>
          <t>CONSIGNY François:
Not aviable for Test 4
Due to logistical issues on site no beam cut was made for Test 4, and so no beam char depth estimations are available for this test.</t>
        </r>
      </text>
    </comment>
    <comment ref="BN54" authorId="0" shapeId="0" xr:uid="{00000000-0006-0000-0100-000096000000}">
      <text>
        <r>
          <rPr>
            <sz val="11"/>
            <color theme="1"/>
            <rFont val="Calibri"/>
            <family val="2"/>
            <scheme val="minor"/>
          </rPr>
          <t>CONSIGNY François:
Not given in report</t>
        </r>
      </text>
    </comment>
    <comment ref="J55" authorId="0" shapeId="0" xr:uid="{00000000-0006-0000-0100-000097000000}">
      <text>
        <r>
          <rPr>
            <sz val="11"/>
            <color theme="1"/>
            <rFont val="Calibri"/>
            <family val="2"/>
            <scheme val="minor"/>
          </rPr>
          <t>CONSIGNY François:
101.5m² calculés pour 97.2m² suivant rapport</t>
        </r>
      </text>
    </comment>
    <comment ref="BJ55" authorId="0" shapeId="0" xr:uid="{00000000-0006-0000-0100-000098000000}">
      <text>
        <r>
          <rPr>
            <sz val="11"/>
            <color theme="1"/>
            <rFont val="Calibri"/>
            <family val="2"/>
            <scheme val="minor"/>
          </rPr>
          <t>CONSIGNY François:
Point measurement method.
Area method: 54mm</t>
        </r>
      </text>
    </comment>
    <comment ref="BN55" authorId="0" shapeId="0" xr:uid="{00000000-0006-0000-0100-000099000000}">
      <text>
        <r>
          <rPr>
            <sz val="11"/>
            <color theme="1"/>
            <rFont val="Calibri"/>
            <family val="2"/>
            <scheme val="minor"/>
          </rPr>
          <t>CONSIGNY François:
Not given in report</t>
        </r>
      </text>
    </comment>
    <comment ref="F56" authorId="0" shapeId="0" xr:uid="{7B780C07-8566-45D2-A024-7DCFC39BE623}">
      <text>
        <r>
          <rPr>
            <sz val="11"/>
            <color theme="1"/>
            <rFont val="Calibri"/>
            <family val="2"/>
            <scheme val="minor"/>
          </rPr>
          <t>CONSIGNY François:
For the wood crib, softwood sticks with the dimensions of
30 mm   30 mm   1000 mm, density of 392-526 kg/m3 (average
 455 kg/m3), heat of combustion of 19.05 MJ/kg and moisture content
of 13.5 ± 0.8% (on dry basis) were used. The wood fibreboard
had a density of 250 kg/m3 and a heat of combustion of 19.016 MJ/kg.</t>
        </r>
      </text>
    </comment>
    <comment ref="G56" authorId="0" shapeId="0" xr:uid="{00000000-0006-0000-0100-00009A000000}">
      <text>
        <r>
          <rPr>
            <sz val="11"/>
            <color theme="1"/>
            <rFont val="Calibri"/>
            <family val="2"/>
            <scheme val="minor"/>
          </rPr>
          <t>CONSIGNY François:
For the wood crib, softwood sticks with the dimensions of
30 mm   30 mm   1000 mm, density of 392-526 kg/m3 (average
 455 kg/m3), heat of combustion of 19.05 MJ/kg and moisture content
of 13.5 ± 0.8% (on dry basis) were used. The wood fibreboard
had a density of 250 kg/m3 and a heat of combustion of 19.016 MJ/kg.</t>
        </r>
      </text>
    </comment>
    <comment ref="Z56" authorId="0" shapeId="0" xr:uid="{00000000-0006-0000-0100-00009B000000}">
      <text>
        <r>
          <rPr>
            <sz val="11"/>
            <color theme="1"/>
            <rFont val="Calibri"/>
            <family val="2"/>
            <scheme val="minor"/>
          </rPr>
          <t>CONSIGNY François:
calculated
uncertainty from combustion efficiency (0.6-0.75)</t>
        </r>
      </text>
    </comment>
    <comment ref="AJ56" authorId="1" shapeId="0" xr:uid="{E9EC278F-24C9-4A05-8227-53FFCAB85C6B}">
      <text>
        <r>
          <rPr>
            <b/>
            <sz val="9"/>
            <color indexed="81"/>
            <rFont val="Tahoma"/>
            <family val="2"/>
          </rPr>
          <t>François CONSIGNY:</t>
        </r>
        <r>
          <rPr>
            <sz val="9"/>
            <color indexed="81"/>
            <rFont val="Tahoma"/>
            <family val="2"/>
          </rPr>
          <t xml:space="preserve">
Version 3 fires voir 
HRR_experiment.xlsx</t>
        </r>
      </text>
    </comment>
    <comment ref="CR56" authorId="0" shapeId="0" xr:uid="{00000000-0006-0000-0100-00009C000000}">
      <text>
        <r>
          <rPr>
            <sz val="11"/>
            <color theme="1"/>
            <rFont val="Calibri"/>
            <family val="2"/>
            <scheme val="minor"/>
          </rPr>
          <t>CONSIGNY François:
The building was constructed from aerated concrete
blocks (365 mm thick, 350 kg/m3) to provide a robust noncombustible
enclosure</t>
        </r>
      </text>
    </comment>
    <comment ref="FG56" authorId="0" shapeId="0" xr:uid="{00000000-0006-0000-0100-00009D000000}">
      <text>
        <r>
          <rPr>
            <sz val="11"/>
            <color theme="1"/>
            <rFont val="Calibri"/>
            <family val="2"/>
            <scheme val="minor"/>
          </rPr>
          <t>CONSIGNY François:
North east</t>
        </r>
      </text>
    </comment>
    <comment ref="F57" authorId="0" shapeId="0" xr:uid="{74FAC4B7-0EF1-488A-9EF9-016371F2D003}">
      <text>
        <r>
          <rPr>
            <sz val="11"/>
            <color theme="1"/>
            <rFont val="Calibri"/>
            <family val="2"/>
            <scheme val="minor"/>
          </rPr>
          <t>CONSIGNY François:
For the wood crib, softwood sticks with the dimensions of 30 mm
  30 mm   1000 mm, density of 420–499 kg/m3 (average  471 kg/
m3), heat of combustion of 18.51 MJ/kg, and moisture content of
14.4% ± 0.7% (on dry basis) were used. The wood fibreboard had a density
of 250 kg/m3 and a heat of combustion of 18.87 MJ/kg.</t>
        </r>
      </text>
    </comment>
    <comment ref="G57" authorId="0" shapeId="0" xr:uid="{00000000-0006-0000-0100-00009E000000}">
      <text>
        <r>
          <rPr>
            <sz val="11"/>
            <color theme="1"/>
            <rFont val="Calibri"/>
            <family val="2"/>
            <scheme val="minor"/>
          </rPr>
          <t>CONSIGNY François:
For the wood crib, softwood sticks with the dimensions of 30 mm
  30 mm   1000 mm, density of 420–499 kg/m3 (average  471 kg/
m3), heat of combustion of 18.51 MJ/kg, and moisture content of
14.4% ± 0.7% (on dry basis) were used. The wood fibreboard had a density
of 250 kg/m3 and a heat of combustion of 18.87 MJ/kg.</t>
        </r>
      </text>
    </comment>
    <comment ref="Y57" authorId="0" shapeId="0" xr:uid="{00000000-0006-0000-0100-00009F000000}">
      <text>
        <r>
          <rPr>
            <sz val="11"/>
            <color theme="1"/>
            <rFont val="Calibri"/>
            <family val="2"/>
            <scheme val="minor"/>
          </rPr>
          <t>CONSIGNY François:
only dif with CodeRed 1</t>
        </r>
      </text>
    </comment>
    <comment ref="Z57" authorId="0" shapeId="0" xr:uid="{00000000-0006-0000-0100-0000A0000000}">
      <text>
        <r>
          <rPr>
            <sz val="11"/>
            <color theme="1"/>
            <rFont val="Calibri"/>
            <family val="2"/>
            <scheme val="minor"/>
          </rPr>
          <t>CONSIGNY François:
idem
Combustion efficiency for calculation: 0.7</t>
        </r>
      </text>
    </comment>
    <comment ref="E58" authorId="0" shapeId="0" xr:uid="{BBC16102-73C2-4A06-A0AB-93AE6FF68127}">
      <text>
        <r>
          <rPr>
            <b/>
            <sz val="9"/>
            <color indexed="81"/>
            <rFont val="Tahoma"/>
            <family val="2"/>
          </rPr>
          <t>CONSIGNY François:</t>
        </r>
        <r>
          <rPr>
            <sz val="9"/>
            <color indexed="81"/>
            <rFont val="Tahoma"/>
            <family val="2"/>
          </rPr>
          <t xml:space="preserve">
"This corresponds to a fuel load density of 353 MJ/m2 (per floor area) when using a net heat of combustion of 16.0 MJ/kg (see Section 3.5 for calculation).”</t>
        </r>
      </text>
    </comment>
    <comment ref="F58" authorId="1" shapeId="0" xr:uid="{43EE6A50-2A13-49D7-8FD3-1A25A2641604}">
      <text>
        <r>
          <rPr>
            <sz val="11"/>
            <color theme="1"/>
            <rFont val="Calibri"/>
            <family val="2"/>
            <scheme val="minor"/>
          </rPr>
          <t>François CONSIGNY:
Norwegian spruce hc 16MJ/kg</t>
        </r>
      </text>
    </comment>
    <comment ref="G58" authorId="1" shapeId="0" xr:uid="{00000000-0006-0000-0100-0000A1000000}">
      <text>
        <r>
          <rPr>
            <sz val="11"/>
            <color theme="1"/>
            <rFont val="Calibri"/>
            <family val="2"/>
            <scheme val="minor"/>
          </rPr>
          <t>François CONSIGNY:
Norwegian spruce hc 16MJ/kg</t>
        </r>
      </text>
    </comment>
    <comment ref="AV58" authorId="1" shapeId="0" xr:uid="{00000000-0006-0000-0100-0000A2000000}">
      <text>
        <r>
          <rPr>
            <sz val="11"/>
            <color theme="1"/>
            <rFont val="Calibri"/>
            <family val="2"/>
            <scheme val="minor"/>
          </rPr>
          <t>François CONSIGNY:
Precisely at which temperatures delamination occurred cannot be determined. However, the maximum temperature at 40 mm depth was 164–194 ◦C, around 120 min. It is, therefore, likely that the delamination also occurred around that time. An argument supporting this is the discolouring of the second layer (Fig. 27a), which is known to occur around 200 ◦C [63,67]. This is close to the measured temperatures at the glue line. In addition, the temperature below the ceiling at 120 min was approx. 220 ◦C and declining. This low tem perature can explain why the charring did not continue into the second layer and caused a reignition.
The main reason for the limiteddelamination was the combinationof a relatively short post-flashover phase and the thick outer layer of 40 mm. A CLT elementwith a thinner outer layer (e.g., 30 mm) would likely have delaminated on the entire ceiling area in a similar fire.
The compartment was observed for a total of 4 h. At this point, very little of the wood crib was left, and somelamellas of the CLT were hanging down from the ceiling in the centre of the compartment. Hot spots were present around the delaminated areas. Manual fire suppression with water was then conducted, and no reignition was observed after the extinguishment.</t>
        </r>
      </text>
    </comment>
    <comment ref="AW58" authorId="1" shapeId="0" xr:uid="{00000000-0006-0000-0100-0000A3000000}">
      <text>
        <r>
          <rPr>
            <sz val="11"/>
            <color theme="1"/>
            <rFont val="Calibri"/>
            <family val="2"/>
            <scheme val="minor"/>
          </rPr>
          <t>François CONSIGNY:
50–61mn  Self-extinction of CLT. Intensity is reduced, and external flames are clearly smaller. Flames in the ceiling extinguish from left to right. Wood crib fire becomes more and more reduced, but there is still a continuous wood crib fire.
95–240mn Decaying temperatures, no visible flames, and no reignition.</t>
        </r>
      </text>
    </comment>
    <comment ref="BR58" authorId="0" shapeId="0" xr:uid="{8DB276E0-DDA2-45FD-A774-8A655F3DC237}">
      <text>
        <r>
          <rPr>
            <b/>
            <sz val="9"/>
            <color indexed="81"/>
            <rFont val="Tahoma"/>
            <family val="2"/>
          </rPr>
          <t>CONSIGNY François:</t>
        </r>
        <r>
          <rPr>
            <sz val="9"/>
            <color indexed="81"/>
            <rFont val="Tahoma"/>
            <family val="2"/>
          </rPr>
          <t xml:space="preserve">
Incident heat fluxes above Windows 2 and 4 calculated from PT and TC measurements at the façade above Window 2 and Window 4. + 0.8, 1.8, 2.8 m are the heights above the window soffit</t>
        </r>
      </text>
    </comment>
    <comment ref="BV58" authorId="0" shapeId="0" xr:uid="{CE2A2485-DE15-4FF3-B158-774A95193FBA}">
      <text>
        <r>
          <rPr>
            <b/>
            <sz val="9"/>
            <color indexed="81"/>
            <rFont val="Tahoma"/>
            <family val="2"/>
          </rPr>
          <t>CONSIGNY François:</t>
        </r>
        <r>
          <rPr>
            <sz val="9"/>
            <color indexed="81"/>
            <rFont val="Tahoma"/>
            <family val="2"/>
          </rPr>
          <t xml:space="preserve">
External flames emerged out of the window openings during the flashing waves and for a few minutes after the flashover. Temperatures and heat fluxes to the facades were measured by TCs and PTs, and given in Fig. 12 and Fig. 13. The highest temperatures and heat fluxes were measured during the 3rd and 4th flashing waves, although the duration was short. The maximum PT temperatures at the façade were 440–445 °C, 550–600 °C and 660–680 °C at 0.8, 1.8 and 2.8 m height, respectively, above the window opening. From flashover (45.5 min) and until the flames of the CLT had extinguished (61 min), the incident heat fluxes were gradually reduced from approx. 50 to 10 kW/m2, 40 to 6 kW/m2 and 37 to 5 kW/m2 for 0.8, 1.8 and 2.8 m above the window opening, respectively.</t>
        </r>
      </text>
    </comment>
    <comment ref="CY58" authorId="1" shapeId="0" xr:uid="{00000000-0006-0000-0100-0000A4000000}">
      <text>
        <r>
          <rPr>
            <sz val="11"/>
            <color theme="1"/>
            <rFont val="Calibri"/>
            <family val="2"/>
            <scheme val="minor"/>
          </rPr>
          <t>François CONSIGNY:
The wood in the elements was Norwegian spruce, and the glue between the layers was a regular polyurethane adhesive named Loctite 2 HB-S.</t>
        </r>
      </text>
    </comment>
    <comment ref="AB59" authorId="1" shapeId="0" xr:uid="{00000000-0006-0000-0100-0000A5000000}">
      <text>
        <r>
          <rPr>
            <sz val="11"/>
            <color theme="1"/>
            <rFont val="Calibri"/>
            <family val="2"/>
            <scheme val="minor"/>
          </rPr>
          <t>François CONSIGNY:
uring the most intense burning phase (i.e., max HRR), the contribution from the wood crib was 35 MW (48%),13 MW (18%) from the CLT wall, and 24.5 MW (34%) from the CLT ceiling.</t>
        </r>
      </text>
    </comment>
    <comment ref="AV59" authorId="1" shapeId="0" xr:uid="{00000000-0006-0000-0100-0000A6000000}">
      <text>
        <r>
          <rPr>
            <sz val="11"/>
            <color theme="1"/>
            <rFont val="Calibri"/>
            <family val="2"/>
            <scheme val="minor"/>
          </rPr>
          <t>François CONSIGNY:
At 76 min, almost the entire compartment was burning, and external flames appeared from the window openings. In this period, many small (10–50 cm) and some larger (50–100 cm) pieces of delaminated boards fell down and caused a large heap of glowing embers on the floor, see Fig. 10(b).</t>
        </r>
      </text>
    </comment>
    <comment ref="AW59" authorId="1" shapeId="0" xr:uid="{00000000-0006-0000-0100-0000A7000000}">
      <text>
        <r>
          <rPr>
            <sz val="11"/>
            <color theme="1"/>
            <rFont val="Calibri"/>
            <family val="2"/>
            <scheme val="minor"/>
          </rPr>
          <t>François CONSIGNY:
The intensityof the fire variedover the next 100 min and had an increasing trend right before it was manually extinguished after 175 min.</t>
        </r>
      </text>
    </comment>
    <comment ref="AY59" authorId="0" shapeId="0" xr:uid="{989C92A7-67BD-48C8-804E-3118EC0EC811}">
      <text>
        <r>
          <rPr>
            <b/>
            <sz val="9"/>
            <color indexed="81"/>
            <rFont val="Tahoma"/>
            <family val="2"/>
          </rPr>
          <t>CONSIGNY François:</t>
        </r>
        <r>
          <rPr>
            <sz val="9"/>
            <color indexed="81"/>
            <rFont val="Tahoma"/>
            <family val="2"/>
          </rPr>
          <t xml:space="preserve">
Value estimated @76mn before delamination &amp; reignition of wood
(40mm @78mn &amp; 104mm average final char depth):  Table 4
</t>
        </r>
      </text>
    </comment>
    <comment ref="BU59" authorId="0" shapeId="0" xr:uid="{586145DC-FE72-47AA-85FF-2745A8A6EE1F}">
      <text>
        <r>
          <rPr>
            <b/>
            <sz val="9"/>
            <color indexed="81"/>
            <rFont val="Tahoma"/>
            <family val="2"/>
          </rPr>
          <t>CONSIGNY François:</t>
        </r>
        <r>
          <rPr>
            <sz val="9"/>
            <color indexed="81"/>
            <rFont val="Tahoma"/>
            <family val="2"/>
          </rPr>
          <t xml:space="preserve">
The highest temperatures were measured above Window 4 between 3 and 9 min with peak PT temperatures of 1020 °C, 865 °C and 720 °C at 0.8, 1.8 and 2.8 m above the window soffit. The exposure to the facade was also significant during the second flashover but lower than during the first flashover.
</t>
        </r>
      </text>
    </comment>
    <comment ref="BV59" authorId="0" shapeId="0" xr:uid="{B2DC47B9-88F0-47EF-98DE-5416B446739E}">
      <text>
        <r>
          <rPr>
            <b/>
            <sz val="9"/>
            <color indexed="81"/>
            <rFont val="Tahoma"/>
            <family val="2"/>
          </rPr>
          <t>CONSIGNY François:</t>
        </r>
        <r>
          <rPr>
            <sz val="9"/>
            <color indexed="81"/>
            <rFont val="Tahoma"/>
            <family val="2"/>
          </rPr>
          <t xml:space="preserve">
The heat flux above Window 4 was at its maximum between 3 and 9 min, with heat flux levels fluctuating between 125 and 175 kW/m2 0.8 m above the window. The maximum 30-s moving average was 156, 96 and 67 kW/m2 for heights 0.8, 1.8 and 2.8 m above the window opening, respectively. At +0.8 m height, the maximum 30-s averaged value occurred at 6 min, while the maximum value for +1.8 and + 2.8 m occurred at 3.5 and 4 min, respectively. This confirms that the largest flames lasting 30 s were present shortly after flashover, although short-lived large flames were present also later. In comparison, the values above Window 2 were significantly lower, with a 30-s average of 64, 34 and 12 kW/m2.</t>
        </r>
      </text>
    </comment>
    <comment ref="CN59" authorId="1" shapeId="0" xr:uid="{00000000-0006-0000-0100-0000A9000000}">
      <text>
        <r>
          <rPr>
            <sz val="11"/>
            <color theme="1"/>
            <rFont val="Calibri"/>
            <family val="2"/>
            <scheme val="minor"/>
          </rPr>
          <t>François CONSIGNY:
From photo, and 
"The wind direction was diagonally from behind the right-end corner"</t>
        </r>
      </text>
    </comment>
    <comment ref="CN60" authorId="0" shapeId="0" xr:uid="{00000000-0006-0000-0100-0000AA000000}">
      <text>
        <r>
          <rPr>
            <sz val="11"/>
            <color theme="1"/>
            <rFont val="Calibri"/>
            <family val="2"/>
            <scheme val="minor"/>
          </rPr>
          <t>CONSIGNY François:
Est avec Paravents</t>
        </r>
      </text>
    </comment>
    <comment ref="AX61" authorId="1" shapeId="0" xr:uid="{B404C860-9F16-4205-8FFA-BE07314BC936}">
      <text>
        <r>
          <rPr>
            <b/>
            <sz val="9"/>
            <color indexed="81"/>
            <rFont val="Tahoma"/>
            <family val="2"/>
          </rPr>
          <t>François CONSIGNY:</t>
        </r>
        <r>
          <rPr>
            <sz val="9"/>
            <color indexed="81"/>
            <rFont val="Tahoma"/>
            <family val="2"/>
          </rPr>
          <t xml:space="preserve">
"Mesures quelques jours après l'essai"  soit &gt; 12h00 (480mn)</t>
        </r>
      </text>
    </comment>
    <comment ref="BM63" authorId="0" shapeId="0" xr:uid="{00000000-0006-0000-0100-0000AB000000}">
      <text>
        <r>
          <rPr>
            <sz val="11"/>
            <color theme="1"/>
            <rFont val="Calibri"/>
            <family val="2"/>
            <scheme val="minor"/>
          </rPr>
          <t>CONSIGNY François:
min 0.8; max 1.22</t>
        </r>
      </text>
    </comment>
    <comment ref="BQ63" authorId="0" shapeId="0" xr:uid="{00000000-0006-0000-0100-0000AC000000}">
      <text>
        <r>
          <rPr>
            <sz val="11"/>
            <color theme="1"/>
            <rFont val="Calibri"/>
            <family val="2"/>
            <scheme val="minor"/>
          </rPr>
          <t>CONSIGNY François:
min 0.8, max 1.28</t>
        </r>
      </text>
    </comment>
    <comment ref="CN63" authorId="0" shapeId="0" xr:uid="{00000000-0006-0000-0100-0000AD000000}">
      <text>
        <r>
          <rPr>
            <sz val="11"/>
            <color theme="1"/>
            <rFont val="Calibri"/>
            <family val="2"/>
            <scheme val="minor"/>
          </rPr>
          <t>CONSIGNY François:
NNEst</t>
        </r>
      </text>
    </comment>
    <comment ref="CM64" authorId="0" shapeId="0" xr:uid="{00000000-0006-0000-0100-0000AE000000}">
      <text>
        <r>
          <rPr>
            <sz val="11"/>
            <color theme="1"/>
            <rFont val="Calibri"/>
            <family val="2"/>
            <scheme val="minor"/>
          </rPr>
          <t xml:space="preserve">CONSIGNY François:
rafales à 17km/h
</t>
        </r>
      </text>
    </comment>
    <comment ref="U65" authorId="0" shapeId="0" xr:uid="{01010D89-CF55-415B-9C43-D299688CA149}">
      <text>
        <r>
          <rPr>
            <b/>
            <sz val="9"/>
            <color indexed="81"/>
            <rFont val="Tahoma"/>
            <family val="2"/>
          </rPr>
          <t>CONSIGNY François:</t>
        </r>
        <r>
          <rPr>
            <sz val="9"/>
            <color indexed="81"/>
            <rFont val="Tahoma"/>
            <family val="2"/>
          </rPr>
          <t xml:space="preserve">
Timpulse formula %exp</t>
        </r>
      </text>
    </comment>
    <comment ref="AP65" authorId="0" shapeId="0" xr:uid="{6EB62FDD-7DFD-481C-ADA7-30E623CAEB52}">
      <text>
        <r>
          <rPr>
            <b/>
            <sz val="9"/>
            <color indexed="81"/>
            <rFont val="Tahoma"/>
            <family val="2"/>
          </rPr>
          <t>CONSIGNY François:</t>
        </r>
        <r>
          <rPr>
            <sz val="9"/>
            <color indexed="81"/>
            <rFont val="Tahoma"/>
            <family val="2"/>
          </rPr>
          <t xml:space="preserve">
Table 2 p 541</t>
        </r>
      </text>
    </comment>
    <comment ref="BU65" authorId="0" shapeId="0" xr:uid="{31345E6C-2828-4D68-8C6D-864E1AFFBD9F}">
      <text>
        <r>
          <rPr>
            <b/>
            <sz val="9"/>
            <color indexed="81"/>
            <rFont val="Tahoma"/>
            <family val="2"/>
          </rPr>
          <t>CONSIGNY François:</t>
        </r>
        <r>
          <rPr>
            <sz val="9"/>
            <color indexed="81"/>
            <rFont val="Tahoma"/>
            <family val="2"/>
          </rPr>
          <t xml:space="preserve">
772, 891,755,1125,1092 @2m ?</t>
        </r>
      </text>
    </comment>
    <comment ref="AV66" authorId="0" shapeId="0" xr:uid="{3203C53F-C458-4CA4-B733-01E462442851}">
      <text>
        <r>
          <rPr>
            <b/>
            <sz val="9"/>
            <color indexed="81"/>
            <rFont val="Tahoma"/>
            <family val="2"/>
          </rPr>
          <t>CONSIGNY François:</t>
        </r>
        <r>
          <rPr>
            <sz val="9"/>
            <color indexed="81"/>
            <rFont val="Tahoma"/>
            <family val="2"/>
          </rPr>
          <t xml:space="preserve">
Table 2 p541</t>
        </r>
      </text>
    </comment>
    <comment ref="AY66" authorId="1" shapeId="0" xr:uid="{6A4B9D26-2096-4111-959D-277BC8D91947}">
      <text>
        <r>
          <rPr>
            <b/>
            <sz val="9"/>
            <color indexed="81"/>
            <rFont val="Tahoma"/>
            <family val="2"/>
          </rPr>
          <t>François CONSIGNY:</t>
        </r>
        <r>
          <rPr>
            <sz val="9"/>
            <color indexed="81"/>
            <rFont val="Tahoma"/>
            <family val="2"/>
          </rPr>
          <t xml:space="preserve">
protected</t>
        </r>
      </text>
    </comment>
    <comment ref="DD66" authorId="1" shapeId="0" xr:uid="{22C9EF45-239D-41B8-ACBA-FFB16EC5FC4E}">
      <text>
        <r>
          <rPr>
            <b/>
            <sz val="9"/>
            <color indexed="81"/>
            <rFont val="Tahoma"/>
            <family val="2"/>
          </rPr>
          <t>François CONSIGNY:</t>
        </r>
        <r>
          <rPr>
            <sz val="9"/>
            <color indexed="81"/>
            <rFont val="Tahoma"/>
            <family val="2"/>
          </rPr>
          <t xml:space="preserve">
GLT
</t>
        </r>
      </text>
    </comment>
    <comment ref="AW67" authorId="0" shapeId="0" xr:uid="{2E8ABAB4-D6B7-4E60-B2C4-78C15533F4A7}">
      <text>
        <r>
          <rPr>
            <b/>
            <sz val="9"/>
            <color indexed="81"/>
            <rFont val="Tahoma"/>
            <family val="2"/>
          </rPr>
          <t>CONSIGNY François:</t>
        </r>
        <r>
          <rPr>
            <sz val="9"/>
            <color indexed="81"/>
            <rFont val="Tahoma"/>
            <family val="2"/>
          </rPr>
          <t xml:space="preserve">
? 
En revanche, les travaux d'extinction nécessaires n'ont été découverts qu'à la suite de contrôles ultérieurs. Lors des essais V2 et V3, des incendies couvants individuels sur les montants des murs en panneaux de bois ou sur les surfaces des murs en bois lamellé-croisé ne se sont produits que quelques heures après la fin des travaux d'extinction. Ces incendies tardifs mettent en évidence la nécessité d'inspections de suivi ou d'inspections répétées du site de l'incendie.
</t>
        </r>
      </text>
    </comment>
    <comment ref="CT67" authorId="0" shapeId="0" xr:uid="{9DF3CE62-E83F-43FE-B568-2F2EAD1AB483}">
      <text>
        <r>
          <rPr>
            <b/>
            <sz val="9"/>
            <color indexed="81"/>
            <rFont val="Tahoma"/>
            <family val="2"/>
          </rPr>
          <t>CONSIGNY François:</t>
        </r>
        <r>
          <rPr>
            <sz val="9"/>
            <color indexed="81"/>
            <rFont val="Tahoma"/>
            <family val="2"/>
          </rPr>
          <t xml:space="preserve">
Wall 1,2 others LTF 140</t>
        </r>
      </text>
    </comment>
    <comment ref="DF67" authorId="1" shapeId="0" xr:uid="{61291CCB-45F0-418E-8C95-2707DC0D1D69}">
      <text>
        <r>
          <rPr>
            <b/>
            <sz val="9"/>
            <color indexed="81"/>
            <rFont val="Tahoma"/>
            <family val="2"/>
          </rPr>
          <t>François CONSIGNY:</t>
        </r>
        <r>
          <rPr>
            <sz val="9"/>
            <color indexed="81"/>
            <rFont val="Tahoma"/>
            <family val="2"/>
          </rPr>
          <t xml:space="preserve">
LTF</t>
        </r>
      </text>
    </comment>
    <comment ref="AP68" authorId="0" shapeId="0" xr:uid="{BCC08CEE-F533-4AB4-983A-6CFC7AEEE61F}">
      <text>
        <r>
          <rPr>
            <b/>
            <sz val="9"/>
            <color indexed="81"/>
            <rFont val="Tahoma"/>
            <family val="2"/>
          </rPr>
          <t>CONSIGNY François:</t>
        </r>
        <r>
          <rPr>
            <sz val="9"/>
            <color indexed="81"/>
            <rFont val="Tahoma"/>
            <family val="2"/>
          </rPr>
          <t xml:space="preserve">
53/75: First value for 2 9 12.5 mm, second value for 2 9 18 mm gypsum fiberboard</t>
        </r>
      </text>
    </comment>
    <comment ref="AW68" authorId="0" shapeId="0" xr:uid="{675D6D7B-DEF6-45C5-B6D7-DEC049B3C256}">
      <text>
        <r>
          <rPr>
            <b/>
            <sz val="9"/>
            <color indexed="81"/>
            <rFont val="Tahoma"/>
            <family val="2"/>
          </rPr>
          <t>CONSIGNY François:</t>
        </r>
        <r>
          <rPr>
            <sz val="9"/>
            <color indexed="81"/>
            <rFont val="Tahoma"/>
            <family val="2"/>
          </rPr>
          <t xml:space="preserve">
? 
</t>
        </r>
      </text>
    </comment>
    <comment ref="CT68" authorId="1" shapeId="0" xr:uid="{AA8DAC1D-EDAB-4543-A1B2-F2456D1136E7}">
      <text>
        <r>
          <rPr>
            <b/>
            <sz val="9"/>
            <color indexed="81"/>
            <rFont val="Tahoma"/>
            <family val="2"/>
          </rPr>
          <t>François CONSIGNY:</t>
        </r>
        <r>
          <rPr>
            <sz val="9"/>
            <color indexed="81"/>
            <rFont val="Tahoma"/>
            <family val="2"/>
          </rPr>
          <t xml:space="preserve">
Wall 1 &amp; 2: OSB + LTF
Wall 3 &amp; 4 : LTF </t>
        </r>
      </text>
    </comment>
    <comment ref="CV68" authorId="1" shapeId="0" xr:uid="{278CAEE6-4980-4E8F-ABCF-C73E92813463}">
      <text>
        <r>
          <rPr>
            <b/>
            <sz val="9"/>
            <color indexed="81"/>
            <rFont val="Tahoma"/>
            <family val="2"/>
          </rPr>
          <t>François CONSIGNY:</t>
        </r>
        <r>
          <rPr>
            <sz val="9"/>
            <color indexed="81"/>
            <rFont val="Tahoma"/>
            <family val="2"/>
          </rPr>
          <t xml:space="preserve">
LTF</t>
        </r>
      </text>
    </comment>
    <comment ref="U69" authorId="0" shapeId="0" xr:uid="{916AB38B-514A-4F4A-8197-5808CB5C6F83}">
      <text>
        <r>
          <rPr>
            <b/>
            <sz val="9"/>
            <color indexed="81"/>
            <rFont val="Tahoma"/>
            <family val="2"/>
          </rPr>
          <t>CONSIGNY François:</t>
        </r>
        <r>
          <rPr>
            <sz val="9"/>
            <color indexed="81"/>
            <rFont val="Tahoma"/>
            <family val="2"/>
          </rPr>
          <t xml:space="preserve">
58%??</t>
        </r>
      </text>
    </comment>
    <comment ref="CT69" authorId="0" shapeId="0" xr:uid="{4DE59FB5-59B0-47BA-9121-8E15E7EDF566}">
      <text>
        <r>
          <rPr>
            <b/>
            <sz val="9"/>
            <color indexed="81"/>
            <rFont val="Tahoma"/>
            <family val="2"/>
          </rPr>
          <t>CONSIGNY François:</t>
        </r>
        <r>
          <rPr>
            <sz val="9"/>
            <color indexed="81"/>
            <rFont val="Tahoma"/>
            <family val="2"/>
          </rPr>
          <t xml:space="preserve">
Wall 1 others 140mm LTF</t>
        </r>
      </text>
    </comment>
    <comment ref="DD69" authorId="0" shapeId="0" xr:uid="{C368091F-1C9D-4E30-895A-48487F71B8B4}">
      <text>
        <r>
          <rPr>
            <b/>
            <sz val="9"/>
            <color indexed="81"/>
            <rFont val="Tahoma"/>
            <family val="2"/>
          </rPr>
          <t>CONSIGNY François:</t>
        </r>
        <r>
          <rPr>
            <sz val="9"/>
            <color indexed="81"/>
            <rFont val="Tahoma"/>
            <family val="2"/>
          </rPr>
          <t xml:space="preserve">
GLT</t>
        </r>
      </text>
    </comment>
    <comment ref="F70" authorId="1" shapeId="0" xr:uid="{B76C5A9D-904D-416B-8ED9-6C3B4366B76A}">
      <text>
        <r>
          <rPr>
            <sz val="11"/>
            <color theme="1"/>
            <rFont val="Calibri"/>
            <family val="2"/>
            <scheme val="minor"/>
          </rPr>
          <t>François CONSIGNY:
Norwegian spruce hc 16MJ/kg</t>
        </r>
      </text>
    </comment>
    <comment ref="EH70" authorId="0" shapeId="0" xr:uid="{485C0750-2D61-4A44-8BD8-4786ED08F370}">
      <text>
        <r>
          <rPr>
            <b/>
            <sz val="9"/>
            <color indexed="81"/>
            <rFont val="Tahoma"/>
            <family val="2"/>
          </rPr>
          <t>CONSIGNY François:</t>
        </r>
        <r>
          <rPr>
            <sz val="9"/>
            <color indexed="81"/>
            <rFont val="Tahoma"/>
            <family val="2"/>
          </rPr>
          <t xml:space="preserve">
calculated from Surface exposed and  w and h</t>
        </r>
      </text>
    </comment>
    <comment ref="EM70" authorId="2" shapeId="0" xr:uid="{50446792-4351-4791-9A0B-7A0FF88700D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Deux faces (sous face et retombé exposées)</t>
      </text>
    </comment>
    <comment ref="CD72" authorId="0" shapeId="0" xr:uid="{7AE9DEAA-5305-4244-843D-8C9F45205902}">
      <text>
        <r>
          <rPr>
            <b/>
            <sz val="9"/>
            <color indexed="81"/>
            <rFont val="Tahoma"/>
            <family val="2"/>
          </rPr>
          <t>CONSIGNY François:</t>
        </r>
        <r>
          <rPr>
            <sz val="9"/>
            <color indexed="81"/>
            <rFont val="Tahoma"/>
            <family val="2"/>
          </rPr>
          <t xml:space="preserve">
variable ?</t>
        </r>
      </text>
    </comment>
    <comment ref="CD73" authorId="0" shapeId="0" xr:uid="{B8F2D2EF-8BC8-4967-928A-988BF6E96481}">
      <text>
        <r>
          <rPr>
            <b/>
            <sz val="9"/>
            <color indexed="81"/>
            <rFont val="Tahoma"/>
            <family val="2"/>
          </rPr>
          <t>CONSIGNY François:</t>
        </r>
        <r>
          <rPr>
            <sz val="9"/>
            <color indexed="81"/>
            <rFont val="Tahoma"/>
            <family val="2"/>
          </rPr>
          <t xml:space="preserve">
variable ?</t>
        </r>
      </text>
    </comment>
    <comment ref="DP75" authorId="0" shapeId="0" xr:uid="{8E011ECF-BCF3-40E7-8E75-3674D94CB3F3}">
      <text>
        <r>
          <rPr>
            <b/>
            <sz val="9"/>
            <color indexed="81"/>
            <rFont val="Tahoma"/>
            <family val="2"/>
          </rPr>
          <t>CONSIGNY François:</t>
        </r>
        <r>
          <rPr>
            <sz val="9"/>
            <color indexed="81"/>
            <rFont val="Tahoma"/>
            <family val="2"/>
          </rPr>
          <t xml:space="preserve">
45.15m² entre nervures</t>
        </r>
      </text>
    </comment>
    <comment ref="EL75" authorId="0" shapeId="0" xr:uid="{2C6246D2-5CC4-4E05-86FC-FEA955838834}">
      <text>
        <r>
          <rPr>
            <b/>
            <sz val="9"/>
            <color indexed="81"/>
            <rFont val="Tahoma"/>
            <family val="2"/>
          </rPr>
          <t>CONSIGNY François:</t>
        </r>
        <r>
          <rPr>
            <sz val="9"/>
            <color indexed="81"/>
            <rFont val="Tahoma"/>
            <family val="2"/>
          </rPr>
          <t xml:space="preserve">
Corriger, 3w ?</t>
        </r>
      </text>
    </comment>
    <comment ref="FB76" authorId="1" shapeId="0" xr:uid="{886681BC-871F-4D2C-93FB-A42E16397F9D}">
      <text>
        <r>
          <rPr>
            <b/>
            <sz val="9"/>
            <color indexed="81"/>
            <rFont val="Tahoma"/>
            <family val="2"/>
          </rPr>
          <t>François CONSIGNY:</t>
        </r>
        <r>
          <rPr>
            <sz val="9"/>
            <color indexed="81"/>
            <rFont val="Tahoma"/>
            <family val="2"/>
          </rPr>
          <t xml:space="preserve">
0.4 replace by 1.1 as in experiment</t>
        </r>
      </text>
    </comment>
    <comment ref="E77" authorId="0" shapeId="0" xr:uid="{C3E58932-677C-4204-AD81-4D019594B544}">
      <text>
        <r>
          <rPr>
            <b/>
            <sz val="9"/>
            <color indexed="81"/>
            <rFont val="Tahoma"/>
            <family val="2"/>
          </rPr>
          <t>CONSIGNY François:</t>
        </r>
        <r>
          <rPr>
            <sz val="9"/>
            <color indexed="81"/>
            <rFont val="Tahoma"/>
            <family val="2"/>
          </rPr>
          <t xml:space="preserve">
90% Fractile School (Fr AN)</t>
        </r>
      </text>
    </comment>
    <comment ref="E78" authorId="0" shapeId="0" xr:uid="{EE1F9813-57F5-41ED-ADFB-8B5D328CFA9D}">
      <text>
        <r>
          <rPr>
            <b/>
            <sz val="9"/>
            <color indexed="81"/>
            <rFont val="Tahoma"/>
            <family val="2"/>
          </rPr>
          <t>CONSIGNY François:</t>
        </r>
        <r>
          <rPr>
            <sz val="9"/>
            <color indexed="81"/>
            <rFont val="Tahoma"/>
            <family val="2"/>
          </rPr>
          <t xml:space="preserve">
Mean School (Fr AN)</t>
        </r>
      </text>
    </comment>
    <comment ref="E79" authorId="0" shapeId="0" xr:uid="{E42D0AA1-4890-420A-9149-841F07F4213D}">
      <text>
        <r>
          <rPr>
            <b/>
            <sz val="9"/>
            <color indexed="81"/>
            <rFont val="Tahoma"/>
            <family val="2"/>
          </rPr>
          <t>CONSIGNY François:</t>
        </r>
        <r>
          <rPr>
            <sz val="9"/>
            <color indexed="81"/>
            <rFont val="Tahoma"/>
            <family val="2"/>
          </rPr>
          <t xml:space="preserve">
Mean School (Fr AN)</t>
        </r>
      </text>
    </comment>
    <comment ref="E80" authorId="0" shapeId="0" xr:uid="{65E2E151-32C4-4DC3-BBB0-BD3EF0B83D09}">
      <text>
        <r>
          <rPr>
            <b/>
            <sz val="9"/>
            <color indexed="81"/>
            <rFont val="Tahoma"/>
            <family val="2"/>
          </rPr>
          <t>CONSIGNY François:</t>
        </r>
        <r>
          <rPr>
            <sz val="9"/>
            <color indexed="81"/>
            <rFont val="Tahoma"/>
            <family val="2"/>
          </rPr>
          <t xml:space="preserve">
Mean School (Fr AN)</t>
        </r>
      </text>
    </comment>
    <comment ref="EG84" authorId="0" shapeId="0" xr:uid="{FE3F4A4D-66E2-4771-B3B0-CB3DA5EEE5F6}">
      <text>
        <r>
          <rPr>
            <b/>
            <sz val="9"/>
            <color indexed="81"/>
            <rFont val="Tahoma"/>
            <family val="2"/>
          </rPr>
          <t>CONSIGNY François:</t>
        </r>
        <r>
          <rPr>
            <sz val="9"/>
            <color indexed="81"/>
            <rFont val="Tahoma"/>
            <family val="2"/>
          </rPr>
          <t xml:space="preserve">
Périmètre moins longeurs poteaux intérieurs</t>
        </r>
      </text>
    </comment>
    <comment ref="EM84" authorId="0" shapeId="0" xr:uid="{252E3234-7914-4F24-A0EF-89751E4FE9F7}">
      <text>
        <r>
          <rPr>
            <b/>
            <sz val="9"/>
            <color indexed="81"/>
            <rFont val="Tahoma"/>
            <family val="2"/>
          </rPr>
          <t>CONSIGNY François:</t>
        </r>
        <r>
          <rPr>
            <sz val="9"/>
            <color indexed="81"/>
            <rFont val="Tahoma"/>
            <family val="2"/>
          </rPr>
          <t xml:space="preserve">
Avant réduction Lr de 7.02 à 6.26m</t>
        </r>
      </text>
    </comment>
    <comment ref="F91" authorId="1" shapeId="0" xr:uid="{5FA5DE3A-949D-49C6-AAA9-E85E148D5785}">
      <text>
        <r>
          <rPr>
            <sz val="11"/>
            <color theme="1"/>
            <rFont val="Calibri"/>
            <family val="2"/>
            <scheme val="minor"/>
          </rPr>
          <t>François CONSIGNY:
Norwegian spruce hc 16MJ/kg</t>
        </r>
      </text>
    </comment>
    <comment ref="EG91" authorId="0" shapeId="0" xr:uid="{82618681-9060-448D-88AD-2D239579181B}">
      <text>
        <r>
          <rPr>
            <b/>
            <sz val="9"/>
            <color indexed="81"/>
            <rFont val="Tahoma"/>
            <family val="2"/>
          </rPr>
          <t>CONSIGNY François:</t>
        </r>
        <r>
          <rPr>
            <sz val="9"/>
            <color indexed="81"/>
            <rFont val="Tahoma"/>
            <family val="2"/>
          </rPr>
          <t xml:space="preserve">
calculated from Surface exposed and  w and h</t>
        </r>
      </text>
    </comment>
    <comment ref="EL91" authorId="3" shapeId="0" xr:uid="{B11ADEEF-A3CC-4163-9BAE-4C141FBED51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Deux faces (sous face et retombé exposées)</t>
      </text>
    </comment>
    <comment ref="BA92" authorId="1" shapeId="0" xr:uid="{1E9E8239-56FD-4800-A583-9B6C8C13EF92}">
      <text>
        <r>
          <rPr>
            <sz val="11"/>
            <color theme="1"/>
            <rFont val="Calibri"/>
            <family val="2"/>
            <scheme val="minor"/>
          </rPr>
          <t>François CONSIGNY:
140 in corner neglicted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CONSIGNY François</author>
    <author>François CONSIGNY</author>
  </authors>
  <commentList>
    <comment ref="AN1" authorId="0" shapeId="0" xr:uid="{455F4218-26CF-4A9D-A01B-03FF7AE4BF0B}">
      <text>
        <r>
          <rPr>
            <b/>
            <sz val="9"/>
            <color indexed="81"/>
            <rFont val="Tahoma"/>
            <family val="2"/>
          </rPr>
          <t>CONSIGNY François:</t>
        </r>
        <r>
          <rPr>
            <sz val="9"/>
            <color indexed="81"/>
            <rFont val="Tahoma"/>
            <family val="2"/>
          </rPr>
          <t xml:space="preserve">
Experiment event:
Type of experiment see "LEGEND" Col AQ</t>
        </r>
      </text>
    </comment>
    <comment ref="AO1" authorId="0" shapeId="0" xr:uid="{76F026F7-DBE6-4DE1-BC6D-27C05F31C38C}">
      <text>
        <r>
          <rPr>
            <b/>
            <sz val="9"/>
            <color indexed="81"/>
            <rFont val="Tahoma"/>
            <family val="2"/>
          </rPr>
          <t>CONSIGNY François:</t>
        </r>
        <r>
          <rPr>
            <sz val="9"/>
            <color indexed="81"/>
            <rFont val="Tahoma"/>
            <family val="2"/>
          </rPr>
          <t xml:space="preserve">
Experiment type (see "LEGEND) for Graph in  sheet Char comparison </t>
        </r>
      </text>
    </comment>
    <comment ref="AP1" authorId="0" shapeId="0" xr:uid="{DE66A568-7D8B-4C51-A050-A6259E78F766}">
      <text>
        <r>
          <rPr>
            <b/>
            <sz val="9"/>
            <color indexed="81"/>
            <rFont val="Tahoma"/>
            <family val="2"/>
          </rPr>
          <t>CONSIGNY François:</t>
        </r>
        <r>
          <rPr>
            <sz val="9"/>
            <color indexed="81"/>
            <rFont val="Tahoma"/>
            <family val="2"/>
          </rPr>
          <t xml:space="preserve">
Not put in sheet Char comparison if E</t>
        </r>
      </text>
    </comment>
    <comment ref="AN46" authorId="0" shapeId="0" xr:uid="{EFC721A8-D7EE-469F-A1DF-A71499556782}">
      <text>
        <r>
          <rPr>
            <b/>
            <sz val="9"/>
            <color indexed="81"/>
            <rFont val="Tahoma"/>
            <family val="2"/>
          </rPr>
          <t>CONSIGNY François:</t>
        </r>
        <r>
          <rPr>
            <sz val="9"/>
            <color indexed="81"/>
            <rFont val="Tahoma"/>
            <family val="2"/>
          </rPr>
          <t xml:space="preserve">
Test 3 was stopped at 3:30h as it did not pass the criterion set by the project steering group to have continuous decay until 4 hours after ignition, as such, this configuration of mass timber surface exposure (i.e., where two exposed surfaces meet at a corner) would not be recommended for high rise buildings, where there is possibility that an automatic sprinkler system could fail and that fire service intervention may not occur.</t>
        </r>
      </text>
    </comment>
    <comment ref="AB74" authorId="0" shapeId="0" xr:uid="{F3300FDD-B782-40F6-87B6-1234E823BE13}">
      <text>
        <r>
          <rPr>
            <b/>
            <sz val="9"/>
            <color indexed="81"/>
            <rFont val="Tahoma"/>
            <family val="2"/>
          </rPr>
          <t>CONSIGNY François:</t>
        </r>
        <r>
          <rPr>
            <sz val="9"/>
            <color indexed="81"/>
            <rFont val="Tahoma"/>
            <family val="2"/>
          </rPr>
          <t xml:space="preserve">
moyenne des temps pour les calcul parrallélisés</t>
        </r>
      </text>
    </comment>
    <comment ref="AB75" authorId="0" shapeId="0" xr:uid="{D7F5776F-9106-4988-BD80-68BC9952793E}">
      <text>
        <r>
          <rPr>
            <b/>
            <sz val="9"/>
            <color indexed="81"/>
            <rFont val="Tahoma"/>
            <family val="2"/>
          </rPr>
          <t>CONSIGNY François:</t>
        </r>
        <r>
          <rPr>
            <sz val="9"/>
            <color indexed="81"/>
            <rFont val="Tahoma"/>
            <family val="2"/>
          </rPr>
          <t xml:space="preserve">
Total temps du calcul du dernier Run</t>
        </r>
      </text>
    </comment>
    <comment ref="AB76" authorId="0" shapeId="0" xr:uid="{0385F5CA-1E72-40D0-82ED-FF08A47FBC2B}">
      <text>
        <r>
          <rPr>
            <b/>
            <sz val="9"/>
            <color indexed="81"/>
            <rFont val="Tahoma"/>
            <family val="2"/>
          </rPr>
          <t>CONSIGNY François:</t>
        </r>
        <r>
          <rPr>
            <sz val="9"/>
            <color indexed="81"/>
            <rFont val="Tahoma"/>
            <family val="2"/>
          </rPr>
          <t xml:space="preserve">
moyenne du temps de calcul réeel par essai</t>
        </r>
      </text>
    </comment>
    <comment ref="AD107" authorId="1" shapeId="0" xr:uid="{00000000-0006-0000-0200-000001000000}">
      <text>
        <r>
          <rPr>
            <sz val="11"/>
            <color theme="1"/>
            <rFont val="Calibri"/>
            <family val="2"/>
            <scheme val="minor"/>
          </rPr>
          <t xml:space="preserve">François CONSIGNY:
Mesuré à zéro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<sst xmlns="http://schemas.openxmlformats.org/spreadsheetml/2006/main" count="2889" uniqueCount="1069">
  <si>
    <t>Auteur</t>
  </si>
  <si>
    <t>FC</t>
  </si>
  <si>
    <t>Source</t>
  </si>
  <si>
    <t>Sheets:</t>
  </si>
  <si>
    <t>Recap</t>
  </si>
  <si>
    <t>List of wordwhile experiments with (or without) exposed timber. Line 5: List of variable read by python to initialize compartments and write zone models (Cfast or Brisk) to be calcuated with the method</t>
  </si>
  <si>
    <t>Char Depth Graph</t>
  </si>
  <si>
    <t>Char mesurement</t>
  </si>
  <si>
    <t>Values of char mesurement in experiments from literature</t>
  </si>
  <si>
    <t>Char analyse</t>
  </si>
  <si>
    <t>Analyse of differences between char mesurements and calculations</t>
  </si>
  <si>
    <t>Gyps Protected</t>
  </si>
  <si>
    <t>Biblio on gyps protection</t>
  </si>
  <si>
    <t xml:space="preserve">Path of python program (PC Charm Community project): </t>
  </si>
  <si>
    <t>Espace partagé thèse FC (C:\Users\Francois.CONSIGNY\CSTBGroup\DSSF_Projet_These_Francois_Consigny - Documents)</t>
  </si>
  <si>
    <t>/!\ Warning if you run the python program verify the path used for program &amp; models files according to your machine in the file Environnementxxxx.py: var BriskPath CurPath</t>
  </si>
  <si>
    <t>Versions</t>
  </si>
  <si>
    <t>Date</t>
  </si>
  <si>
    <t>Descriptions</t>
  </si>
  <si>
    <t>Path program</t>
  </si>
  <si>
    <t>"atest"</t>
  </si>
  <si>
    <t>First Try of run with original (LG) method implemented with Brisk</t>
  </si>
  <si>
    <t>Base des tests de la méthode et échanges Canada. Correction HRR Fuel suivant email L.Girompaire du 21/05/24</t>
  </si>
  <si>
    <t xml:space="preserve">Implementation of floor contribution and flag wood totaly consumed </t>
  </si>
  <si>
    <t>Add sheet Char Analyse and Variable HrrPUA in sheet Recap (column W)</t>
  </si>
  <si>
    <t>241028 Recap Experiment_these</t>
  </si>
  <si>
    <t>Add sheet ReadMe First; Modif with Gyps fall-off Time</t>
  </si>
  <si>
    <t>Modif of wood contribution law with material or recap (variables wd, cd, fd) density in place of default value (500kg/m3); Add sheet ReadMe First; Modif with Gyps fall-off Time</t>
  </si>
  <si>
    <t>Modif with adding Gyps fall-off Time</t>
  </si>
  <si>
    <t>Modif Excel with stat on Char analyse + comments on models prediction  fails /succes</t>
  </si>
  <si>
    <t>241108 Recap Experiment_these</t>
  </si>
  <si>
    <t>Modif of wood contribution law from Brisk Flux instead of Gas temperature (original method from LG/CD)</t>
  </si>
  <si>
    <t>Modif of files name &amp; directories in Pycharm project Contrib_brisk4 version:</t>
  </si>
  <si>
    <t>\Calculs Feu\Programmes\python\Contribution_Brisk4\project\main_Contrib_brisk4.py</t>
  </si>
  <si>
    <t>Modif of wood contribution law: from MLR / charring rate instead of  external flux / charring rate (original method from LG/CD) see file \calculs Feu\241110_predictive_Timber_charing_Qcstb versus Qtemp_Qflux.xlsx</t>
  </si>
  <si>
    <t>Nomenclature</t>
  </si>
  <si>
    <t>Experimental Data (Input)</t>
  </si>
  <si>
    <t>Experimental Data (Results)</t>
  </si>
  <si>
    <t>Main findings /  Conclusions</t>
  </si>
  <si>
    <t xml:space="preserve">Compartment </t>
  </si>
  <si>
    <t>materials</t>
  </si>
  <si>
    <t>openings (vents)</t>
  </si>
  <si>
    <t>Fire</t>
  </si>
  <si>
    <t>Area</t>
  </si>
  <si>
    <t>Exposed timber</t>
  </si>
  <si>
    <t>Sprinkler</t>
  </si>
  <si>
    <t>Temperature</t>
  </si>
  <si>
    <t xml:space="preserve">Wall char </t>
  </si>
  <si>
    <t xml:space="preserve">Ceiling char </t>
  </si>
  <si>
    <t xml:space="preserve">Floor char </t>
  </si>
  <si>
    <t xml:space="preserve">Beam char </t>
  </si>
  <si>
    <t xml:space="preserve">Column char </t>
  </si>
  <si>
    <t>Room geometry (interior dimensions)</t>
  </si>
  <si>
    <t>Calculation</t>
  </si>
  <si>
    <t>Ambient conditions</t>
  </si>
  <si>
    <t>Exposed Wood</t>
  </si>
  <si>
    <t>Wall materials</t>
  </si>
  <si>
    <t>Wood Wall caract.</t>
  </si>
  <si>
    <t>Ceiling materials</t>
  </si>
  <si>
    <t>Wood Ceiling caract.</t>
  </si>
  <si>
    <t>Floor materials</t>
  </si>
  <si>
    <t>Wood Floor caract.</t>
  </si>
  <si>
    <t>Wood Beams</t>
  </si>
  <si>
    <t>Wood Columns</t>
  </si>
  <si>
    <t>Wall vents</t>
  </si>
  <si>
    <t>Wall vent 1 (i=1)</t>
  </si>
  <si>
    <t>Wall vent  (i=2)</t>
  </si>
  <si>
    <t>Wall vent  (i=3)</t>
  </si>
  <si>
    <t>Wall vent  (i=4)</t>
  </si>
  <si>
    <t>Wall vent  (i=5)</t>
  </si>
  <si>
    <t>Wall vent  (i=6)</t>
  </si>
  <si>
    <t>Wall vent  (i=7)</t>
  </si>
  <si>
    <t>Wall vent  (i=8)</t>
  </si>
  <si>
    <t>Wall vent  (i=9)</t>
  </si>
  <si>
    <t>Wall vent  (i=10)</t>
  </si>
  <si>
    <t>Wall vent  (i=11)</t>
  </si>
  <si>
    <t>Inst</t>
  </si>
  <si>
    <t>Aut</t>
  </si>
  <si>
    <t>Tnum</t>
  </si>
  <si>
    <t>Ref</t>
  </si>
  <si>
    <t>Fd</t>
  </si>
  <si>
    <t>Ft</t>
  </si>
  <si>
    <t>Hc</t>
  </si>
  <si>
    <t>Af</t>
  </si>
  <si>
    <t>At(b)</t>
  </si>
  <si>
    <t>Aexp/At</t>
  </si>
  <si>
    <t>Elem exposed</t>
  </si>
  <si>
    <t>Aexp/Aw</t>
  </si>
  <si>
    <t>Aexp/Aw-o</t>
  </si>
  <si>
    <t>Aexp/Af</t>
  </si>
  <si>
    <t>Wexposed/Awall</t>
  </si>
  <si>
    <t>Cexposed/Aceiling</t>
  </si>
  <si>
    <t>Fexposed/Afloor</t>
  </si>
  <si>
    <t>Bexposed/Sbeam</t>
  </si>
  <si>
    <t>Coexposed/Scolomun</t>
  </si>
  <si>
    <t>tsprinkler</t>
  </si>
  <si>
    <t>closed</t>
  </si>
  <si>
    <t>hv</t>
  </si>
  <si>
    <t>Av</t>
  </si>
  <si>
    <t>O(b)</t>
  </si>
  <si>
    <t>hrrtot_peak</t>
  </si>
  <si>
    <t>hrrfuel_peak</t>
  </si>
  <si>
    <t>hrrtimb_peak</t>
  </si>
  <si>
    <t>HrrPUA</t>
  </si>
  <si>
    <t>talpha</t>
  </si>
  <si>
    <t>hrrfuel</t>
  </si>
  <si>
    <t>hrrtimb</t>
  </si>
  <si>
    <t>tfire</t>
  </si>
  <si>
    <t>mloss</t>
  </si>
  <si>
    <t>Troom</t>
  </si>
  <si>
    <t>dexp</t>
  </si>
  <si>
    <t>fb_time</t>
  </si>
  <si>
    <t>t_gyps_fo</t>
  </si>
  <si>
    <t>t_wall_gyps_fo</t>
  </si>
  <si>
    <t>t_ceiling_gyps_fo</t>
  </si>
  <si>
    <t>tdelam</t>
  </si>
  <si>
    <t>Extinction</t>
  </si>
  <si>
    <t>tchar_fin</t>
  </si>
  <si>
    <t>Wchar_mean</t>
  </si>
  <si>
    <t>Wchar_min</t>
  </si>
  <si>
    <t>Wchar_max</t>
  </si>
  <si>
    <t>Wchar_speed</t>
  </si>
  <si>
    <t>Cchar_mean</t>
  </si>
  <si>
    <t>Cchar_min</t>
  </si>
  <si>
    <t>Cchar_max</t>
  </si>
  <si>
    <t>Cchar_speed</t>
  </si>
  <si>
    <t>Fchar_mean</t>
  </si>
  <si>
    <t>Fchar_min</t>
  </si>
  <si>
    <t>Fchar_max</t>
  </si>
  <si>
    <t>Bchar_mean</t>
  </si>
  <si>
    <t>Bchar_min</t>
  </si>
  <si>
    <t>Bchar_max</t>
  </si>
  <si>
    <t>Bchar_speed</t>
  </si>
  <si>
    <t>Cochar_mean</t>
  </si>
  <si>
    <t>Cochar_min</t>
  </si>
  <si>
    <t>Cochar_max</t>
  </si>
  <si>
    <t>Lr</t>
  </si>
  <si>
    <t>Wr</t>
  </si>
  <si>
    <t>Hr</t>
  </si>
  <si>
    <t>C0</t>
  </si>
  <si>
    <t>tstep</t>
  </si>
  <si>
    <t>ercontrol</t>
  </si>
  <si>
    <t>ervent</t>
  </si>
  <si>
    <t>interval</t>
  </si>
  <si>
    <t>scond</t>
  </si>
  <si>
    <t>Zalt</t>
  </si>
  <si>
    <t>Patm</t>
  </si>
  <si>
    <t>Vwind</t>
  </si>
  <si>
    <t>Wdir</t>
  </si>
  <si>
    <t>Hamb</t>
  </si>
  <si>
    <t>Tamb</t>
  </si>
  <si>
    <t>Aexp</t>
  </si>
  <si>
    <t>Wl_mat</t>
  </si>
  <si>
    <t>Wl_thick</t>
  </si>
  <si>
    <t>Ws1_mat</t>
  </si>
  <si>
    <t>Ws1_thick</t>
  </si>
  <si>
    <t>Ws2_mat</t>
  </si>
  <si>
    <t>Ws2_thick</t>
  </si>
  <si>
    <t>Ww_t</t>
  </si>
  <si>
    <t>Clw</t>
  </si>
  <si>
    <t>Huw</t>
  </si>
  <si>
    <t>dw</t>
  </si>
  <si>
    <t>Aw_wall</t>
  </si>
  <si>
    <t>Wexposed</t>
  </si>
  <si>
    <t>Cl_mat</t>
  </si>
  <si>
    <t>Cl_thick</t>
  </si>
  <si>
    <t>Cs1_mat</t>
  </si>
  <si>
    <t>Cs1_thick</t>
  </si>
  <si>
    <t>Cs2_mat</t>
  </si>
  <si>
    <t>Cs2_thick</t>
  </si>
  <si>
    <t>Wc_t</t>
  </si>
  <si>
    <t>Clc</t>
  </si>
  <si>
    <t>Huc</t>
  </si>
  <si>
    <t>dc</t>
  </si>
  <si>
    <t>hc</t>
  </si>
  <si>
    <t>Aw_ceiling</t>
  </si>
  <si>
    <t>Cexposed</t>
  </si>
  <si>
    <t>Fl_mat</t>
  </si>
  <si>
    <t>Fl_thick</t>
  </si>
  <si>
    <t>Fs1_mat</t>
  </si>
  <si>
    <t>Fs1_thick</t>
  </si>
  <si>
    <t>Fs2_mat</t>
  </si>
  <si>
    <t>Fs2_thick</t>
  </si>
  <si>
    <t>Wf_t</t>
  </si>
  <si>
    <t>Clf</t>
  </si>
  <si>
    <t>Huf</t>
  </si>
  <si>
    <t>df</t>
  </si>
  <si>
    <t>Aw_floor</t>
  </si>
  <si>
    <t>Fexposed</t>
  </si>
  <si>
    <t>Nb</t>
  </si>
  <si>
    <t>Wb_t</t>
  </si>
  <si>
    <t>Clb</t>
  </si>
  <si>
    <t>Hub</t>
  </si>
  <si>
    <t>db</t>
  </si>
  <si>
    <t>lb_tot</t>
  </si>
  <si>
    <t>wb</t>
  </si>
  <si>
    <t>hb</t>
  </si>
  <si>
    <t>hb_exposed</t>
  </si>
  <si>
    <t>Bface_exposed</t>
  </si>
  <si>
    <t>Bexposed</t>
  </si>
  <si>
    <t>Nco</t>
  </si>
  <si>
    <t>Wco_t</t>
  </si>
  <si>
    <t>Clco</t>
  </si>
  <si>
    <t>Huco</t>
  </si>
  <si>
    <t>dco</t>
  </si>
  <si>
    <t>lco_tot</t>
  </si>
  <si>
    <t>wco</t>
  </si>
  <si>
    <t>hco</t>
  </si>
  <si>
    <t>hco_exposed</t>
  </si>
  <si>
    <t>Coface_exposed</t>
  </si>
  <si>
    <t>Coexposed</t>
  </si>
  <si>
    <t>Nv</t>
  </si>
  <si>
    <t>wv1</t>
  </si>
  <si>
    <t>hv1</t>
  </si>
  <si>
    <t>sv1</t>
  </si>
  <si>
    <t>o_hv1</t>
  </si>
  <si>
    <t>Av1</t>
  </si>
  <si>
    <t>Nv1</t>
  </si>
  <si>
    <t>dv1</t>
  </si>
  <si>
    <t>Fv1</t>
  </si>
  <si>
    <t>wv2</t>
  </si>
  <si>
    <t>hv2</t>
  </si>
  <si>
    <t>sv2</t>
  </si>
  <si>
    <t>o_hv2</t>
  </si>
  <si>
    <t>Av2</t>
  </si>
  <si>
    <t>Nv2</t>
  </si>
  <si>
    <t>dv2</t>
  </si>
  <si>
    <t>Fv2</t>
  </si>
  <si>
    <t>wv3</t>
  </si>
  <si>
    <t>hv3</t>
  </si>
  <si>
    <t>sv3</t>
  </si>
  <si>
    <t>o_hv3</t>
  </si>
  <si>
    <t>Av3</t>
  </si>
  <si>
    <t>Nv3</t>
  </si>
  <si>
    <t>dv3</t>
  </si>
  <si>
    <t>Fv3</t>
  </si>
  <si>
    <t>wv4</t>
  </si>
  <si>
    <t>hv4</t>
  </si>
  <si>
    <t>sv4</t>
  </si>
  <si>
    <t>o_hv4</t>
  </si>
  <si>
    <t>Av4</t>
  </si>
  <si>
    <t>Nv4</t>
  </si>
  <si>
    <t>dv4</t>
  </si>
  <si>
    <t>Fv4</t>
  </si>
  <si>
    <t>wv5</t>
  </si>
  <si>
    <t>hv5</t>
  </si>
  <si>
    <t>sv5</t>
  </si>
  <si>
    <t>o_hv5</t>
  </si>
  <si>
    <t>Av5</t>
  </si>
  <si>
    <t>Nv5</t>
  </si>
  <si>
    <t>dv5</t>
  </si>
  <si>
    <t>Fv5</t>
  </si>
  <si>
    <t>wv6</t>
  </si>
  <si>
    <t>hv6</t>
  </si>
  <si>
    <t>sv6</t>
  </si>
  <si>
    <t>o_hv6</t>
  </si>
  <si>
    <t>Av6</t>
  </si>
  <si>
    <t>Nv6</t>
  </si>
  <si>
    <t>dv6</t>
  </si>
  <si>
    <t>Fv6</t>
  </si>
  <si>
    <t>wv7</t>
  </si>
  <si>
    <t>hv7</t>
  </si>
  <si>
    <t>sv7</t>
  </si>
  <si>
    <t>o_hv7</t>
  </si>
  <si>
    <t>Av7</t>
  </si>
  <si>
    <t>Nv7</t>
  </si>
  <si>
    <t>dv7</t>
  </si>
  <si>
    <t>Fv7</t>
  </si>
  <si>
    <t>wv8</t>
  </si>
  <si>
    <t>hv8</t>
  </si>
  <si>
    <t>sv8</t>
  </si>
  <si>
    <t>o_hv8</t>
  </si>
  <si>
    <t>Av8</t>
  </si>
  <si>
    <t>Nv8</t>
  </si>
  <si>
    <t>dv8</t>
  </si>
  <si>
    <t>Fv8</t>
  </si>
  <si>
    <t>wv9</t>
  </si>
  <si>
    <t>hv9</t>
  </si>
  <si>
    <t>sv9</t>
  </si>
  <si>
    <t>o_hv9</t>
  </si>
  <si>
    <t>Av9</t>
  </si>
  <si>
    <t>Nv9</t>
  </si>
  <si>
    <t>dv9</t>
  </si>
  <si>
    <t>Fv9</t>
  </si>
  <si>
    <t>wv10</t>
  </si>
  <si>
    <t>hv10</t>
  </si>
  <si>
    <t>sv10</t>
  </si>
  <si>
    <t>o_hv10</t>
  </si>
  <si>
    <t>Av10</t>
  </si>
  <si>
    <t>Nv10</t>
  </si>
  <si>
    <t>dv10</t>
  </si>
  <si>
    <t>Fv10</t>
  </si>
  <si>
    <t>wv11</t>
  </si>
  <si>
    <t>hv11</t>
  </si>
  <si>
    <t>sv11</t>
  </si>
  <si>
    <t>o_hv11</t>
  </si>
  <si>
    <t>Av11</t>
  </si>
  <si>
    <t>Nv11</t>
  </si>
  <si>
    <t>dv11</t>
  </si>
  <si>
    <t>Fv11</t>
  </si>
  <si>
    <t>[""]</t>
  </si>
  <si>
    <t>[]</t>
  </si>
  <si>
    <t>[MJ/m²]</t>
  </si>
  <si>
    <t>[MJ/kg]</t>
  </si>
  <si>
    <t>[m²]</t>
  </si>
  <si>
    <t>%</t>
  </si>
  <si>
    <t>[mn]</t>
  </si>
  <si>
    <t>[Y/N]</t>
  </si>
  <si>
    <t>[m]</t>
  </si>
  <si>
    <r>
      <t>[m</t>
    </r>
    <r>
      <rPr>
        <vertAlign val="superscript"/>
        <sz val="11"/>
        <color theme="1"/>
        <rFont val="Calibri"/>
        <family val="2"/>
        <scheme val="minor"/>
      </rPr>
      <t>1/</t>
    </r>
    <r>
      <rPr>
        <sz val="11"/>
        <color theme="1"/>
        <rFont val="Calibri"/>
        <family val="2"/>
        <scheme val="minor"/>
      </rPr>
      <t>²]</t>
    </r>
  </si>
  <si>
    <t>[MW]</t>
  </si>
  <si>
    <t>[kW/m²]</t>
  </si>
  <si>
    <t>[s]</t>
  </si>
  <si>
    <t>[path]</t>
  </si>
  <si>
    <t>[°C]</t>
  </si>
  <si>
    <t>[min]</t>
  </si>
  <si>
    <t>[min; min; min]</t>
  </si>
  <si>
    <t>[mm]</t>
  </si>
  <si>
    <t>[mm/min]</t>
  </si>
  <si>
    <t>[m, m, m]</t>
  </si>
  <si>
    <t>[sec]</t>
  </si>
  <si>
    <t>[Pa]</t>
  </si>
  <si>
    <t>[m/s]</t>
  </si>
  <si>
    <t>[°]</t>
  </si>
  <si>
    <t>[mm.]</t>
  </si>
  <si>
    <t>[kg/m3]</t>
  </si>
  <si>
    <t>Institution</t>
  </si>
  <si>
    <t>Autor</t>
  </si>
  <si>
    <t>Test N°</t>
  </si>
  <si>
    <t>Reference</t>
  </si>
  <si>
    <t>Fire density</t>
  </si>
  <si>
    <t>Ignition Fuel (fuel type)</t>
  </si>
  <si>
    <t>Fuel heat of combustion</t>
  </si>
  <si>
    <t>Floor Area</t>
  </si>
  <si>
    <t>Comp Area
(wall+Ceiling+floor)</t>
  </si>
  <si>
    <t>W- Wall(a) 
C- Ceiling
B- Beam
Co - Column</t>
  </si>
  <si>
    <t>Exposed Surface / wall surface</t>
  </si>
  <si>
    <t>Exposed Surface / wall surface - openings</t>
  </si>
  <si>
    <t>Exposed Surface / floor surface</t>
  </si>
  <si>
    <t>%of Wall Exposed</t>
  </si>
  <si>
    <t>% of Ceiling Exposed</t>
  </si>
  <si>
    <t>%of Floor Exposed</t>
  </si>
  <si>
    <t>%of Beam Exposed</t>
  </si>
  <si>
    <t>%of Column exposed</t>
  </si>
  <si>
    <t>time @ sprinkler activation</t>
  </si>
  <si>
    <t>opening closed at begining</t>
  </si>
  <si>
    <t>Opening Height</t>
  </si>
  <si>
    <t>Opening Area</t>
  </si>
  <si>
    <t>Opening factor</t>
  </si>
  <si>
    <t>Peak HRR Total</t>
  </si>
  <si>
    <t>Peak HRR Fuel</t>
  </si>
  <si>
    <t>Peak HRR Timber</t>
  </si>
  <si>
    <t>HRRPUA Fuel</t>
  </si>
  <si>
    <t>Fire growth rate (time to reach 1MW)</t>
  </si>
  <si>
    <t>HRR Fuel  [s,MW]</t>
  </si>
  <si>
    <t>HRR Timber [s,MW]</t>
  </si>
  <si>
    <t>Travelling fire: number of fires</t>
  </si>
  <si>
    <t>mass loss</t>
  </si>
  <si>
    <t>Peak Room Temperature</t>
  </si>
  <si>
    <t>Duration of fire experiment</t>
  </si>
  <si>
    <t>Fire Brigade travel time</t>
  </si>
  <si>
    <t>time @ GB Fall off: Loc (Layer1, 2, 3)</t>
  </si>
  <si>
    <t>time @ Wall GB Fall off</t>
  </si>
  <si>
    <t>time @ ceiling GB Fall off</t>
  </si>
  <si>
    <t>time @ delamination</t>
  </si>
  <si>
    <t>Auto-Extinction</t>
  </si>
  <si>
    <t>time @ mesure</t>
  </si>
  <si>
    <t>Mean</t>
  </si>
  <si>
    <t>Min</t>
  </si>
  <si>
    <t>Max</t>
  </si>
  <si>
    <t>Average</t>
  </si>
  <si>
    <t>Length</t>
  </si>
  <si>
    <t>Width</t>
  </si>
  <si>
    <t>Height</t>
  </si>
  <si>
    <t>Origin</t>
  </si>
  <si>
    <t>Time step</t>
  </si>
  <si>
    <t>Error 
Control</t>
  </si>
  <si>
    <t>Vent flow error control</t>
  </si>
  <si>
    <t>Excel Output interval</t>
  </si>
  <si>
    <t>Specific condition for calculation</t>
  </si>
  <si>
    <t>altitude</t>
  </si>
  <si>
    <t>atmospheric
Pressure</t>
  </si>
  <si>
    <t>wind velocity</t>
  </si>
  <si>
    <t>wind direction</t>
  </si>
  <si>
    <t>relative humidity</t>
  </si>
  <si>
    <t>ambient
Temp.</t>
  </si>
  <si>
    <t>Exposed Wood Surface</t>
  </si>
  <si>
    <t>Lining materials</t>
  </si>
  <si>
    <t>Lining thickness</t>
  </si>
  <si>
    <t>Substrate 
#1 
material</t>
  </si>
  <si>
    <t>Substrate #1 thickness</t>
  </si>
  <si>
    <t>Substrate 
#2 
material</t>
  </si>
  <si>
    <t>Substrate #2 thickness</t>
  </si>
  <si>
    <t>Wood Type</t>
  </si>
  <si>
    <t>Wood Class</t>
  </si>
  <si>
    <t>Humidity</t>
  </si>
  <si>
    <t>Density</t>
  </si>
  <si>
    <t>Surface</t>
  </si>
  <si>
    <t>Exposed wood surface</t>
  </si>
  <si>
    <t>Heat of combustion</t>
  </si>
  <si>
    <t>Exposed wood</t>
  </si>
  <si>
    <t xml:space="preserve">Number </t>
  </si>
  <si>
    <t>total length</t>
  </si>
  <si>
    <t>width</t>
  </si>
  <si>
    <t>height</t>
  </si>
  <si>
    <t>Exposed height</t>
  </si>
  <si>
    <t>Number of exposed face</t>
  </si>
  <si>
    <t>Number of wall vents</t>
  </si>
  <si>
    <t>sill</t>
  </si>
  <si>
    <t>horizontal Offset in wall</t>
  </si>
  <si>
    <t>rough opening surface</t>
  </si>
  <si>
    <t>Number of repeated vents</t>
  </si>
  <si>
    <t>Distance between repeated vents</t>
  </si>
  <si>
    <t>Face location</t>
  </si>
  <si>
    <t>Carlton 
University</t>
  </si>
  <si>
    <t>McGregor
2013</t>
  </si>
  <si>
    <t>Propane</t>
  </si>
  <si>
    <t>N</t>
  </si>
  <si>
    <t>240823 HRR_Experiments.xlsx</t>
  </si>
  <si>
    <t>C2(31,41) W(31?,60?)</t>
  </si>
  <si>
    <t>105; 115</t>
  </si>
  <si>
    <t>From the results of the tests that were conducted, the following conclusions could be drawn: 1. In protected room tests using furniture as the fuel, the fires self-extinguished when all combustibles were consumed and the CLT panels remained unaffected by the fire with no noticeable contribution to the growth, duration or intensity of the fire was observed. 2. In the protected room tests with propane as the fuel, once gypsum board protection began to fail, CLT panels contributed to the fire, increasing the energy release and production of smoke. 3. Increased fire growth rates were observed in rooms where CLT panels were unprotected, which reduced time to flashover. 4. Sprinklers can provide protection against fire growth for construction using CLT panels as sprinkler activation is expected to occur before significant fire growth and fire involvement o f exposed CLT panels. Sprinklers are recommended where exposed CLT panels are used. 5. Increased rates of energy release were observed where CLT panels were unprotected, approximately twofold in these tests. 6. Where charring caused delamination o f the CLT panels, energy release rates increased extending the duration of the room fire. This indicates that the CLT panels can contribute significantly to the fire load in a room and delamination could eventually lead to structural failure
156 7. Delamination o f the CLT panels provides fuel to the fire as it uncovers unbumt wood, which could lead to room flashover. Delamination occurred following failure o f the gypsum boards in the protected room with propane fire test as a result of extensive charring over a long period which the room temperature remained above 400°C. This caused the room to flashover for a second time. 8. The peak heat release rate in the unprotected room fire with furniture reached values that were considerably higher than the ventilation controlled peak indicating that combustion was taking place outside the room. 9. This research highlights fire hazards associated with construction using CLT panels in situations where no active fire protection is provided and over extended periods without response. In reality, for mid-rise applications that are the target for this research, the NBCC already includes active fire protection requirements that should prevent any contribution from CLT panels to the growth, duration and intensity o f room fires.</t>
  </si>
  <si>
    <t>GYP1/2</t>
  </si>
  <si>
    <t>CLT</t>
  </si>
  <si>
    <t>X-Lam (105-s3),</t>
  </si>
  <si>
    <t>SPF 1950Fb MSR 35 x 89 mm members</t>
  </si>
  <si>
    <t>fibre cement sheet</t>
  </si>
  <si>
    <t>incl. in FL</t>
  </si>
  <si>
    <t>Front</t>
  </si>
  <si>
    <t>Residential fuel load</t>
  </si>
  <si>
    <t>Y</t>
  </si>
  <si>
    <t>HARDWOOD</t>
  </si>
  <si>
    <t>Wco;C;Fl</t>
  </si>
  <si>
    <t>Fl</t>
  </si>
  <si>
    <t>Medina
2014</t>
  </si>
  <si>
    <t>Wc</t>
  </si>
  <si>
    <t>C(75,87)</t>
  </si>
  <si>
    <t>Many of these objectives were addressed after observations made during the three partially protected room fire tests and analysing the data output afterwards. The following conclusions were drawn from these tests. 1. All three room test had the same dimensions, ventilation opening factor, room content and were subjected to a non-standard fire. 2. The heat release rate during the tests with two walls exposed was much greater than the heat release rate of the test with only one wall exposed.3. The maximum HRR of Test 2 with unprotected walls facing each other was greater (6.3 MW) than the HRR of Test 1 (4.8 MW) in which the unprotected walls were adjacent to each other. Perhaps the greater radiation between walls in Test 2 due to a higher configuration or view factor led to higher burning rates. 4. Room temperatures during the early stages of the fire for all three tests were similar as only the room contents were involved in the fire. After flashover, the temperatures in the rooms with multiple unprotected walls decreased at a slower rate than the room with only one unprotected wall. 5. After an early integrity failure during Test 2, it was concluded that the use of fire rated caulking to seal lap joints connecting walls as well as any other CLT panel to panel connection is necessary. The lack of use of a sealant will allow hot gases to escape the fire room which could lead to flaming outside the room. 6. Premature delamination of CLT plies occurred in the first two tests with 2 walls unprotected. The first exposed CLT ply did not char fully before the adhesive failed, exposing the underneath ply and adding new fuel to the fire. Delamination of the plies was the reason for the second flashover during Test 1 and 2. Test 3 with only one wall exposed did not delaminate. 7. The CLT panels used for the construction of the third room were produced by a different manufacturer than the one which produced the CLT for Test 1 and 2. These panels had wider plies with more adhesive per ply which may have contributed to full ply charring without delamination.8. The charring rate of the unprotected walls was higher for Test 1 and 2 where the heat release rate was greater. The charring rate decreased linearly in all three tests as the thickness of the char layer developed. 9. Test 3 self-extinguished after all the contents in the room had been consumed with no major involvement of the CLT unprotected wall in the fire. The heat release rate and temperature in Test 1 decreased rapidly after the room contents were consumed but the fire re-ignited causing a second flashover due to burning of the second layer because of premature ply delamination. Tests 1 and 2 were manually put out by firefighters after the fire did not self-extinguish. 10. Test 3, with only the right wall unprotected, self-extinguish and performed similarly to the fully protected room test conducted by McGregor. 11. The results of the developed numerical model show that the model can accurately predict the structural failure of CLT walls when subjected to the standard timetemperature test. Overall the partially protected CLT room tests demonstrated that a certain percentage of the room interior surface area can be left unprotected without increasing the risk of fire spread or increased fire intensity. The study demonstrated that for a 4.5 x 3.5 x 2.5 m room with a door opening of 2.0 x 1.0 m with one wall unprotected accounting for 29.7 % of total room wall area performed similarly to a fully protected room and resulted in self-extinguishment after the room contents were consumed. Given the results from the room tests, the construction limitations on Cross Laminated Timber should be addressed. The walls and ceiling exceeded the required fire resistance rating of 1 hour for a building of a maximum of 6 storeys. Provided the walls and ceiling are properly ealed and protected with gypsum boards, CLT panels can be used in the construction of much taller buildings. The use of sprinklers is recommended as it ensures that fires will be suppressed with no fire department intervention. The premature delamination of plies is could be problematic but this should not be a concern if sprinklers are installed.</t>
  </si>
  <si>
    <t>Gypsum Board, Type X (5/8 in)</t>
  </si>
  <si>
    <t>105 mm thick 3-ply CLT</t>
  </si>
  <si>
    <t>pruce-Pine-Fir (S-P-F) 1950Fb MSR 35x89 mm members</t>
  </si>
  <si>
    <t>Wo</t>
  </si>
  <si>
    <t>W(31,Nof) C(27,45)</t>
  </si>
  <si>
    <t>W</t>
  </si>
  <si>
    <t>C(31,?)</t>
  </si>
  <si>
    <t>Structurlam Innovative Wood Specialists
The panels were classified as V2 by the manufacturer which corresponds to a No. 1/No. 2 S-P-F lumber for the plies with grades parallel to the load (outer layers) and No. 3 S-P-F lumber for the plies with grades perpendicular to the load (inner layer).</t>
  </si>
  <si>
    <t>NRCC&amp;NIST</t>
  </si>
  <si>
    <t>Su &amp; Al
2018a</t>
  </si>
  <si>
    <t xml:space="preserve">W(34-44,Nfo,Nfo) </t>
  </si>
  <si>
    <t>Test 1-1 and Test 1-2, with fully protected CLT compartments, defined the contribution of the movable fire load to the compartment fires and provided baselines to quantify the CLT contribution to the compartment fires in the tests involving various amounts of exposed CLT surfaces. Fully protecting the CLT compartments using gypsum board as the physical barrier was an effective means to delay and/or prevent the ignition and involvement of the timber structural elements in the fires, limiting and/or eliminating their contribution to the fires. In baseline Test 1-1, the three-layer gypsum board system completely prevented the ignition and involvement of the CLT structural elements in the fire and performed as well as non-combustible structural systems. In baseline Test 1-2, the two-layer gypsum board system successfully protected the CLT structure and limited the impact of the fire on the CLT structure with only surface char (less than 15 mm) in the rear section of the ceiling but no contribution to the compartment fire
Ventilation conditions had significant impacts on the fire development in the compartments. In baseline Test 1-2, the larger ventilation opening accelerated combustion of the room contents, which intensified the exterior exposure, while shortening the intense burning duration. The peak temperatures and the heat fluxes inside the fire compartments were similar in both baseline tests but the fire decayed earlier in Test 1-2 with the larger opening. The heat release rate was higher but more intense burning occurred outside the fire compartment in Test 1-2 with the larger opening. The larger opening increased exterior fire exposure, which would have implications on the exterior façade and adjacent buildings. The smaller opening, as used in Test 1-1, delayed the onset of the decay phase, thereby extending the duration of the fullydeveloped phase
Partially exposed CLT structure in Test 1-3, Test 1-4, Test 1-5 and Test 1-6 contributed to compartment fires to an extent depending on the area and orientation of exposed CLT surface and ventilation conditions. Note that Test 1-3 was terminated at 242 min (over 4 h), later than Test 1-4, Test 1-5 and Test 1-6. The impact of the ventilation opening size on CLT contribution to the compartment fires was clearly demonstrated by Test 1-3 and Test 1-5 with the same long wall exposed (W1 wall). The peak temperatures in the compartments were similar in both tests. However, the heat release rate and exterior heat fluxes were higher, and the fire exhibited a general trend of decay in Test 1-3 with the larger ventilation opening although there were two small transient increases due to the delamination of two plies of CLT from the exposed wall. In Test 1-5, with the smaller ventilation opening, more heat was trapped inside the compartment and, after the initial decay, a large re-flash occurred on the exposed wall with delamination of the second ply of the CLT, which caused the second flashover and induced the full involvement of the ceiling and all other walls in the fire. Over the full test duration, the volume (depth x area of the CLT charred in Test 1-5 with the smaller opening, was approximately 3.6 times of that in Test 1-3 with the larger opening although Test 1-5 was terminated 40 min earlier than Test 1-3
In all the tests with the exposed CLT surface, flashover occurred earlier than in the baseline. The exposed CLT panels translated to more fuel loads in addition to the movable fuel load (room contents) in the compartment. The peak compartment temperatures were similar to the baseline. However, the heat release rates and heat fluxes to the exterior façade were higher than the baseline. Other than Test 1-3, which had the larger opening and exhibited a general trend of decay, all tests with exposed CLT surface either had a second flashover due to the re-flash on the exposed surface or an intense fire continuously without any decay period.
The CLT panels used in this series of the compartment tests were manufactured using 2 x 4 SPF lumber glued with a polyurethane adhesive (with a brand name of HBE). The delamination of unprotected (exposed) CLT panels led to re-flare and/or re growth of the fire after a period of decay in Test 1-3, Test 1-4 and Test 1-5 and no decay of the fire in Test 1-6
During Test 1-3, Test 1-5 and Test 1-6, the heat flux measured at 2.4 m and 4.8 m away from the rough opening reached 60 kW/m2 and 25 kW/m2, respectively. During Test 1-3, a video camera positioned at 9 m away from the opening was damaged due to its polycarbonate casing melting. Based on the configuration factor, the heat flux would be 9 kW/m2 at the camera location (9 m away). To support the fire service request for a large opening factor, a stand-off distance should be at least 12 m away from the rough opening for staging firefighting as the heat flux would be attenuated to 5 kW/m2 at 12 m away from the openin
Although the CLT compartment fire tests were conducted without sprinklers, simulated thermal elements (STE) donated by FM Global were used in the tests to predict the time temperature response of a quick-response sprinkler element. In all the tests, the STEs reached 68 °C (a typical temperature rating for residential sprinklers) in between 1.2 min and 5.8 min while the fires were still limited to the first item ignited (the console table). Had sprinklers been installed in the tests, flashover would not have occurred with effective sprinkler operations. Recent fire tests, conducted in support of code development efforts of the International Code Council’s Ad Hoc Committee on Tall Wood Buildings by US Department of Agriculture’s Forest Products Laboratory at the Bureau of Alcohol, Tobacco, Firearms, and Explosives Fire Test Laboratory collected additional data on the effectiveness of sprinklers in controlling and suppressing fires in fully exposed CLT compartments</t>
  </si>
  <si>
    <t>CLT 5-ply 35mm</t>
  </si>
  <si>
    <t>ANSI/APA PRG 320, 2018 compliant</t>
  </si>
  <si>
    <t>Plywood 7 mm</t>
  </si>
  <si>
    <t>Rear</t>
  </si>
  <si>
    <t>C(36-40,Nfo)</t>
  </si>
  <si>
    <t>C(25-35, Nfo)</t>
  </si>
  <si>
    <t>90 ; 190</t>
  </si>
  <si>
    <t>C</t>
  </si>
  <si>
    <t>W(46-73,Nfo,Nfo)</t>
  </si>
  <si>
    <t>W(50-70,155-180,185-195) C(32-45,70-144,144-155)</t>
  </si>
  <si>
    <t>W;C</t>
  </si>
  <si>
    <t>W3(55-108,85-120,125) W4(77-120,93-120,125-130)</t>
  </si>
  <si>
    <t>NRCC_Room</t>
  </si>
  <si>
    <t>Su &amp; Al
2018b</t>
  </si>
  <si>
    <t>Cribs</t>
  </si>
  <si>
    <t>Five room fire tests were conducted, incorporating mass timber structural elements of beams, columns and second generation CLT panels. The goal of this test series is to further quantify the contribution of mass timber elements to fires and provide additional data for forming the technical basis for exposed mass timber elements in EMTC buildings without significantly increasing fire risks to life and property. The goal includes studying the fire performance of the 2nd generation CLT in resisting char layer fall-off, which could cause fire regrowth in the cooling phase of fully developed fires. The fire tests were conducted without sprinklers in order to achieve this goal. In general, this series of mass timber room fire tests utilized more challenging test conditions than the previous large scale CLT compartment fire tests conducted under the auspices of the Fire Protection Research Foundation (FPRF) [1]. In this series of mass timber room tests, 1. Greater surface area (as a % of total surface area) of exposed timber was used; 2. Less layers of encapsulation (noncombustible fire protection) were used to protect the CLT elements – two layers of 12.7 mm thick Type X gypsum board (instead of three layers of 15.9 mm thick Type X gypsum board); 3. The ventilation factor was the same as the FPRF smaller opening size resulting in a greater fire severity, leading to a more significant fire impact on the mass timber elements; and 4. The same fire load density was used. All tests in this series showed that the second generation CLT with the thermal resistant adhesive improved significantly in fire performance to resist the char layer fall-off. There was no char layer fall-off long after the char front had passed the glue bond line in this test series. The char rate decreased with the increasing char depth to the CLT as the char formed a thermal barrier to heat transfer. For the exposed (unprotected) CLT panels, the char rate was initially in a range of 0.6-1.0 mm/min and then decreased as the char front moved inward through the CLT. For the gypsum-board protected CLT panels, the char rate was less than 0.20 mm/min after the time when the CLT began to char behind the gypsum board. In all tests with exposed mass timber, the peak room temperatures were similar to the baseline (fully encapsulated) but the fully developed fire stages were longer than the baseline as the exposed timber added more fuel load to the rooms. In three of the tests (Tests 1 (baseline), 2 and 4), the fire eventually burned-out leading to self-extinguishment. The results of Test 2 and Test 4 indicate that, under the experimental conditions used in these tests, the current limits described in proposed NBCC (2020) Article 3.1.18.4 to permit some exposed mass timber in EMTC construction would be unlikely to increase the fire risks significantly to life and property. Table 14 lists different scenarios of exposed mass timber surface(s) to be permitted by the proposed Article 3.1.18.4; these scenarios have been demonstrated by Test 2 and Test 4 to be unlikely to cause a significant increase of fire risk. Scenarios 1, 2 and 3 for limits of exposed wall and/or ceiling surface(s) are demonstrated by Test 2. Scenarios 3, 4, 5 and 6 for limits of exposed beam-column-arch and/or ceiling surface(s) are demonstrated by Test 4. It is worthwhile to note that Test 4 used much more exposed mass timber surfaces than the proposed limits, yet the fire burned-out and self-extinguished; the Glulam char rate was in a range of 0.26 to 0.38 mm/min for each exposed side of the beam and column in four hours.
Fully exposed beams and columns, equal to 36% of the total perimeter wall area, were used in Test 3. The fire reached the decay phase. The Glulam char rate was in a range of 0.38 to 0.67 mm/min for each exposed side of the beams and columns in four hours. A fully exposed ceiling (100%) and two fully exposed opposing walls (35% perimeter wall area) were used in Test 5, which are in excess of the proposed limits for NBCC and the International Building Code. The room fire reached a fully developed phase, followed by a fire decay phase. During this decay phase, flaming combustion on the exposed CLT surfaces ceased at around 100 min as the char layer insulated the CLT. The char remained on the exposed CLT surfaces long after the char front had passed the first glue-bond line. Meanwhile, the CLT wall panels protected by gypsum board started to produce constant small flames coming through the gypsum board cracks and vertical junctions from 60 min to 220 min. These small flames started to re-ignite the bottom portion of the already-charred exposed opposing CLT walls at 220 min, which gradually moved upward to spread over the exposed CLT wall and ceiling surfaces in the room at 230 min. This series of five room scale fire tests provide new data for quantifying the contribution of mass timber elements to fires and for forming the technical basis for the allowance of some amount(s) of exposed mass timber in the EMTC buildings.</t>
  </si>
  <si>
    <t xml:space="preserve">CLT 5-ply 35mm spruce-pine-fir lumber </t>
  </si>
  <si>
    <t>C(95-135,Nfo) W(70-90,Nfo)</t>
  </si>
  <si>
    <t>B;Co</t>
  </si>
  <si>
    <t>C(86(125,Nfo)</t>
  </si>
  <si>
    <t>GLB</t>
  </si>
  <si>
    <t>3w</t>
  </si>
  <si>
    <t>C;B;Co</t>
  </si>
  <si>
    <t>Wo;C</t>
  </si>
  <si>
    <t>W(230-250)</t>
  </si>
  <si>
    <t>NRC Misc</t>
  </si>
  <si>
    <t>Su&amp;Muradori</t>
  </si>
  <si>
    <t>C(?,15.7) W(?, 60.9)</t>
  </si>
  <si>
    <t>A large-scale fire demonstration was conducted to observe and validate the fire safety
performance of a cross-laminated-timber stair/elevator shaft as an alternative solution to shaft of
noncombustible construction for the proposed 13-storey residential mass timber building project
– "Origine".
The large-scale demonstration setup represented a section of the proposed building, consisting
of a 9-meter high stair/elevator shaft and an adjacent apartment unit constructed using 175-mm
thick 5-ply CLT structural panels. The interior of the apartment was finished with gypsum board
according to the design of the proposed “Origine” project. No gypsum board was installed on the
outside of the apartment except for a limited area around the window and door openings. The
CLT stair/elevator shaft was completely exposed both inside and outside without any gypsum
lining.
The fire was started in the apartment furnished with bed, upholstered sofa and chairs, wooden
furniture and wood cribs. The fire load density of the room contents in the apartment was
790 MJ/m2, equivalent to the 95th percentile of a residential fire load. The fire demonstration was
conducted without sprinklers and simulated a worse-case scenario where sprinklers might fail to
operate or control the fire.
The first item ignited was the upholstered loveseat. Flashover occurred at 2 min 35 s. A highintensity
fast growing fire, which was more severe than the standard fire used in fire-resistance
tests, was developed in the apartment with the room contents. The CLT in the apartment ceiling
was impacted by the fire after 15 min and was fully involved in the fire after 30 min.
From 40 to 60 min, the fire reduced in intensity due to the char layer formed on the ceiling CLT
surface and also due to the room contents being partially consumed. At approximately 60 min,
many pieces of the charred first ply fell from the ceiling CLT panels and the second ply was
exposed to the fire. Vigorous burning occurred again on the ceiling. Starting from 75 min, the
contribution of the CLT ceiling panels to the fire gradually reduced. After 90 min, the fire in the
apartment continued to decay until the end of the demonstration. The fire was contained within
the room boundaries until the end of the demonstration. Shortly after 120 min, the fire was
extinguished using a water hose. This duration was chosen in advance by the parties involved
in planning the fire demonstration, considering that floor and loadbearing wall assemblies for
any building taller than six storeys are required by the NBCC to meet a 2-h fire resistance rating
although this fire demonstration was not a standard fire resistance test.
Figure 32 and Figure 33 show the inside and outside of the apartment and the stair/elevator
shaft after the fire demonstration.
Inside the apartment, the wall and ceiling panels were protected using gypsum board with and
without insulation. The encapsulation time for the CLT ceiling panels using a single layer of
16 mm thick Type X gypsum board and 90 mm thick fiberglass insulation installed using steel
furring and Z channel, was approximately 15 min. After this time, the ceiling CLT panels became
involved in the fire. Two surface plies of the CLT were charred and consumed during the
demonstration. However, the remaining plies of the CLT ceiling panels were not significantly
affected by the fire. As shown in Figure 32, the third ply of the CLT ceiling panels charred at
some locations, but remained mostly unaffected. There was no flame penetration through the A large-scale fire demonstration was conducted to observe and validate the fire safety
performance of a cross-laminated-timber stair/elevator shaft as an alternative solution to shaft of
noncombustible construction for the proposed 13-storey residential mass timber building project
– "Origine".
The large-scale demonstration setup represented a section of the proposed building, consisting
of a 9-meter high stair/elevator shaft and an adjacent apartment unit constructed using 175-mm
thick 5-ply CLT structural panels. The interior of the apartment was finished with gypsum board
according to the design of the proposed “Origine” project. No gypsum board was installed on the
outside of the apartment except for a limited area around the window and door openings. The
CLT stair/elevator shaft was completely exposed both inside and outside without any gypsum
lining.
The fire was started in the apartment furnished with bed, upholstered sofa and chairs, wooden
furniture and wood cribs. The fire load density of the room contents in the apartment was
790 MJ/m2, equivalent to the 95th percentile of a residential fire load. The fire demonstration was
conducted without sprinklers and simulated a worse-case scenario where sprinklers might fail to
operate or control the fire.
The first item ignited was the upholstered loveseat. Flashover occurred at 2 min 35 s. A highintensity
fast growing fire, which was more severe than the standard fire used in fire-resistance
tests, was developed in the apartment with the room contents. The CLT in the apartment ceiling
was impacted by the fire after 15 min and was fully involved in the fire after 30 min.
From 40 to 60 min, the fire reduced in intensity due to the char layer formed on the ceiling CLT
surface and also due to the room contents being partially consumed. At approximately 60 min,
many pieces of the charred first ply fell from the ceiling CLT panels and the second ply was
exposed to the fire. Vigorous burning occurred again on the ceiling. Starting from 75 min, the
contribution of the CLT ceiling panels to the fire gradually reduced. After 90 min, the fire in the
apartment continued to decay until the end of the demonstration. The fire was contained within
the room boundaries until the end of the demonstration. Shortly after 120 min, the fire was
extinguished using a water hose. This duration was chosen in advance by the parties involved
in planning the fire demonstration, considering that floor and loadbearing wall assemblies for
any building taller than six storeys are required by the NBCC to meet a 2-h fire resistance rating
although this fire demonstration was not a standard fire resistance test.
Figure 32 and Figure 33 show the inside and outside of the apartment and the stair/elevator
shaft after the fire demonstration.
Inside the apartment, the wall and ceiling panels were protected using gypsum board with and
without insulation. The encapsulation time for the CLT ceiling panels using a single layer of
16 mm thick Type X gypsum board and 90 mm thick fiberglass insulation installed using steel
furring and Z channel, was approximately 15 min. After this time, the ceiling CLT panels became
involved in the fire. Two surface plies of the CLT were charred and consumed during the
demonstration. However, the remaining plies of the CLT ceiling panels were not significantly
affected by the fire. As shown in Figure 32, the third ply of the CLT ceiling panels charred at
some locations, but remained mostly unaffected. There was no flame penetration through theA large-scale fire demonstration was conducted to observe and validate the fire safety
performance of a cross-laminated-timber stair/elevator shaft as an alternative solution to shaft of
noncombustible construction for the proposed 13-storey residential mass timber building project
– "Origine".
The large-scale demonstration setup represented a section of the proposed building, consisting
of a 9-meter high stair/elevator shaft and an adjacent apartment unit constructed using 175-mm
thick 5-ply CLT structural panels. The interior of the apartment was finished with gypsum board
according to the design of the proposed “Origine” project. No gypsum board was installed on the
outside of the apartment except for a limited area around the window and door openings. The
CLT stair/elevator shaft was completely exposed both inside and outside without any gypsum
lining.
The fire was started in the apartment furnished with bed, upholstered sofa and chairs, wooden
furniture and wood cribs. The fire load density of the room contents in the apartment was
790 MJ/m2, equivalent to the 95th percentile of a residential fire load. The fire demonstration was
conducted without sprinklers and simulated a worse-case scenario where sprinklers might fail to
operate or control the fire.
The first item ignited was the upholstered loveseat. Flashover occurred at 2 min 35 s. A highintensity
fast growing fire, which was more severe than the standard fire used in fire-resistance
tests, was developed in the apartment with the room contents. The CLT in the apartment ceiling
was impacted by the fire after 15 min and was fully involved in the fire after 30 min.
From 40 to 60 min, the fire reduced in intensity due to the char layer formed on the ceiling CLT
surface and also due to the room contents being partially consumed. At approximately 60 min,
many pieces of the charred first ply fell from the ceiling CLT panels and the second ply was
exposed to the fire. Vigorous burning occurred again on the ceiling. Starting from 75 min, the
contribution of the CLT ceiling panels to the fire gradually reduced. After 90 min, the fire in the
apartment continued to decay until the end of the demonstration. The fire was contained within
the room boundaries until the end of the demonstration. Shortly after 120 min, the fire was
extinguished using a water hose. This duration was chosen in advance by the parties involved
in planning the fire demonstration, considering that floor and loadbearing wall assemblies for
any building taller than six storeys are required by the NBCC to meet a 2-h fire resistance rating
although this fire demonstration was not a standard fire resistance test.
Figure 32 and Figure 33 show the inside and outside of the apartment and the stair/elevator
shaft after the fire demonstration.
Inside the apartment, the wall and ceiling panels were protected using gypsum board with and
without insulation. The encapsulation time for the CLT ceiling panels using a single layer of
16 mm thick Type X gypsum board and 90 mm thick fiberglass insulation installed using steel
furring and Z channel, was approximately 15 min. After this time, the ceiling CLT panels became
involved in the fire. Two surface plies of the CLT were charred and consumed during the
demonstration. However, the remaining plies of the CLT ceiling panels were not significantly
affected by the fire. As shown in Figure 32, the third ply of the CLT ceiling panels charred at
some locations, but remained mostly unaffected. There was no flame penetration through the CLT ceiling panels during the demonstration. The temperatures measured on the outside of the
ceiling assembly increased by less than 46°C above the ambient temperature.
For the CLT wall panels protected using two layers of 16 mm thick Type X gypsum board, the
encapsulation time was approximately 60 min. Subsequently, the CLT interior surface
developed char. However, there was no flaming combustion in the CLT wall assemblies with the
double layers of the gypsum board remaining on the walls until the end of the demonstration.
Only the surface ply of the CLT wall panels was charred inside the apartment. The temperatures
measured on the outside of the CLT walls increased by less than 4ºC during the demonstration.
The shared wall between the apartment and the stair/elevator shaft was protected on the
apartment side using two layers of 16 mm thick Type X gypsum board, a steel stud frame wall
filled with rigid mineral wool fibre insulation and a layer of 13 mm thick regular gypsum board.
The temperature rise values measured by the nine thermocouples located on the face layer of
the 16 mm thick Type X gypsum board behind the insulated steel stud wall reached 270°C at a
single point at 22.2 min, and the average temperature rise value reached 250°C on average at
30.5 min, indicating that the insulated steel stud wall provided extra 22-30 min protection for the
CLT panels.
The average temperature rise measured by the nine thermocouples at the CLT surface on the
apartment side of the CLT panels was less than 210°C at the end of the demonstration, well
below the 250°C average temperature rise criterion. Only a quarter of the wall surface in the
apartment (upper left quarter) experienced higher temperature rises. Based on the single point
temperature rise of 270°C, the encapsulation time for this quarter was more than 90 min. The
CLT interfacial temperatures in the upper left quarter reached 300C at 95 min or later but
remained below 400C with the two layers of the gypsum board staying on the CLT until the end
of the demonstration. There was less than 5 mm deep char developed on the CLT surface in the
upper left quarter. The other three quarters of the CLT panels in this wall remained at 100-
130°C till end of the demonstration and had no charring on the CLT surface. The impact of the
fire on the CLT shaft wall was very limited even on the fire side.
The stair/elevator shaft was pressurized to 12 Pa above ambient. Measurements show that no
smoke or heat was transferred into the stair/elevator shaft. The temperatures measured on the
shaft side of the shared CLT wall had no temperature increase during the demonstration. There
was no sign of any impact of fire or smoke on the safety conditions in the stair/elevator shaft.</t>
  </si>
  <si>
    <t>GlassFibre 1</t>
  </si>
  <si>
    <t>concrete</t>
  </si>
  <si>
    <t>Su&amp;Lougheed</t>
  </si>
  <si>
    <t>NRCC_Encaps_LWF1</t>
  </si>
  <si>
    <t>-</t>
  </si>
  <si>
    <t>'</t>
  </si>
  <si>
    <t>The fire research activities conducted under the mid-rise research project investigated the
encapsulation approach to protect the combustible structural elements to develop information to
be used as the basis for alternative/acceptable solutions to meet the NBC fire safety
requirements for mid-rise buildings (5- and 6-storey) using wood structural elements. Bench-,
intermediate- and large-scale apartment fire experiments were conducted to evaluate the
encapsulation approach. The experimental results have demonstrated the effectiveness of the
encapsulation approach in delaying the time at which the wood structural elements are affected
by and eventually contribute to the growth and spread of fire, if at all.
The LWF test structures performed at least as well as the LSF structure (a code-conforming
solution) in limiting the involvement of the structural materials in the fire. None of the LWF floor
assemblies below the fire floor or the loadbearing wall assemblies were affected by, or
contributed to, the fire during the tests. The wood structural elements in the ceiling/floor
assembly above the fire floor did not contribute to the growth and spread of the fire until after 45
min in the Apt LWF1 test and 35 min in the Apt LWF2 test. This was well after the failure of the
encapsulation system that protected the steel structural elements in the ceiling/floor assembly in
the LSF test. It was also after the time at which the exterior wall assembly was breached in the
LSF test, resulting in a rapid increase in the fire size in the LSF apartment with the increased
ventilation to the fire.
The LWF apartment test results suggest that encapsulation should be addressed using a
system approach, ensuring the junctions between the assemblies do not become the weak
points for fire penetration. This system approach should also apply to lightweight steel systems.
The CLT apartment fire test lasted for nearly 3 hours. After approximately 40 min when the
furniture and room contents in the test apartment had been consumed, there was a continuous
decay of the fire. As such, the compartmentation provided by the CLT structural assemblies
allowed complete burn out of the apartment contents.
None of the CLT panels contributed to fire growth or spread until after 175 min. After 170 min,
visible flames were observed on the CLT panels along the centerline of the living room. The
flames soon spread to the entire ceiling. The CLT test structure performed better than the LSF
structure in limiting the involvement of the structural materials in fire and in limiting the
contribution of the structural materials to the growth and spread of fire.
The encapsulation times determined using the intermediate-scale furnace tests provided
reasonable representation of the encapsulation times determined based on full-scale furnace
and large-scale apartment tests. Therefore, the intermediate-scale tests can be used as a tool
for screening the performance of encapsulation materials.
The research developed generic wood-based exterior wall assemblies with the wood elements
and insulation material protected using noncombustible or low-combustible materials and/or fire
retardant panels to limit exterior fire spread. The CAN/ULC-S134 tests conducted for this project
demonstrated that a range of generic exterior wall systems can be constructed using LWF and
CLT structural elements that meet the NBC requirements of limiting fire spread on the exterior
surface (Sentences 3.1.5.5.(3) and 3.1.5.5.(4) in Division B of the 2010 NBC). The generic
wood-based exterior wall assemblies also met the building envelope performance required by
the NBC.
The research developed six generic staggered-stud wall assemblies for high structural load
applications in mid-rise (5-6 storeys) wood buildings, with the fire endurance periods of 75–
98 min. These wall assemblies meet the NBC requirements for fire resistance and acoustic
ratings for mid-rise buildings.</t>
  </si>
  <si>
    <t>NRCC_Encaps_CLT</t>
  </si>
  <si>
    <t>NRCC_Encaps_LSF</t>
  </si>
  <si>
    <t>NRCC_Encaps_LWF2</t>
  </si>
  <si>
    <t>Edinburgh 
University</t>
  </si>
  <si>
    <t>Hadden &amp; Al
2017</t>
  </si>
  <si>
    <t>Wc (Alpha 1)</t>
  </si>
  <si>
    <t>The above analysis highlights several important issues relevant to understanding the compartment fire dynamics of compartments with exposed cross laminated timber linings. The primary conclusion is that auto-extinction has been observed in compartments with two surfaces of exposed timber. This is, however, shown to be dependent on the char layer remaining attached i.e. ‘delamination’ or fall-off does not occur, during the combustion of the compartment fuel load or during the decay period. For compartment configurations with three exposed timber surfaces, auto-extinction was not observed. This is attributed to the heat transfer between the exposed timber surfaces preventing the critical heat flux for extinction being reached. The measured peak compartment temperatures were not substantially different from those predicted by existing correlations suggesting that exposed timber surfaces have only a small influence on the compartment temperature. The total heat release rate was, however, found to be higher than predicted using existing methodologies developed for compartments with inert linings and fuel loads located on the floor. This suggests that further work to quantify the effect of fuel position within the compartment is required. A method based on comparison the burning duration of the compartment fuel load and the characteristic thermal penetration time of the timber layers has been shown to provide explanation of the observed fire dynamics and the onset of auto-extinction. Although this has scope to be developed for engineering applications there are several issues which must first be understood in more detail. These include the effects of the burning surface configurations on the burning of the compartment fuel load and, the loss of integrity of encapsulation systems and the effect this has on the compartment fire dynamics.</t>
  </si>
  <si>
    <t>plasterBoard Type F</t>
  </si>
  <si>
    <t>CLT 5-ply 20mm spruce - PU</t>
  </si>
  <si>
    <t>Stone wool insulation</t>
  </si>
  <si>
    <t>Wc (Alpha 2)</t>
  </si>
  <si>
    <t>W;C (Beta 1)</t>
  </si>
  <si>
    <t>W;C (Beta 2)</t>
  </si>
  <si>
    <t>Wc;C (Gamma)</t>
  </si>
  <si>
    <t>Edinburgh Univ</t>
  </si>
  <si>
    <t>Emberley &amp; Al</t>
  </si>
  <si>
    <t>This paper has demonstrated that self-extinction in CLT can occur in both small and large-scale tests.
Small scale tests have shown that:
• The critical heat flux for self-extinction of Radiata Pine CLT is 45 kW/m2;
• The time to steady-state burning for Radiata Pine CLT is 10 min;
• The minimum time to debonding for Radiata Pine CLT (with lamella 45×20×20×20×45 mm) is 30 min.
The large-scale test has shown that:
• If debonding is prevented, self-extinction can occur in a compartment with exposed CLT on a wall and
ceiling;
• Self-extinction of the CLT wall and ceiling occurred when the maximum incident heat flux reduced
below 45 kW/m2;
• When self-extinction occurred it began at the base of the exposed surface, and progressed to the ceiling.
It is therefore concluded that if uncertainties associated with debonding are minimized then self-extinction
can be achieved during the steady-state burning phase of CLT. The limitations of this work are such that it is
recommended that the key parameters that may induce uncertainty in the compartment conditions are further
investigated.</t>
  </si>
  <si>
    <t>CLT 5-ply 45x20x20x20x45</t>
  </si>
  <si>
    <t>Xlam Radiata Pine</t>
  </si>
  <si>
    <t>KAOWOOL</t>
  </si>
  <si>
    <t>USDA</t>
  </si>
  <si>
    <t>Zelinka &amp; Al
2018</t>
  </si>
  <si>
    <t>This report presents the results of five full-scale compartment fire tests performed under an oxygen calorimetry heat release rate hood on a two-story CLT building. The tests examined the effect of exposed walls and ceilings on a realistic, full-size apartment to better understand the contribution of CLT to a compartment fire, life safety of occupants, and firefighter safety. Additionally, two tests examined the effect of automatic sprinkler systems. The research was carried out in support of the mission of the ICC Ad Hoc Committee on Tall Wood Building</t>
  </si>
  <si>
    <t xml:space="preserve">CLT 5-ply 35mm Douglas Fir_Larch _ PU </t>
  </si>
  <si>
    <t>Neglected and taken into account in exposed surfaces of exposed wall &amp; ceiling</t>
  </si>
  <si>
    <t>100- 115</t>
  </si>
  <si>
    <t>W;C;Sp</t>
  </si>
  <si>
    <t>&lt;500</t>
  </si>
  <si>
    <t>Cerib</t>
  </si>
  <si>
    <t>Epernon Fire Test
2019</t>
  </si>
  <si>
    <t>40-60</t>
  </si>
  <si>
    <t>The Épernon Fire Tests Programme has shed light on a number of issues which should be considered when assessing a building using a fire safety engineering approach to provide an adequate level of safety. The higher external flaming resulting from the use of a combustible ceiling compared to a noncombustible ceiling could lead to more severe impacts on neighbouring buildings or more rapid storey-to-storey fire spread resulting from combustible cladding materials or window-to-window (i.e. break-out, break-in) fire spread. This topic needs to be further investigated and quantified. The CLT slabs that were tested during this project did not experience delamination, but rather progressive char-fall off throughout the test – even though the adhesive used was not heat resistant. There is a need to better understand both delamination of uncharred timber lamellae and char fall-off during fire – the impact of parameters such as influence of loading, adhesive performance at elevated temperatures and CLT manufacturing and layouts should be investigated and quantified. The thermomechanical behaviour of CLT slabs, both under heating and decay phases, needs further research. In particular, the main challenge is to predict the positioning of the “effective layer”, depending on the thermal exposure, the geometry of the CLT cross-section and the material properties (thermal and mechanical, both under heating and decay phase). The failure of the CLT slab under scenario 2 after 29 hours highlights the importance of the investigation of self-extinguishment and smouldering of timber. As such, questions like the impact of the ratio of exposed timber on self-extinguishment and the use of passive protection to efficiently encapsulate the timber are of high importance. As was performed in the Épernon Fire Tests Programme, a similar “fire resistance vs fire performance” approach with different fire scenarios could be conducted on protected fire timber elements to define relevant parameters (i.e. fall-off times of passive protection, acceptable temperature behind the passive protection to ensure the non-contribution of timber to fire), especially since those parameters have been defined so far using a standard approach (i.e. furnace testing). This can follow the research work already performed on the area (Su et al, 2018 [25], [26]) and on-going work in the ARC PR14 project in Australia [27]. The experiments performed in the research presented in this report involved comparatively small compartments, which are not full representative of a large, open plan office occupancy, for instance. Additional research is needed to better understand the impacts of combustible ceilings on fire development and growth in large compartments with distributed fuel loads</t>
  </si>
  <si>
    <t>concrete, lightweight</t>
  </si>
  <si>
    <t xml:space="preserve">CLT 5-ply 35mm Spruce _ PU </t>
  </si>
  <si>
    <t>45-65</t>
  </si>
  <si>
    <t>65-85</t>
  </si>
  <si>
    <t>NRCC_LS</t>
  </si>
  <si>
    <t>Su &amp; Al
2023</t>
  </si>
  <si>
    <t>This series of the large scale fire tests produced new scientific data on the fire performance of mass timber in open plan office and residential buildings, fire safety at mass timber construction sites, as well as influence of exposed mass timber on fire severity and duration.
- The average char depths in the exposed mass timber members were well within the design allowance according to CSA O86-19 for the structural members of 2-hour fireresistance rating in all the tests. 
-  Some exposed CLT ceiling experienced localized delamination in the cooling period during the tests but this did not cause any re-ignition or fire regrowth. 
- Since deep-seated hot spots and smouldering remained after the tests, firefighting operations were required in order to ensure the hot spots were fully extinguished. 
- The conditions in the stairwell were not adversely affected in any test.  The test structure remained stable and solid after enduring the five severe fire tests with a total of 19 hours of fire exposure. This became more obvious in the demolition process of the test structure.
Test 1 simulated a code-prescribed noncombustible construction baseline residential suite with code-compliant combustible interior linings. Test 2 involved a residential suite constructed of mass timber columns, beam and ceiling with greater exposed surfaces than allowed by the NBC 2020.
- In general, the fire in the mass timber suite behaved similarly to the fire in the baseline suite for the residential test scenario, including the growth, full developed and decay stages. Both tests lasted for more than four hours.
- In both Test 1 and Test 2, flashover occurred at similar times, the fire plumes reached similar heights, and the room temperatures peaked at 1200 °C with similar temperature distributions both temporally and spatially during the fully developed fire stage. 
- The fire severity in the mass timber room test was not any greater than the baseline test. In fact, the fire decayed earlier and quicker in the mass timber suite (5 min earlier) than in the baseline suite. 
- Both tests presented similar external fire exposures. Test 1 was more under-ventilated inside and resulted in more vigorous exterior combustion due to the greater quantity of combustible interior lining than the exposed timber in Test 2.
Test 3 also represented a portion of a mass timber building under construction to simulate a realistic construction site fire scenario with a garbage bin fire source. The test space included the exposed mass timber ceiling, floor and wall. The mass timber ceiling and floor surfaces were completely exposed (100% of the total area). The exposed surface of the mass timber wall was 16% of the total wall area of the perimeter of the suite. 
- This garbage bin fire scenario created a slow initial fire growth which took over 20 min to reach the ceiling height. The preheating of the ceiling for over 20 min allowed the quick ignition of the ceiling and the flashover. Once the garbage bin fire formed the ceiling jet with the aid of the flame path via the CLT wall behind the bin, the fire quickly spread over the CLT ceiling and reached flashover at 23 min. However, the fire started to decay almost instantly. As soon as the garbage bin fire jet stopped hitting the ceiling, the flaming combustion disappeared quickly from all CLT surface at 24 min 10 s. The garbage bin fire source did not have sufficient energy to sustain the flaming combustion of the mass timber elements. 
- The garbage bin fire was designed to be as severe and repeatable as practical for use in Test 3 although it had limited movable fuel load added to the space, compared to Test 4. The results show that controlling the quantity of combustible materials on the construction site is an important strategy to limit the potential fire hazard. Also, if this garbage fire scenario occurs on a construction site, there could be an opportunity for workers to extinguish the fire within the garbage bin if the fire could be detected early and operable extinguishers readily accessible.
Test 4 was designed to study a severe construction site fire scenario. Simulated construction debris and light wood open framing were positioned in the test space. Today’s mass timber construction projects are dominated by prefabrication and do not have much other combustible products on site. Test 4 used a higher fuel load density than those typically found on the mass timber construction sites. The test lasted for two and half hours. There was no firefighting intervention during the test in order to uninterruptedly demonstrate the fire dynamics of a severe construction site fire. The severe test conditions were exacerbated by the strong wind on the test day. 
- After ignition, the fire took approximately 8 min to fully involve the compartment and followed by a 10-min period of fully-developed burning. The construction site fire reached the decay stage at 18 min. Visible flaming mostly ceased on the mass timber elements after 30 min. The compartment temperatures decreased to 300-400 °C at 60 min. However, the decay became stagnant after 60 min – with the floor glowing, small flames frequently coming out of the joints and junctions and the compartment temperatures ascending slowly to 400-600 °C by the end of the test
- Thermal radiation from the large fire plumes reached 33 kW/m2 at 3.5 m above the opening on the building facade and 15 kW/2 at 4.5 m from the leeward side of the building in the wind
By design, Test 5 represented a worst case scenario combining several severe testing conditions including the high fuel load, the aggressive ignition package, the rough openings with high ventilation and oxygen supply (instead of real windows), the absence of sprinklers, and the absence of firefighting intervention during the test. It was under these severe conditions that Test 5 was conducted in order to uninterruptedly demonstrate the fire dynamics and performance of the mas timber structure
Thermal radiation from the large fire plumes reached the building facades above the rough window openings and the surrounding area at distance, with the peak heat fluxes reaching 37-50 kW/m2 at 3.5 m height above the openings, 58 kW/m2 at 3 m away and 28-39 kW/m2 at 4.5 m away from the test structure.</t>
  </si>
  <si>
    <t>Only lining involve</t>
  </si>
  <si>
    <t>ANSI/APA PRG-320</t>
  </si>
  <si>
    <t>plywood, FR  4 mm</t>
  </si>
  <si>
    <t>?</t>
  </si>
  <si>
    <t>GL</t>
  </si>
  <si>
    <t>CSA O177</t>
  </si>
  <si>
    <t>2</t>
  </si>
  <si>
    <t>Garbage bin fire scenario</t>
  </si>
  <si>
    <t>W;C;B;Co;Fl</t>
  </si>
  <si>
    <t>Exposed wood framing and wood cribs</t>
  </si>
  <si>
    <t>C;B;Co;Fl</t>
  </si>
  <si>
    <t>DLT following ICC-ES ESR 4069</t>
  </si>
  <si>
    <t>Right</t>
  </si>
  <si>
    <t>fully furnished office space</t>
  </si>
  <si>
    <t>W;C;B;Co</t>
  </si>
  <si>
    <t>RISE</t>
  </si>
  <si>
    <t>Brandon &amp; Al
2021</t>
  </si>
  <si>
    <t>apartment furniutre and cribs</t>
  </si>
  <si>
    <t>C;B</t>
  </si>
  <si>
    <t>2050 kg</t>
  </si>
  <si>
    <t>It is not recomended to implement two exposed CLT wall surfaces that intersect in one Corner.  
Char thickness decrease from low part of wall to ceiling.
The fire scenarios tested in this study correspond to the improbable event that (NFPA 13 compliant) sprinklers are not functioning, combined with the absence of fire service interference for the first 4 hours. Under those conditions various configurations of exposed mass timber were tested under a statistically severe fire scenario (with a statistically high fuel load density and low opening factor), in order to make the conclusions more generally applicable. More information on the statistical analysis can be found in Annex C. From the compartments tested against the selected severe fire scenario, it can be concluded that: 
(A) A flashover fire in a compartment with: (1) 100 % exposed (PRG 320, 2018 compliant) CLT ceiling and (2) 100 % exposed glulam beam under the ceiling and (3) two layers of 5/8 inch thick Type X gypsum board protection on all other mass timber surfaces, decayed continuously until 4 hours after ignition and reached radiation temperatures that were significantly below 300 ̊C within two hours. 
(B) Flashover fires in compartments with: (1) 100 % exposed (PRG 320, 2018 compliant) CLT ceiling and (2) 100 % exposed beam under the ceiling and (3) additional exposed surface areas of column and walls equal to 78 % or 90 % of the floor area, extending to the exposed ceiling and (4) 3 layers of 5/8 inch thick Type X gypsum board protection on all other mass timber surfaces, decayed continuously until 4 hours after ignition and reached radiation temperatures that were significantly below 300 ̊C.
(C) A third test with similar surface areas of exposed mass timber walls, where exposed CLT wall surfaces intersected in corners, decayed continuously for more than 3 hours but was followed by surface flaming on walls and increased temperatures. Analysis showed higher damage in the corners of two exposed walls and higher radiation temperature throughout the compartment in this test. 
(D) A post flashover fire in a similar compartment with a larger opening factor was conducted and decayed relatively quickly and reached ambient temperature within 4 hours. The design corresponds to the range of opening factors of office buildings and only the back wall was protected with two layers of 5/8 inch thick Type X gypsum board. 
(E) In all tested compartments with walls and the ceiling surfaces exposed, the char depth in the ceiling and the top part of the wall was lower than the char depth at the bottom part of walls. Also, spots of smoldering and hot-spots were more present in the walls than in the ceiling at the end of all fire tests. Thus, the intersection between exposed wall and exposed ceiling did not exhibit the surface flaming and increased temperatures noticed for exposed walls intersecting in corners. 
(F) For these tests, an increase of roughly 40 m2 exposed surface area (from ~54 to ~94 m2 or from 113 % to 196 % of the floor area) resulted both an increased flame height and shifted flame temperature profile of zero to one meter along the façade. The same increase in exposed mass timber increased the duration of the fully developed fire from 22 to ~30 minutes.(G) After manually extinguishing smoldering and cooling of hot spots with water mist after the 4-hour mark, the exposed and protected walls and ceiling cooled down throughout the thickness, indicating no further loss of structural capacity.</t>
  </si>
  <si>
    <t>ANSI A 190.12017 compliant glued laminated timber</t>
  </si>
  <si>
    <t>Wo;C;B</t>
  </si>
  <si>
    <t>2450 kg</t>
  </si>
  <si>
    <t>Wco;C;B;Co</t>
  </si>
  <si>
    <t>3800 kg</t>
  </si>
  <si>
    <t>3h</t>
  </si>
  <si>
    <t>3650 kg</t>
  </si>
  <si>
    <t>Left</t>
  </si>
  <si>
    <t>Wo;C;B;Co</t>
  </si>
  <si>
    <t>3700 kg</t>
  </si>
  <si>
    <t>Arup/Cerib</t>
  </si>
  <si>
    <t>Kostovinos &amp; Al
2023</t>
  </si>
  <si>
    <t>C;Co</t>
  </si>
  <si>
    <t>60-75%</t>
  </si>
  <si>
    <t>This paper presents novel experimental evidence from CodeRed #01,
the first in a series of fire experiments carried out inside a purposebuilt,
open-plan compartment to capture fire dynamics in large compartments
with exposed timber. The experiment had an area of
352 m2 and included a CLT ceiling and two glulam columns. The fire
dynamics were captured via thermocouples, PT, as well as fixed and
drone-mounted cameras.
The main findings from the observations of CodeRed #01 are
summarised below:
• Rapid fire spread was observed across the CLT ceiling once the
ceiling ignited. Fire spread via the ceiling, and reached the other
end of the compartment more than 1 min earlier than the fire
spread across the wood crib on the floor. Compared to similar noncombustible
enclosure experiments the fire spread was significantly
faster. Any increase in speed of fire spread impacts occupant
evacuation options, and fire-fighting response scenarios. Better
understanding of the speed and duration of the fire enables robust
design solutions to be developed.
• The CLT ceiling contributed significantly to the overall HRR of the
fire contributing approximately the same energy as the fuel load of
the wood crib. The increased heat release needs to be accounted
for given its potential impact on structural fire resistance and the
resulting more extensive external flaming.
• Flaming combustion of the CLT ceiling stopped almost simultaneously
as the flaming of the fuel bed ceased directly impacting
the ceiling. The MUF-based CLT ceiling maintained glue-line integrity
(i.e., there was no extensive char fall-off) resulting in predictable
behaviour when exposed to fire as no new timber was
exposed late in the fire at the ceiling.
• A significant portion of the pyrolysis gases burnt externally, evident
in the substantial and prolonged external flaming observed
above the openings. This impacts the speed and extent of vertical
fire spread over the external wall within the same building, again
relevant for evacuation options and fire-fighting response 
scenarios. It is also important for the evaluation and control of
external fire spread to adjacent built assets.
• The lower portion of glulam columns may experience increased
charring due to the prolonged heat transfer from the surrounding
embers remaining of the burnt wood crib; again, relevant when
designing structural fire resistance of vertical load-bearing timber
elements and also fire-fighting tactics.
• Without fire-fighting intervention smouldering continued throughout
the monitoring period of 48 h, and resulted in burn through
the entire CLT slab depth in one location. This finding is relevant
for fire-fighting tactics for timber buildings, and is an important
consideration for the design of joints, junctions and connections.
• The decay of the fire was steady and no secondary flashover took
place.
The impact of the findings from the observations of CodeRed #01
on fire safety design and life safety of occupants and fire-fighters,
fire-fighting tactics and property protection needs to be studied and
tools and guidance need to be developed for practicing engineers and
builders to safely construct with mass timber.</t>
  </si>
  <si>
    <t>CLT 5-ply (40-20-20-20-40)</t>
  </si>
  <si>
    <t>lue line interity following EN1995-1-2</t>
  </si>
  <si>
    <t>PUR Adhesive</t>
  </si>
  <si>
    <t>This paper presents novel experimental evidence from CodeRed #02, the second in a series of fire experiments carried out inside a purpose-built, open-plan compartment with combustible linings to capture fire dynamics in large compartments with exposed timber. The aim of the CodeRed #02 experiment was to assess the impact of a circa 50% reduction in ventilation, compared to CodeRed #01,on fire dynamics while keeping all other relevant parameters the same. One experiment has been undertaken for each configuration and therefore the conclusions from this research would benefit from further studies.
It was observed that the end of flaming combustion for CodeRed #02 was 4 min 30 s after that of CodeRed #01 where flaming combustion ceased at 22 min 30 s. This corresponds to a 20% increase in fire duration. Considering the time from when the CLT ceiling ignited (i.e. discounting the time for initial fire growth until the ceiling ignited), which not likely related to the ventilation of the compartment, the end of flaming combustion in CodeRed #02 was 1 min 24 s after that of CodeRed #01: a 15.6% increase in flaming duration. The observations of the flame propagation, external flaming, and temperature development suggest that CodeRed #02 was, largely, limited by the ventilation. However, towards the ends of the compartment some characteristics of fuel-controlled behaviour were also observed. In both CodeRed experiments, leading and trailing edges were observed, characteristic of a fuel controlled/travelling fire. The average flame spread rate across the CLT was 0.15 m/s compared to 0.20 m/s for CodeRed #01 (_x0003_23%), and 0.15 m/s across the wood crib (after CLT ignition), compared to 0.16 m/s in CodeRed #01 (_x0003_8%). As such the reduction in ventilation appeared to have a greater overall impact on the spread rate of flame across the CLT than the crib. The maximum temperature and incident heat fluxes inside the compartment remained approximately the same as CodeRed #01, however the patterns in the development of temperatures are different. In areas away from openings, the maximum temperatures in CodeRed #02 were reached later (around 20 min after ignition) than in CodeRed #01 (5–10 min). Similarly, the incident heat fluxes at the ceiling grew more slowly (over a period of 15–20 min) than in CodeRed #01,and reached a peak of 267 kW/m2. This is likely due to the initial lack of oxygen supply, resulting in a ventilation controlled burning regime which gradually transitioned to a fuel controlled regime as the fuel was consumed at either end of the compartment near the large openings. The heat release rate of CodeRed #02 was estimated to be 99 MW which is 18% lower than the 121 MW estimated for CodeRed #01. This assumes that combustion efficiency was the same between the two experiments for comparison purposes although it is recognised that in CodeRed #02 combustion was less efficient due to lack of ventilation, evident in the increased smoke production observed in CodeRed #02. In CodeRed #02 the flaming of the CLT completely ended 30s after the flaming of the cribs ended (26 min 30 s). This is unlike CodeRed #01 where the flaming of the CLT ended 5 min before the flaming of the cribs (17 min 30 s and 22 min 30 s respectively). In both cases, the CLT flaming ceased when compartment temperatures were decaying. The greatest calculated heat fluxes at the time flaming combustion of the CLT ceased were 111 and 50 kW/m2 for CodeRed #01 and #02 respectively. The rate of decay of temperatures in CodeRed #02 after the end of flaming is 9.7_x000E_C/min which is a is 13% decrease in cooling rate compared to CodeRed #01 with 11.2_x000E_C/min. This suggests that the 50% reduction in ventilation reduced the rate of temperature decay (i.e., overall time period of decay is longer). The percentage change in cooling rate is similar to that of the change in fire spread rate across the CLT and wood crib (15.5%). With regards to external fire spread, the conditions were generally more onerous in CodeRed #02 than in #01. The external flames 
were higher, reaching heights of up 3 to 3.5 m depending on the window location, the flames protruded much further (laterally) from the compartment from the large end openings the flames and the duration of the external flaming was also longer in CodeRed #02 than in #01. The average char depth across the ceiling was _x0018_28 mm, an 11% increase in overall char depth compared to CodeRed #01 (25 mm). This increase in char depth is likely due to the 15.6% increase in burning duration of the CLT and more prolonged decay. In CodeRed #02 the variation in char depth with position along the compartment was less than in CodeRed #01. In both experiments the char depth plateaued and was the greatest toward the end of the compartment. The variation in average char depths along the compartment was within 22% for CodeRed #02, while in CodeRed #01 it by varied by up to 75%. In both CodeRed #01 and #02 the greatest char depths were measured on lower part of the columns due to the on-going smouldering of the fuel bed after the end of flaming. In CodeRed #02, _x0018_32 h after the end of flaming, the base of column one had smouldered to the extent that it lost its attachment to the base plate, which was not representative of real building conditions, and fell to the ground which resulted in the complete smouldering along the length of the column. Smouldering combustion, in both experiments, continued in junctions/interfaces between the CLT panels and the central beam or external walls for the following 60 h until suppression or natural extinction. Seven hot spots were identified after the end of flaming that resulted in holes being created in the CLT slab. One of the hotspots transitioned to flaming and was successfully suppressed with a water hose. Further research is necessary to establish potential links between smouldering and the conditions that affect its occurrence in specific locations such as junctions. Understanding where smouldering may occur is important as connections are critical locations for the loadbearing capacity of structural members. The findings from the fire dynamics characteristics and performance of mass timber structure observed in CodeRed #02 can help to improve understanding of fire dynamics in open-plan compartmentswithmasstimberceilingandhelptodevelopfiresafety engineering guidance and new design tools for mass timber buildings.</t>
  </si>
  <si>
    <t>Boe &amp; Al</t>
  </si>
  <si>
    <t>negligible</t>
  </si>
  <si>
    <t>Norvwegian spruce PUR</t>
  </si>
  <si>
    <t>Norvwegian spruce</t>
  </si>
  <si>
    <t>AdivBois</t>
  </si>
  <si>
    <t>Froggies aren't so bad</t>
  </si>
  <si>
    <t>CLT 5-ply 40-45-45-45-45mm</t>
  </si>
  <si>
    <t>Plicroisé® Belliard constuction - MUF</t>
  </si>
  <si>
    <t>CLT 5-ply 45-45-45-45-40mm</t>
  </si>
  <si>
    <t>CLT 5 ply 40mm (Stora Enso) - PU</t>
  </si>
  <si>
    <t>CLT 5-ply 40mm</t>
  </si>
  <si>
    <t>StoreEnso® PU</t>
  </si>
  <si>
    <t>Technical University Zurich</t>
  </si>
  <si>
    <t>TIMPuls</t>
  </si>
  <si>
    <t>Timpuls_0_2</t>
  </si>
  <si>
    <t>CLT 5-ply 20mm</t>
  </si>
  <si>
    <t>W_CLT(40-54)</t>
  </si>
  <si>
    <t>C(43-51;62-69)</t>
  </si>
  <si>
    <t>Timpuls_3_4</t>
  </si>
  <si>
    <t>W_LF(43-63)  W12.5(50) W18(60)</t>
  </si>
  <si>
    <t>W(44-55;-)</t>
  </si>
  <si>
    <t>SEIFBOIS</t>
  </si>
  <si>
    <t>TH2.7</t>
  </si>
  <si>
    <t>R60_25%</t>
  </si>
  <si>
    <t>SIPOREX</t>
  </si>
  <si>
    <t>R120_25%</t>
  </si>
  <si>
    <t>R30_25%</t>
  </si>
  <si>
    <t>R90_25%</t>
  </si>
  <si>
    <t>TH1.1</t>
  </si>
  <si>
    <t>1w</t>
  </si>
  <si>
    <t>TOTAL</t>
  </si>
  <si>
    <t>(a) Wo=Wall oposed - Wc=Wall Corner -Wco=both -Fl=Floor -Sp=Sprinkler</t>
  </si>
  <si>
    <t>(b) Opening factor calculated as o=Av*racine(Hv)/At</t>
  </si>
  <si>
    <t>At including floor &amp; openings</t>
  </si>
  <si>
    <t>E</t>
  </si>
  <si>
    <t>(c) Wind direction: value of angle with the direction coresponding from rear to front faces of the compartment</t>
  </si>
  <si>
    <t>B</t>
  </si>
  <si>
    <t>H</t>
  </si>
  <si>
    <t>Bibliographie</t>
  </si>
  <si>
    <t>[1]</t>
  </si>
  <si>
    <t>Liu J, Fischer EC. Review of large-scale CLT compartment fire tests. Construction and Building Materials 2022;318:126099.</t>
  </si>
  <si>
    <t>https://doi.org/10.1016/j.conbuildmat.2021.126099</t>
  </si>
  <si>
    <t>[2]</t>
  </si>
  <si>
    <t>Mitchell H, Kotsovinos P, Richter F, Thomson D, Barber D, Rein G. 
Review of fire experiments in mass timber compartments: Current understanding, limitations, and research gaps. 
Fire and Materials 2023;47:415–32. https://doi.org/10.1002/fam.3121.</t>
  </si>
  <si>
    <t>https://doi.org/10.1002/fam.3121</t>
  </si>
  <si>
    <t>[3]</t>
  </si>
  <si>
    <t xml:space="preserve">Ronquillo G, Hopkin D,a Spearpoint M. Review of large-scale fire tests on cross-laminated timber n.d. </t>
  </si>
  <si>
    <t>https://doi.org/10.1177/07349041211034460</t>
  </si>
  <si>
    <t>FRIC 2</t>
  </si>
  <si>
    <t>Experiment Code</t>
  </si>
  <si>
    <t>Wall mean</t>
  </si>
  <si>
    <t>Wall min</t>
  </si>
  <si>
    <t>Wall max</t>
  </si>
  <si>
    <t>Model Wall mean</t>
  </si>
  <si>
    <t>Model Wall min</t>
  </si>
  <si>
    <t>Model Wall max</t>
  </si>
  <si>
    <t>Ceiling mean</t>
  </si>
  <si>
    <t>Ceiling min</t>
  </si>
  <si>
    <t xml:space="preserve">Ceiling max </t>
  </si>
  <si>
    <t>Model Ceiling mean</t>
  </si>
  <si>
    <t>Model Ceiling min</t>
  </si>
  <si>
    <t>Model Ceiling max</t>
  </si>
  <si>
    <t>Beam mean</t>
  </si>
  <si>
    <t>Beam min</t>
  </si>
  <si>
    <t>Beam max</t>
  </si>
  <si>
    <t>Model Beam mean</t>
  </si>
  <si>
    <t>Model Beam min</t>
  </si>
  <si>
    <t>Model Beam max</t>
  </si>
  <si>
    <t>Column mean</t>
  </si>
  <si>
    <t>Column min</t>
  </si>
  <si>
    <t>Column max</t>
  </si>
  <si>
    <t>Model Column mean</t>
  </si>
  <si>
    <t>Model Column min</t>
  </si>
  <si>
    <t>Model Column max</t>
  </si>
  <si>
    <t>Experiment Auto Extinction</t>
  </si>
  <si>
    <t>Model Auto Extinction</t>
  </si>
  <si>
    <t>Calculation Fail</t>
  </si>
  <si>
    <t>Calculation Time</t>
  </si>
  <si>
    <t>Results write by</t>
  </si>
  <si>
    <t>Fire Brigade@</t>
  </si>
  <si>
    <t>Fire [MW]</t>
  </si>
  <si>
    <t>Status</t>
  </si>
  <si>
    <t>Ingberg Initial</t>
  </si>
  <si>
    <t>Ingberg Final</t>
  </si>
  <si>
    <t>Char comparison info</t>
  </si>
  <si>
    <t>Moyenne:</t>
  </si>
  <si>
    <t>Total:</t>
  </si>
  <si>
    <t xml:space="preserve">Moyenne : </t>
  </si>
  <si>
    <t>Char thickness</t>
  </si>
  <si>
    <t>Wall Exp.</t>
  </si>
  <si>
    <t>Wall Model</t>
  </si>
  <si>
    <t>Ceiling Exp.</t>
  </si>
  <si>
    <t>Ceiling Model</t>
  </si>
  <si>
    <t>Beam Exp.</t>
  </si>
  <si>
    <t>Beam Model</t>
  </si>
  <si>
    <t>Column Exp.</t>
  </si>
  <si>
    <t>Column Model</t>
  </si>
  <si>
    <t>Number of mesure</t>
  </si>
  <si>
    <t>Time of GB/CLT @300°C</t>
  </si>
  <si>
    <t>@400°C</t>
  </si>
  <si>
    <t>Mean-Min</t>
  </si>
  <si>
    <t>Max-Mean</t>
  </si>
  <si>
    <t>Wall</t>
  </si>
  <si>
    <t>Ceiling</t>
  </si>
  <si>
    <t>Beam</t>
  </si>
  <si>
    <t>Column</t>
  </si>
  <si>
    <t>Total</t>
  </si>
  <si>
    <t>WE</t>
  </si>
  <si>
    <t>WM</t>
  </si>
  <si>
    <t>CE</t>
  </si>
  <si>
    <t>CM</t>
  </si>
  <si>
    <t>95-123</t>
  </si>
  <si>
    <t>118-221</t>
  </si>
  <si>
    <t>77-141</t>
  </si>
  <si>
    <t>98-191</t>
  </si>
  <si>
    <t>70-85</t>
  </si>
  <si>
    <t>86-130</t>
  </si>
  <si>
    <t>End Reference</t>
  </si>
  <si>
    <t>Mesures</t>
  </si>
  <si>
    <t>Essais</t>
  </si>
  <si>
    <t>Model Fail to predict</t>
  </si>
  <si>
    <t>Model underestimated char thickness</t>
  </si>
  <si>
    <t>Model overestimated char thickness</t>
  </si>
  <si>
    <t>49 experimetns</t>
  </si>
  <si>
    <t>Protected Ceiling contribution underEstimated (time of fall-off) ?</t>
  </si>
  <si>
    <t>Delamination (@140mn) (+ Protected Ceiling contribution?)</t>
  </si>
  <si>
    <t>Gyps Fall-off with overall surface contribution ?</t>
  </si>
  <si>
    <t>Smouldering (24h00))?</t>
  </si>
  <si>
    <t>Wind (4m/s depression facade) effect ?</t>
  </si>
  <si>
    <t>Delamination in experiment + smouldering (24h00) ?</t>
  </si>
  <si>
    <t>Value 133mm @29h ok</t>
  </si>
  <si>
    <t>Fllor contribution?</t>
  </si>
  <si>
    <t>Corner effect ?</t>
  </si>
  <si>
    <t>Délamination</t>
  </si>
  <si>
    <t>Time of sptinkler activation to adjust ?</t>
  </si>
  <si>
    <t>Uder estimated UL temp after decay time (stay &gt;400°C)</t>
  </si>
  <si>
    <t>Mean Column @24h00, 56mm ok</t>
  </si>
  <si>
    <t>idem -&gt;</t>
  </si>
  <si>
    <t>Large Scale, traveling</t>
  </si>
  <si>
    <t>No Wind</t>
  </si>
  <si>
    <t>Wind (2m/s depression facade) effect ?</t>
  </si>
  <si>
    <t>less -&gt;</t>
  </si>
  <si>
    <t>Uper Layer Temp underestimated</t>
  </si>
  <si>
    <t>High HRR</t>
  </si>
  <si>
    <t>RISE 1</t>
  </si>
  <si>
    <t>RISE 2</t>
  </si>
  <si>
    <t>Left Wall</t>
  </si>
  <si>
    <t>Rigth wall</t>
  </si>
  <si>
    <t>RISE 3</t>
  </si>
  <si>
    <t>AdivBois 3</t>
  </si>
  <si>
    <t>Poutres</t>
  </si>
  <si>
    <t>bsup</t>
  </si>
  <si>
    <t>binf</t>
  </si>
  <si>
    <t>Colonne</t>
  </si>
  <si>
    <t>Front Wall</t>
  </si>
  <si>
    <t>RISE 4</t>
  </si>
  <si>
    <t>RISE 5</t>
  </si>
  <si>
    <t>NRCC LS 2</t>
  </si>
  <si>
    <t>NRCC LS 4</t>
  </si>
  <si>
    <t>DLT</t>
  </si>
  <si>
    <t>CLT Floor</t>
  </si>
  <si>
    <t>NRCC LS 5</t>
  </si>
  <si>
    <t>Bay 4</t>
  </si>
  <si>
    <t>Bay 1</t>
  </si>
  <si>
    <t>Bay 2</t>
  </si>
  <si>
    <t>Bay 3</t>
  </si>
  <si>
    <t>NRCC &amp; NIST 4</t>
  </si>
  <si>
    <t>NRCC &amp; NIST 5</t>
  </si>
  <si>
    <t>W1 Panels</t>
  </si>
  <si>
    <t>NRCC &amp; NIST 6</t>
  </si>
  <si>
    <t>z</t>
  </si>
  <si>
    <t>NRCC Room 2</t>
  </si>
  <si>
    <t>1/2 Wall C</t>
  </si>
  <si>
    <t>Wall D</t>
  </si>
  <si>
    <t>Wall A</t>
  </si>
  <si>
    <t>Wall B</t>
  </si>
  <si>
    <t>red numbers indicate the unprotected CLT surfaces.</t>
  </si>
  <si>
    <t>NRCC Room 3</t>
  </si>
  <si>
    <t>cc</t>
  </si>
  <si>
    <t>Beam Height</t>
  </si>
  <si>
    <t>Beam side</t>
  </si>
  <si>
    <t>Column 1</t>
  </si>
  <si>
    <t>Column 2</t>
  </si>
  <si>
    <t>NRCC Room 4</t>
  </si>
  <si>
    <t>NRCC Room 5</t>
  </si>
  <si>
    <t>Edimb 1 to 5</t>
  </si>
  <si>
    <t>Characteristic Time</t>
  </si>
  <si>
    <t>Alpha-1</t>
  </si>
  <si>
    <t>Alpha-2</t>
  </si>
  <si>
    <t>Beta-1</t>
  </si>
  <si>
    <t>Beta-2</t>
  </si>
  <si>
    <t>20,60</t>
  </si>
  <si>
    <t>USDA 3</t>
  </si>
  <si>
    <t>&gt; 300°C (mm)</t>
  </si>
  <si>
    <t>Localisation Embended TC</t>
  </si>
  <si>
    <t>A</t>
  </si>
  <si>
    <t>L</t>
  </si>
  <si>
    <t>h</t>
  </si>
  <si>
    <t>b</t>
  </si>
  <si>
    <t xml:space="preserve">maille: </t>
  </si>
  <si>
    <t>0.33</t>
  </si>
  <si>
    <t>0.4</t>
  </si>
  <si>
    <t>n maille</t>
  </si>
  <si>
    <t>min</t>
  </si>
  <si>
    <t>max</t>
  </si>
  <si>
    <t xml:space="preserve">mean </t>
  </si>
  <si>
    <t>Différences</t>
  </si>
  <si>
    <t>Difference Exp / Model</t>
  </si>
  <si>
    <t>[%]</t>
  </si>
  <si>
    <t>Number of try</t>
  </si>
  <si>
    <t>Prev model Sup Exp</t>
  </si>
  <si>
    <t>Prev model Egal Exp</t>
  </si>
  <si>
    <t>Prev model &gt;= Exp [%]</t>
  </si>
  <si>
    <t>Exclude delamination</t>
  </si>
  <si>
    <t>Experiment with delamination</t>
  </si>
  <si>
    <t>NRC &amp; NIST 4</t>
  </si>
  <si>
    <t>NRC &amp; NIST 5</t>
  </si>
  <si>
    <t>AdivBois 4</t>
  </si>
  <si>
    <t>Vent Face</t>
  </si>
  <si>
    <t>MJ/kg</t>
  </si>
  <si>
    <t>[kJ/g)</t>
  </si>
  <si>
    <t>Mc Gregor</t>
  </si>
  <si>
    <t>Medina</t>
  </si>
  <si>
    <t>NRC &amp; NIST</t>
  </si>
  <si>
    <t>Every piece of combustible material was weighed prior to placement. The total weight of the combustible material in each compartment was 1,169 kg +/- 8 kg (standard uncertainty). Using the calorific values in Table 3 [17], the estimated energy for each item was determined (see Appendix C). Accounting for the paper on the innermost layer of drywall (the layer participating during flashover) which constituted less than 1.6 % of the total fuel by energy, the total estimated energy for the movable fuel was 23,074 MJ +/- 161 MJ (standard uncertainty). Table 4 summarizes the fuel load density used in each test, which varied between 548 MJ/m2 and 556 MJ/m2.</t>
  </si>
  <si>
    <t>MJ</t>
  </si>
  <si>
    <t>kg</t>
  </si>
  <si>
    <t>Char exclusion</t>
  </si>
  <si>
    <t>Choix Couleur</t>
  </si>
  <si>
    <t>LEGEND</t>
  </si>
  <si>
    <t>OSd</t>
  </si>
  <si>
    <t>OS:</t>
  </si>
  <si>
    <t>OSv</t>
  </si>
  <si>
    <t>OSd:</t>
  </si>
  <si>
    <t>Delamination of exposed wood during  experiment</t>
  </si>
  <si>
    <t>OSc:</t>
  </si>
  <si>
    <t>Contribution (char) of protectected wood during experiment</t>
  </si>
  <si>
    <t>OSo:</t>
  </si>
  <si>
    <t>Opening factor "out of scope"</t>
  </si>
  <si>
    <t>Osv</t>
  </si>
  <si>
    <t>NA:</t>
  </si>
  <si>
    <t>E:</t>
  </si>
  <si>
    <t>OSc</t>
  </si>
  <si>
    <t>Osd</t>
  </si>
  <si>
    <t>OSo</t>
  </si>
  <si>
    <t>No Exp Yet</t>
  </si>
  <si>
    <t>C(115-;NF)</t>
  </si>
  <si>
    <t>74;184;106</t>
  </si>
  <si>
    <t>225;101;97</t>
  </si>
  <si>
    <t>23;26;132</t>
  </si>
  <si>
    <t>170;220;162</t>
  </si>
  <si>
    <t>126;76;157</t>
  </si>
  <si>
    <t>35;171;220</t>
  </si>
  <si>
    <t>89;36;30</t>
  </si>
  <si>
    <t>163;164;25</t>
  </si>
  <si>
    <t>102;226;62</t>
  </si>
  <si>
    <t>221;34;227</t>
  </si>
  <si>
    <t>160;31;28</t>
  </si>
  <si>
    <t>85;137;207</t>
  </si>
  <si>
    <t>223;221;229</t>
  </si>
  <si>
    <t>210;162;225</t>
  </si>
  <si>
    <t>224;218;30</t>
  </si>
  <si>
    <t>23;170;86</t>
  </si>
  <si>
    <t>149;90;84</t>
  </si>
  <si>
    <t>101;228;135</t>
  </si>
  <si>
    <t>168;31;174</t>
  </si>
  <si>
    <t>36;154;27</t>
  </si>
  <si>
    <t>26;81;176</t>
  </si>
  <si>
    <t>72;128;77</t>
  </si>
  <si>
    <t>112;182;234</t>
  </si>
  <si>
    <t>224;146;46</t>
  </si>
  <si>
    <t>225;39;153</t>
  </si>
  <si>
    <t>27;27;41</t>
  </si>
  <si>
    <t>158;231;28</t>
  </si>
  <si>
    <t>30;219;161</t>
  </si>
  <si>
    <t>134;106;228</t>
  </si>
  <si>
    <t>141;144;79</t>
  </si>
  <si>
    <t>87;42;97</t>
  </si>
  <si>
    <t>230;52;25</t>
  </si>
  <si>
    <t>32;30;222</t>
  </si>
  <si>
    <t>79;25;173</t>
  </si>
  <si>
    <t>225;221;100</t>
  </si>
  <si>
    <t>227;225;166</t>
  </si>
  <si>
    <t>27;86;93</t>
  </si>
  <si>
    <t>199;100;226</t>
  </si>
  <si>
    <t>169;204;95</t>
  </si>
  <si>
    <t>77;106;135</t>
  </si>
  <si>
    <t>174;120;139</t>
  </si>
  <si>
    <t>33;231;227</t>
  </si>
  <si>
    <t>221;31;88</t>
  </si>
  <si>
    <t>38;224;28</t>
  </si>
  <si>
    <t>114;162;141</t>
  </si>
  <si>
    <t>30;151;157</t>
  </si>
  <si>
    <t>92;223;197</t>
  </si>
  <si>
    <t>223;164;143</t>
  </si>
  <si>
    <t>147;168;187</t>
  </si>
  <si>
    <t>Osd+ OSo ?</t>
  </si>
  <si>
    <t>172;94;30</t>
  </si>
  <si>
    <t>100;106;27</t>
  </si>
  <si>
    <t>35;233;100</t>
  </si>
  <si>
    <t>98;182;26</t>
  </si>
  <si>
    <t>134;31;229</t>
  </si>
  <si>
    <t>26;106;232</t>
  </si>
  <si>
    <t>153;229;230</t>
  </si>
  <si>
    <t>31;91;29</t>
  </si>
  <si>
    <t>224;92;180</t>
  </si>
  <si>
    <t>78;72;220</t>
  </si>
  <si>
    <t>151;28;101</t>
  </si>
  <si>
    <t>Experiment status</t>
  </si>
  <si>
    <t>Out of scope</t>
  </si>
  <si>
    <t>x</t>
  </si>
  <si>
    <t xml:space="preserve">No Autoextinction : Set if it as been verified that there where No self extinguishment in calculation </t>
  </si>
  <si>
    <t>Experiments excluded from the graphics in char comparison sheet</t>
  </si>
  <si>
    <t>Void experiments: No charing in experiment with all wood protected</t>
  </si>
  <si>
    <t>Letters OS  mean that the experiment associated is out of the scope of the calculation method</t>
  </si>
  <si>
    <t>Ceiling protected time</t>
  </si>
  <si>
    <t>Upper Wall protected time</t>
  </si>
  <si>
    <t>Lower Wall protected time</t>
  </si>
  <si>
    <t>40 ?</t>
  </si>
  <si>
    <t>20,40 ?</t>
  </si>
  <si>
    <t>W(23-?)</t>
  </si>
  <si>
    <t>W(25-?)</t>
  </si>
  <si>
    <t>W/C(23-?)</t>
  </si>
  <si>
    <t>W/C ?</t>
  </si>
  <si>
    <t>Event times</t>
  </si>
  <si>
    <r>
      <t>t</t>
    </r>
    <r>
      <rPr>
        <vertAlign val="subscript"/>
        <sz val="11"/>
        <color theme="1"/>
        <rFont val="Calibri"/>
        <family val="2"/>
        <scheme val="minor"/>
      </rPr>
      <t>f,pr_ceiling</t>
    </r>
  </si>
  <si>
    <t>t_f_pr_wall</t>
  </si>
  <si>
    <t>t_f_pr_ceiling</t>
  </si>
  <si>
    <r>
      <t>t</t>
    </r>
    <r>
      <rPr>
        <vertAlign val="subscript"/>
        <sz val="11"/>
        <color theme="1"/>
        <rFont val="Calibri"/>
        <family val="2"/>
        <scheme val="minor"/>
      </rPr>
      <t xml:space="preserve">f,pr_wall </t>
    </r>
  </si>
  <si>
    <t>w</t>
  </si>
  <si>
    <t>Exterior Flux</t>
  </si>
  <si>
    <t>F_ext</t>
  </si>
  <si>
    <t>F_dist</t>
  </si>
  <si>
    <t>Distance from windows of measure</t>
  </si>
  <si>
    <t>Flux</t>
  </si>
  <si>
    <t>t_ch_wall (EC5)</t>
  </si>
  <si>
    <t>t_ch_ceiling (EC5)</t>
  </si>
  <si>
    <t>F_mode</t>
  </si>
  <si>
    <t>Above</t>
  </si>
  <si>
    <t>Mode of calculation of exterior flux ('above' or 'front'). It is absed on the position of the flux captor, if it is above the opening or in front of it.</t>
  </si>
  <si>
    <t>Wall Table_DB fall off time</t>
  </si>
  <si>
    <t>Ceiling Table_DB fall off time</t>
  </si>
  <si>
    <t>Tch req Table_DB</t>
  </si>
  <si>
    <t>Wall Table_DB qtd req [%] of [MJ/m²]</t>
  </si>
  <si>
    <t>Ceiling Table_DB qtd req [%] of [MJ/m²]</t>
  </si>
  <si>
    <t>Er Wall fall off time</t>
  </si>
  <si>
    <t>Er ceiling fall off time</t>
  </si>
  <si>
    <t>T_ext</t>
  </si>
  <si>
    <t>Timber Ligth Frame structure for wall</t>
  </si>
  <si>
    <t>OSlf</t>
  </si>
  <si>
    <t>Calculated radiated flux EC (kW/m²)</t>
  </si>
  <si>
    <t>Calculated convective flux EC (kW/m²)</t>
  </si>
  <si>
    <t>Calculated Temperature EC (°C)</t>
  </si>
  <si>
    <t>Calculated radiated flux macro (kW/m²)</t>
  </si>
  <si>
    <t>Calculated convective flux macro (kW/m²)</t>
  </si>
  <si>
    <t>Calculated Temperature macro (°C)</t>
  </si>
  <si>
    <t>S_t_prot_wall</t>
  </si>
  <si>
    <t>S_t_prot_ceiling</t>
  </si>
  <si>
    <r>
      <rPr>
        <sz val="11"/>
        <color theme="1"/>
        <rFont val="Symbol"/>
        <family val="1"/>
        <charset val="2"/>
      </rPr>
      <t>S</t>
    </r>
    <r>
      <rPr>
        <sz val="11"/>
        <color theme="1"/>
        <rFont val="Calibri"/>
        <family val="2"/>
        <scheme val="minor"/>
      </rPr>
      <t>t</t>
    </r>
    <r>
      <rPr>
        <vertAlign val="subscript"/>
        <sz val="11"/>
        <color theme="1"/>
        <rFont val="Calibri"/>
        <family val="2"/>
        <scheme val="minor"/>
      </rPr>
      <t xml:space="preserve">prot_wall </t>
    </r>
  </si>
  <si>
    <r>
      <rPr>
        <sz val="11"/>
        <color theme="1"/>
        <rFont val="Symbol"/>
        <family val="1"/>
        <charset val="2"/>
      </rPr>
      <t>S</t>
    </r>
    <r>
      <rPr>
        <sz val="11"/>
        <color theme="1"/>
        <rFont val="Calibri"/>
        <family val="2"/>
        <scheme val="minor"/>
      </rPr>
      <t>t</t>
    </r>
    <r>
      <rPr>
        <vertAlign val="subscript"/>
        <sz val="11"/>
        <color theme="1"/>
        <rFont val="Calibri"/>
        <family val="2"/>
        <scheme val="minor"/>
      </rPr>
      <t xml:space="preserve">prot_ceiling </t>
    </r>
  </si>
  <si>
    <t>GB_Wl_thick</t>
  </si>
  <si>
    <t>GB_Cl_thick</t>
  </si>
  <si>
    <t>Er GB hp_min</t>
  </si>
  <si>
    <t>xfire</t>
  </si>
  <si>
    <t>yfire</t>
  </si>
  <si>
    <t>Delta x (length) Fire position (default: center)</t>
  </si>
  <si>
    <t>Delta y (width) Fire position (default: center)</t>
  </si>
  <si>
    <t>hfire</t>
  </si>
  <si>
    <t>fire height location (0=floor)</t>
  </si>
  <si>
    <t>hp_min/thick_min</t>
  </si>
  <si>
    <t>242;242;242</t>
  </si>
  <si>
    <t>229;229;229</t>
  </si>
  <si>
    <t>216;216;216</t>
  </si>
  <si>
    <t>178;178;178</t>
  </si>
  <si>
    <t>153;153;153</t>
  </si>
  <si>
    <t>127;127;127</t>
  </si>
  <si>
    <t>76;76;76</t>
  </si>
  <si>
    <t>242;169;169</t>
  </si>
  <si>
    <t>216;108;108</t>
  </si>
  <si>
    <t>178;53;53</t>
  </si>
  <si>
    <t>153;30;30</t>
  </si>
  <si>
    <t>127;19;19</t>
  </si>
  <si>
    <t>242;205;169</t>
  </si>
  <si>
    <t>216;162;108</t>
  </si>
  <si>
    <t>178;116;53</t>
  </si>
  <si>
    <t>127;73;19</t>
  </si>
  <si>
    <t>76;38;0</t>
  </si>
  <si>
    <t>242;236;169</t>
  </si>
  <si>
    <t>216;207;108</t>
  </si>
  <si>
    <t>178;168;53</t>
  </si>
  <si>
    <t>153;142;30</t>
  </si>
  <si>
    <t>127;118;19</t>
  </si>
  <si>
    <t>76;70;0</t>
  </si>
  <si>
    <t>205;242;169</t>
  </si>
  <si>
    <t>162;216;108</t>
  </si>
  <si>
    <t>116;178;53</t>
  </si>
  <si>
    <t>73;127;19</t>
  </si>
  <si>
    <t>169;242;193</t>
  </si>
  <si>
    <t>108;216;144</t>
  </si>
  <si>
    <t>19;127;55</t>
  </si>
  <si>
    <t>169;242;242</t>
  </si>
  <si>
    <t>108;216;216</t>
  </si>
  <si>
    <t>53;178;178</t>
  </si>
  <si>
    <t>19;127;127</t>
  </si>
  <si>
    <t>169;193;242</t>
  </si>
  <si>
    <t>108;144;216</t>
  </si>
  <si>
    <t>53;95;178</t>
  </si>
  <si>
    <t>19;55;127</t>
  </si>
  <si>
    <t>0;25;76</t>
  </si>
  <si>
    <t>205;169;242</t>
  </si>
  <si>
    <t>162;108;216</t>
  </si>
  <si>
    <t>116;53;178</t>
  </si>
  <si>
    <t>73;19;127</t>
  </si>
  <si>
    <t>242;169;230</t>
  </si>
  <si>
    <t>216;108;198</t>
  </si>
  <si>
    <t>178;53;157</t>
  </si>
  <si>
    <t>127;19;109</t>
  </si>
  <si>
    <t>193;166;147</t>
  </si>
  <si>
    <t>173;132;104</t>
  </si>
  <si>
    <t>142;96;62</t>
  </si>
  <si>
    <t>102;61;32</t>
  </si>
  <si>
    <t>Calculated HRR Brisk (kW)</t>
  </si>
  <si>
    <t>Calculated HRR EC (kW)</t>
  </si>
  <si>
    <t>Calculated total Flux EC (kW/m²)</t>
  </si>
  <si>
    <t>Calculated total flux macro (kW/m²)</t>
  </si>
  <si>
    <t>F_wall</t>
  </si>
  <si>
    <t>wall with windows of measure</t>
  </si>
  <si>
    <t>Solives seulement + poutres = 37.964m²</t>
  </si>
  <si>
    <t>11a</t>
  </si>
  <si>
    <t>11b</t>
  </si>
  <si>
    <t>11c</t>
  </si>
  <si>
    <t>SeifBois_H2</t>
  </si>
  <si>
    <t>SeifBois_B2</t>
  </si>
  <si>
    <t>SeifBois_E1</t>
  </si>
  <si>
    <t>MJ/m²</t>
  </si>
  <si>
    <t>4</t>
  </si>
  <si>
    <t>Wall Time interface - Er</t>
  </si>
  <si>
    <t>Ceilinf Time interface - Er</t>
  </si>
  <si>
    <t>Epernon</t>
  </si>
  <si>
    <t>Calculated F_ext EC (kW/m²)</t>
  </si>
  <si>
    <t>Calculated F_ext macro (kW/m²)</t>
  </si>
  <si>
    <t>2.4, 4.8, 12</t>
  </si>
  <si>
    <t>40, 12, x</t>
  </si>
  <si>
    <t>65, 22, x</t>
  </si>
  <si>
    <t>65, 25, x</t>
  </si>
  <si>
    <t>45, 17, x</t>
  </si>
  <si>
    <t>40, 15, x</t>
  </si>
  <si>
    <t>55, 20, x</t>
  </si>
  <si>
    <t>4, 8, 12</t>
  </si>
  <si>
    <t>4.5, 12</t>
  </si>
  <si>
    <t>15, x</t>
  </si>
  <si>
    <t>39, x</t>
  </si>
  <si>
    <t>n_sprinkler</t>
  </si>
  <si>
    <t>number of sprinkler</t>
  </si>
  <si>
    <t>Values and graphs, for each experiment of mesured char and calculated char with the method (automaticaly writed by the python program)</t>
  </si>
  <si>
    <t>\Calculs Feu\Programmes\python\Contribution_old\\Contribution_Brisk1</t>
  </si>
  <si>
    <t>\Calculs Feu\Programmes\python\Contribution_old\\Contribution_Brisk2</t>
  </si>
  <si>
    <t>\Calculs Feu\Programmes\python\Contribution_old\\Contribution_Brisk3</t>
  </si>
  <si>
    <t>\Calculs Feu\Programmes\python\Contribution_old\\Contribution_Brisk4</t>
  </si>
  <si>
    <t>\Calculs Feu\Programmes\python\Contribution_Brisk1\old\main.py  -&gt;  \Calculs Feu\Programmes\python\Contribution_Brisk4\project\main_Contrib_brisk1.py</t>
  </si>
  <si>
    <t>\Calculs Feu\Programmes\python\Contribution_Brisk2\old\main5.py -&gt;  \Calculs Feu\Programmes\python\Contribution_Brisk4\project\main_Contrib_brisk2.py</t>
  </si>
  <si>
    <t>\Calculs Feu\Programmes\python\Contribution_Brisk3\old\main6.py -&gt;  \Calculs Feu\Programmes\python\Contribution_Brisk4\project\main_Contrib_brisk3.py</t>
  </si>
  <si>
    <t>with x=4 pycharm project in Contrib_briskx directory main program = main_Contrib_briskx.py and called files Environmentx.py Briskcalx.py and Files_utilsx.py</t>
  </si>
  <si>
    <t>same names for all projects in \Calculs Feu\Programmes\python\Contribution_Briskx</t>
  </si>
  <si>
    <t>each directory \Contribution_Briskx organised with:</t>
  </si>
  <si>
    <t>\Models : Models generated and calculated with main_Contrib_briskx.py</t>
  </si>
  <si>
    <t>\projects : python files (main_Contrib_briskx.py…) &amp; Pycharm project</t>
  </si>
  <si>
    <t>\old : old version of python files (mainy.py….) and models generated</t>
  </si>
  <si>
    <t>various</t>
  </si>
  <si>
    <t>programm optimization &amp; improvments</t>
  </si>
  <si>
    <t>\Calculs Feu\Programmes\python\Contribution_Bois_Brisk_fin\Project\main_Contrib_Brisk.py</t>
  </si>
  <si>
    <t>(WCTE &amp; Interflam versions)</t>
  </si>
  <si>
    <t>260102 Recap Experiment_these.xlsx</t>
  </si>
  <si>
    <t xml:space="preserve">Final version </t>
  </si>
  <si>
    <t>\Calculs Feu\Programmes\python\Contribution_Bois_Brisk\main_Contrib_Brisk.py</t>
  </si>
  <si>
    <t>adding Sheets :</t>
  </si>
  <si>
    <t xml:space="preserve">Char Comparaison x </t>
  </si>
  <si>
    <t>Graphs for papers and thesis manuscript</t>
  </si>
  <si>
    <t>Gyps protection</t>
  </si>
  <si>
    <t>Values, for each experiment of protection caracteristics and results of  fall-off time and required thickness calculated with the method (automaticaly writed by the python program)</t>
  </si>
  <si>
    <t>Flux results</t>
  </si>
  <si>
    <t>Values, for each experiment of measured outside Flux and those calculated  with the method (automaticaly writed by the python program)</t>
  </si>
  <si>
    <t>Hc of fire from eperiment reports</t>
  </si>
  <si>
    <t>Integration of protected wood contribution, and exterior flux calculation</t>
  </si>
  <si>
    <t>4.8,8</t>
  </si>
  <si>
    <t>17.1,7.5</t>
  </si>
  <si>
    <t>14.8,6.6</t>
  </si>
  <si>
    <t>6.7,4.9</t>
  </si>
  <si>
    <t>x,7.6</t>
  </si>
  <si>
    <t>17.1,9.0</t>
  </si>
  <si>
    <t>OSc + OSd</t>
  </si>
  <si>
    <t>OSc + OSlf</t>
  </si>
  <si>
    <t>85?</t>
  </si>
  <si>
    <t>80?</t>
  </si>
  <si>
    <t xml:space="preserve">OSc (+Osd?) </t>
  </si>
  <si>
    <t>OSc (+OSd?) + partial OSlf (ceiling)</t>
  </si>
  <si>
    <t>OSc + partial OSlf (wall)</t>
  </si>
  <si>
    <t xml:space="preserve">OSCorner </t>
  </si>
  <si>
    <t>E11a</t>
  </si>
  <si>
    <t>Poteaux</t>
  </si>
  <si>
    <t>Solives</t>
  </si>
  <si>
    <t>(Mean)</t>
  </si>
  <si>
    <t>bottom</t>
  </si>
  <si>
    <t>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</si>
</sst>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00"/>
    <numFmt numFmtId="166" formatCode="0.0"/>
    <numFmt numFmtId="167" formatCode="_-* #,##0_-;\-* #,##0_-;_-* &quot;-&quot;??_-;_-@_-"/>
    <numFmt numFmtId="168" formatCode="_-* #,##0.0_-;\-* #,##0.0_-;_-* &quot;-&quot;??_-;_-@_-"/>
    <numFmt numFmtId="169" formatCode="_-* #,##0.000_-;\-* #,##0.000_-;_-* &quot;-&quot;??_-;_-@_-"/>
    <numFmt numFmtId="170" formatCode="0.0000"/>
  </numFmts>
  <fonts count="35">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vertAlign val="subscript"/>
      <sz val="11"/>
      <color theme="1"/>
      <name val="Calibri"/>
      <family val="2"/>
      <scheme val="minor"/>
    </font>
    <font>
      <sz val="11"/>
      <name val="Calibri"/>
      <family val="2"/>
      <scheme val="minor"/>
    </font>
    <font>
      <i/>
      <sz val="11"/>
      <color theme="1"/>
      <name val="Calibri"/>
      <family val="2"/>
      <scheme val="minor"/>
    </font>
    <font>
      <sz val="8"/>
      <color theme="1"/>
      <name val="Calibri"/>
      <family val="2"/>
      <scheme val="minor"/>
    </font>
    <font>
      <sz val="10"/>
      <color indexed="8"/>
      <name val="Arial"/>
      <family val="2"/>
    </font>
    <font>
      <sz val="11"/>
      <color indexed="8"/>
      <name val="Calibri"/>
      <family val="2"/>
    </font>
    <font>
      <sz val="10"/>
      <color indexed="8"/>
      <name val="Arial"/>
      <family val="2"/>
    </font>
    <font>
      <i/>
      <sz val="11"/>
      <color rgb="FFFF0000"/>
      <name val="Calibri"/>
      <family val="2"/>
      <scheme val="minor"/>
    </font>
    <font>
      <sz val="11"/>
      <color theme="9"/>
      <name val="Calibri"/>
      <family val="2"/>
      <scheme val="minor"/>
    </font>
    <font>
      <sz val="11"/>
      <color theme="9" tint="-0.499984740745262"/>
      <name val="Calibri"/>
      <family val="2"/>
      <scheme val="minor"/>
    </font>
    <font>
      <b/>
      <sz val="14"/>
      <color theme="1"/>
      <name val="Calibri"/>
      <family val="2"/>
      <scheme val="minor"/>
    </font>
    <font>
      <sz val="11"/>
      <color rgb="FFFF0000"/>
      <name val="Calibri"/>
      <family val="2"/>
    </font>
    <font>
      <b/>
      <sz val="11"/>
      <color theme="9"/>
      <name val="Calibri"/>
      <family val="2"/>
      <scheme val="minor"/>
    </font>
    <font>
      <b/>
      <i/>
      <sz val="11"/>
      <color theme="9"/>
      <name val="Calibri"/>
      <family val="2"/>
      <scheme val="minor"/>
    </font>
    <font>
      <sz val="11"/>
      <color theme="5"/>
      <name val="Calibri"/>
      <family val="2"/>
      <scheme val="minor"/>
    </font>
    <font>
      <i/>
      <sz val="11"/>
      <name val="Calibri"/>
      <family val="2"/>
      <scheme val="minor"/>
    </font>
    <font>
      <sz val="9"/>
      <color indexed="81"/>
      <name val="Tahoma"/>
      <family val="2"/>
    </font>
    <font>
      <b/>
      <sz val="9"/>
      <color indexed="81"/>
      <name val="Tahoma"/>
      <family val="2"/>
    </font>
    <font>
      <sz val="11"/>
      <name val="Calibri"/>
      <family val="2"/>
    </font>
    <font>
      <sz val="11"/>
      <color theme="1"/>
      <name val="Calibri"/>
      <family val="2"/>
    </font>
    <font>
      <sz val="11"/>
      <color theme="7"/>
      <name val="Calibri"/>
      <family val="2"/>
      <scheme val="minor"/>
    </font>
    <font>
      <vertAlign val="superscript"/>
      <sz val="11"/>
      <color theme="1"/>
      <name val="Calibri"/>
      <family val="2"/>
      <scheme val="minor"/>
    </font>
    <font>
      <sz val="11"/>
      <color rgb="FF000000"/>
      <name val="Calibri"/>
      <family val="2"/>
      <scheme val="minor"/>
    </font>
    <font>
      <sz val="11"/>
      <color rgb="FFFFC000"/>
      <name val="Calibri"/>
      <family val="2"/>
      <scheme val="minor"/>
    </font>
    <font>
      <sz val="11"/>
      <color theme="1"/>
      <name val="Calibri"/>
      <family val="1"/>
      <charset val="2"/>
      <scheme val="minor"/>
    </font>
    <font>
      <sz val="11"/>
      <color theme="1"/>
      <name val="Symbol"/>
      <family val="1"/>
      <charset val="2"/>
    </font>
    <font>
      <sz val="11"/>
      <name val="Calibri"/>
      <family val="2"/>
    </font>
    <font>
      <b/>
      <sz val="11"/>
      <color rgb="FF000000"/>
      <name val="Calibri"/>
      <family val="2"/>
    </font>
    <font>
      <b/>
      <sz val="11"/>
      <color rgb="FFFFFFFF"/>
      <name val="Calibri"/>
      <family val="2"/>
    </font>
    <font>
      <strike/>
      <sz val="11"/>
      <color theme="1"/>
      <name val="Calibri"/>
      <family val="2"/>
      <scheme val="minor"/>
    </font>
  </fonts>
  <fills count="118">
    <fill>
      <patternFill patternType="none"/>
    </fill>
    <fill>
      <patternFill patternType="gray125"/>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4AB86A"/>
        <bgColor rgb="FF4AB86A"/>
      </patternFill>
    </fill>
    <fill>
      <patternFill patternType="solid">
        <fgColor rgb="FFE16561"/>
        <bgColor rgb="FFE16561"/>
      </patternFill>
    </fill>
    <fill>
      <patternFill patternType="solid">
        <fgColor rgb="FF171A84"/>
        <bgColor rgb="FF171A84"/>
      </patternFill>
    </fill>
    <fill>
      <patternFill patternType="solid">
        <fgColor rgb="FFAADCA2"/>
        <bgColor rgb="FFAADCA2"/>
      </patternFill>
    </fill>
    <fill>
      <patternFill patternType="solid">
        <fgColor rgb="FF7E4C9D"/>
        <bgColor rgb="FF7E4C9D"/>
      </patternFill>
    </fill>
    <fill>
      <patternFill patternType="solid">
        <fgColor rgb="FF23ABDC"/>
        <bgColor rgb="FF23ABDC"/>
      </patternFill>
    </fill>
    <fill>
      <patternFill patternType="solid">
        <fgColor rgb="FF59241E"/>
        <bgColor rgb="FF59241E"/>
      </patternFill>
    </fill>
    <fill>
      <patternFill patternType="solid">
        <fgColor rgb="FFA3A419"/>
        <bgColor rgb="FFA3A419"/>
      </patternFill>
    </fill>
    <fill>
      <patternFill patternType="solid">
        <fgColor rgb="FF66E23E"/>
        <bgColor rgb="FF66E23E"/>
      </patternFill>
    </fill>
    <fill>
      <patternFill patternType="solid">
        <fgColor rgb="FFDD22E3"/>
        <bgColor rgb="FFDD22E3"/>
      </patternFill>
    </fill>
    <fill>
      <patternFill patternType="solid">
        <fgColor rgb="FFA01F1C"/>
        <bgColor rgb="FFA01F1C"/>
      </patternFill>
    </fill>
    <fill>
      <patternFill patternType="solid">
        <fgColor rgb="FF5589CF"/>
        <bgColor rgb="FF5589CF"/>
      </patternFill>
    </fill>
    <fill>
      <patternFill patternType="solid">
        <fgColor rgb="FFDFDDE5"/>
        <bgColor rgb="FFDFDDE5"/>
      </patternFill>
    </fill>
    <fill>
      <patternFill patternType="solid">
        <fgColor rgb="FFD2A2E1"/>
        <bgColor rgb="FFD2A2E1"/>
      </patternFill>
    </fill>
    <fill>
      <patternFill patternType="solid">
        <fgColor rgb="FFE0DA1E"/>
        <bgColor rgb="FFE0DA1E"/>
      </patternFill>
    </fill>
    <fill>
      <patternFill patternType="solid">
        <fgColor rgb="FF17AA56"/>
        <bgColor rgb="FF17AA56"/>
      </patternFill>
    </fill>
    <fill>
      <patternFill patternType="solid">
        <fgColor rgb="FF955A54"/>
        <bgColor rgb="FF955A54"/>
      </patternFill>
    </fill>
    <fill>
      <patternFill patternType="solid">
        <fgColor rgb="FF65E487"/>
        <bgColor rgb="FF65E487"/>
      </patternFill>
    </fill>
    <fill>
      <patternFill patternType="solid">
        <fgColor rgb="FFA81FAE"/>
        <bgColor rgb="FFA81FAE"/>
      </patternFill>
    </fill>
    <fill>
      <patternFill patternType="solid">
        <fgColor rgb="FF249A1B"/>
        <bgColor rgb="FF249A1B"/>
      </patternFill>
    </fill>
    <fill>
      <patternFill patternType="solid">
        <fgColor rgb="FF1A51B0"/>
        <bgColor rgb="FF1A51B0"/>
      </patternFill>
    </fill>
    <fill>
      <patternFill patternType="solid">
        <fgColor rgb="FF48804D"/>
        <bgColor rgb="FF48804D"/>
      </patternFill>
    </fill>
    <fill>
      <patternFill patternType="solid">
        <fgColor rgb="FF70B6EA"/>
        <bgColor rgb="FF70B6EA"/>
      </patternFill>
    </fill>
    <fill>
      <patternFill patternType="solid">
        <fgColor rgb="FFE0922E"/>
        <bgColor rgb="FFE0922E"/>
      </patternFill>
    </fill>
    <fill>
      <patternFill patternType="solid">
        <fgColor rgb="FFE12799"/>
        <bgColor rgb="FFE12799"/>
      </patternFill>
    </fill>
    <fill>
      <patternFill patternType="solid">
        <fgColor rgb="FF1B1B29"/>
        <bgColor rgb="FF1B1B29"/>
      </patternFill>
    </fill>
    <fill>
      <patternFill patternType="solid">
        <fgColor rgb="FF9EE71C"/>
        <bgColor rgb="FF9EE71C"/>
      </patternFill>
    </fill>
    <fill>
      <patternFill patternType="solid">
        <fgColor rgb="FF1EDBA1"/>
        <bgColor rgb="FF1EDBA1"/>
      </patternFill>
    </fill>
    <fill>
      <patternFill patternType="solid">
        <fgColor rgb="FF866AE4"/>
        <bgColor rgb="FF866AE4"/>
      </patternFill>
    </fill>
    <fill>
      <patternFill patternType="solid">
        <fgColor rgb="FF8D904F"/>
        <bgColor rgb="FF8D904F"/>
      </patternFill>
    </fill>
    <fill>
      <patternFill patternType="solid">
        <fgColor rgb="FF572A61"/>
        <bgColor rgb="FF572A61"/>
      </patternFill>
    </fill>
    <fill>
      <patternFill patternType="solid">
        <fgColor rgb="FFE63419"/>
        <bgColor rgb="FFE63419"/>
      </patternFill>
    </fill>
    <fill>
      <patternFill patternType="solid">
        <fgColor rgb="FF201EDE"/>
        <bgColor rgb="FF201EDE"/>
      </patternFill>
    </fill>
    <fill>
      <patternFill patternType="solid">
        <fgColor rgb="FF4F19AD"/>
        <bgColor rgb="FF4F19AD"/>
      </patternFill>
    </fill>
    <fill>
      <patternFill patternType="solid">
        <fgColor rgb="FFE1DD64"/>
        <bgColor rgb="FFE1DD64"/>
      </patternFill>
    </fill>
    <fill>
      <patternFill patternType="solid">
        <fgColor rgb="FFE3E1A6"/>
        <bgColor rgb="FFE3E1A6"/>
      </patternFill>
    </fill>
    <fill>
      <patternFill patternType="solid">
        <fgColor rgb="FF1B565D"/>
        <bgColor rgb="FF1B565D"/>
      </patternFill>
    </fill>
    <fill>
      <patternFill patternType="solid">
        <fgColor rgb="FFC764E2"/>
        <bgColor rgb="FFC764E2"/>
      </patternFill>
    </fill>
    <fill>
      <patternFill patternType="solid">
        <fgColor rgb="FFA9CC5F"/>
        <bgColor rgb="FFA9CC5F"/>
      </patternFill>
    </fill>
    <fill>
      <patternFill patternType="solid">
        <fgColor rgb="FF4D6A87"/>
        <bgColor rgb="FF4D6A87"/>
      </patternFill>
    </fill>
    <fill>
      <patternFill patternType="solid">
        <fgColor rgb="FFAE788B"/>
        <bgColor rgb="FFAE788B"/>
      </patternFill>
    </fill>
    <fill>
      <patternFill patternType="solid">
        <fgColor rgb="FF21E7E3"/>
        <bgColor rgb="FF21E7E3"/>
      </patternFill>
    </fill>
    <fill>
      <patternFill patternType="solid">
        <fgColor rgb="FFDD1F58"/>
        <bgColor rgb="FFDD1F58"/>
      </patternFill>
    </fill>
    <fill>
      <patternFill patternType="solid">
        <fgColor rgb="FF26E01C"/>
        <bgColor rgb="FF26E01C"/>
      </patternFill>
    </fill>
    <fill>
      <patternFill patternType="solid">
        <fgColor rgb="FF72A28D"/>
        <bgColor rgb="FF72A28D"/>
      </patternFill>
    </fill>
    <fill>
      <patternFill patternType="solid">
        <fgColor rgb="FF1E979D"/>
        <bgColor rgb="FF1E979D"/>
      </patternFill>
    </fill>
    <fill>
      <patternFill patternType="solid">
        <fgColor rgb="FF5CDFC5"/>
        <bgColor rgb="FF5CDFC5"/>
      </patternFill>
    </fill>
    <fill>
      <patternFill patternType="solid">
        <fgColor rgb="FFDFA48F"/>
        <bgColor rgb="FFDFA48F"/>
      </patternFill>
    </fill>
    <fill>
      <patternFill patternType="solid">
        <fgColor rgb="FF93A8BB"/>
        <bgColor rgb="FF93A8BB"/>
      </patternFill>
    </fill>
    <fill>
      <patternFill patternType="solid">
        <fgColor rgb="FFAC5E1E"/>
        <bgColor rgb="FFAC5E1E"/>
      </patternFill>
    </fill>
    <fill>
      <patternFill patternType="solid">
        <fgColor rgb="FF646A1B"/>
        <bgColor rgb="FF646A1B"/>
      </patternFill>
    </fill>
    <fill>
      <patternFill patternType="solid">
        <fgColor rgb="FF23E964"/>
        <bgColor rgb="FF23E964"/>
      </patternFill>
    </fill>
    <fill>
      <patternFill patternType="solid">
        <fgColor rgb="FF62B61A"/>
        <bgColor rgb="FF62B61A"/>
      </patternFill>
    </fill>
    <fill>
      <patternFill patternType="solid">
        <fgColor rgb="FF861FE5"/>
        <bgColor rgb="FF861FE5"/>
      </patternFill>
    </fill>
    <fill>
      <patternFill patternType="solid">
        <fgColor rgb="FF1A6AE8"/>
        <bgColor rgb="FF1A6AE8"/>
      </patternFill>
    </fill>
    <fill>
      <patternFill patternType="solid">
        <fgColor rgb="FF99E5E6"/>
        <bgColor rgb="FF99E5E6"/>
      </patternFill>
    </fill>
    <fill>
      <patternFill patternType="solid">
        <fgColor rgb="FF1F5B1D"/>
        <bgColor rgb="FF1F5B1D"/>
      </patternFill>
    </fill>
    <fill>
      <patternFill patternType="solid">
        <fgColor rgb="FFE05CB4"/>
        <bgColor rgb="FFE05CB4"/>
      </patternFill>
    </fill>
    <fill>
      <patternFill patternType="solid">
        <fgColor rgb="FF4E48DC"/>
        <bgColor rgb="FF4E48DC"/>
      </patternFill>
    </fill>
    <fill>
      <patternFill patternType="solid">
        <fgColor rgb="FF971C65"/>
        <bgColor rgb="FF971C65"/>
      </patternFill>
    </fill>
    <fill>
      <patternFill patternType="solid">
        <fgColor rgb="FF620AE6"/>
        <bgColor indexed="64"/>
      </patternFill>
    </fill>
    <fill>
      <patternFill patternType="solid">
        <fgColor rgb="FFFFFF00"/>
        <bgColor indexed="64"/>
      </patternFill>
    </fill>
    <fill>
      <patternFill patternType="solid">
        <fgColor rgb="FFF2F2F2"/>
        <bgColor rgb="FFF2F2F2"/>
      </patternFill>
    </fill>
    <fill>
      <patternFill patternType="solid">
        <fgColor rgb="FFE5E5E5"/>
        <bgColor rgb="FFE5E5E5"/>
      </patternFill>
    </fill>
    <fill>
      <patternFill patternType="solid">
        <fgColor rgb="FFD8D8D8"/>
        <bgColor rgb="FFD8D8D8"/>
      </patternFill>
    </fill>
    <fill>
      <patternFill patternType="solid">
        <fgColor rgb="FFB2B2B2"/>
        <bgColor rgb="FFB2B2B2"/>
      </patternFill>
    </fill>
    <fill>
      <patternFill patternType="solid">
        <fgColor rgb="FF999999"/>
        <bgColor rgb="FF999999"/>
      </patternFill>
    </fill>
    <fill>
      <patternFill patternType="solid">
        <fgColor rgb="FF7F7F7F"/>
        <bgColor rgb="FF7F7F7F"/>
      </patternFill>
    </fill>
    <fill>
      <patternFill patternType="solid">
        <fgColor rgb="FF4C4C4C"/>
        <bgColor rgb="FF4C4C4C"/>
      </patternFill>
    </fill>
    <fill>
      <patternFill patternType="solid">
        <fgColor rgb="FFF2A9A9"/>
        <bgColor rgb="FFF2A9A9"/>
      </patternFill>
    </fill>
    <fill>
      <patternFill patternType="solid">
        <fgColor rgb="FFD86C6C"/>
        <bgColor rgb="FFD86C6C"/>
      </patternFill>
    </fill>
    <fill>
      <patternFill patternType="solid">
        <fgColor rgb="FFB23535"/>
        <bgColor rgb="FFB23535"/>
      </patternFill>
    </fill>
    <fill>
      <patternFill patternType="solid">
        <fgColor rgb="FF991E1E"/>
        <bgColor rgb="FF991E1E"/>
      </patternFill>
    </fill>
    <fill>
      <patternFill patternType="solid">
        <fgColor rgb="FF7F1313"/>
        <bgColor rgb="FF7F1313"/>
      </patternFill>
    </fill>
    <fill>
      <patternFill patternType="solid">
        <fgColor rgb="FFF2CDA9"/>
        <bgColor rgb="FFF2CDA9"/>
      </patternFill>
    </fill>
    <fill>
      <patternFill patternType="solid">
        <fgColor rgb="FFD8A26C"/>
        <bgColor rgb="FFD8A26C"/>
      </patternFill>
    </fill>
    <fill>
      <patternFill patternType="solid">
        <fgColor rgb="FFB27435"/>
        <bgColor rgb="FFB27435"/>
      </patternFill>
    </fill>
    <fill>
      <patternFill patternType="solid">
        <fgColor rgb="FF7F4913"/>
        <bgColor rgb="FF7F4913"/>
      </patternFill>
    </fill>
    <fill>
      <patternFill patternType="solid">
        <fgColor rgb="FF4C2600"/>
        <bgColor rgb="FF4C2600"/>
      </patternFill>
    </fill>
    <fill>
      <patternFill patternType="solid">
        <fgColor rgb="FFF2ECA9"/>
        <bgColor rgb="FFF2ECA9"/>
      </patternFill>
    </fill>
    <fill>
      <patternFill patternType="solid">
        <fgColor rgb="FFD8CF6C"/>
        <bgColor rgb="FFD8CF6C"/>
      </patternFill>
    </fill>
    <fill>
      <patternFill patternType="solid">
        <fgColor rgb="FFB2A835"/>
        <bgColor rgb="FFB2A835"/>
      </patternFill>
    </fill>
    <fill>
      <patternFill patternType="solid">
        <fgColor rgb="FF998E1E"/>
        <bgColor rgb="FF998E1E"/>
      </patternFill>
    </fill>
    <fill>
      <patternFill patternType="solid">
        <fgColor rgb="FF7F7613"/>
        <bgColor rgb="FF7F7613"/>
      </patternFill>
    </fill>
    <fill>
      <patternFill patternType="solid">
        <fgColor rgb="FF4C4600"/>
        <bgColor rgb="FF4C4600"/>
      </patternFill>
    </fill>
    <fill>
      <patternFill patternType="solid">
        <fgColor rgb="FFCDF2A9"/>
        <bgColor rgb="FFCDF2A9"/>
      </patternFill>
    </fill>
    <fill>
      <patternFill patternType="solid">
        <fgColor rgb="FFA2D86C"/>
        <bgColor rgb="FFA2D86C"/>
      </patternFill>
    </fill>
    <fill>
      <patternFill patternType="solid">
        <fgColor rgb="FF74B235"/>
        <bgColor rgb="FF74B235"/>
      </patternFill>
    </fill>
    <fill>
      <patternFill patternType="solid">
        <fgColor rgb="FF497F13"/>
        <bgColor rgb="FF497F13"/>
      </patternFill>
    </fill>
    <fill>
      <patternFill patternType="solid">
        <fgColor rgb="FFA9F2C1"/>
        <bgColor rgb="FFA9F2C1"/>
      </patternFill>
    </fill>
    <fill>
      <patternFill patternType="solid">
        <fgColor rgb="FF6CD890"/>
        <bgColor rgb="FF6CD890"/>
      </patternFill>
    </fill>
    <fill>
      <patternFill patternType="solid">
        <fgColor rgb="FF137F37"/>
        <bgColor rgb="FF137F37"/>
      </patternFill>
    </fill>
    <fill>
      <patternFill patternType="solid">
        <fgColor rgb="FFA9F2F2"/>
        <bgColor rgb="FFA9F2F2"/>
      </patternFill>
    </fill>
    <fill>
      <patternFill patternType="solid">
        <fgColor rgb="FF6CD8D8"/>
        <bgColor rgb="FF6CD8D8"/>
      </patternFill>
    </fill>
    <fill>
      <patternFill patternType="solid">
        <fgColor rgb="FF35B2B2"/>
        <bgColor rgb="FF35B2B2"/>
      </patternFill>
    </fill>
    <fill>
      <patternFill patternType="solid">
        <fgColor rgb="FF137F7F"/>
        <bgColor rgb="FF137F7F"/>
      </patternFill>
    </fill>
    <fill>
      <patternFill patternType="solid">
        <fgColor rgb="FFA9C1F2"/>
        <bgColor rgb="FFA9C1F2"/>
      </patternFill>
    </fill>
    <fill>
      <patternFill patternType="solid">
        <fgColor rgb="FF6C90D8"/>
        <bgColor rgb="FF6C90D8"/>
      </patternFill>
    </fill>
    <fill>
      <patternFill patternType="solid">
        <fgColor rgb="FF355FB2"/>
        <bgColor rgb="FF355FB2"/>
      </patternFill>
    </fill>
    <fill>
      <patternFill patternType="solid">
        <fgColor rgb="FF13377F"/>
        <bgColor rgb="FF13377F"/>
      </patternFill>
    </fill>
    <fill>
      <patternFill patternType="solid">
        <fgColor rgb="FF00194C"/>
        <bgColor rgb="FF00194C"/>
      </patternFill>
    </fill>
    <fill>
      <patternFill patternType="solid">
        <fgColor rgb="FFCDA9F2"/>
        <bgColor rgb="FFCDA9F2"/>
      </patternFill>
    </fill>
    <fill>
      <patternFill patternType="solid">
        <fgColor rgb="FFA26CD8"/>
        <bgColor rgb="FFA26CD8"/>
      </patternFill>
    </fill>
    <fill>
      <patternFill patternType="solid">
        <fgColor rgb="FF7435B2"/>
        <bgColor rgb="FF7435B2"/>
      </patternFill>
    </fill>
    <fill>
      <patternFill patternType="solid">
        <fgColor rgb="FF49137F"/>
        <bgColor rgb="FF49137F"/>
      </patternFill>
    </fill>
    <fill>
      <patternFill patternType="solid">
        <fgColor rgb="FFF2A9E6"/>
        <bgColor rgb="FFF2A9E6"/>
      </patternFill>
    </fill>
    <fill>
      <patternFill patternType="solid">
        <fgColor rgb="FFD86CC6"/>
        <bgColor rgb="FFD86CC6"/>
      </patternFill>
    </fill>
    <fill>
      <patternFill patternType="solid">
        <fgColor rgb="FFB2359D"/>
        <bgColor rgb="FFB2359D"/>
      </patternFill>
    </fill>
    <fill>
      <patternFill patternType="solid">
        <fgColor rgb="FF7F136D"/>
        <bgColor rgb="FF7F136D"/>
      </patternFill>
    </fill>
    <fill>
      <patternFill patternType="solid">
        <fgColor rgb="FFC1A693"/>
        <bgColor rgb="FFC1A693"/>
      </patternFill>
    </fill>
    <fill>
      <patternFill patternType="solid">
        <fgColor rgb="FFAD8468"/>
        <bgColor rgb="FFAD8468"/>
      </patternFill>
    </fill>
    <fill>
      <patternFill patternType="solid">
        <fgColor rgb="FF8E603E"/>
        <bgColor rgb="FF8E603E"/>
      </patternFill>
    </fill>
    <fill>
      <patternFill patternType="solid">
        <fgColor rgb="FF663D20"/>
        <bgColor rgb="FF663D20"/>
      </patternFill>
    </fill>
  </fills>
  <borders count="8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auto="1"/>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auto="1"/>
      </bottom>
      <diagonal/>
    </border>
    <border>
      <left style="medium">
        <color indexed="64"/>
      </left>
      <right style="medium">
        <color indexed="64"/>
      </right>
      <top style="thin">
        <color indexed="64"/>
      </top>
      <bottom style="medium">
        <color indexed="64"/>
      </bottom>
      <diagonal/>
    </border>
    <border>
      <left style="thin">
        <color auto="1"/>
      </left>
      <right/>
      <top style="thin">
        <color auto="1"/>
      </top>
      <bottom/>
      <diagonal/>
    </border>
    <border>
      <left/>
      <right style="dashed">
        <color indexed="64"/>
      </right>
      <top style="medium">
        <color indexed="64"/>
      </top>
      <bottom style="medium">
        <color indexed="64"/>
      </bottom>
      <diagonal/>
    </border>
    <border>
      <left/>
      <right style="thin">
        <color auto="1"/>
      </right>
      <top style="thin">
        <color auto="1"/>
      </top>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thin">
        <color auto="1"/>
      </top>
      <bottom/>
      <diagonal/>
    </border>
    <border>
      <left/>
      <right style="medium">
        <color indexed="64"/>
      </right>
      <top style="thin">
        <color auto="1"/>
      </top>
      <bottom/>
      <diagonal/>
    </border>
    <border>
      <left style="medium">
        <color indexed="64"/>
      </left>
      <right style="medium">
        <color indexed="64"/>
      </right>
      <top style="thin">
        <color indexed="64"/>
      </top>
      <bottom/>
      <diagonal/>
    </border>
    <border>
      <left style="thin">
        <color indexed="64"/>
      </left>
      <right/>
      <top/>
      <bottom/>
      <diagonal/>
    </border>
    <border>
      <left style="thin">
        <color indexed="22"/>
      </left>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auto="1"/>
      </left>
      <right/>
      <top style="thin">
        <color auto="1"/>
      </top>
      <bottom/>
      <diagonal/>
    </border>
    <border>
      <left style="thin">
        <color indexed="64"/>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9">
    <xf numFmtId="0" fontId="0" fillId="0" borderId="0"/>
    <xf numFmtId="9" fontId="1" fillId="0" borderId="0"/>
    <xf numFmtId="43" fontId="1" fillId="0" borderId="0"/>
    <xf numFmtId="0" fontId="4" fillId="0" borderId="0"/>
    <xf numFmtId="0" fontId="4" fillId="0" borderId="0"/>
    <xf numFmtId="43" fontId="1" fillId="0" borderId="0"/>
    <xf numFmtId="9" fontId="1" fillId="0" borderId="0"/>
    <xf numFmtId="0" fontId="9" fillId="0" borderId="0"/>
    <xf numFmtId="0" fontId="11" fillId="0" borderId="0"/>
  </cellStyleXfs>
  <cellXfs count="1246">
    <xf numFmtId="0" fontId="0" fillId="0" borderId="0" xfId="0"/>
    <xf numFmtId="0" fontId="7" fillId="0" borderId="27" xfId="0" applyFont="1" applyBorder="1" applyAlignment="1">
      <alignment horizontal="center" vertical="center"/>
    </xf>
    <xf numFmtId="9" fontId="0" fillId="0" borderId="25" xfId="1" applyFont="1" applyBorder="1" applyAlignment="1">
      <alignment horizontal="center"/>
    </xf>
    <xf numFmtId="1" fontId="0" fillId="0" borderId="31" xfId="2" applyNumberFormat="1" applyFont="1" applyBorder="1" applyAlignment="1">
      <alignment horizontal="center" vertical="center"/>
    </xf>
    <xf numFmtId="9" fontId="0" fillId="0" borderId="11" xfId="1" applyFont="1" applyBorder="1" applyAlignment="1">
      <alignment horizontal="center"/>
    </xf>
    <xf numFmtId="0" fontId="7" fillId="0" borderId="34" xfId="0" applyFont="1" applyBorder="1" applyAlignment="1">
      <alignment horizontal="center" vertical="center"/>
    </xf>
    <xf numFmtId="0" fontId="0" fillId="0" borderId="21" xfId="0" applyBorder="1" applyAlignment="1">
      <alignment horizontal="center"/>
    </xf>
    <xf numFmtId="0" fontId="0" fillId="0" borderId="19" xfId="0" applyBorder="1" applyAlignment="1">
      <alignment horizontal="center"/>
    </xf>
    <xf numFmtId="9" fontId="0" fillId="0" borderId="20" xfId="1" applyFont="1" applyBorder="1" applyAlignment="1">
      <alignment horizontal="center"/>
    </xf>
    <xf numFmtId="9" fontId="0" fillId="0" borderId="18" xfId="1" applyFont="1" applyBorder="1" applyAlignment="1">
      <alignment horizontal="center"/>
    </xf>
    <xf numFmtId="9" fontId="0" fillId="0" borderId="28" xfId="1" applyFont="1" applyBorder="1" applyAlignment="1">
      <alignment horizontal="center"/>
    </xf>
    <xf numFmtId="1" fontId="0" fillId="0" borderId="5" xfId="2" applyNumberFormat="1" applyFont="1" applyBorder="1" applyAlignment="1">
      <alignment horizontal="center"/>
    </xf>
    <xf numFmtId="1" fontId="0" fillId="0" borderId="39" xfId="2" applyNumberFormat="1" applyFont="1" applyBorder="1" applyAlignment="1">
      <alignment horizontal="center"/>
    </xf>
    <xf numFmtId="0" fontId="0" fillId="0" borderId="28" xfId="0" applyBorder="1" applyAlignment="1">
      <alignment horizontal="center"/>
    </xf>
    <xf numFmtId="2" fontId="0" fillId="0" borderId="43" xfId="0" applyNumberFormat="1" applyBorder="1" applyAlignment="1">
      <alignment horizontal="center" vertical="center"/>
    </xf>
    <xf numFmtId="2" fontId="0" fillId="0" borderId="11" xfId="0" applyNumberFormat="1" applyBorder="1" applyAlignment="1">
      <alignment horizontal="center" vertical="center"/>
    </xf>
    <xf numFmtId="2" fontId="0" fillId="0" borderId="18" xfId="0" applyNumberFormat="1" applyBorder="1" applyAlignment="1">
      <alignment horizontal="center" vertical="center"/>
    </xf>
    <xf numFmtId="0" fontId="0" fillId="0" borderId="9" xfId="0" applyBorder="1" applyAlignment="1">
      <alignment horizontal="center" vertical="center"/>
    </xf>
    <xf numFmtId="9" fontId="0" fillId="0" borderId="11" xfId="1" applyFont="1" applyBorder="1" applyAlignment="1">
      <alignment horizontal="center" vertical="center"/>
    </xf>
    <xf numFmtId="9" fontId="0" fillId="0" borderId="21" xfId="1" applyFont="1" applyBorder="1" applyAlignment="1">
      <alignment horizontal="center"/>
    </xf>
    <xf numFmtId="1" fontId="0" fillId="0" borderId="46" xfId="0" applyNumberFormat="1" applyBorder="1" applyAlignment="1">
      <alignment horizontal="center"/>
    </xf>
    <xf numFmtId="0" fontId="0" fillId="0" borderId="34" xfId="0" applyBorder="1" applyAlignment="1">
      <alignment horizontal="center"/>
    </xf>
    <xf numFmtId="2" fontId="0" fillId="0" borderId="25" xfId="0" applyNumberFormat="1" applyBorder="1" applyAlignment="1">
      <alignment horizontal="center"/>
    </xf>
    <xf numFmtId="0" fontId="0" fillId="0" borderId="35" xfId="0" applyBorder="1" applyAlignment="1">
      <alignment horizontal="center"/>
    </xf>
    <xf numFmtId="2" fontId="0" fillId="0" borderId="11" xfId="0" applyNumberFormat="1" applyBorder="1" applyAlignment="1">
      <alignment horizontal="center"/>
    </xf>
    <xf numFmtId="0" fontId="0" fillId="0" borderId="47" xfId="0" applyBorder="1" applyAlignment="1">
      <alignment horizontal="center"/>
    </xf>
    <xf numFmtId="0" fontId="0" fillId="0" borderId="37" xfId="0" applyBorder="1" applyAlignment="1">
      <alignment horizontal="center"/>
    </xf>
    <xf numFmtId="2" fontId="0" fillId="0" borderId="21" xfId="0" applyNumberFormat="1" applyBorder="1" applyAlignment="1">
      <alignment horizontal="center"/>
    </xf>
    <xf numFmtId="1" fontId="0" fillId="0" borderId="0" xfId="0" applyNumberFormat="1" applyAlignment="1">
      <alignment horizontal="center"/>
    </xf>
    <xf numFmtId="2" fontId="0" fillId="0" borderId="46" xfId="0" applyNumberFormat="1" applyBorder="1" applyAlignment="1">
      <alignment horizontal="center"/>
    </xf>
    <xf numFmtId="1" fontId="0" fillId="0" borderId="25" xfId="5" applyNumberFormat="1" applyFont="1" applyBorder="1" applyAlignment="1">
      <alignment horizontal="center"/>
    </xf>
    <xf numFmtId="1" fontId="0" fillId="0" borderId="0" xfId="0" applyNumberFormat="1"/>
    <xf numFmtId="1" fontId="0" fillId="0" borderId="18" xfId="1" applyNumberFormat="1" applyFont="1" applyBorder="1" applyAlignment="1">
      <alignment horizontal="center"/>
    </xf>
    <xf numFmtId="1" fontId="0" fillId="0" borderId="25" xfId="1" applyNumberFormat="1" applyFont="1" applyBorder="1" applyAlignment="1">
      <alignment horizontal="center"/>
    </xf>
    <xf numFmtId="1" fontId="0" fillId="0" borderId="11" xfId="0" applyNumberFormat="1" applyBorder="1" applyAlignment="1">
      <alignment horizontal="center" vertical="center"/>
    </xf>
    <xf numFmtId="1" fontId="0" fillId="0" borderId="25" xfId="0" applyNumberFormat="1" applyBorder="1" applyAlignment="1">
      <alignment horizontal="center" vertical="center"/>
    </xf>
    <xf numFmtId="1" fontId="0" fillId="0" borderId="11" xfId="1" applyNumberFormat="1" applyFont="1" applyBorder="1" applyAlignment="1">
      <alignment horizontal="center"/>
    </xf>
    <xf numFmtId="1" fontId="0" fillId="0" borderId="21" xfId="1" applyNumberFormat="1" applyFont="1" applyBorder="1" applyAlignment="1">
      <alignment horizontal="center"/>
    </xf>
    <xf numFmtId="0" fontId="0" fillId="0" borderId="53" xfId="0" applyBorder="1" applyAlignment="1">
      <alignment horizontal="center"/>
    </xf>
    <xf numFmtId="9" fontId="0" fillId="0" borderId="53" xfId="1" applyFont="1" applyBorder="1" applyAlignment="1">
      <alignment horizontal="center"/>
    </xf>
    <xf numFmtId="1" fontId="0" fillId="0" borderId="53" xfId="1" applyNumberFormat="1" applyFont="1" applyBorder="1" applyAlignment="1">
      <alignment horizontal="center"/>
    </xf>
    <xf numFmtId="0" fontId="0" fillId="0" borderId="50" xfId="0" applyBorder="1"/>
    <xf numFmtId="0" fontId="0" fillId="0" borderId="24" xfId="0" applyBorder="1" applyAlignment="1">
      <alignment horizontal="center" vertical="top"/>
    </xf>
    <xf numFmtId="1" fontId="0" fillId="0" borderId="28" xfId="1" applyNumberFormat="1" applyFont="1" applyBorder="1" applyAlignment="1">
      <alignment horizontal="center"/>
    </xf>
    <xf numFmtId="0" fontId="0" fillId="0" borderId="30" xfId="0" applyBorder="1" applyAlignment="1">
      <alignment horizontal="center" vertical="center"/>
    </xf>
    <xf numFmtId="0" fontId="0" fillId="0" borderId="24" xfId="0" applyBorder="1" applyAlignment="1">
      <alignment horizontal="center"/>
    </xf>
    <xf numFmtId="9" fontId="0" fillId="0" borderId="43" xfId="1" applyFont="1" applyBorder="1" applyAlignment="1">
      <alignment horizontal="center"/>
    </xf>
    <xf numFmtId="1" fontId="0" fillId="0" borderId="43" xfId="1" applyNumberFormat="1" applyFont="1" applyBorder="1" applyAlignment="1">
      <alignment horizontal="center"/>
    </xf>
    <xf numFmtId="0" fontId="0" fillId="0" borderId="0" xfId="0" applyAlignment="1">
      <alignment vertical="center" wrapText="1"/>
    </xf>
    <xf numFmtId="1" fontId="0" fillId="0" borderId="14" xfId="0" applyNumberFormat="1" applyBorder="1" applyAlignment="1">
      <alignment horizontal="center"/>
    </xf>
    <xf numFmtId="1" fontId="0" fillId="0" borderId="19" xfId="0" applyNumberFormat="1" applyBorder="1" applyAlignment="1">
      <alignment horizontal="center"/>
    </xf>
    <xf numFmtId="0" fontId="0" fillId="0" borderId="25" xfId="0" applyBorder="1" applyAlignment="1">
      <alignment horizontal="center"/>
    </xf>
    <xf numFmtId="1" fontId="0" fillId="0" borderId="11" xfId="1" applyNumberFormat="1" applyFont="1" applyBorder="1" applyAlignment="1">
      <alignment horizontal="center" vertical="center"/>
    </xf>
    <xf numFmtId="1" fontId="0" fillId="0" borderId="5" xfId="2" applyNumberFormat="1" applyFont="1" applyBorder="1" applyAlignment="1">
      <alignment horizontal="center" vertical="center"/>
    </xf>
    <xf numFmtId="1" fontId="0" fillId="0" borderId="39" xfId="0" applyNumberFormat="1" applyBorder="1" applyAlignment="1">
      <alignment horizontal="center"/>
    </xf>
    <xf numFmtId="1" fontId="0" fillId="0" borderId="41" xfId="0" applyNumberFormat="1" applyBorder="1" applyAlignment="1">
      <alignment horizontal="center"/>
    </xf>
    <xf numFmtId="1" fontId="7" fillId="0" borderId="39" xfId="0" applyNumberFormat="1" applyFont="1" applyBorder="1" applyAlignment="1">
      <alignment horizontal="center"/>
    </xf>
    <xf numFmtId="1" fontId="7" fillId="0" borderId="41" xfId="0" applyNumberFormat="1" applyFont="1" applyBorder="1" applyAlignment="1">
      <alignment horizontal="center"/>
    </xf>
    <xf numFmtId="1" fontId="0" fillId="0" borderId="47" xfId="0" applyNumberFormat="1" applyBorder="1" applyAlignment="1">
      <alignment horizontal="center"/>
    </xf>
    <xf numFmtId="1" fontId="0" fillId="0" borderId="14" xfId="0" applyNumberFormat="1" applyBorder="1"/>
    <xf numFmtId="1" fontId="0" fillId="0" borderId="39" xfId="0" applyNumberFormat="1" applyBorder="1"/>
    <xf numFmtId="1" fontId="0" fillId="0" borderId="19" xfId="0" applyNumberFormat="1" applyBorder="1"/>
    <xf numFmtId="1" fontId="0" fillId="0" borderId="41" xfId="0" applyNumberFormat="1" applyBorder="1"/>
    <xf numFmtId="1" fontId="0" fillId="0" borderId="16" xfId="2" applyNumberFormat="1" applyFont="1" applyBorder="1" applyAlignment="1">
      <alignment vertical="center"/>
    </xf>
    <xf numFmtId="1" fontId="0" fillId="0" borderId="14" xfId="0" applyNumberFormat="1" applyBorder="1" applyAlignment="1">
      <alignment vertical="center"/>
    </xf>
    <xf numFmtId="1" fontId="0" fillId="0" borderId="39" xfId="0" applyNumberFormat="1" applyBorder="1" applyAlignment="1">
      <alignment vertical="center"/>
    </xf>
    <xf numFmtId="1" fontId="0" fillId="0" borderId="19" xfId="0" applyNumberFormat="1" applyBorder="1" applyAlignment="1">
      <alignment vertical="center"/>
    </xf>
    <xf numFmtId="1" fontId="0" fillId="0" borderId="41" xfId="0" applyNumberFormat="1" applyBorder="1" applyAlignment="1">
      <alignment vertical="center"/>
    </xf>
    <xf numFmtId="1" fontId="7" fillId="0" borderId="14" xfId="0" applyNumberFormat="1" applyFont="1" applyBorder="1" applyAlignment="1">
      <alignment horizontal="center"/>
    </xf>
    <xf numFmtId="1" fontId="7" fillId="0" borderId="19" xfId="0" applyNumberFormat="1" applyFont="1" applyBorder="1" applyAlignment="1">
      <alignment horizontal="center"/>
    </xf>
    <xf numFmtId="1" fontId="0" fillId="0" borderId="31" xfId="2" applyNumberFormat="1" applyFont="1" applyBorder="1" applyAlignment="1">
      <alignment horizontal="center"/>
    </xf>
    <xf numFmtId="1" fontId="0" fillId="0" borderId="14" xfId="2" applyNumberFormat="1" applyFont="1" applyBorder="1" applyAlignment="1">
      <alignment horizontal="center"/>
    </xf>
    <xf numFmtId="1" fontId="0" fillId="0" borderId="52" xfId="2" applyNumberFormat="1" applyFont="1" applyBorder="1" applyAlignment="1">
      <alignment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61" xfId="0" applyBorder="1" applyAlignment="1">
      <alignment horizontal="center" vertical="center" wrapText="1"/>
    </xf>
    <xf numFmtId="1" fontId="0" fillId="0" borderId="2" xfId="5" applyNumberFormat="1" applyFont="1" applyBorder="1" applyAlignment="1">
      <alignment horizontal="center"/>
    </xf>
    <xf numFmtId="0" fontId="0" fillId="0" borderId="47" xfId="0" applyBorder="1"/>
    <xf numFmtId="9" fontId="0" fillId="0" borderId="0" xfId="1" applyFont="1" applyAlignment="1">
      <alignment horizontal="center"/>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wrapText="1"/>
    </xf>
    <xf numFmtId="0" fontId="6" fillId="0" borderId="28" xfId="0" applyFont="1" applyBorder="1" applyAlignment="1">
      <alignment horizontal="center"/>
    </xf>
    <xf numFmtId="0" fontId="6" fillId="0" borderId="25" xfId="0" applyFont="1" applyBorder="1" applyAlignment="1">
      <alignment horizontal="center"/>
    </xf>
    <xf numFmtId="0" fontId="6" fillId="0" borderId="21" xfId="0" applyFont="1" applyBorder="1" applyAlignment="1">
      <alignment horizontal="center"/>
    </xf>
    <xf numFmtId="0" fontId="6" fillId="0" borderId="53" xfId="0" applyFont="1" applyBorder="1" applyAlignment="1">
      <alignment horizontal="center"/>
    </xf>
    <xf numFmtId="1" fontId="6" fillId="0" borderId="21" xfId="0" applyNumberFormat="1" applyFont="1" applyBorder="1" applyAlignment="1">
      <alignment horizontal="center" vertical="center"/>
    </xf>
    <xf numFmtId="0" fontId="0" fillId="0" borderId="1" xfId="0" applyBorder="1"/>
    <xf numFmtId="1" fontId="0" fillId="0" borderId="2" xfId="0" applyNumberFormat="1" applyBorder="1"/>
    <xf numFmtId="0" fontId="8" fillId="0" borderId="7" xfId="0" applyFont="1" applyBorder="1"/>
    <xf numFmtId="0" fontId="0" fillId="0" borderId="46" xfId="0" applyBorder="1" applyAlignment="1">
      <alignment vertical="center"/>
    </xf>
    <xf numFmtId="0" fontId="0" fillId="0" borderId="9" xfId="0" applyBorder="1"/>
    <xf numFmtId="0" fontId="5" fillId="0" borderId="11"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49" xfId="0" applyBorder="1"/>
    <xf numFmtId="0" fontId="0" fillId="0" borderId="39" xfId="0" applyBorder="1" applyAlignment="1">
      <alignment horizontal="center" vertical="center"/>
    </xf>
    <xf numFmtId="0" fontId="0" fillId="0" borderId="10" xfId="0" applyBorder="1" applyAlignment="1">
      <alignment horizontal="center" vertical="center"/>
    </xf>
    <xf numFmtId="0" fontId="6" fillId="0" borderId="10" xfId="0" applyFont="1" applyBorder="1" applyAlignment="1">
      <alignment horizontal="center" vertical="center"/>
    </xf>
    <xf numFmtId="0" fontId="5" fillId="0" borderId="11" xfId="0" applyFont="1" applyBorder="1" applyAlignment="1">
      <alignment horizontal="center" vertical="center" wrapText="1"/>
    </xf>
    <xf numFmtId="0" fontId="6" fillId="0" borderId="28" xfId="0" applyFont="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0" fillId="0" borderId="8" xfId="0" applyBorder="1" applyAlignment="1">
      <alignment horizontal="center"/>
    </xf>
    <xf numFmtId="0" fontId="0" fillId="0" borderId="46" xfId="0" applyBorder="1" applyAlignment="1">
      <alignment horizontal="center"/>
    </xf>
    <xf numFmtId="0" fontId="0" fillId="0" borderId="14" xfId="0" applyBorder="1" applyAlignment="1">
      <alignment horizontal="center" vertical="center"/>
    </xf>
    <xf numFmtId="0" fontId="0" fillId="0" borderId="26" xfId="0" applyBorder="1"/>
    <xf numFmtId="2" fontId="0" fillId="0" borderId="54" xfId="0" applyNumberFormat="1" applyBorder="1" applyAlignment="1">
      <alignment horizontal="center" vertical="center"/>
    </xf>
    <xf numFmtId="2" fontId="0" fillId="0" borderId="52" xfId="0" applyNumberFormat="1" applyBorder="1" applyAlignment="1">
      <alignment horizontal="center" vertical="center"/>
    </xf>
    <xf numFmtId="2" fontId="0" fillId="0" borderId="19" xfId="0" applyNumberFormat="1" applyBorder="1" applyAlignment="1">
      <alignment horizontal="center" vertical="center"/>
    </xf>
    <xf numFmtId="2" fontId="0" fillId="0" borderId="31" xfId="0" applyNumberFormat="1" applyBorder="1" applyAlignment="1">
      <alignment horizontal="center" vertical="center"/>
    </xf>
    <xf numFmtId="2" fontId="0" fillId="0" borderId="0" xfId="0" applyNumberFormat="1" applyAlignment="1">
      <alignment horizontal="center"/>
    </xf>
    <xf numFmtId="2" fontId="0" fillId="0" borderId="39" xfId="0" applyNumberFormat="1" applyBorder="1"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0" fillId="0" borderId="15" xfId="0" applyBorder="1" applyAlignment="1">
      <alignment horizontal="center" vertical="center" wrapText="1"/>
    </xf>
    <xf numFmtId="0" fontId="0" fillId="0" borderId="22" xfId="0" applyBorder="1" applyAlignment="1">
      <alignment horizontal="center" vertical="center" wrapText="1"/>
    </xf>
    <xf numFmtId="0" fontId="5" fillId="0" borderId="14" xfId="0" applyFont="1" applyBorder="1" applyAlignment="1">
      <alignment horizontal="center" vertical="center"/>
    </xf>
    <xf numFmtId="0" fontId="0" fillId="0" borderId="19" xfId="0" applyBorder="1" applyAlignment="1">
      <alignment horizontal="center" vertical="center"/>
    </xf>
    <xf numFmtId="0" fontId="7" fillId="0" borderId="9" xfId="0" applyFont="1"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vertical="center"/>
    </xf>
    <xf numFmtId="0" fontId="0" fillId="0" borderId="45" xfId="0" applyBorder="1" applyAlignment="1">
      <alignment vertical="center"/>
    </xf>
    <xf numFmtId="0" fontId="0" fillId="0" borderId="0" xfId="0" applyAlignment="1">
      <alignment horizontal="left"/>
    </xf>
    <xf numFmtId="0" fontId="0" fillId="0" borderId="46" xfId="0" applyBorder="1" applyAlignment="1">
      <alignment horizontal="left"/>
    </xf>
    <xf numFmtId="9" fontId="0" fillId="0" borderId="0" xfId="6" applyFont="1" applyAlignment="1">
      <alignment horizontal="center"/>
    </xf>
    <xf numFmtId="9" fontId="0" fillId="0" borderId="46" xfId="6" applyFont="1" applyBorder="1" applyAlignment="1">
      <alignment horizontal="center"/>
    </xf>
    <xf numFmtId="9" fontId="0" fillId="0" borderId="47" xfId="6" applyFont="1" applyBorder="1" applyAlignment="1">
      <alignment horizontal="center"/>
    </xf>
    <xf numFmtId="9" fontId="0" fillId="0" borderId="0" xfId="6" applyFont="1" applyAlignment="1">
      <alignment horizontal="center" vertical="center"/>
    </xf>
    <xf numFmtId="0" fontId="0" fillId="0" borderId="24" xfId="0" applyBorder="1" applyAlignment="1">
      <alignment horizontal="center" vertical="center"/>
    </xf>
    <xf numFmtId="0" fontId="0" fillId="0" borderId="46" xfId="0" applyBorder="1" applyAlignment="1">
      <alignment horizontal="center" vertical="center"/>
    </xf>
    <xf numFmtId="1" fontId="0" fillId="0" borderId="14" xfId="5" applyNumberFormat="1" applyFont="1" applyBorder="1" applyAlignment="1">
      <alignment horizontal="center" vertical="center"/>
    </xf>
    <xf numFmtId="1" fontId="0" fillId="0" borderId="39" xfId="5" applyNumberFormat="1" applyFont="1" applyBorder="1" applyAlignment="1">
      <alignment horizontal="center" vertical="center"/>
    </xf>
    <xf numFmtId="1" fontId="0" fillId="0" borderId="41" xfId="5" applyNumberFormat="1" applyFont="1" applyBorder="1" applyAlignment="1">
      <alignment horizontal="center" vertical="center" wrapText="1"/>
    </xf>
    <xf numFmtId="1" fontId="0" fillId="0" borderId="2" xfId="5" applyNumberFormat="1" applyFont="1" applyBorder="1" applyAlignment="1">
      <alignment horizontal="center" vertical="center"/>
    </xf>
    <xf numFmtId="1" fontId="0" fillId="0" borderId="46" xfId="5" applyNumberFormat="1" applyFont="1" applyBorder="1" applyAlignment="1">
      <alignment horizontal="center" vertical="center"/>
    </xf>
    <xf numFmtId="1" fontId="0" fillId="0" borderId="2" xfId="5" applyNumberFormat="1" applyFont="1" applyBorder="1" applyAlignment="1">
      <alignment vertical="center"/>
    </xf>
    <xf numFmtId="1" fontId="0" fillId="0" borderId="46" xfId="5" applyNumberFormat="1" applyFont="1" applyBorder="1" applyAlignment="1">
      <alignment vertical="center"/>
    </xf>
    <xf numFmtId="1" fontId="0" fillId="0" borderId="46" xfId="5" applyNumberFormat="1" applyFont="1" applyBorder="1" applyAlignment="1">
      <alignment horizontal="center"/>
    </xf>
    <xf numFmtId="1" fontId="0" fillId="0" borderId="0" xfId="5" applyNumberFormat="1" applyFont="1" applyAlignment="1">
      <alignment vertical="center" wrapText="1"/>
    </xf>
    <xf numFmtId="1" fontId="0" fillId="0" borderId="42" xfId="1" applyNumberFormat="1" applyFont="1" applyBorder="1" applyAlignment="1">
      <alignment horizontal="center" vertical="center"/>
    </xf>
    <xf numFmtId="1" fontId="0" fillId="0" borderId="16" xfId="0" applyNumberFormat="1" applyBorder="1" applyAlignment="1">
      <alignment horizontal="center"/>
    </xf>
    <xf numFmtId="1" fontId="0" fillId="0" borderId="52" xfId="0" applyNumberFormat="1" applyBorder="1" applyAlignment="1">
      <alignment horizontal="center"/>
    </xf>
    <xf numFmtId="0" fontId="0" fillId="0" borderId="51" xfId="0" applyBorder="1" applyAlignment="1">
      <alignment horizontal="center"/>
    </xf>
    <xf numFmtId="0" fontId="0" fillId="0" borderId="22" xfId="0" applyBorder="1" applyAlignment="1">
      <alignment horizontal="center" vertical="center"/>
    </xf>
    <xf numFmtId="9" fontId="0" fillId="0" borderId="18" xfId="1" applyFont="1" applyBorder="1" applyAlignment="1">
      <alignment horizontal="center" vertical="center"/>
    </xf>
    <xf numFmtId="1" fontId="0" fillId="0" borderId="18" xfId="1" applyNumberFormat="1" applyFont="1" applyBorder="1" applyAlignment="1">
      <alignment horizontal="center" vertical="center"/>
    </xf>
    <xf numFmtId="9" fontId="0" fillId="0" borderId="46" xfId="6" applyFont="1" applyBorder="1" applyAlignment="1">
      <alignment horizontal="center" vertical="center"/>
    </xf>
    <xf numFmtId="9" fontId="0" fillId="0" borderId="47" xfId="6" applyFont="1" applyBorder="1" applyAlignment="1">
      <alignment horizontal="center" vertical="center"/>
    </xf>
    <xf numFmtId="0" fontId="0" fillId="0" borderId="51" xfId="0" applyBorder="1"/>
    <xf numFmtId="0" fontId="0" fillId="0" borderId="24" xfId="0" applyBorder="1"/>
    <xf numFmtId="0" fontId="0" fillId="0" borderId="0" xfId="2" applyNumberFormat="1" applyFont="1"/>
    <xf numFmtId="9" fontId="0" fillId="0" borderId="51" xfId="6" applyFont="1" applyBorder="1" applyAlignment="1">
      <alignment horizontal="center"/>
    </xf>
    <xf numFmtId="9" fontId="0" fillId="0" borderId="2" xfId="6" applyFont="1" applyBorder="1" applyAlignment="1">
      <alignment horizontal="center"/>
    </xf>
    <xf numFmtId="9" fontId="0" fillId="0" borderId="24" xfId="6" applyFont="1" applyBorder="1" applyAlignment="1">
      <alignment horizontal="center"/>
    </xf>
    <xf numFmtId="0" fontId="0" fillId="0" borderId="20" xfId="0" applyBorder="1" applyAlignment="1">
      <alignment horizontal="center" vertical="center"/>
    </xf>
    <xf numFmtId="0" fontId="0" fillId="0" borderId="27" xfId="0" applyBorder="1" applyAlignment="1">
      <alignment horizontal="center"/>
    </xf>
    <xf numFmtId="0" fontId="0" fillId="0" borderId="51" xfId="0" applyBorder="1" applyAlignment="1">
      <alignment horizontal="center" vertical="center"/>
    </xf>
    <xf numFmtId="0" fontId="0" fillId="0" borderId="47" xfId="0" applyBorder="1" applyAlignment="1">
      <alignment horizontal="center" vertical="center"/>
    </xf>
    <xf numFmtId="0" fontId="0" fillId="0" borderId="54" xfId="0" applyBorder="1" applyAlignment="1">
      <alignment horizontal="center" vertical="center"/>
    </xf>
    <xf numFmtId="0" fontId="0" fillId="0" borderId="57" xfId="0" applyBorder="1" applyAlignment="1">
      <alignment horizontal="center" vertical="center"/>
    </xf>
    <xf numFmtId="2" fontId="0" fillId="0" borderId="52" xfId="0" applyNumberFormat="1" applyBorder="1" applyAlignment="1">
      <alignment horizontal="center"/>
    </xf>
    <xf numFmtId="9" fontId="0" fillId="0" borderId="0" xfId="6" applyFont="1"/>
    <xf numFmtId="9" fontId="5" fillId="0" borderId="11" xfId="6" applyFont="1" applyBorder="1" applyAlignment="1">
      <alignment horizontal="center" vertical="center"/>
    </xf>
    <xf numFmtId="9" fontId="0" fillId="0" borderId="10" xfId="6" applyFont="1" applyBorder="1" applyAlignment="1">
      <alignment horizontal="center" vertical="center"/>
    </xf>
    <xf numFmtId="9" fontId="0" fillId="0" borderId="11" xfId="6" applyFont="1" applyBorder="1" applyAlignment="1">
      <alignment horizontal="center" vertical="center"/>
    </xf>
    <xf numFmtId="9" fontId="0" fillId="0" borderId="21" xfId="6" applyFont="1" applyBorder="1" applyAlignment="1">
      <alignment horizontal="center" vertical="center" wrapText="1"/>
    </xf>
    <xf numFmtId="9" fontId="0" fillId="0" borderId="54" xfId="6" applyFont="1" applyBorder="1" applyAlignment="1">
      <alignment horizontal="center"/>
    </xf>
    <xf numFmtId="9" fontId="0" fillId="0" borderId="57" xfId="6" applyFont="1" applyBorder="1" applyAlignment="1">
      <alignment horizontal="center"/>
    </xf>
    <xf numFmtId="9" fontId="0" fillId="0" borderId="14" xfId="6" applyFont="1" applyBorder="1" applyAlignment="1">
      <alignment horizontal="center"/>
    </xf>
    <xf numFmtId="9" fontId="0" fillId="0" borderId="39" xfId="6" applyFont="1" applyBorder="1" applyAlignment="1">
      <alignment horizontal="center"/>
    </xf>
    <xf numFmtId="9" fontId="0" fillId="0" borderId="0" xfId="6" applyFont="1" applyAlignment="1">
      <alignment vertical="center"/>
    </xf>
    <xf numFmtId="1" fontId="0" fillId="0" borderId="16" xfId="2" applyNumberFormat="1" applyFont="1" applyBorder="1" applyAlignment="1">
      <alignment horizontal="center" vertical="center"/>
    </xf>
    <xf numFmtId="1" fontId="0" fillId="0" borderId="39" xfId="0" applyNumberFormat="1" applyBorder="1" applyAlignment="1">
      <alignment horizontal="center" vertical="center"/>
    </xf>
    <xf numFmtId="1" fontId="0" fillId="0" borderId="41" xfId="0" applyNumberFormat="1" applyBorder="1" applyAlignment="1">
      <alignment horizontal="center" vertical="center"/>
    </xf>
    <xf numFmtId="1" fontId="0" fillId="0" borderId="10" xfId="0" applyNumberFormat="1" applyBorder="1" applyAlignment="1">
      <alignment horizontal="center" vertical="center"/>
    </xf>
    <xf numFmtId="1" fontId="0" fillId="0" borderId="20" xfId="0" applyNumberFormat="1" applyBorder="1" applyAlignment="1">
      <alignment horizontal="center" vertical="center" wrapText="1"/>
    </xf>
    <xf numFmtId="1" fontId="0" fillId="0" borderId="19" xfId="0" applyNumberFormat="1" applyBorder="1" applyAlignment="1">
      <alignment horizontal="center" vertical="center" wrapText="1"/>
    </xf>
    <xf numFmtId="1" fontId="0" fillId="0" borderId="18" xfId="0" applyNumberFormat="1" applyBorder="1" applyAlignment="1">
      <alignment horizontal="center" vertical="center" wrapText="1"/>
    </xf>
    <xf numFmtId="1" fontId="0" fillId="0" borderId="16" xfId="2" applyNumberFormat="1" applyFont="1" applyBorder="1" applyAlignment="1">
      <alignment horizontal="center"/>
    </xf>
    <xf numFmtId="1" fontId="0" fillId="0" borderId="0" xfId="2" applyNumberFormat="1" applyFont="1" applyAlignment="1">
      <alignment horizontal="center"/>
    </xf>
    <xf numFmtId="1" fontId="0" fillId="0" borderId="57" xfId="2" applyNumberFormat="1" applyFont="1" applyBorder="1" applyAlignment="1">
      <alignment horizontal="center"/>
    </xf>
    <xf numFmtId="1" fontId="0" fillId="0" borderId="52" xfId="2" applyNumberFormat="1" applyFont="1" applyBorder="1" applyAlignment="1">
      <alignment horizontal="center" vertical="center"/>
    </xf>
    <xf numFmtId="1" fontId="0" fillId="0" borderId="14" xfId="0" applyNumberFormat="1" applyBorder="1" applyAlignment="1">
      <alignment horizontal="center" vertical="center"/>
    </xf>
    <xf numFmtId="1" fontId="0" fillId="0" borderId="19" xfId="0" applyNumberFormat="1" applyBorder="1" applyAlignment="1">
      <alignment horizontal="center" vertical="center"/>
    </xf>
    <xf numFmtId="1" fontId="0" fillId="0" borderId="52" xfId="2" applyNumberFormat="1" applyFont="1" applyBorder="1" applyAlignment="1">
      <alignment horizontal="center"/>
    </xf>
    <xf numFmtId="1" fontId="0" fillId="0" borderId="54" xfId="2" applyNumberFormat="1" applyFont="1" applyBorder="1" applyAlignment="1">
      <alignment horizontal="center"/>
    </xf>
    <xf numFmtId="1" fontId="0" fillId="0" borderId="43" xfId="2" applyNumberFormat="1" applyFont="1" applyBorder="1" applyAlignment="1">
      <alignment horizontal="center"/>
    </xf>
    <xf numFmtId="1" fontId="0" fillId="0" borderId="18" xfId="0" applyNumberFormat="1" applyBorder="1" applyAlignment="1">
      <alignment horizontal="center"/>
    </xf>
    <xf numFmtId="1" fontId="0" fillId="0" borderId="11" xfId="2" applyNumberFormat="1" applyFont="1" applyBorder="1" applyAlignment="1">
      <alignment horizontal="center"/>
    </xf>
    <xf numFmtId="1" fontId="12" fillId="0" borderId="11" xfId="0" applyNumberFormat="1" applyFont="1" applyBorder="1" applyAlignment="1">
      <alignment horizontal="center"/>
    </xf>
    <xf numFmtId="1" fontId="1" fillId="0" borderId="11" xfId="2" applyNumberFormat="1" applyBorder="1" applyAlignment="1">
      <alignment horizontal="center"/>
    </xf>
    <xf numFmtId="1" fontId="0" fillId="0" borderId="42" xfId="2" applyNumberFormat="1" applyFont="1" applyBorder="1" applyAlignment="1">
      <alignment horizontal="center"/>
    </xf>
    <xf numFmtId="1" fontId="0" fillId="0" borderId="53" xfId="2" applyNumberFormat="1" applyFont="1" applyBorder="1" applyAlignment="1">
      <alignment horizontal="center"/>
    </xf>
    <xf numFmtId="1" fontId="0" fillId="0" borderId="42" xfId="5" applyNumberFormat="1" applyFont="1" applyBorder="1" applyAlignment="1">
      <alignment horizontal="center"/>
    </xf>
    <xf numFmtId="1" fontId="0" fillId="0" borderId="11" xfId="0" applyNumberFormat="1" applyBorder="1" applyAlignment="1">
      <alignment horizontal="center"/>
    </xf>
    <xf numFmtId="0" fontId="5" fillId="0" borderId="10" xfId="0" applyFont="1" applyBorder="1" applyAlignment="1">
      <alignment horizontal="center" vertical="center" wrapText="1"/>
    </xf>
    <xf numFmtId="1" fontId="0" fillId="0" borderId="18" xfId="0" applyNumberFormat="1" applyBorder="1" applyAlignment="1">
      <alignment vertical="center" wrapText="1"/>
    </xf>
    <xf numFmtId="1" fontId="0" fillId="0" borderId="11" xfId="5" applyNumberFormat="1" applyFont="1" applyBorder="1" applyAlignment="1">
      <alignment horizontal="center" vertical="center"/>
    </xf>
    <xf numFmtId="1" fontId="0" fillId="0" borderId="18" xfId="5" applyNumberFormat="1" applyFont="1" applyBorder="1" applyAlignment="1">
      <alignment horizontal="center" vertical="center" wrapText="1"/>
    </xf>
    <xf numFmtId="1" fontId="0" fillId="0" borderId="54" xfId="5" applyNumberFormat="1" applyFont="1" applyBorder="1" applyAlignment="1">
      <alignment horizontal="center" vertical="center"/>
    </xf>
    <xf numFmtId="1" fontId="7" fillId="0" borderId="16" xfId="0" applyNumberFormat="1" applyFont="1" applyBorder="1" applyAlignment="1">
      <alignment horizontal="center"/>
    </xf>
    <xf numFmtId="2" fontId="0" fillId="0" borderId="47" xfId="0" applyNumberFormat="1" applyBorder="1" applyAlignment="1">
      <alignment horizontal="center" vertical="center"/>
    </xf>
    <xf numFmtId="2" fontId="0" fillId="0" borderId="42" xfId="0" applyNumberFormat="1" applyBorder="1" applyAlignment="1">
      <alignment horizontal="center" vertical="center"/>
    </xf>
    <xf numFmtId="2" fontId="0" fillId="0" borderId="51" xfId="0" applyNumberFormat="1" applyBorder="1" applyAlignment="1">
      <alignment horizontal="center" vertical="center"/>
    </xf>
    <xf numFmtId="1" fontId="0" fillId="0" borderId="27" xfId="0" applyNumberFormat="1" applyBorder="1" applyAlignment="1">
      <alignment horizontal="center" vertical="center"/>
    </xf>
    <xf numFmtId="1" fontId="0" fillId="0" borderId="34" xfId="0" applyNumberFormat="1" applyBorder="1" applyAlignment="1">
      <alignment horizontal="center" vertical="center"/>
    </xf>
    <xf numFmtId="1" fontId="0" fillId="0" borderId="37" xfId="0" applyNumberFormat="1" applyBorder="1" applyAlignment="1">
      <alignment horizontal="center" vertical="center"/>
    </xf>
    <xf numFmtId="1" fontId="0" fillId="0" borderId="0" xfId="5" applyNumberFormat="1" applyFont="1" applyAlignment="1">
      <alignment horizontal="center" vertical="center" wrapText="1"/>
    </xf>
    <xf numFmtId="0" fontId="0" fillId="0" borderId="54" xfId="0" applyBorder="1"/>
    <xf numFmtId="2" fontId="0" fillId="0" borderId="14" xfId="0" applyNumberFormat="1" applyBorder="1" applyAlignment="1">
      <alignment horizontal="center" vertical="center"/>
    </xf>
    <xf numFmtId="2" fontId="0" fillId="0" borderId="10" xfId="0" applyNumberFormat="1" applyBorder="1" applyAlignment="1">
      <alignment horizontal="center" vertical="center"/>
    </xf>
    <xf numFmtId="2" fontId="0" fillId="0" borderId="20" xfId="0" applyNumberFormat="1" applyBorder="1" applyAlignment="1">
      <alignment horizontal="center" vertical="center" wrapText="1"/>
    </xf>
    <xf numFmtId="2" fontId="0" fillId="0" borderId="5" xfId="2" applyNumberFormat="1" applyFont="1" applyBorder="1" applyAlignment="1">
      <alignment horizontal="center" vertical="center"/>
    </xf>
    <xf numFmtId="2" fontId="0" fillId="0" borderId="16" xfId="2" applyNumberFormat="1" applyFont="1" applyBorder="1" applyAlignment="1">
      <alignment horizontal="center"/>
    </xf>
    <xf numFmtId="2" fontId="0" fillId="0" borderId="41" xfId="0" applyNumberFormat="1" applyBorder="1" applyAlignment="1">
      <alignment horizontal="center"/>
    </xf>
    <xf numFmtId="2" fontId="0" fillId="0" borderId="5" xfId="2" applyNumberFormat="1" applyFont="1" applyBorder="1" applyAlignment="1">
      <alignment horizontal="center"/>
    </xf>
    <xf numFmtId="2" fontId="0" fillId="0" borderId="39" xfId="2" applyNumberFormat="1" applyFont="1" applyBorder="1" applyAlignment="1">
      <alignment horizontal="center"/>
    </xf>
    <xf numFmtId="2" fontId="7" fillId="0" borderId="39" xfId="0" applyNumberFormat="1" applyFont="1" applyBorder="1" applyAlignment="1">
      <alignment horizontal="center"/>
    </xf>
    <xf numFmtId="2" fontId="0" fillId="0" borderId="57" xfId="2" applyNumberFormat="1" applyFont="1" applyBorder="1" applyAlignment="1">
      <alignment horizontal="center"/>
    </xf>
    <xf numFmtId="2" fontId="0" fillId="0" borderId="16" xfId="2" applyNumberFormat="1" applyFont="1" applyBorder="1" applyAlignment="1">
      <alignment horizontal="center" vertical="center"/>
    </xf>
    <xf numFmtId="2" fontId="0" fillId="0" borderId="39" xfId="0" applyNumberFormat="1" applyBorder="1" applyAlignment="1">
      <alignment horizontal="center" vertical="center"/>
    </xf>
    <xf numFmtId="2" fontId="0" fillId="0" borderId="41" xfId="0" applyNumberFormat="1" applyBorder="1" applyAlignment="1">
      <alignment horizontal="center" vertical="center"/>
    </xf>
    <xf numFmtId="2" fontId="0" fillId="0" borderId="16" xfId="0" applyNumberFormat="1" applyBorder="1" applyAlignment="1">
      <alignment horizontal="center"/>
    </xf>
    <xf numFmtId="1" fontId="0" fillId="0" borderId="5" xfId="0" applyNumberFormat="1" applyBorder="1" applyAlignment="1">
      <alignment horizontal="center"/>
    </xf>
    <xf numFmtId="2" fontId="0" fillId="0" borderId="59" xfId="2" applyNumberFormat="1" applyFont="1" applyBorder="1" applyAlignment="1">
      <alignment horizontal="center" vertical="center"/>
    </xf>
    <xf numFmtId="2" fontId="0" fillId="0" borderId="60" xfId="2" applyNumberFormat="1" applyFont="1" applyBorder="1" applyAlignment="1">
      <alignment horizontal="center"/>
    </xf>
    <xf numFmtId="2" fontId="0" fillId="0" borderId="10" xfId="0" applyNumberFormat="1" applyBorder="1" applyAlignment="1">
      <alignment horizontal="center"/>
    </xf>
    <xf numFmtId="2" fontId="0" fillId="0" borderId="20" xfId="0" applyNumberFormat="1" applyBorder="1" applyAlignment="1">
      <alignment horizontal="center"/>
    </xf>
    <xf numFmtId="2" fontId="0" fillId="0" borderId="59" xfId="2" applyNumberFormat="1" applyFont="1" applyBorder="1" applyAlignment="1">
      <alignment horizontal="center"/>
    </xf>
    <xf numFmtId="2" fontId="0" fillId="0" borderId="10" xfId="2" applyNumberFormat="1" applyFont="1" applyBorder="1" applyAlignment="1">
      <alignment horizontal="center"/>
    </xf>
    <xf numFmtId="2" fontId="7" fillId="0" borderId="10" xfId="0" applyNumberFormat="1" applyFont="1" applyBorder="1" applyAlignment="1">
      <alignment horizontal="center"/>
    </xf>
    <xf numFmtId="2" fontId="0" fillId="0" borderId="60" xfId="2" applyNumberFormat="1" applyFont="1" applyBorder="1" applyAlignment="1">
      <alignment horizontal="center" vertical="center"/>
    </xf>
    <xf numFmtId="2" fontId="0" fillId="0" borderId="20" xfId="0" applyNumberFormat="1" applyBorder="1" applyAlignment="1">
      <alignment horizontal="center" vertical="center"/>
    </xf>
    <xf numFmtId="2" fontId="0" fillId="0" borderId="60" xfId="0" applyNumberFormat="1" applyBorder="1" applyAlignment="1">
      <alignment horizontal="center"/>
    </xf>
    <xf numFmtId="1" fontId="7" fillId="0" borderId="5" xfId="2" applyNumberFormat="1" applyFont="1" applyBorder="1" applyAlignment="1">
      <alignment horizontal="center" vertical="center"/>
    </xf>
    <xf numFmtId="2" fontId="0" fillId="0" borderId="1" xfId="0" applyNumberFormat="1" applyBorder="1"/>
    <xf numFmtId="2" fontId="0" fillId="0" borderId="2" xfId="0" applyNumberFormat="1" applyBorder="1"/>
    <xf numFmtId="2" fontId="0" fillId="0" borderId="7" xfId="0" applyNumberFormat="1" applyBorder="1"/>
    <xf numFmtId="2" fontId="0" fillId="0" borderId="0" xfId="0" applyNumberFormat="1"/>
    <xf numFmtId="2" fontId="0" fillId="0" borderId="45" xfId="0" applyNumberFormat="1" applyBorder="1"/>
    <xf numFmtId="2" fontId="0" fillId="0" borderId="46" xfId="0" applyNumberFormat="1" applyBorder="1"/>
    <xf numFmtId="0" fontId="0" fillId="0" borderId="55" xfId="0" applyBorder="1" applyAlignment="1">
      <alignment horizontal="center"/>
    </xf>
    <xf numFmtId="2" fontId="0" fillId="0" borderId="2" xfId="0" applyNumberFormat="1" applyBorder="1" applyAlignment="1">
      <alignment horizontal="center"/>
    </xf>
    <xf numFmtId="0" fontId="0" fillId="0" borderId="46" xfId="0" applyBorder="1" applyAlignment="1">
      <alignment horizontal="center" wrapText="1"/>
    </xf>
    <xf numFmtId="9" fontId="0" fillId="0" borderId="10" xfId="6" applyFont="1" applyBorder="1" applyAlignment="1">
      <alignment horizontal="center"/>
    </xf>
    <xf numFmtId="0" fontId="0" fillId="0" borderId="52" xfId="0" applyBorder="1"/>
    <xf numFmtId="0" fontId="0" fillId="0" borderId="60" xfId="0" applyBorder="1"/>
    <xf numFmtId="0" fontId="2" fillId="0" borderId="52" xfId="0" applyFont="1" applyBorder="1"/>
    <xf numFmtId="0" fontId="2" fillId="0" borderId="16" xfId="0" applyFont="1" applyBorder="1"/>
    <xf numFmtId="0" fontId="2" fillId="0" borderId="60" xfId="0" applyFont="1" applyBorder="1"/>
    <xf numFmtId="0" fontId="2" fillId="0" borderId="0" xfId="0" applyFont="1"/>
    <xf numFmtId="0" fontId="6" fillId="0" borderId="52" xfId="0" applyFont="1" applyBorder="1"/>
    <xf numFmtId="0" fontId="6" fillId="0" borderId="16" xfId="0" applyFont="1" applyBorder="1"/>
    <xf numFmtId="0" fontId="6" fillId="0" borderId="60" xfId="0" applyFont="1" applyBorder="1"/>
    <xf numFmtId="0" fontId="6" fillId="0" borderId="0" xfId="0" applyFont="1"/>
    <xf numFmtId="0" fontId="0" fillId="0" borderId="14" xfId="0" applyBorder="1"/>
    <xf numFmtId="0" fontId="0" fillId="0" borderId="28" xfId="0" applyBorder="1" applyAlignment="1">
      <alignment horizontal="center" vertical="top"/>
    </xf>
    <xf numFmtId="0" fontId="0" fillId="0" borderId="51" xfId="0" applyBorder="1" applyAlignment="1">
      <alignment horizontal="center" vertical="top"/>
    </xf>
    <xf numFmtId="0" fontId="0" fillId="0" borderId="25" xfId="0" applyBorder="1" applyAlignment="1">
      <alignment horizontal="center" vertical="top"/>
    </xf>
    <xf numFmtId="0" fontId="0" fillId="0" borderId="21" xfId="0" applyBorder="1" applyAlignment="1">
      <alignment horizontal="center" vertical="top"/>
    </xf>
    <xf numFmtId="0" fontId="0" fillId="0" borderId="47" xfId="0" applyBorder="1" applyAlignment="1">
      <alignment horizontal="center" vertical="top"/>
    </xf>
    <xf numFmtId="0" fontId="0" fillId="0" borderId="53" xfId="0" applyBorder="1" applyAlignment="1">
      <alignment horizontal="center" vertical="top"/>
    </xf>
    <xf numFmtId="0" fontId="0" fillId="0" borderId="54" xfId="0" applyBorder="1" applyAlignment="1">
      <alignment horizontal="center" vertical="top"/>
    </xf>
    <xf numFmtId="9" fontId="0" fillId="0" borderId="21" xfId="0" applyNumberFormat="1" applyBorder="1" applyAlignment="1">
      <alignment horizontal="center"/>
    </xf>
    <xf numFmtId="1" fontId="6" fillId="0" borderId="25" xfId="0" applyNumberFormat="1" applyFont="1" applyBorder="1" applyAlignment="1">
      <alignment horizontal="center" vertical="center"/>
    </xf>
    <xf numFmtId="9" fontId="0" fillId="0" borderId="25" xfId="0" applyNumberFormat="1" applyBorder="1" applyAlignment="1">
      <alignment horizontal="center"/>
    </xf>
    <xf numFmtId="2" fontId="0" fillId="0" borderId="0" xfId="2" applyNumberFormat="1" applyFont="1" applyAlignment="1">
      <alignment horizontal="center"/>
    </xf>
    <xf numFmtId="1" fontId="0" fillId="0" borderId="57" xfId="5" applyNumberFormat="1" applyFont="1" applyBorder="1" applyAlignment="1">
      <alignment vertical="center"/>
    </xf>
    <xf numFmtId="0" fontId="0" fillId="0" borderId="54" xfId="0" applyBorder="1" applyAlignment="1">
      <alignment horizontal="center"/>
    </xf>
    <xf numFmtId="1" fontId="0" fillId="0" borderId="2" xfId="2" applyNumberFormat="1" applyFont="1" applyBorder="1" applyAlignment="1">
      <alignment horizontal="center"/>
    </xf>
    <xf numFmtId="2" fontId="0" fillId="0" borderId="2" xfId="2" applyNumberFormat="1" applyFont="1" applyBorder="1" applyAlignment="1">
      <alignment horizontal="center"/>
    </xf>
    <xf numFmtId="1" fontId="0" fillId="0" borderId="51" xfId="2" applyNumberFormat="1" applyFont="1" applyBorder="1" applyAlignment="1">
      <alignment horizontal="center"/>
    </xf>
    <xf numFmtId="2" fontId="0" fillId="0" borderId="24" xfId="2" applyNumberFormat="1" applyFont="1" applyBorder="1" applyAlignment="1">
      <alignment horizontal="center"/>
    </xf>
    <xf numFmtId="0" fontId="0" fillId="0" borderId="0" xfId="0" applyAlignment="1">
      <alignment horizontal="right"/>
    </xf>
    <xf numFmtId="2" fontId="0" fillId="0" borderId="57" xfId="0" applyNumberFormat="1" applyBorder="1" applyAlignment="1">
      <alignment horizontal="center"/>
    </xf>
    <xf numFmtId="2" fontId="0" fillId="0" borderId="24" xfId="0" applyNumberFormat="1" applyBorder="1" applyAlignment="1">
      <alignment horizontal="center" vertical="center"/>
    </xf>
    <xf numFmtId="0" fontId="7" fillId="0" borderId="9" xfId="0" applyFont="1" applyBorder="1" applyAlignment="1">
      <alignment horizontal="center" vertical="center"/>
    </xf>
    <xf numFmtId="0" fontId="0" fillId="0" borderId="63" xfId="0" applyBorder="1" applyAlignment="1">
      <alignment horizontal="center"/>
    </xf>
    <xf numFmtId="2" fontId="0" fillId="0" borderId="24" xfId="6" applyNumberFormat="1" applyFont="1" applyBorder="1" applyAlignment="1">
      <alignment horizontal="center"/>
    </xf>
    <xf numFmtId="2" fontId="0" fillId="0" borderId="21" xfId="6" applyNumberFormat="1" applyFont="1" applyBorder="1" applyAlignment="1">
      <alignment horizontal="center"/>
    </xf>
    <xf numFmtId="0" fontId="0" fillId="0" borderId="2" xfId="0" applyBorder="1" applyAlignment="1">
      <alignment horizontal="left"/>
    </xf>
    <xf numFmtId="0" fontId="0" fillId="0" borderId="48" xfId="0" applyBorder="1" applyAlignment="1">
      <alignment horizontal="center"/>
    </xf>
    <xf numFmtId="9" fontId="0" fillId="0" borderId="46" xfId="0" applyNumberFormat="1" applyBorder="1" applyAlignment="1">
      <alignment horizontal="center"/>
    </xf>
    <xf numFmtId="9" fontId="0" fillId="0" borderId="0" xfId="0" applyNumberFormat="1" applyAlignment="1">
      <alignment horizontal="center"/>
    </xf>
    <xf numFmtId="9" fontId="0" fillId="0" borderId="2" xfId="0" applyNumberFormat="1" applyBorder="1" applyAlignment="1">
      <alignment horizontal="center"/>
    </xf>
    <xf numFmtId="1" fontId="0" fillId="0" borderId="28" xfId="1" applyNumberFormat="1" applyFont="1" applyBorder="1" applyAlignment="1">
      <alignment horizontal="center" vertical="center"/>
    </xf>
    <xf numFmtId="1" fontId="0" fillId="0" borderId="25" xfId="1" applyNumberFormat="1" applyFont="1" applyBorder="1" applyAlignment="1">
      <alignment horizontal="center" vertical="center"/>
    </xf>
    <xf numFmtId="1" fontId="0" fillId="0" borderId="21" xfId="1" applyNumberFormat="1" applyFont="1" applyBorder="1" applyAlignment="1">
      <alignment horizontal="center" vertical="center"/>
    </xf>
    <xf numFmtId="0" fontId="13" fillId="0" borderId="0" xfId="0" applyFont="1"/>
    <xf numFmtId="0" fontId="14" fillId="0" borderId="0" xfId="0" applyFont="1"/>
    <xf numFmtId="1" fontId="0" fillId="0" borderId="20" xfId="0" applyNumberFormat="1" applyBorder="1" applyAlignment="1">
      <alignment horizontal="center"/>
    </xf>
    <xf numFmtId="9" fontId="0" fillId="0" borderId="24" xfId="0" applyNumberFormat="1" applyBorder="1" applyAlignment="1">
      <alignment horizontal="center" vertical="top"/>
    </xf>
    <xf numFmtId="2" fontId="0" fillId="0" borderId="51" xfId="0" applyNumberFormat="1" applyBorder="1" applyAlignment="1">
      <alignment horizontal="center"/>
    </xf>
    <xf numFmtId="9" fontId="0" fillId="0" borderId="62" xfId="6" applyFont="1" applyBorder="1" applyAlignment="1">
      <alignment horizontal="center"/>
    </xf>
    <xf numFmtId="1" fontId="0" fillId="0" borderId="18" xfId="2" applyNumberFormat="1" applyFont="1" applyBorder="1" applyAlignment="1">
      <alignment horizontal="center"/>
    </xf>
    <xf numFmtId="1" fontId="0" fillId="0" borderId="41" xfId="2" applyNumberFormat="1" applyFont="1" applyBorder="1" applyAlignment="1">
      <alignment horizontal="center" vertical="center"/>
    </xf>
    <xf numFmtId="2" fontId="0" fillId="0" borderId="41" xfId="2" applyNumberFormat="1" applyFont="1" applyBorder="1" applyAlignment="1">
      <alignment horizontal="center" vertical="center"/>
    </xf>
    <xf numFmtId="1" fontId="0" fillId="0" borderId="19" xfId="2" applyNumberFormat="1" applyFont="1" applyBorder="1" applyAlignment="1">
      <alignment horizontal="center" vertical="center"/>
    </xf>
    <xf numFmtId="2" fontId="0" fillId="0" borderId="20" xfId="2" applyNumberFormat="1" applyFont="1" applyBorder="1" applyAlignment="1">
      <alignment horizontal="center" vertical="center"/>
    </xf>
    <xf numFmtId="0" fontId="0" fillId="0" borderId="45" xfId="0" applyBorder="1" applyAlignment="1">
      <alignment horizontal="right"/>
    </xf>
    <xf numFmtId="0" fontId="0" fillId="0" borderId="46" xfId="0" applyBorder="1" applyAlignment="1">
      <alignment horizontal="right"/>
    </xf>
    <xf numFmtId="2" fontId="0" fillId="0" borderId="41" xfId="0" applyNumberFormat="1" applyBorder="1" applyAlignment="1">
      <alignment horizontal="center" vertical="center" wrapText="1"/>
    </xf>
    <xf numFmtId="1" fontId="8" fillId="0" borderId="8" xfId="0" applyNumberFormat="1" applyFont="1" applyBorder="1" applyAlignment="1">
      <alignment horizontal="center"/>
    </xf>
    <xf numFmtId="1" fontId="2" fillId="0" borderId="54" xfId="2" applyNumberFormat="1" applyFont="1" applyBorder="1" applyAlignment="1">
      <alignment horizontal="center"/>
    </xf>
    <xf numFmtId="1" fontId="7" fillId="0" borderId="59" xfId="2" applyNumberFormat="1" applyFont="1" applyBorder="1" applyAlignment="1">
      <alignment horizontal="center" vertical="center"/>
    </xf>
    <xf numFmtId="1" fontId="0" fillId="0" borderId="60" xfId="2" applyNumberFormat="1" applyFont="1" applyBorder="1" applyAlignment="1">
      <alignment horizontal="center"/>
    </xf>
    <xf numFmtId="1" fontId="0" fillId="0" borderId="10" xfId="0" applyNumberFormat="1" applyBorder="1" applyAlignment="1">
      <alignment horizontal="center"/>
    </xf>
    <xf numFmtId="1" fontId="0" fillId="0" borderId="59" xfId="2" applyNumberFormat="1" applyFont="1" applyBorder="1" applyAlignment="1">
      <alignment horizontal="center"/>
    </xf>
    <xf numFmtId="1" fontId="0" fillId="0" borderId="10" xfId="2" applyNumberFormat="1" applyFont="1" applyBorder="1" applyAlignment="1">
      <alignment horizontal="center"/>
    </xf>
    <xf numFmtId="1" fontId="7" fillId="0" borderId="10" xfId="0" applyNumberFormat="1" applyFont="1" applyBorder="1" applyAlignment="1">
      <alignment horizontal="center"/>
    </xf>
    <xf numFmtId="1" fontId="0" fillId="0" borderId="24" xfId="2" applyNumberFormat="1" applyFont="1" applyBorder="1" applyAlignment="1">
      <alignment horizontal="center"/>
    </xf>
    <xf numFmtId="1" fontId="0" fillId="0" borderId="60" xfId="0" applyNumberFormat="1" applyBorder="1" applyAlignment="1">
      <alignment horizontal="center"/>
    </xf>
    <xf numFmtId="1" fontId="0" fillId="0" borderId="59" xfId="2" applyNumberFormat="1" applyFont="1" applyBorder="1" applyAlignment="1">
      <alignment horizontal="center" vertical="center"/>
    </xf>
    <xf numFmtId="1" fontId="0" fillId="0" borderId="20" xfId="2" applyNumberFormat="1" applyFont="1" applyBorder="1" applyAlignment="1">
      <alignment horizontal="center" vertical="center"/>
    </xf>
    <xf numFmtId="0" fontId="4" fillId="0" borderId="0" xfId="4" applyAlignment="1">
      <alignment horizontal="left"/>
    </xf>
    <xf numFmtId="0" fontId="4" fillId="0" borderId="0" xfId="4" applyAlignment="1">
      <alignment horizontal="left" vertical="center"/>
    </xf>
    <xf numFmtId="1" fontId="0" fillId="0" borderId="64" xfId="0" applyNumberFormat="1" applyBorder="1" applyAlignment="1">
      <alignment horizontal="center"/>
    </xf>
    <xf numFmtId="2" fontId="0" fillId="0" borderId="64" xfId="0" applyNumberFormat="1" applyBorder="1" applyAlignment="1">
      <alignment horizontal="center"/>
    </xf>
    <xf numFmtId="1" fontId="2" fillId="0" borderId="64" xfId="0" applyNumberFormat="1" applyFont="1" applyBorder="1" applyAlignment="1">
      <alignment horizontal="center"/>
    </xf>
    <xf numFmtId="0" fontId="0" fillId="0" borderId="64" xfId="0" applyBorder="1" applyAlignment="1">
      <alignment horizontal="center"/>
    </xf>
    <xf numFmtId="0" fontId="0" fillId="0" borderId="64" xfId="0" applyBorder="1"/>
    <xf numFmtId="9" fontId="0" fillId="0" borderId="64" xfId="6" applyFont="1" applyBorder="1" applyAlignment="1">
      <alignment horizontal="center"/>
    </xf>
    <xf numFmtId="0" fontId="0" fillId="0" borderId="62" xfId="0" applyBorder="1"/>
    <xf numFmtId="0" fontId="2" fillId="0" borderId="62" xfId="0" applyFont="1" applyBorder="1"/>
    <xf numFmtId="0" fontId="2" fillId="0" borderId="64" xfId="0" applyFont="1" applyBorder="1"/>
    <xf numFmtId="0" fontId="6" fillId="0" borderId="62" xfId="0" applyFont="1" applyBorder="1"/>
    <xf numFmtId="0" fontId="6" fillId="0" borderId="64" xfId="0" applyFont="1" applyBorder="1"/>
    <xf numFmtId="9" fontId="0" fillId="0" borderId="25" xfId="1" applyFont="1" applyBorder="1" applyAlignment="1">
      <alignment horizontal="center" vertical="center"/>
    </xf>
    <xf numFmtId="2" fontId="0" fillId="0" borderId="28" xfId="0" applyNumberFormat="1" applyBorder="1" applyAlignment="1">
      <alignment horizontal="center" vertical="center"/>
    </xf>
    <xf numFmtId="0" fontId="0" fillId="0" borderId="21" xfId="0" applyBorder="1" applyAlignment="1">
      <alignment horizontal="center" vertical="center"/>
    </xf>
    <xf numFmtId="0" fontId="0" fillId="0" borderId="34" xfId="0" applyBorder="1" applyAlignment="1">
      <alignment horizontal="center" vertical="center"/>
    </xf>
    <xf numFmtId="0" fontId="0" fillId="0" borderId="57" xfId="0" applyBorder="1" applyAlignment="1">
      <alignment horizontal="center"/>
    </xf>
    <xf numFmtId="164" fontId="0" fillId="0" borderId="0" xfId="6" applyNumberFormat="1" applyFont="1" applyAlignment="1">
      <alignment horizontal="center"/>
    </xf>
    <xf numFmtId="165" fontId="0" fillId="0" borderId="0" xfId="0" applyNumberFormat="1" applyAlignment="1">
      <alignment horizontal="center"/>
    </xf>
    <xf numFmtId="164" fontId="0" fillId="0" borderId="0" xfId="6" applyNumberFormat="1" applyFont="1"/>
    <xf numFmtId="164" fontId="0" fillId="0" borderId="11" xfId="6" applyNumberFormat="1" applyFont="1" applyBorder="1" applyAlignment="1">
      <alignment horizontal="center" vertical="center"/>
    </xf>
    <xf numFmtId="165" fontId="5" fillId="0" borderId="11" xfId="0" applyNumberFormat="1" applyFont="1" applyBorder="1" applyAlignment="1">
      <alignment horizontal="center" vertical="center"/>
    </xf>
    <xf numFmtId="165" fontId="0" fillId="0" borderId="11" xfId="0" applyNumberFormat="1" applyBorder="1" applyAlignment="1">
      <alignment horizontal="center" vertical="center"/>
    </xf>
    <xf numFmtId="164" fontId="0" fillId="0" borderId="18" xfId="6" applyNumberFormat="1" applyFont="1" applyBorder="1" applyAlignment="1">
      <alignment horizontal="center" vertical="center"/>
    </xf>
    <xf numFmtId="165" fontId="0" fillId="0" borderId="18" xfId="0" applyNumberFormat="1" applyBorder="1" applyAlignment="1">
      <alignment horizontal="center" vertical="center" wrapText="1"/>
    </xf>
    <xf numFmtId="166" fontId="0" fillId="0" borderId="28" xfId="0" applyNumberFormat="1" applyBorder="1" applyAlignment="1">
      <alignment horizontal="center" vertical="center"/>
    </xf>
    <xf numFmtId="165" fontId="0" fillId="0" borderId="29" xfId="0" applyNumberFormat="1" applyBorder="1" applyAlignment="1">
      <alignment horizontal="center" vertical="center"/>
    </xf>
    <xf numFmtId="166" fontId="0" fillId="0" borderId="2" xfId="5" applyNumberFormat="1" applyFont="1" applyBorder="1" applyAlignment="1">
      <alignment horizontal="center" vertical="center"/>
    </xf>
    <xf numFmtId="165" fontId="0" fillId="0" borderId="27" xfId="0" applyNumberFormat="1" applyBorder="1" applyAlignment="1">
      <alignment horizontal="center"/>
    </xf>
    <xf numFmtId="164" fontId="0" fillId="0" borderId="2" xfId="6" applyNumberFormat="1" applyFont="1" applyBorder="1" applyAlignment="1">
      <alignment horizontal="center"/>
    </xf>
    <xf numFmtId="165" fontId="0" fillId="0" borderId="2" xfId="0" applyNumberFormat="1" applyBorder="1" applyAlignment="1">
      <alignment horizontal="center"/>
    </xf>
    <xf numFmtId="164" fontId="0" fillId="0" borderId="2" xfId="6" applyNumberFormat="1" applyFont="1" applyBorder="1"/>
    <xf numFmtId="166" fontId="0" fillId="0" borderId="25" xfId="0" applyNumberFormat="1" applyBorder="1" applyAlignment="1">
      <alignment horizontal="center" vertical="center"/>
    </xf>
    <xf numFmtId="165" fontId="0" fillId="0" borderId="34" xfId="0" applyNumberFormat="1" applyBorder="1" applyAlignment="1">
      <alignment horizontal="center"/>
    </xf>
    <xf numFmtId="165" fontId="0" fillId="0" borderId="38" xfId="0" applyNumberFormat="1" applyBorder="1" applyAlignment="1">
      <alignment horizontal="center" vertical="center"/>
    </xf>
    <xf numFmtId="166" fontId="0" fillId="0" borderId="46" xfId="5" applyNumberFormat="1" applyFont="1" applyBorder="1" applyAlignment="1">
      <alignment horizontal="center" vertical="center"/>
    </xf>
    <xf numFmtId="165" fontId="0" fillId="0" borderId="37" xfId="0" applyNumberFormat="1" applyBorder="1" applyAlignment="1">
      <alignment horizontal="center"/>
    </xf>
    <xf numFmtId="164" fontId="0" fillId="0" borderId="46" xfId="6" applyNumberFormat="1" applyFont="1" applyBorder="1" applyAlignment="1">
      <alignment horizontal="center"/>
    </xf>
    <xf numFmtId="165" fontId="0" fillId="0" borderId="46" xfId="0" applyNumberFormat="1" applyBorder="1" applyAlignment="1">
      <alignment horizontal="center"/>
    </xf>
    <xf numFmtId="164" fontId="0" fillId="0" borderId="46" xfId="6" applyNumberFormat="1" applyFont="1" applyBorder="1"/>
    <xf numFmtId="165" fontId="0" fillId="0" borderId="29" xfId="0" applyNumberFormat="1" applyBorder="1" applyAlignment="1">
      <alignment horizontal="center"/>
    </xf>
    <xf numFmtId="165" fontId="0" fillId="0" borderId="36" xfId="0" applyNumberFormat="1" applyBorder="1" applyAlignment="1">
      <alignment horizontal="center"/>
    </xf>
    <xf numFmtId="165" fontId="0" fillId="0" borderId="55" xfId="0" applyNumberFormat="1" applyBorder="1" applyAlignment="1">
      <alignment horizontal="center"/>
    </xf>
    <xf numFmtId="164" fontId="0" fillId="0" borderId="57" xfId="6" applyNumberFormat="1" applyFont="1" applyBorder="1" applyAlignment="1">
      <alignment horizontal="center"/>
    </xf>
    <xf numFmtId="165" fontId="0" fillId="0" borderId="57" xfId="0" applyNumberFormat="1" applyBorder="1" applyAlignment="1">
      <alignment horizontal="center"/>
    </xf>
    <xf numFmtId="164" fontId="0" fillId="0" borderId="57" xfId="6" applyNumberFormat="1" applyFont="1" applyBorder="1"/>
    <xf numFmtId="166" fontId="0" fillId="0" borderId="14" xfId="0" applyNumberFormat="1" applyBorder="1"/>
    <xf numFmtId="166" fontId="0" fillId="0" borderId="39" xfId="0" applyNumberFormat="1" applyBorder="1"/>
    <xf numFmtId="166" fontId="0" fillId="0" borderId="7" xfId="0" applyNumberFormat="1" applyBorder="1" applyAlignment="1">
      <alignment horizontal="center"/>
    </xf>
    <xf numFmtId="165" fontId="0" fillId="0" borderId="32" xfId="0" applyNumberFormat="1" applyBorder="1" applyAlignment="1">
      <alignment horizontal="center"/>
    </xf>
    <xf numFmtId="166" fontId="0" fillId="0" borderId="42" xfId="0" applyNumberFormat="1" applyBorder="1" applyAlignment="1">
      <alignment horizontal="center" vertical="center"/>
    </xf>
    <xf numFmtId="165" fontId="0" fillId="0" borderId="15" xfId="0" applyNumberFormat="1" applyBorder="1" applyAlignment="1">
      <alignment horizontal="center"/>
    </xf>
    <xf numFmtId="165" fontId="0" fillId="0" borderId="38" xfId="0" applyNumberFormat="1" applyBorder="1" applyAlignment="1">
      <alignment horizontal="center"/>
    </xf>
    <xf numFmtId="166" fontId="0" fillId="0" borderId="45" xfId="0" applyNumberFormat="1" applyBorder="1" applyAlignment="1">
      <alignment horizontal="center"/>
    </xf>
    <xf numFmtId="165" fontId="0" fillId="0" borderId="7" xfId="0" applyNumberFormat="1" applyBorder="1" applyAlignment="1">
      <alignment horizontal="center"/>
    </xf>
    <xf numFmtId="165" fontId="0" fillId="0" borderId="15" xfId="0" applyNumberFormat="1" applyBorder="1" applyAlignment="1">
      <alignment horizontal="center" vertical="center"/>
    </xf>
    <xf numFmtId="165" fontId="0" fillId="0" borderId="36" xfId="0" applyNumberFormat="1" applyBorder="1" applyAlignment="1">
      <alignment horizontal="center" vertical="center"/>
    </xf>
    <xf numFmtId="165" fontId="0" fillId="0" borderId="45" xfId="0" applyNumberFormat="1" applyBorder="1" applyAlignment="1">
      <alignment horizontal="center"/>
    </xf>
    <xf numFmtId="166" fontId="0" fillId="0" borderId="43" xfId="0" applyNumberFormat="1" applyBorder="1" applyAlignment="1">
      <alignment horizontal="center" vertical="center"/>
    </xf>
    <xf numFmtId="165" fontId="0" fillId="0" borderId="44" xfId="0" applyNumberFormat="1" applyBorder="1" applyAlignment="1">
      <alignment horizontal="center" vertical="center"/>
    </xf>
    <xf numFmtId="165" fontId="0" fillId="0" borderId="1" xfId="0" applyNumberFormat="1" applyBorder="1" applyAlignment="1">
      <alignment horizontal="center"/>
    </xf>
    <xf numFmtId="166" fontId="0" fillId="0" borderId="18" xfId="0" applyNumberFormat="1" applyBorder="1" applyAlignment="1">
      <alignment horizontal="center" vertical="center"/>
    </xf>
    <xf numFmtId="165" fontId="0" fillId="0" borderId="0" xfId="0" applyNumberFormat="1" applyAlignment="1">
      <alignment vertical="center"/>
    </xf>
    <xf numFmtId="1" fontId="8" fillId="0" borderId="72" xfId="0" applyNumberFormat="1" applyFont="1" applyBorder="1" applyAlignment="1">
      <alignment horizontal="center"/>
    </xf>
    <xf numFmtId="1" fontId="8" fillId="0" borderId="66" xfId="0" applyNumberFormat="1" applyFont="1" applyBorder="1" applyAlignment="1">
      <alignment horizontal="center"/>
    </xf>
    <xf numFmtId="0" fontId="8" fillId="0" borderId="0" xfId="0" applyFont="1" applyAlignment="1">
      <alignment horizontal="center"/>
    </xf>
    <xf numFmtId="0" fontId="8" fillId="0" borderId="72" xfId="0" applyFont="1" applyBorder="1" applyAlignment="1">
      <alignment horizontal="center"/>
    </xf>
    <xf numFmtId="0" fontId="8" fillId="0" borderId="66" xfId="0" applyFont="1" applyBorder="1" applyAlignment="1">
      <alignment horizontal="center"/>
    </xf>
    <xf numFmtId="0" fontId="8" fillId="0" borderId="8" xfId="0" applyFont="1" applyBorder="1" applyAlignment="1">
      <alignment horizontal="center"/>
    </xf>
    <xf numFmtId="0" fontId="8" fillId="0" borderId="7" xfId="0" applyFont="1" applyBorder="1" applyAlignment="1">
      <alignment horizontal="center"/>
    </xf>
    <xf numFmtId="1" fontId="8" fillId="0" borderId="7" xfId="0" applyNumberFormat="1" applyFont="1" applyBorder="1" applyAlignment="1">
      <alignment horizontal="center"/>
    </xf>
    <xf numFmtId="1" fontId="8" fillId="0" borderId="47" xfId="0" applyNumberFormat="1" applyFont="1" applyBorder="1" applyAlignment="1">
      <alignment horizontal="center"/>
    </xf>
    <xf numFmtId="1" fontId="8" fillId="0" borderId="46" xfId="0" applyNumberFormat="1" applyFont="1" applyBorder="1" applyAlignment="1">
      <alignment horizontal="center"/>
    </xf>
    <xf numFmtId="1" fontId="8" fillId="0" borderId="67" xfId="0" applyNumberFormat="1" applyFont="1" applyBorder="1" applyAlignment="1">
      <alignment horizontal="center"/>
    </xf>
    <xf numFmtId="1" fontId="8" fillId="0" borderId="48" xfId="0" applyNumberFormat="1" applyFont="1" applyBorder="1" applyAlignment="1">
      <alignment horizontal="center"/>
    </xf>
    <xf numFmtId="1" fontId="8" fillId="0" borderId="45" xfId="0" applyNumberFormat="1" applyFont="1" applyBorder="1" applyAlignment="1">
      <alignment horizontal="center"/>
    </xf>
    <xf numFmtId="0" fontId="8" fillId="0" borderId="45" xfId="0" applyFont="1" applyBorder="1"/>
    <xf numFmtId="0" fontId="15" fillId="0" borderId="58" xfId="0" applyFont="1" applyBorder="1" applyAlignment="1">
      <alignment horizontal="center"/>
    </xf>
    <xf numFmtId="0" fontId="6" fillId="0" borderId="41" xfId="0" applyFont="1" applyBorder="1" applyAlignment="1">
      <alignment horizontal="center" vertical="center" wrapText="1"/>
    </xf>
    <xf numFmtId="1" fontId="8" fillId="0" borderId="51" xfId="0" applyNumberFormat="1" applyFont="1" applyBorder="1" applyAlignment="1">
      <alignment horizontal="center"/>
    </xf>
    <xf numFmtId="1" fontId="8" fillId="0" borderId="29" xfId="0" applyNumberFormat="1" applyFont="1" applyBorder="1" applyAlignment="1">
      <alignment horizontal="center"/>
    </xf>
    <xf numFmtId="1" fontId="8" fillId="0" borderId="32" xfId="0" applyNumberFormat="1" applyFont="1" applyBorder="1" applyAlignment="1">
      <alignment horizontal="center"/>
    </xf>
    <xf numFmtId="1" fontId="8" fillId="0" borderId="38" xfId="0" applyNumberFormat="1" applyFont="1" applyBorder="1" applyAlignment="1">
      <alignment horizontal="center"/>
    </xf>
    <xf numFmtId="1" fontId="8" fillId="0" borderId="54" xfId="0" applyNumberFormat="1" applyFont="1" applyBorder="1" applyAlignment="1">
      <alignment horizontal="center"/>
    </xf>
    <xf numFmtId="1" fontId="8" fillId="0" borderId="56" xfId="0" applyNumberFormat="1" applyFont="1" applyBorder="1" applyAlignment="1">
      <alignment horizontal="center"/>
    </xf>
    <xf numFmtId="0" fontId="0" fillId="0" borderId="58" xfId="0" applyBorder="1" applyAlignment="1">
      <alignment horizontal="center"/>
    </xf>
    <xf numFmtId="0" fontId="8" fillId="0" borderId="1" xfId="0" applyFont="1" applyBorder="1"/>
    <xf numFmtId="1" fontId="8" fillId="0" borderId="2" xfId="0" applyNumberFormat="1" applyFont="1" applyBorder="1" applyAlignment="1">
      <alignment horizontal="center"/>
    </xf>
    <xf numFmtId="1" fontId="8" fillId="0" borderId="24" xfId="0" applyNumberFormat="1" applyFont="1" applyBorder="1" applyAlignment="1">
      <alignment horizontal="center"/>
    </xf>
    <xf numFmtId="1" fontId="8" fillId="0" borderId="3" xfId="0" applyNumberFormat="1" applyFont="1" applyBorder="1" applyAlignment="1">
      <alignment horizontal="center"/>
    </xf>
    <xf numFmtId="1" fontId="8" fillId="0" borderId="1" xfId="0" applyNumberFormat="1" applyFont="1" applyBorder="1" applyAlignment="1">
      <alignment horizontal="center"/>
    </xf>
    <xf numFmtId="1" fontId="8" fillId="0" borderId="0" xfId="0" applyNumberFormat="1" applyFont="1" applyAlignment="1">
      <alignment horizontal="center"/>
    </xf>
    <xf numFmtId="0" fontId="8" fillId="0" borderId="49" xfId="0" applyFont="1" applyBorder="1"/>
    <xf numFmtId="1" fontId="8" fillId="0" borderId="57" xfId="0" applyNumberFormat="1" applyFont="1" applyBorder="1" applyAlignment="1">
      <alignment horizontal="center"/>
    </xf>
    <xf numFmtId="1" fontId="8" fillId="0" borderId="65" xfId="0" applyNumberFormat="1" applyFont="1" applyBorder="1" applyAlignment="1">
      <alignment horizontal="center"/>
    </xf>
    <xf numFmtId="1" fontId="8" fillId="0" borderId="58" xfId="0" applyNumberFormat="1" applyFont="1" applyBorder="1" applyAlignment="1">
      <alignment horizontal="center"/>
    </xf>
    <xf numFmtId="1" fontId="8" fillId="0" borderId="49" xfId="0" applyNumberFormat="1" applyFont="1" applyBorder="1" applyAlignment="1">
      <alignment horizontal="center"/>
    </xf>
    <xf numFmtId="9" fontId="1" fillId="0" borderId="0" xfId="6"/>
    <xf numFmtId="1" fontId="0" fillId="0" borderId="57" xfId="5" applyNumberFormat="1" applyFont="1" applyBorder="1" applyAlignment="1">
      <alignment horizontal="center" vertical="center"/>
    </xf>
    <xf numFmtId="20" fontId="0" fillId="0" borderId="0" xfId="0" applyNumberFormat="1"/>
    <xf numFmtId="0" fontId="3" fillId="0" borderId="8" xfId="0" applyFont="1" applyBorder="1" applyAlignment="1">
      <alignment horizontal="center"/>
    </xf>
    <xf numFmtId="14" fontId="0" fillId="0" borderId="0" xfId="0" applyNumberFormat="1"/>
    <xf numFmtId="1" fontId="0" fillId="0" borderId="0" xfId="0" applyNumberFormat="1" applyAlignment="1">
      <alignment horizontal="center" vertical="center"/>
    </xf>
    <xf numFmtId="0" fontId="0" fillId="0" borderId="72" xfId="0" applyBorder="1" applyAlignment="1">
      <alignment horizontal="center"/>
    </xf>
    <xf numFmtId="0" fontId="0" fillId="0" borderId="72" xfId="0" applyBorder="1" applyAlignment="1">
      <alignment horizontal="center" vertical="center"/>
    </xf>
    <xf numFmtId="0" fontId="0" fillId="0" borderId="66" xfId="0" applyBorder="1" applyAlignment="1">
      <alignment horizontal="center"/>
    </xf>
    <xf numFmtId="0" fontId="0" fillId="0" borderId="67" xfId="0" applyBorder="1" applyAlignment="1">
      <alignment horizontal="center"/>
    </xf>
    <xf numFmtId="0" fontId="0" fillId="0" borderId="65" xfId="0" applyBorder="1" applyAlignment="1">
      <alignment horizontal="center"/>
    </xf>
    <xf numFmtId="0" fontId="0" fillId="0" borderId="66" xfId="0" applyBorder="1" applyAlignment="1">
      <alignment horizontal="center" vertical="center"/>
    </xf>
    <xf numFmtId="0" fontId="6" fillId="0" borderId="19" xfId="0" applyFont="1" applyBorder="1" applyAlignment="1">
      <alignment horizontal="center" vertical="center" wrapText="1"/>
    </xf>
    <xf numFmtId="0" fontId="0" fillId="0" borderId="0" xfId="0" quotePrefix="1"/>
    <xf numFmtId="0" fontId="0" fillId="0" borderId="72" xfId="0" applyBorder="1"/>
    <xf numFmtId="9" fontId="0" fillId="0" borderId="67" xfId="6" applyFont="1" applyBorder="1" applyAlignment="1">
      <alignment horizontal="center" vertical="center" wrapText="1"/>
    </xf>
    <xf numFmtId="0" fontId="0" fillId="0" borderId="66" xfId="0" applyBorder="1" applyAlignment="1">
      <alignment horizontal="center" vertical="top"/>
    </xf>
    <xf numFmtId="9" fontId="0" fillId="0" borderId="72" xfId="6" applyFont="1" applyBorder="1" applyAlignment="1">
      <alignment horizontal="center"/>
    </xf>
    <xf numFmtId="9" fontId="0" fillId="0" borderId="66" xfId="6" applyFont="1" applyBorder="1" applyAlignment="1">
      <alignment horizontal="center"/>
    </xf>
    <xf numFmtId="2" fontId="0" fillId="0" borderId="66" xfId="6" applyNumberFormat="1" applyFont="1" applyBorder="1" applyAlignment="1">
      <alignment horizontal="center"/>
    </xf>
    <xf numFmtId="2" fontId="0" fillId="0" borderId="72" xfId="0" applyNumberFormat="1" applyBorder="1" applyAlignment="1">
      <alignment horizontal="center" vertical="center"/>
    </xf>
    <xf numFmtId="9" fontId="0" fillId="0" borderId="66" xfId="0" applyNumberFormat="1" applyBorder="1" applyAlignment="1">
      <alignment horizontal="center" vertical="top"/>
    </xf>
    <xf numFmtId="0" fontId="0" fillId="0" borderId="72" xfId="0" applyBorder="1" applyAlignment="1">
      <alignment horizontal="center" vertical="top"/>
    </xf>
    <xf numFmtId="164" fontId="0" fillId="0" borderId="66" xfId="0" applyNumberFormat="1" applyBorder="1" applyAlignment="1">
      <alignment horizontal="center" vertical="top"/>
    </xf>
    <xf numFmtId="2" fontId="0" fillId="0" borderId="66" xfId="0" applyNumberFormat="1" applyBorder="1" applyAlignment="1">
      <alignment horizontal="center"/>
    </xf>
    <xf numFmtId="0" fontId="0" fillId="0" borderId="67" xfId="0" applyBorder="1" applyAlignment="1">
      <alignment horizontal="center" vertical="top"/>
    </xf>
    <xf numFmtId="9" fontId="0" fillId="0" borderId="67" xfId="6" applyFont="1" applyBorder="1" applyAlignment="1">
      <alignment horizontal="center"/>
    </xf>
    <xf numFmtId="2" fontId="0" fillId="0" borderId="67" xfId="6" applyNumberFormat="1" applyFont="1" applyBorder="1" applyAlignment="1">
      <alignment horizontal="center"/>
    </xf>
    <xf numFmtId="164" fontId="0" fillId="0" borderId="67" xfId="0" applyNumberFormat="1" applyBorder="1" applyAlignment="1">
      <alignment horizontal="center" vertical="top"/>
    </xf>
    <xf numFmtId="1" fontId="0" fillId="0" borderId="69" xfId="0" applyNumberFormat="1" applyBorder="1" applyAlignment="1">
      <alignment horizontal="center"/>
    </xf>
    <xf numFmtId="2" fontId="0" fillId="0" borderId="69" xfId="0" applyNumberFormat="1" applyBorder="1" applyAlignment="1">
      <alignment horizontal="center"/>
    </xf>
    <xf numFmtId="0" fontId="0" fillId="0" borderId="65" xfId="0" applyBorder="1" applyAlignment="1">
      <alignment horizontal="center" vertical="top"/>
    </xf>
    <xf numFmtId="9" fontId="0" fillId="0" borderId="65" xfId="6" applyFont="1" applyBorder="1" applyAlignment="1">
      <alignment horizontal="center"/>
    </xf>
    <xf numFmtId="2" fontId="0" fillId="0" borderId="65" xfId="6" applyNumberFormat="1" applyFont="1" applyBorder="1" applyAlignment="1">
      <alignment horizontal="center"/>
    </xf>
    <xf numFmtId="1" fontId="0" fillId="0" borderId="65" xfId="2" applyNumberFormat="1" applyFont="1" applyBorder="1" applyAlignment="1">
      <alignment horizontal="center"/>
    </xf>
    <xf numFmtId="2" fontId="0" fillId="0" borderId="65" xfId="2" applyNumberFormat="1" applyFont="1" applyBorder="1" applyAlignment="1">
      <alignment horizontal="center"/>
    </xf>
    <xf numFmtId="0" fontId="0" fillId="0" borderId="65" xfId="0" applyBorder="1"/>
    <xf numFmtId="0" fontId="0" fillId="0" borderId="65" xfId="0" applyBorder="1" applyAlignment="1">
      <alignment horizontal="center" vertical="center"/>
    </xf>
    <xf numFmtId="1" fontId="0" fillId="0" borderId="72" xfId="2" applyNumberFormat="1" applyFont="1" applyBorder="1" applyAlignment="1">
      <alignment horizontal="center"/>
    </xf>
    <xf numFmtId="1" fontId="0" fillId="0" borderId="66" xfId="2" applyNumberFormat="1" applyFont="1" applyBorder="1" applyAlignment="1">
      <alignment horizontal="center"/>
    </xf>
    <xf numFmtId="2" fontId="0" fillId="0" borderId="66" xfId="2" applyNumberFormat="1" applyFont="1" applyBorder="1" applyAlignment="1">
      <alignment horizontal="center"/>
    </xf>
    <xf numFmtId="1" fontId="0" fillId="0" borderId="67" xfId="0" applyNumberFormat="1" applyBorder="1" applyAlignment="1">
      <alignment horizontal="center"/>
    </xf>
    <xf numFmtId="2" fontId="0" fillId="0" borderId="67" xfId="0" applyNumberFormat="1" applyBorder="1" applyAlignment="1">
      <alignment horizontal="center"/>
    </xf>
    <xf numFmtId="0" fontId="10" fillId="0" borderId="73" xfId="8" applyFont="1" applyBorder="1" applyAlignment="1">
      <alignment horizontal="center"/>
    </xf>
    <xf numFmtId="1" fontId="2" fillId="0" borderId="69" xfId="0" applyNumberFormat="1" applyFont="1" applyBorder="1" applyAlignment="1">
      <alignment horizontal="center"/>
    </xf>
    <xf numFmtId="165" fontId="0" fillId="0" borderId="66" xfId="0" applyNumberFormat="1" applyBorder="1" applyAlignment="1">
      <alignment horizontal="center" vertical="center"/>
    </xf>
    <xf numFmtId="165" fontId="0" fillId="0" borderId="67" xfId="0" applyNumberFormat="1" applyBorder="1" applyAlignment="1">
      <alignment horizontal="center" vertical="center"/>
    </xf>
    <xf numFmtId="0" fontId="0" fillId="0" borderId="65" xfId="0" applyBorder="1" applyAlignment="1">
      <alignment vertical="center" wrapText="1"/>
    </xf>
    <xf numFmtId="0" fontId="0" fillId="0" borderId="74" xfId="0" applyBorder="1" applyAlignment="1">
      <alignment horizontal="center" vertical="center"/>
    </xf>
    <xf numFmtId="9" fontId="0" fillId="0" borderId="75" xfId="0" applyNumberFormat="1" applyBorder="1" applyAlignment="1">
      <alignment horizontal="center" vertical="center"/>
    </xf>
    <xf numFmtId="1" fontId="0" fillId="0" borderId="75" xfId="0" applyNumberFormat="1" applyBorder="1" applyAlignment="1">
      <alignment horizontal="center" vertical="center"/>
    </xf>
    <xf numFmtId="9" fontId="0" fillId="0" borderId="72" xfId="6" applyFont="1" applyBorder="1" applyAlignment="1">
      <alignment horizontal="center" vertical="center"/>
    </xf>
    <xf numFmtId="9" fontId="0" fillId="0" borderId="66" xfId="6" applyFont="1" applyBorder="1" applyAlignment="1">
      <alignment horizontal="center" vertical="center"/>
    </xf>
    <xf numFmtId="2" fontId="0" fillId="0" borderId="66" xfId="6" applyNumberFormat="1" applyFont="1" applyBorder="1" applyAlignment="1">
      <alignment horizontal="center" vertical="center"/>
    </xf>
    <xf numFmtId="2" fontId="0" fillId="0" borderId="72" xfId="0" applyNumberFormat="1" applyBorder="1" applyAlignment="1">
      <alignment horizontal="center"/>
    </xf>
    <xf numFmtId="9" fontId="0" fillId="0" borderId="69" xfId="6" applyFont="1" applyBorder="1" applyAlignment="1">
      <alignment horizontal="center"/>
    </xf>
    <xf numFmtId="9" fontId="0" fillId="0" borderId="67" xfId="6" applyFont="1" applyBorder="1" applyAlignment="1">
      <alignment horizontal="center" vertical="center"/>
    </xf>
    <xf numFmtId="2" fontId="0" fillId="0" borderId="67" xfId="6" applyNumberFormat="1" applyFont="1" applyBorder="1" applyAlignment="1">
      <alignment horizontal="center" vertical="center"/>
    </xf>
    <xf numFmtId="9" fontId="0" fillId="0" borderId="67" xfId="0" applyNumberFormat="1" applyBorder="1" applyAlignment="1">
      <alignment horizontal="center" vertical="top"/>
    </xf>
    <xf numFmtId="2" fontId="0" fillId="0" borderId="75" xfId="0" applyNumberFormat="1" applyBorder="1" applyAlignment="1">
      <alignment horizontal="center"/>
    </xf>
    <xf numFmtId="9" fontId="0" fillId="0" borderId="67" xfId="0" applyNumberFormat="1" applyBorder="1" applyAlignment="1">
      <alignment horizontal="center"/>
    </xf>
    <xf numFmtId="0" fontId="0" fillId="0" borderId="75" xfId="0" applyBorder="1"/>
    <xf numFmtId="20" fontId="0" fillId="0" borderId="75" xfId="0" applyNumberFormat="1" applyBorder="1"/>
    <xf numFmtId="0" fontId="8" fillId="0" borderId="75" xfId="0" applyFont="1" applyBorder="1" applyAlignment="1">
      <alignment horizontal="center"/>
    </xf>
    <xf numFmtId="0" fontId="2" fillId="0" borderId="69" xfId="0" applyFont="1" applyBorder="1"/>
    <xf numFmtId="0" fontId="2" fillId="0" borderId="72" xfId="0" applyFont="1" applyBorder="1"/>
    <xf numFmtId="0" fontId="2" fillId="0" borderId="66" xfId="0" applyFont="1" applyBorder="1"/>
    <xf numFmtId="0" fontId="6" fillId="0" borderId="69" xfId="0" applyFont="1" applyBorder="1"/>
    <xf numFmtId="0" fontId="6" fillId="0" borderId="72" xfId="0" applyFont="1" applyBorder="1"/>
    <xf numFmtId="0" fontId="6" fillId="0" borderId="66" xfId="0" applyFont="1" applyBorder="1"/>
    <xf numFmtId="1" fontId="0" fillId="0" borderId="0" xfId="5" applyNumberFormat="1" applyFont="1" applyAlignment="1">
      <alignment horizontal="center" vertical="center"/>
    </xf>
    <xf numFmtId="1" fontId="0" fillId="0" borderId="0" xfId="5" applyNumberFormat="1" applyFont="1" applyAlignment="1">
      <alignment vertical="center"/>
    </xf>
    <xf numFmtId="1" fontId="0" fillId="0" borderId="0" xfId="5" applyNumberFormat="1" applyFont="1" applyAlignment="1">
      <alignment horizontal="center"/>
    </xf>
    <xf numFmtId="2" fontId="0" fillId="0" borderId="0" xfId="5" applyNumberFormat="1" applyFont="1" applyAlignment="1">
      <alignment horizontal="center" vertical="center"/>
    </xf>
    <xf numFmtId="2" fontId="1" fillId="0" borderId="0" xfId="5" applyNumberFormat="1" applyAlignment="1">
      <alignment horizontal="center"/>
    </xf>
    <xf numFmtId="9" fontId="0" fillId="0" borderId="66" xfId="0" applyNumberFormat="1" applyBorder="1" applyAlignment="1">
      <alignment horizontal="center"/>
    </xf>
    <xf numFmtId="166" fontId="0" fillId="0" borderId="0" xfId="5" applyNumberFormat="1" applyFont="1" applyAlignment="1">
      <alignment horizontal="center" vertical="center"/>
    </xf>
    <xf numFmtId="0" fontId="6" fillId="0" borderId="2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vertical="center"/>
    </xf>
    <xf numFmtId="0" fontId="6" fillId="0" borderId="67" xfId="0" applyFont="1" applyBorder="1" applyAlignment="1">
      <alignment horizontal="center"/>
    </xf>
    <xf numFmtId="1" fontId="0" fillId="0" borderId="2" xfId="5" applyNumberFormat="1" applyFont="1" applyBorder="1" applyAlignment="1">
      <alignment horizontal="left"/>
    </xf>
    <xf numFmtId="0" fontId="4" fillId="0" borderId="0" xfId="4"/>
    <xf numFmtId="9" fontId="0" fillId="0" borderId="24" xfId="1" applyFont="1"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2" xfId="0" applyBorder="1"/>
    <xf numFmtId="0" fontId="0" fillId="0" borderId="3" xfId="0" applyBorder="1"/>
    <xf numFmtId="0" fontId="0" fillId="0" borderId="7" xfId="0" applyBorder="1"/>
    <xf numFmtId="0" fontId="0" fillId="0" borderId="8" xfId="0" applyBorder="1"/>
    <xf numFmtId="0" fontId="0" fillId="0" borderId="45" xfId="0" applyBorder="1"/>
    <xf numFmtId="0" fontId="0" fillId="0" borderId="46" xfId="0" applyBorder="1"/>
    <xf numFmtId="0" fontId="0" fillId="0" borderId="48" xfId="0" applyBorder="1"/>
    <xf numFmtId="0" fontId="0" fillId="0" borderId="57" xfId="0" applyBorder="1"/>
    <xf numFmtId="0" fontId="0" fillId="0" borderId="58" xfId="0" applyBorder="1"/>
    <xf numFmtId="0" fontId="0" fillId="0" borderId="37" xfId="0" applyBorder="1" applyAlignment="1">
      <alignment horizontal="center" vertical="center"/>
    </xf>
    <xf numFmtId="0" fontId="0" fillId="0" borderId="21" xfId="0" applyBorder="1"/>
    <xf numFmtId="0" fontId="0" fillId="0" borderId="66" xfId="0" applyBorder="1"/>
    <xf numFmtId="0" fontId="0" fillId="0" borderId="67" xfId="0" applyBorder="1"/>
    <xf numFmtId="0" fontId="0" fillId="0" borderId="25" xfId="0" applyBorder="1" applyAlignment="1">
      <alignment horizontal="center" vertical="center"/>
    </xf>
    <xf numFmtId="0" fontId="0" fillId="0" borderId="55" xfId="0" applyBorder="1" applyAlignment="1">
      <alignment horizontal="center" vertical="center"/>
    </xf>
    <xf numFmtId="0" fontId="0" fillId="0" borderId="67" xfId="0" applyBorder="1" applyAlignment="1">
      <alignment horizontal="center" vertical="center"/>
    </xf>
    <xf numFmtId="2" fontId="0" fillId="0" borderId="21" xfId="0" applyNumberFormat="1" applyBorder="1" applyAlignment="1">
      <alignment horizontal="center" vertical="center"/>
    </xf>
    <xf numFmtId="166" fontId="0" fillId="0" borderId="21" xfId="0" applyNumberFormat="1" applyBorder="1" applyAlignment="1">
      <alignment horizontal="center" vertical="center"/>
    </xf>
    <xf numFmtId="2" fontId="0" fillId="0" borderId="25" xfId="0" applyNumberFormat="1" applyBorder="1" applyAlignment="1">
      <alignment horizontal="center" vertical="center"/>
    </xf>
    <xf numFmtId="0" fontId="0" fillId="0" borderId="55" xfId="0" applyBorder="1" applyAlignment="1">
      <alignment horizontal="center" vertical="center" wrapText="1"/>
    </xf>
    <xf numFmtId="0" fontId="0" fillId="0" borderId="27" xfId="0" applyBorder="1" applyAlignment="1">
      <alignment horizontal="center" vertical="center"/>
    </xf>
    <xf numFmtId="0" fontId="0" fillId="0" borderId="39" xfId="0" applyBorder="1"/>
    <xf numFmtId="0" fontId="0" fillId="0" borderId="10" xfId="0" applyBorder="1"/>
    <xf numFmtId="0" fontId="7" fillId="0" borderId="0" xfId="0" applyFont="1"/>
    <xf numFmtId="2" fontId="0" fillId="0" borderId="53" xfId="0" applyNumberFormat="1" applyBorder="1" applyAlignment="1">
      <alignment horizontal="center" vertical="center"/>
    </xf>
    <xf numFmtId="0" fontId="0" fillId="0" borderId="6" xfId="0" applyBorder="1"/>
    <xf numFmtId="0" fontId="0" fillId="0" borderId="69" xfId="0" applyBorder="1"/>
    <xf numFmtId="0" fontId="0" fillId="0" borderId="70" xfId="0" applyBorder="1"/>
    <xf numFmtId="0" fontId="0" fillId="0" borderId="0" xfId="0" applyAlignment="1">
      <alignment vertical="center"/>
    </xf>
    <xf numFmtId="166" fontId="0" fillId="0" borderId="53" xfId="0" applyNumberFormat="1" applyBorder="1" applyAlignment="1">
      <alignment horizontal="center" vertical="center"/>
    </xf>
    <xf numFmtId="0" fontId="0" fillId="0" borderId="9" xfId="0" applyBorder="1" applyAlignment="1">
      <alignment horizontal="center"/>
    </xf>
    <xf numFmtId="0" fontId="0" fillId="0" borderId="69" xfId="0" applyBorder="1" applyAlignment="1">
      <alignment horizontal="center"/>
    </xf>
    <xf numFmtId="0" fontId="0" fillId="0" borderId="0" xfId="0" applyAlignment="1">
      <alignment horizontal="center" vertical="center" wrapText="1"/>
    </xf>
    <xf numFmtId="43" fontId="0" fillId="0" borderId="52" xfId="2" applyFont="1" applyBorder="1"/>
    <xf numFmtId="43" fontId="0" fillId="0" borderId="16" xfId="2" applyFont="1" applyBorder="1"/>
    <xf numFmtId="43" fontId="0" fillId="0" borderId="31" xfId="2" applyFont="1" applyBorder="1"/>
    <xf numFmtId="43" fontId="0" fillId="0" borderId="5" xfId="2" applyFont="1" applyBorder="1"/>
    <xf numFmtId="43" fontId="0" fillId="0" borderId="14" xfId="2" applyFont="1" applyBorder="1"/>
    <xf numFmtId="43" fontId="0" fillId="0" borderId="39" xfId="2" applyFont="1" applyBorder="1"/>
    <xf numFmtId="43" fontId="0" fillId="0" borderId="14" xfId="2" applyFont="1" applyBorder="1" applyAlignment="1">
      <alignment horizontal="center"/>
    </xf>
    <xf numFmtId="43" fontId="0" fillId="0" borderId="39" xfId="2" applyFont="1" applyBorder="1" applyAlignment="1">
      <alignment horizontal="center"/>
    </xf>
    <xf numFmtId="43" fontId="1" fillId="0" borderId="0" xfId="5"/>
    <xf numFmtId="43" fontId="0" fillId="0" borderId="54" xfId="2" applyFont="1" applyBorder="1"/>
    <xf numFmtId="43" fontId="0" fillId="0" borderId="57" xfId="2" applyFont="1" applyBorder="1"/>
    <xf numFmtId="43" fontId="0" fillId="0" borderId="51" xfId="2" applyFont="1" applyBorder="1"/>
    <xf numFmtId="43" fontId="0" fillId="0" borderId="2" xfId="2" applyFont="1" applyBorder="1"/>
    <xf numFmtId="43" fontId="0" fillId="0" borderId="72" xfId="2" applyFont="1" applyBorder="1"/>
    <xf numFmtId="43" fontId="0" fillId="0" borderId="0" xfId="2" applyFont="1"/>
    <xf numFmtId="43" fontId="0" fillId="0" borderId="42" xfId="2" applyFont="1" applyBorder="1"/>
    <xf numFmtId="43" fontId="0" fillId="0" borderId="0" xfId="5" applyFont="1" applyAlignment="1">
      <alignment horizontal="center" vertical="center"/>
    </xf>
    <xf numFmtId="167" fontId="1" fillId="0" borderId="2" xfId="5" applyNumberFormat="1" applyBorder="1"/>
    <xf numFmtId="167" fontId="16" fillId="0" borderId="2" xfId="5" applyNumberFormat="1" applyFont="1" applyBorder="1"/>
    <xf numFmtId="167" fontId="1" fillId="0" borderId="0" xfId="5" applyNumberFormat="1"/>
    <xf numFmtId="167" fontId="1" fillId="0" borderId="46" xfId="5" applyNumberFormat="1" applyBorder="1"/>
    <xf numFmtId="167" fontId="1" fillId="0" borderId="57" xfId="5" applyNumberFormat="1" applyBorder="1"/>
    <xf numFmtId="167" fontId="0" fillId="0" borderId="0" xfId="0" applyNumberFormat="1"/>
    <xf numFmtId="167" fontId="16" fillId="0" borderId="0" xfId="5" applyNumberFormat="1" applyFont="1"/>
    <xf numFmtId="167" fontId="16" fillId="0" borderId="46" xfId="5" applyNumberFormat="1" applyFont="1" applyBorder="1"/>
    <xf numFmtId="167" fontId="16" fillId="0" borderId="57" xfId="5" applyNumberFormat="1" applyFont="1" applyBorder="1"/>
    <xf numFmtId="168" fontId="1" fillId="0" borderId="2" xfId="5" applyNumberFormat="1" applyBorder="1"/>
    <xf numFmtId="0" fontId="7" fillId="0" borderId="72" xfId="0" applyFont="1" applyBorder="1"/>
    <xf numFmtId="0" fontId="7" fillId="0" borderId="66" xfId="0" applyFont="1" applyBorder="1"/>
    <xf numFmtId="9" fontId="18" fillId="0" borderId="51" xfId="5" applyNumberFormat="1" applyFont="1" applyBorder="1"/>
    <xf numFmtId="9" fontId="18" fillId="0" borderId="2" xfId="5" applyNumberFormat="1" applyFont="1" applyBorder="1"/>
    <xf numFmtId="9" fontId="18" fillId="0" borderId="24" xfId="5" applyNumberFormat="1" applyFont="1" applyBorder="1"/>
    <xf numFmtId="9" fontId="18" fillId="0" borderId="3" xfId="5" applyNumberFormat="1" applyFont="1" applyBorder="1"/>
    <xf numFmtId="0" fontId="7" fillId="0" borderId="8" xfId="0" applyFont="1" applyBorder="1"/>
    <xf numFmtId="9" fontId="1" fillId="0" borderId="46" xfId="6" applyBorder="1"/>
    <xf numFmtId="9" fontId="7" fillId="0" borderId="47" xfId="6" applyFont="1" applyBorder="1"/>
    <xf numFmtId="9" fontId="7" fillId="0" borderId="46" xfId="6" applyFont="1" applyBorder="1"/>
    <xf numFmtId="9" fontId="7" fillId="0" borderId="67" xfId="6" applyFont="1" applyBorder="1"/>
    <xf numFmtId="167" fontId="0" fillId="0" borderId="2" xfId="0" applyNumberFormat="1" applyBorder="1" applyAlignment="1">
      <alignment horizontal="center"/>
    </xf>
    <xf numFmtId="9" fontId="1" fillId="0" borderId="2" xfId="6" applyBorder="1" applyAlignment="1">
      <alignment horizontal="center"/>
    </xf>
    <xf numFmtId="9" fontId="17" fillId="0" borderId="50" xfId="0" applyNumberFormat="1" applyFont="1" applyBorder="1"/>
    <xf numFmtId="9" fontId="3" fillId="0" borderId="7" xfId="0" applyNumberFormat="1" applyFont="1" applyBorder="1"/>
    <xf numFmtId="2" fontId="0" fillId="0" borderId="28" xfId="0" applyNumberFormat="1" applyBorder="1" applyAlignment="1">
      <alignment horizontal="center"/>
    </xf>
    <xf numFmtId="2" fontId="0" fillId="0" borderId="42" xfId="0" applyNumberFormat="1" applyBorder="1" applyAlignment="1">
      <alignment horizontal="center"/>
    </xf>
    <xf numFmtId="2" fontId="0" fillId="0" borderId="28" xfId="6" applyNumberFormat="1" applyFont="1" applyBorder="1" applyAlignment="1">
      <alignment horizontal="center"/>
    </xf>
    <xf numFmtId="2" fontId="0" fillId="0" borderId="25" xfId="6" applyNumberFormat="1" applyFont="1" applyBorder="1" applyAlignment="1">
      <alignment horizontal="center"/>
    </xf>
    <xf numFmtId="165" fontId="0" fillId="0" borderId="28" xfId="0" applyNumberFormat="1" applyBorder="1" applyAlignment="1">
      <alignment horizontal="center" vertical="center"/>
    </xf>
    <xf numFmtId="9" fontId="1" fillId="2" borderId="0" xfId="6" applyFill="1"/>
    <xf numFmtId="0" fontId="19" fillId="0" borderId="0" xfId="0" applyFont="1"/>
    <xf numFmtId="1" fontId="20" fillId="0" borderId="5" xfId="2" applyNumberFormat="1" applyFont="1" applyBorder="1" applyAlignment="1">
      <alignment horizontal="center" vertical="center"/>
    </xf>
    <xf numFmtId="1" fontId="20" fillId="0" borderId="16" xfId="2" applyNumberFormat="1" applyFont="1" applyBorder="1" applyAlignment="1">
      <alignment horizontal="center"/>
    </xf>
    <xf numFmtId="1" fontId="20" fillId="0" borderId="39" xfId="0" applyNumberFormat="1" applyFont="1" applyBorder="1" applyAlignment="1">
      <alignment horizontal="center"/>
    </xf>
    <xf numFmtId="1" fontId="20" fillId="0" borderId="41" xfId="0" applyNumberFormat="1" applyFont="1" applyBorder="1" applyAlignment="1">
      <alignment horizontal="center"/>
    </xf>
    <xf numFmtId="1" fontId="20" fillId="0" borderId="31" xfId="2" applyNumberFormat="1" applyFont="1" applyBorder="1" applyAlignment="1">
      <alignment horizontal="center" vertical="center"/>
    </xf>
    <xf numFmtId="1" fontId="20" fillId="0" borderId="52" xfId="2" applyNumberFormat="1" applyFont="1" applyBorder="1" applyAlignment="1">
      <alignment horizontal="center"/>
    </xf>
    <xf numFmtId="1" fontId="20" fillId="0" borderId="14" xfId="0" applyNumberFormat="1" applyFont="1" applyBorder="1" applyAlignment="1">
      <alignment horizontal="center"/>
    </xf>
    <xf numFmtId="1" fontId="20" fillId="0" borderId="19" xfId="0" applyNumberFormat="1" applyFont="1" applyBorder="1" applyAlignment="1">
      <alignment horizontal="center"/>
    </xf>
    <xf numFmtId="169" fontId="1" fillId="0" borderId="0" xfId="5" applyNumberFormat="1"/>
    <xf numFmtId="169" fontId="0" fillId="0" borderId="0" xfId="0" applyNumberFormat="1"/>
    <xf numFmtId="170" fontId="1" fillId="0" borderId="0" xfId="5" applyNumberFormat="1"/>
    <xf numFmtId="170" fontId="0" fillId="0" borderId="0" xfId="0" applyNumberFormat="1"/>
    <xf numFmtId="165" fontId="7" fillId="0" borderId="0" xfId="0" applyNumberFormat="1" applyFont="1" applyAlignment="1">
      <alignment horizontal="center"/>
    </xf>
    <xf numFmtId="11" fontId="0" fillId="0" borderId="2" xfId="0" applyNumberFormat="1" applyBorder="1" applyAlignment="1">
      <alignment horizontal="center"/>
    </xf>
    <xf numFmtId="11" fontId="0" fillId="0" borderId="0" xfId="0" applyNumberFormat="1" applyAlignment="1">
      <alignment horizontal="center"/>
    </xf>
    <xf numFmtId="1" fontId="12" fillId="0" borderId="14" xfId="0" applyNumberFormat="1" applyFont="1" applyBorder="1" applyAlignment="1">
      <alignment horizontal="center"/>
    </xf>
    <xf numFmtId="1" fontId="12" fillId="0" borderId="39" xfId="0" applyNumberFormat="1" applyFont="1" applyBorder="1" applyAlignment="1">
      <alignment horizontal="center"/>
    </xf>
    <xf numFmtId="1" fontId="2" fillId="0" borderId="14" xfId="0" applyNumberFormat="1" applyFont="1" applyBorder="1" applyAlignment="1">
      <alignment horizontal="center"/>
    </xf>
    <xf numFmtId="1" fontId="2" fillId="0" borderId="19" xfId="0" applyNumberFormat="1" applyFont="1" applyBorder="1" applyAlignment="1">
      <alignment horizontal="center"/>
    </xf>
    <xf numFmtId="1" fontId="12" fillId="0" borderId="41" xfId="0" applyNumberFormat="1" applyFont="1" applyBorder="1" applyAlignment="1">
      <alignment horizontal="center"/>
    </xf>
    <xf numFmtId="1" fontId="12" fillId="0" borderId="41" xfId="2" applyNumberFormat="1" applyFont="1" applyBorder="1" applyAlignment="1">
      <alignment horizontal="center" vertical="center"/>
    </xf>
    <xf numFmtId="1" fontId="12" fillId="0" borderId="16" xfId="2" applyNumberFormat="1" applyFont="1" applyBorder="1" applyAlignment="1">
      <alignment horizontal="center"/>
    </xf>
    <xf numFmtId="1" fontId="12" fillId="0" borderId="69" xfId="0" applyNumberFormat="1" applyFont="1" applyBorder="1" applyAlignment="1">
      <alignment horizontal="center"/>
    </xf>
    <xf numFmtId="1" fontId="12" fillId="0" borderId="57" xfId="2" applyNumberFormat="1" applyFont="1" applyBorder="1" applyAlignment="1">
      <alignment horizontal="center"/>
    </xf>
    <xf numFmtId="1" fontId="12" fillId="0" borderId="10" xfId="0" applyNumberFormat="1" applyFont="1" applyBorder="1" applyAlignment="1">
      <alignment horizontal="center"/>
    </xf>
    <xf numFmtId="1" fontId="12" fillId="0" borderId="20" xfId="2" applyNumberFormat="1" applyFont="1" applyBorder="1" applyAlignment="1">
      <alignment horizontal="center" vertical="center"/>
    </xf>
    <xf numFmtId="167" fontId="12" fillId="0" borderId="39" xfId="5" applyNumberFormat="1" applyFont="1" applyBorder="1" applyAlignment="1">
      <alignment horizontal="center"/>
    </xf>
    <xf numFmtId="167" fontId="12" fillId="0" borderId="41" xfId="5" applyNumberFormat="1" applyFont="1" applyBorder="1" applyAlignment="1">
      <alignment horizontal="center"/>
    </xf>
    <xf numFmtId="1" fontId="12" fillId="0" borderId="16" xfId="2" applyNumberFormat="1" applyFont="1" applyBorder="1" applyAlignment="1">
      <alignment horizontal="center" vertical="center"/>
    </xf>
    <xf numFmtId="1" fontId="12" fillId="0" borderId="60" xfId="2" applyNumberFormat="1" applyFont="1" applyBorder="1" applyAlignment="1">
      <alignment horizontal="center" vertical="center"/>
    </xf>
    <xf numFmtId="1" fontId="12" fillId="0" borderId="39" xfId="0" applyNumberFormat="1" applyFont="1" applyBorder="1" applyAlignment="1">
      <alignment horizontal="center" vertical="center"/>
    </xf>
    <xf numFmtId="1" fontId="12" fillId="0" borderId="10" xfId="0" applyNumberFormat="1" applyFont="1" applyBorder="1" applyAlignment="1">
      <alignment horizontal="center" vertical="center"/>
    </xf>
    <xf numFmtId="1" fontId="12" fillId="0" borderId="41" xfId="0" applyNumberFormat="1" applyFont="1" applyBorder="1" applyAlignment="1">
      <alignment horizontal="center" vertical="center"/>
    </xf>
    <xf numFmtId="1" fontId="12" fillId="0" borderId="20" xfId="0" applyNumberFormat="1" applyFont="1" applyBorder="1" applyAlignment="1">
      <alignment horizontal="center" vertical="center"/>
    </xf>
    <xf numFmtId="43" fontId="1" fillId="0" borderId="28" xfId="5" applyBorder="1" applyAlignment="1">
      <alignment horizontal="center" vertical="center"/>
    </xf>
    <xf numFmtId="43" fontId="1" fillId="0" borderId="25" xfId="5" applyBorder="1" applyAlignment="1">
      <alignment horizontal="center" vertical="center"/>
    </xf>
    <xf numFmtId="43" fontId="1" fillId="0" borderId="21" xfId="5" applyBorder="1" applyAlignment="1">
      <alignment horizontal="center" vertical="center"/>
    </xf>
    <xf numFmtId="0" fontId="0" fillId="0" borderId="25" xfId="1" quotePrefix="1" applyNumberFormat="1" applyFont="1" applyBorder="1" applyAlignment="1">
      <alignment horizontal="center"/>
    </xf>
    <xf numFmtId="0" fontId="0" fillId="0" borderId="51" xfId="0" quotePrefix="1" applyBorder="1" applyAlignment="1">
      <alignment horizontal="center" vertical="top"/>
    </xf>
    <xf numFmtId="0" fontId="0" fillId="0" borderId="72" xfId="0" quotePrefix="1" applyBorder="1" applyAlignment="1">
      <alignment horizontal="center" vertical="top"/>
    </xf>
    <xf numFmtId="0" fontId="0" fillId="0" borderId="47" xfId="0" quotePrefix="1" applyBorder="1" applyAlignment="1">
      <alignment horizontal="center" vertical="top"/>
    </xf>
    <xf numFmtId="38" fontId="0" fillId="0" borderId="0" xfId="0" applyNumberFormat="1"/>
    <xf numFmtId="166" fontId="0" fillId="0" borderId="24" xfId="0" applyNumberFormat="1" applyBorder="1" applyAlignment="1">
      <alignment horizontal="center" vertical="top"/>
    </xf>
    <xf numFmtId="43" fontId="0" fillId="0" borderId="0" xfId="5" applyFont="1"/>
    <xf numFmtId="2" fontId="1" fillId="0" borderId="0" xfId="5" applyNumberFormat="1" applyAlignment="1">
      <alignment horizontal="center" vertical="center"/>
    </xf>
    <xf numFmtId="2" fontId="0" fillId="0" borderId="65" xfId="0" applyNumberFormat="1" applyBorder="1" applyAlignment="1">
      <alignment horizontal="center" vertical="top"/>
    </xf>
    <xf numFmtId="0" fontId="1" fillId="0" borderId="0" xfId="5" applyNumberFormat="1" applyAlignment="1">
      <alignment horizontal="center" vertical="center"/>
    </xf>
    <xf numFmtId="167" fontId="23" fillId="0" borderId="0" xfId="5" applyNumberFormat="1" applyFont="1"/>
    <xf numFmtId="0" fontId="0" fillId="0" borderId="75" xfId="0" applyBorder="1" applyAlignment="1">
      <alignment horizontal="center" vertical="center"/>
    </xf>
    <xf numFmtId="166" fontId="0" fillId="0" borderId="11" xfId="0" applyNumberFormat="1" applyBorder="1" applyAlignment="1">
      <alignment horizontal="center" vertical="center"/>
    </xf>
    <xf numFmtId="0" fontId="6" fillId="0" borderId="7" xfId="0" applyFont="1" applyBorder="1"/>
    <xf numFmtId="167" fontId="6" fillId="0" borderId="0" xfId="5" applyNumberFormat="1" applyFont="1"/>
    <xf numFmtId="0" fontId="6" fillId="0" borderId="8" xfId="0" applyFont="1" applyBorder="1"/>
    <xf numFmtId="167" fontId="6" fillId="0" borderId="46" xfId="5" applyNumberFormat="1" applyFont="1" applyBorder="1"/>
    <xf numFmtId="0" fontId="0" fillId="0" borderId="44" xfId="0" applyBorder="1" applyAlignment="1">
      <alignment horizontal="center"/>
    </xf>
    <xf numFmtId="1" fontId="24" fillId="0" borderId="2" xfId="5" applyNumberFormat="1" applyFont="1" applyBorder="1" applyAlignment="1">
      <alignment horizontal="center" vertical="center"/>
    </xf>
    <xf numFmtId="2" fontId="24" fillId="0" borderId="2" xfId="5" applyNumberFormat="1" applyFont="1" applyBorder="1" applyAlignment="1">
      <alignment horizontal="center" vertical="center"/>
    </xf>
    <xf numFmtId="9" fontId="24" fillId="0" borderId="24" xfId="0" applyNumberFormat="1" applyFont="1" applyBorder="1" applyAlignment="1">
      <alignment horizontal="center" vertical="top"/>
    </xf>
    <xf numFmtId="0" fontId="23" fillId="0" borderId="24" xfId="0" applyFont="1" applyBorder="1" applyAlignment="1">
      <alignment horizontal="center"/>
    </xf>
    <xf numFmtId="0" fontId="23" fillId="0" borderId="28" xfId="0" applyFont="1" applyBorder="1" applyAlignment="1">
      <alignment horizontal="center"/>
    </xf>
    <xf numFmtId="0" fontId="24" fillId="0" borderId="28" xfId="0" applyFont="1" applyBorder="1" applyAlignment="1">
      <alignment horizontal="center" vertical="top"/>
    </xf>
    <xf numFmtId="0" fontId="24" fillId="0" borderId="28" xfId="0" quotePrefix="1" applyFont="1" applyBorder="1" applyAlignment="1">
      <alignment horizontal="center" vertical="top"/>
    </xf>
    <xf numFmtId="1" fontId="24" fillId="0" borderId="28" xfId="2" applyNumberFormat="1" applyFont="1" applyBorder="1" applyAlignment="1">
      <alignment horizontal="center"/>
    </xf>
    <xf numFmtId="1" fontId="24" fillId="0" borderId="2" xfId="2" applyNumberFormat="1" applyFont="1" applyBorder="1" applyAlignment="1">
      <alignment horizontal="center" vertical="center"/>
    </xf>
    <xf numFmtId="2" fontId="24" fillId="0" borderId="2" xfId="2" applyNumberFormat="1" applyFont="1" applyBorder="1" applyAlignment="1">
      <alignment horizontal="center" vertical="center"/>
    </xf>
    <xf numFmtId="1" fontId="24" fillId="0" borderId="51" xfId="2" applyNumberFormat="1" applyFont="1" applyBorder="1" applyAlignment="1">
      <alignment horizontal="center" vertical="center"/>
    </xf>
    <xf numFmtId="1" fontId="24" fillId="0" borderId="24" xfId="2" applyNumberFormat="1" applyFont="1" applyBorder="1" applyAlignment="1">
      <alignment horizontal="center" vertical="center"/>
    </xf>
    <xf numFmtId="2" fontId="24" fillId="0" borderId="24" xfId="2" applyNumberFormat="1" applyFont="1" applyBorder="1" applyAlignment="1">
      <alignment horizontal="center" vertical="center"/>
    </xf>
    <xf numFmtId="165" fontId="24" fillId="0" borderId="3" xfId="0" applyNumberFormat="1" applyFont="1" applyBorder="1" applyAlignment="1">
      <alignment horizontal="center" vertical="center"/>
    </xf>
    <xf numFmtId="9" fontId="24" fillId="0" borderId="66" xfId="0" applyNumberFormat="1" applyFont="1" applyBorder="1" applyAlignment="1">
      <alignment horizontal="center" vertical="top"/>
    </xf>
    <xf numFmtId="0" fontId="23" fillId="0" borderId="66" xfId="0" applyFont="1" applyBorder="1" applyAlignment="1">
      <alignment horizontal="center"/>
    </xf>
    <xf numFmtId="0" fontId="23" fillId="0" borderId="25" xfId="0" applyFont="1" applyBorder="1" applyAlignment="1">
      <alignment horizontal="center"/>
    </xf>
    <xf numFmtId="0" fontId="24" fillId="0" borderId="25" xfId="0" applyFont="1" applyBorder="1" applyAlignment="1">
      <alignment horizontal="center" vertical="top"/>
    </xf>
    <xf numFmtId="0" fontId="24" fillId="0" borderId="25" xfId="0" quotePrefix="1" applyFont="1" applyBorder="1" applyAlignment="1">
      <alignment horizontal="center" vertical="top"/>
    </xf>
    <xf numFmtId="1" fontId="24" fillId="0" borderId="25" xfId="2" applyNumberFormat="1" applyFont="1" applyBorder="1" applyAlignment="1">
      <alignment horizontal="center"/>
    </xf>
    <xf numFmtId="1" fontId="24" fillId="0" borderId="72" xfId="2" applyNumberFormat="1" applyFont="1" applyBorder="1" applyAlignment="1">
      <alignment horizontal="center" vertical="center"/>
    </xf>
    <xf numFmtId="1" fontId="24" fillId="0" borderId="66" xfId="2" applyNumberFormat="1" applyFont="1" applyBorder="1" applyAlignment="1">
      <alignment horizontal="center" vertical="center"/>
    </xf>
    <xf numFmtId="2" fontId="24" fillId="0" borderId="66" xfId="2" applyNumberFormat="1" applyFont="1" applyBorder="1" applyAlignment="1">
      <alignment horizontal="center" vertical="center"/>
    </xf>
    <xf numFmtId="0" fontId="0" fillId="0" borderId="25" xfId="0" quotePrefix="1" applyBorder="1" applyAlignment="1">
      <alignment horizontal="center" vertical="top"/>
    </xf>
    <xf numFmtId="1" fontId="0" fillId="0" borderId="25" xfId="2" applyNumberFormat="1" applyFont="1" applyBorder="1" applyAlignment="1">
      <alignment horizontal="center"/>
    </xf>
    <xf numFmtId="1" fontId="0" fillId="0" borderId="72" xfId="2" applyNumberFormat="1" applyFont="1" applyBorder="1" applyAlignment="1">
      <alignment horizontal="center" vertical="center"/>
    </xf>
    <xf numFmtId="1" fontId="0" fillId="0" borderId="66" xfId="2" applyNumberFormat="1" applyFont="1" applyBorder="1" applyAlignment="1">
      <alignment horizontal="center" vertical="center"/>
    </xf>
    <xf numFmtId="2" fontId="0" fillId="0" borderId="66" xfId="2" applyNumberFormat="1" applyFont="1" applyBorder="1" applyAlignment="1">
      <alignment horizontal="center" vertical="center"/>
    </xf>
    <xf numFmtId="2" fontId="0" fillId="0" borderId="46" xfId="5" applyNumberFormat="1" applyFont="1" applyBorder="1" applyAlignment="1">
      <alignment horizontal="center" vertical="center"/>
    </xf>
    <xf numFmtId="0" fontId="25" fillId="0" borderId="48" xfId="0" applyFont="1" applyBorder="1"/>
    <xf numFmtId="0" fontId="25" fillId="0" borderId="0" xfId="0" applyFont="1"/>
    <xf numFmtId="0" fontId="7" fillId="0" borderId="14" xfId="0" applyFont="1" applyBorder="1" applyAlignment="1">
      <alignment horizontal="center"/>
    </xf>
    <xf numFmtId="0" fontId="0" fillId="0" borderId="12" xfId="0" applyBorder="1"/>
    <xf numFmtId="0" fontId="7" fillId="0" borderId="12" xfId="0" applyFont="1" applyBorder="1"/>
    <xf numFmtId="0" fontId="0" fillId="0" borderId="24" xfId="6" applyNumberFormat="1" applyFont="1" applyBorder="1" applyAlignment="1">
      <alignment horizontal="center"/>
    </xf>
    <xf numFmtId="0" fontId="0" fillId="0" borderId="66" xfId="6" applyNumberFormat="1" applyFont="1" applyBorder="1" applyAlignment="1">
      <alignment horizontal="center"/>
    </xf>
    <xf numFmtId="0" fontId="0" fillId="0" borderId="67" xfId="6" applyNumberFormat="1" applyFont="1" applyBorder="1" applyAlignment="1">
      <alignment horizontal="center"/>
    </xf>
    <xf numFmtId="0" fontId="0" fillId="0" borderId="25" xfId="6" applyNumberFormat="1" applyFont="1" applyBorder="1" applyAlignment="1">
      <alignment horizontal="center"/>
    </xf>
    <xf numFmtId="0" fontId="0" fillId="0" borderId="65" xfId="6" applyNumberFormat="1" applyFont="1" applyBorder="1" applyAlignment="1">
      <alignment horizontal="center"/>
    </xf>
    <xf numFmtId="0" fontId="0" fillId="0" borderId="66" xfId="6" applyNumberFormat="1" applyFont="1" applyBorder="1" applyAlignment="1">
      <alignment horizontal="center" vertical="center"/>
    </xf>
    <xf numFmtId="0" fontId="0" fillId="0" borderId="46" xfId="6" applyNumberFormat="1" applyFont="1" applyBorder="1" applyAlignment="1">
      <alignment horizontal="center" vertical="center"/>
    </xf>
    <xf numFmtId="0" fontId="0" fillId="0" borderId="28" xfId="6" applyNumberFormat="1" applyFont="1" applyBorder="1" applyAlignment="1">
      <alignment horizontal="center"/>
    </xf>
    <xf numFmtId="0" fontId="0" fillId="0" borderId="67" xfId="6" applyNumberFormat="1" applyFont="1" applyBorder="1" applyAlignment="1">
      <alignment horizontal="center" vertical="center"/>
    </xf>
    <xf numFmtId="0" fontId="0" fillId="0" borderId="21" xfId="6" applyNumberFormat="1" applyFont="1" applyBorder="1" applyAlignment="1">
      <alignment horizontal="center"/>
    </xf>
    <xf numFmtId="0" fontId="6" fillId="0" borderId="0" xfId="0" applyFont="1" applyAlignment="1">
      <alignment horizontal="center" vertical="center"/>
    </xf>
    <xf numFmtId="9" fontId="1" fillId="0" borderId="25" xfId="6" applyBorder="1"/>
    <xf numFmtId="49" fontId="0" fillId="0" borderId="0" xfId="0" applyNumberFormat="1"/>
    <xf numFmtId="49" fontId="5" fillId="0" borderId="11" xfId="0" applyNumberFormat="1" applyFont="1" applyBorder="1" applyAlignment="1">
      <alignment horizontal="center" vertical="center"/>
    </xf>
    <xf numFmtId="49" fontId="0" fillId="0" borderId="11" xfId="0" applyNumberFormat="1" applyBorder="1" applyAlignment="1">
      <alignment horizontal="center" vertical="center"/>
    </xf>
    <xf numFmtId="49" fontId="0" fillId="0" borderId="18" xfId="0" applyNumberFormat="1" applyBorder="1" applyAlignment="1">
      <alignment horizontal="center" vertical="center" wrapText="1"/>
    </xf>
    <xf numFmtId="49" fontId="0" fillId="0" borderId="2" xfId="0" applyNumberFormat="1" applyBorder="1"/>
    <xf numFmtId="49" fontId="0" fillId="0" borderId="46" xfId="0" applyNumberFormat="1" applyBorder="1"/>
    <xf numFmtId="49" fontId="0" fillId="0" borderId="57" xfId="0" applyNumberFormat="1" applyBorder="1"/>
    <xf numFmtId="49" fontId="0" fillId="0" borderId="2" xfId="0" applyNumberFormat="1" applyBorder="1" applyAlignment="1">
      <alignment horizontal="center"/>
    </xf>
    <xf numFmtId="49" fontId="0" fillId="0" borderId="0" xfId="0" applyNumberFormat="1" applyAlignment="1">
      <alignment horizontal="center"/>
    </xf>
    <xf numFmtId="49" fontId="0" fillId="0" borderId="46" xfId="0" applyNumberFormat="1" applyBorder="1" applyAlignment="1">
      <alignment horizontal="center"/>
    </xf>
    <xf numFmtId="49" fontId="0" fillId="0" borderId="0" xfId="0" quotePrefix="1" applyNumberFormat="1" applyAlignment="1">
      <alignment horizontal="center"/>
    </xf>
    <xf numFmtId="2" fontId="0" fillId="3" borderId="2" xfId="0" applyNumberFormat="1" applyFill="1" applyBorder="1" applyAlignment="1">
      <alignment horizontal="center"/>
    </xf>
    <xf numFmtId="165" fontId="0" fillId="3" borderId="2" xfId="0" applyNumberFormat="1" applyFill="1" applyBorder="1" applyAlignment="1">
      <alignment horizontal="center"/>
    </xf>
    <xf numFmtId="49" fontId="0" fillId="3" borderId="2" xfId="0" quotePrefix="1" applyNumberFormat="1" applyFill="1" applyBorder="1" applyAlignment="1">
      <alignment horizontal="center"/>
    </xf>
    <xf numFmtId="0" fontId="0" fillId="3" borderId="24" xfId="0" applyFill="1" applyBorder="1" applyAlignment="1">
      <alignment horizontal="center"/>
    </xf>
    <xf numFmtId="0" fontId="0" fillId="3" borderId="66" xfId="0" applyFill="1" applyBorder="1" applyAlignment="1">
      <alignment horizontal="center"/>
    </xf>
    <xf numFmtId="0" fontId="0" fillId="4" borderId="0" xfId="0" applyFill="1" applyAlignment="1">
      <alignment horizontal="center"/>
    </xf>
    <xf numFmtId="165" fontId="0" fillId="0" borderId="0" xfId="0" applyNumberFormat="1"/>
    <xf numFmtId="0" fontId="0" fillId="4" borderId="0" xfId="0" applyFill="1"/>
    <xf numFmtId="2" fontId="0" fillId="4" borderId="0" xfId="0" applyNumberFormat="1" applyFill="1"/>
    <xf numFmtId="0" fontId="0" fillId="4" borderId="66" xfId="0" applyFill="1" applyBorder="1"/>
    <xf numFmtId="49" fontId="0" fillId="0" borderId="57" xfId="0" applyNumberFormat="1" applyBorder="1" applyAlignment="1">
      <alignment horizontal="center"/>
    </xf>
    <xf numFmtId="0" fontId="0" fillId="4" borderId="72" xfId="0" applyFill="1" applyBorder="1" applyAlignment="1">
      <alignment horizontal="center" vertical="center"/>
    </xf>
    <xf numFmtId="2" fontId="0" fillId="0" borderId="75" xfId="0" applyNumberFormat="1" applyBorder="1" applyAlignment="1">
      <alignment horizontal="center" vertical="center"/>
    </xf>
    <xf numFmtId="166" fontId="0" fillId="0" borderId="75" xfId="0" applyNumberFormat="1" applyBorder="1" applyAlignment="1">
      <alignment horizontal="center" vertical="center"/>
    </xf>
    <xf numFmtId="9" fontId="0" fillId="0" borderId="75" xfId="1" applyFont="1" applyBorder="1" applyAlignment="1">
      <alignment horizontal="center"/>
    </xf>
    <xf numFmtId="1" fontId="0" fillId="0" borderId="75" xfId="1" applyNumberFormat="1" applyFont="1" applyBorder="1" applyAlignment="1">
      <alignment horizontal="center"/>
    </xf>
    <xf numFmtId="10" fontId="0" fillId="0" borderId="43" xfId="1" applyNumberFormat="1" applyFont="1" applyBorder="1" applyAlignment="1">
      <alignment horizontal="center"/>
    </xf>
    <xf numFmtId="10" fontId="0" fillId="0" borderId="11" xfId="1" applyNumberFormat="1" applyFont="1" applyBorder="1" applyAlignment="1">
      <alignment horizontal="center"/>
    </xf>
    <xf numFmtId="0" fontId="4" fillId="0" borderId="50" xfId="4" applyBorder="1" applyAlignment="1">
      <alignment horizontal="center" vertical="center"/>
    </xf>
    <xf numFmtId="0" fontId="4" fillId="0" borderId="38" xfId="4" applyBorder="1" applyAlignment="1">
      <alignment horizontal="center" vertical="center"/>
    </xf>
    <xf numFmtId="0" fontId="4" fillId="0" borderId="32" xfId="4" applyBorder="1" applyAlignment="1">
      <alignment horizontal="center" vertical="center"/>
    </xf>
    <xf numFmtId="0" fontId="4" fillId="0" borderId="32" xfId="4" applyBorder="1"/>
    <xf numFmtId="0" fontId="4" fillId="0" borderId="29" xfId="4" applyBorder="1" applyAlignment="1">
      <alignment horizontal="center" vertical="center"/>
    </xf>
    <xf numFmtId="1" fontId="0" fillId="0" borderId="75" xfId="0" applyNumberFormat="1" applyBorder="1" applyAlignment="1">
      <alignment vertical="center" wrapText="1"/>
    </xf>
    <xf numFmtId="0" fontId="0" fillId="0" borderId="78" xfId="0" applyBorder="1" applyAlignment="1">
      <alignment horizontal="center"/>
    </xf>
    <xf numFmtId="1" fontId="0" fillId="0" borderId="75" xfId="0" applyNumberFormat="1" applyBorder="1" applyAlignment="1">
      <alignment horizontal="center"/>
    </xf>
    <xf numFmtId="2" fontId="0" fillId="0" borderId="78" xfId="0" applyNumberFormat="1" applyBorder="1" applyAlignment="1">
      <alignment horizontal="center"/>
    </xf>
    <xf numFmtId="165" fontId="0" fillId="0" borderId="74" xfId="0" applyNumberFormat="1" applyBorder="1" applyAlignment="1">
      <alignment horizontal="center"/>
    </xf>
    <xf numFmtId="2" fontId="0" fillId="0" borderId="78" xfId="0" applyNumberFormat="1" applyBorder="1" applyAlignment="1">
      <alignment horizontal="center" vertical="center"/>
    </xf>
    <xf numFmtId="165" fontId="0" fillId="0" borderId="74" xfId="0" applyNumberFormat="1" applyBorder="1" applyAlignment="1">
      <alignment horizontal="center" vertical="center"/>
    </xf>
    <xf numFmtId="1" fontId="0" fillId="0" borderId="78" xfId="0" applyNumberFormat="1" applyBorder="1" applyAlignment="1">
      <alignment horizontal="center"/>
    </xf>
    <xf numFmtId="1" fontId="2" fillId="0" borderId="78" xfId="0" applyNumberFormat="1" applyFont="1" applyBorder="1" applyAlignment="1">
      <alignment horizontal="center"/>
    </xf>
    <xf numFmtId="0" fontId="10" fillId="0" borderId="79" xfId="8" applyFont="1" applyBorder="1" applyAlignment="1">
      <alignment horizontal="left" wrapText="1"/>
    </xf>
    <xf numFmtId="0" fontId="10" fillId="0" borderId="80" xfId="7" applyFont="1" applyBorder="1" applyAlignment="1">
      <alignment horizontal="center" vertical="center" wrapText="1"/>
    </xf>
    <xf numFmtId="0" fontId="0" fillId="0" borderId="78" xfId="0" applyBorder="1"/>
    <xf numFmtId="9" fontId="0" fillId="0" borderId="75" xfId="1" applyFont="1" applyBorder="1" applyAlignment="1">
      <alignment horizontal="center" vertical="center"/>
    </xf>
    <xf numFmtId="0" fontId="4" fillId="0" borderId="44" xfId="4" applyBorder="1" applyAlignment="1">
      <alignment horizontal="center" vertical="center"/>
    </xf>
    <xf numFmtId="0" fontId="4" fillId="0" borderId="22" xfId="4" applyBorder="1" applyAlignment="1">
      <alignment horizontal="center" vertical="center"/>
    </xf>
    <xf numFmtId="0" fontId="4" fillId="0" borderId="22" xfId="4" applyBorder="1" applyAlignment="1">
      <alignment horizontal="center"/>
    </xf>
    <xf numFmtId="0" fontId="27" fillId="5" borderId="0" xfId="0" applyFont="1" applyFill="1"/>
    <xf numFmtId="0" fontId="27" fillId="6" borderId="0" xfId="0" applyFont="1" applyFill="1"/>
    <xf numFmtId="0" fontId="27" fillId="7" borderId="0" xfId="0" applyFont="1" applyFill="1"/>
    <xf numFmtId="0" fontId="27" fillId="8" borderId="0" xfId="0" applyFont="1" applyFill="1"/>
    <xf numFmtId="0" fontId="27" fillId="9" borderId="0" xfId="0" applyFont="1" applyFill="1"/>
    <xf numFmtId="0" fontId="27" fillId="10" borderId="0" xfId="0" applyFont="1" applyFill="1"/>
    <xf numFmtId="0" fontId="27" fillId="11" borderId="0" xfId="0" applyFont="1" applyFill="1"/>
    <xf numFmtId="0" fontId="27" fillId="12" borderId="0" xfId="0" applyFont="1" applyFill="1"/>
    <xf numFmtId="0" fontId="27" fillId="13" borderId="0" xfId="0" applyFont="1" applyFill="1"/>
    <xf numFmtId="0" fontId="27" fillId="14" borderId="0" xfId="0" applyFont="1" applyFill="1"/>
    <xf numFmtId="0" fontId="27" fillId="15" borderId="0" xfId="0" applyFont="1" applyFill="1"/>
    <xf numFmtId="0" fontId="27" fillId="16" borderId="0" xfId="0" applyFont="1" applyFill="1"/>
    <xf numFmtId="0" fontId="27" fillId="17" borderId="0" xfId="0" applyFont="1" applyFill="1"/>
    <xf numFmtId="0" fontId="27" fillId="18" borderId="0" xfId="0" applyFont="1" applyFill="1"/>
    <xf numFmtId="0" fontId="27" fillId="19" borderId="0" xfId="0" applyFont="1" applyFill="1"/>
    <xf numFmtId="0" fontId="27" fillId="20" borderId="0" xfId="0" applyFont="1" applyFill="1"/>
    <xf numFmtId="0" fontId="28" fillId="0" borderId="0" xfId="0" applyFont="1"/>
    <xf numFmtId="0" fontId="27" fillId="21" borderId="0" xfId="0" applyFont="1" applyFill="1"/>
    <xf numFmtId="0" fontId="27" fillId="22" borderId="0" xfId="0" applyFont="1" applyFill="1"/>
    <xf numFmtId="0" fontId="27" fillId="23" borderId="0" xfId="0" applyFont="1" applyFill="1"/>
    <xf numFmtId="0" fontId="27" fillId="24" borderId="0" xfId="0" applyFont="1" applyFill="1"/>
    <xf numFmtId="0" fontId="27" fillId="25" borderId="0" xfId="0" applyFont="1" applyFill="1"/>
    <xf numFmtId="0" fontId="27" fillId="26" borderId="0" xfId="0" applyFont="1" applyFill="1"/>
    <xf numFmtId="0" fontId="27" fillId="27" borderId="0" xfId="0" applyFont="1" applyFill="1"/>
    <xf numFmtId="0" fontId="27" fillId="28" borderId="0" xfId="0" applyFont="1" applyFill="1"/>
    <xf numFmtId="0" fontId="27" fillId="29" borderId="0" xfId="0" applyFont="1" applyFill="1"/>
    <xf numFmtId="0" fontId="27" fillId="30" borderId="0" xfId="0" applyFont="1" applyFill="1"/>
    <xf numFmtId="0" fontId="27" fillId="31" borderId="0" xfId="0" applyFont="1" applyFill="1"/>
    <xf numFmtId="0" fontId="27" fillId="32" borderId="0" xfId="0" applyFont="1" applyFill="1"/>
    <xf numFmtId="0" fontId="27" fillId="33" borderId="0" xfId="0" applyFont="1" applyFill="1"/>
    <xf numFmtId="0" fontId="27" fillId="34" borderId="0" xfId="0" applyFont="1" applyFill="1"/>
    <xf numFmtId="0" fontId="27" fillId="35" borderId="0" xfId="0" applyFont="1" applyFill="1"/>
    <xf numFmtId="0" fontId="27" fillId="36" borderId="0" xfId="0" applyFont="1" applyFill="1"/>
    <xf numFmtId="0" fontId="27" fillId="37" borderId="0" xfId="0" applyFont="1" applyFill="1"/>
    <xf numFmtId="0" fontId="27" fillId="38" borderId="0" xfId="0" applyFont="1" applyFill="1"/>
    <xf numFmtId="0" fontId="27" fillId="39" borderId="0" xfId="0" applyFont="1" applyFill="1"/>
    <xf numFmtId="0" fontId="27" fillId="40" borderId="0" xfId="0" applyFont="1" applyFill="1"/>
    <xf numFmtId="0" fontId="27" fillId="41" borderId="0" xfId="0" applyFont="1" applyFill="1"/>
    <xf numFmtId="0" fontId="27" fillId="42" borderId="0" xfId="0" applyFont="1" applyFill="1"/>
    <xf numFmtId="0" fontId="27" fillId="43" borderId="0" xfId="0" applyFont="1" applyFill="1"/>
    <xf numFmtId="0" fontId="27" fillId="44" borderId="0" xfId="0" applyFont="1" applyFill="1"/>
    <xf numFmtId="0" fontId="27" fillId="45" borderId="0" xfId="0" applyFont="1" applyFill="1"/>
    <xf numFmtId="0" fontId="27" fillId="46" borderId="0" xfId="0" applyFont="1" applyFill="1"/>
    <xf numFmtId="0" fontId="27" fillId="47" borderId="0" xfId="0" applyFont="1" applyFill="1"/>
    <xf numFmtId="0" fontId="27" fillId="48" borderId="0" xfId="0" applyFont="1" applyFill="1"/>
    <xf numFmtId="0" fontId="27" fillId="49" borderId="0" xfId="0" applyFont="1" applyFill="1"/>
    <xf numFmtId="0" fontId="27" fillId="50" borderId="0" xfId="0" applyFont="1" applyFill="1"/>
    <xf numFmtId="0" fontId="27" fillId="51" borderId="0" xfId="0" applyFont="1" applyFill="1"/>
    <xf numFmtId="0" fontId="27" fillId="52" borderId="0" xfId="0" applyFont="1" applyFill="1"/>
    <xf numFmtId="0" fontId="27" fillId="53" borderId="0" xfId="0" applyFont="1" applyFill="1"/>
    <xf numFmtId="0" fontId="0" fillId="0" borderId="0" xfId="0" quotePrefix="1" applyAlignment="1">
      <alignment horizontal="center"/>
    </xf>
    <xf numFmtId="0" fontId="27" fillId="54" borderId="0" xfId="0" applyFont="1" applyFill="1"/>
    <xf numFmtId="0" fontId="27" fillId="55" borderId="0" xfId="0" applyFont="1" applyFill="1"/>
    <xf numFmtId="0" fontId="27" fillId="56" borderId="0" xfId="0" applyFont="1" applyFill="1"/>
    <xf numFmtId="0" fontId="27" fillId="57" borderId="0" xfId="0" applyFont="1" applyFill="1"/>
    <xf numFmtId="0" fontId="27" fillId="58" borderId="0" xfId="0" applyFont="1" applyFill="1"/>
    <xf numFmtId="0" fontId="27" fillId="59" borderId="0" xfId="0" applyFont="1" applyFill="1"/>
    <xf numFmtId="0" fontId="27" fillId="60" borderId="0" xfId="0" applyFont="1" applyFill="1"/>
    <xf numFmtId="0" fontId="27" fillId="61" borderId="0" xfId="0" applyFont="1" applyFill="1"/>
    <xf numFmtId="0" fontId="27" fillId="62" borderId="0" xfId="0" applyFont="1" applyFill="1"/>
    <xf numFmtId="0" fontId="27" fillId="63" borderId="0" xfId="0" applyFont="1" applyFill="1"/>
    <xf numFmtId="0" fontId="27" fillId="64" borderId="0" xfId="0" applyFont="1" applyFill="1"/>
    <xf numFmtId="0" fontId="0" fillId="65" borderId="0" xfId="0" applyFill="1"/>
    <xf numFmtId="9" fontId="1" fillId="0" borderId="28" xfId="6" applyBorder="1" applyAlignment="1">
      <alignment horizontal="center"/>
    </xf>
    <xf numFmtId="9" fontId="1" fillId="0" borderId="25" xfId="6" applyBorder="1" applyAlignment="1">
      <alignment horizontal="center"/>
    </xf>
    <xf numFmtId="0" fontId="29" fillId="0" borderId="19" xfId="0" applyFont="1" applyBorder="1" applyAlignment="1">
      <alignment horizontal="center" vertical="center" wrapText="1"/>
    </xf>
    <xf numFmtId="166" fontId="0" fillId="0" borderId="72" xfId="0" applyNumberFormat="1" applyBorder="1" applyAlignment="1">
      <alignment horizontal="center"/>
    </xf>
    <xf numFmtId="166" fontId="7" fillId="0" borderId="72" xfId="0" applyNumberFormat="1" applyFont="1" applyBorder="1" applyAlignment="1">
      <alignment horizontal="center"/>
    </xf>
    <xf numFmtId="0" fontId="7" fillId="0" borderId="72" xfId="0" applyFont="1" applyBorder="1" applyAlignment="1">
      <alignment horizontal="center"/>
    </xf>
    <xf numFmtId="0" fontId="7" fillId="0" borderId="47" xfId="0" applyFont="1" applyBorder="1" applyAlignment="1">
      <alignment horizontal="center"/>
    </xf>
    <xf numFmtId="0" fontId="4" fillId="0" borderId="51" xfId="4" applyBorder="1" applyAlignment="1">
      <alignment horizontal="center" vertical="center"/>
    </xf>
    <xf numFmtId="0" fontId="4" fillId="0" borderId="72" xfId="4" applyBorder="1" applyAlignment="1">
      <alignment horizontal="center" vertical="center"/>
    </xf>
    <xf numFmtId="0" fontId="4" fillId="0" borderId="72" xfId="4" applyBorder="1"/>
    <xf numFmtId="0" fontId="4" fillId="0" borderId="47" xfId="4" applyBorder="1" applyAlignment="1">
      <alignment horizontal="center" vertical="center"/>
    </xf>
    <xf numFmtId="0" fontId="7" fillId="0" borderId="72" xfId="0" applyFont="1" applyBorder="1" applyAlignment="1">
      <alignment horizontal="center" vertical="center"/>
    </xf>
    <xf numFmtId="0" fontId="4" fillId="0" borderId="28" xfId="4" applyBorder="1" applyAlignment="1">
      <alignment horizontal="center" vertical="center"/>
    </xf>
    <xf numFmtId="0" fontId="4" fillId="0" borderId="21" xfId="4" applyBorder="1" applyAlignment="1">
      <alignment horizontal="center"/>
    </xf>
    <xf numFmtId="0" fontId="4" fillId="0" borderId="47" xfId="4" applyBorder="1" applyAlignment="1">
      <alignment horizontal="center"/>
    </xf>
    <xf numFmtId="0" fontId="6" fillId="0" borderId="72" xfId="0" applyFont="1" applyBorder="1" applyAlignment="1">
      <alignment horizontal="center"/>
    </xf>
    <xf numFmtId="0" fontId="2" fillId="0" borderId="25" xfId="0" applyFont="1" applyBorder="1" applyAlignment="1">
      <alignment horizontal="center"/>
    </xf>
    <xf numFmtId="0" fontId="2" fillId="0" borderId="21" xfId="0" applyFont="1" applyBorder="1" applyAlignment="1">
      <alignment horizontal="center"/>
    </xf>
    <xf numFmtId="0" fontId="31" fillId="0" borderId="25" xfId="0" applyFont="1" applyBorder="1" applyAlignment="1">
      <alignment horizontal="center"/>
    </xf>
    <xf numFmtId="0" fontId="2" fillId="0" borderId="57" xfId="0" applyFont="1" applyBorder="1" applyAlignment="1">
      <alignment horizontal="center"/>
    </xf>
    <xf numFmtId="0" fontId="2" fillId="0" borderId="72" xfId="0" applyFont="1" applyBorder="1" applyAlignment="1">
      <alignment horizontal="center"/>
    </xf>
    <xf numFmtId="165" fontId="0" fillId="0" borderId="0" xfId="0" applyNumberFormat="1" applyAlignment="1">
      <alignment horizontal="center" vertical="center"/>
    </xf>
    <xf numFmtId="165" fontId="0" fillId="0" borderId="46" xfId="0" applyNumberFormat="1" applyBorder="1" applyAlignment="1">
      <alignment horizontal="center" vertical="center"/>
    </xf>
    <xf numFmtId="165" fontId="24" fillId="0" borderId="0" xfId="0" applyNumberFormat="1" applyFont="1" applyAlignment="1">
      <alignment horizontal="center" vertical="center"/>
    </xf>
    <xf numFmtId="2" fontId="0" fillId="0" borderId="19" xfId="0" applyNumberFormat="1" applyBorder="1" applyAlignment="1">
      <alignment horizontal="center" vertical="center" wrapText="1"/>
    </xf>
    <xf numFmtId="165" fontId="0" fillId="0" borderId="5" xfId="0" applyNumberFormat="1" applyBorder="1" applyAlignment="1">
      <alignment horizontal="center" vertical="center"/>
    </xf>
    <xf numFmtId="165" fontId="0" fillId="0" borderId="39" xfId="0" applyNumberFormat="1" applyBorder="1" applyAlignment="1">
      <alignment horizontal="center" vertical="center"/>
    </xf>
    <xf numFmtId="165" fontId="0" fillId="0" borderId="41" xfId="0" applyNumberFormat="1" applyBorder="1" applyAlignment="1">
      <alignment horizontal="center" vertical="center"/>
    </xf>
    <xf numFmtId="2" fontId="0" fillId="0" borderId="5" xfId="0" applyNumberFormat="1" applyBorder="1" applyAlignment="1">
      <alignment horizontal="center" vertical="center"/>
    </xf>
    <xf numFmtId="165" fontId="0" fillId="0" borderId="5" xfId="0" applyNumberFormat="1" applyBorder="1" applyAlignment="1">
      <alignment horizontal="center"/>
    </xf>
    <xf numFmtId="165" fontId="0" fillId="0" borderId="39" xfId="0" applyNumberFormat="1" applyBorder="1" applyAlignment="1">
      <alignment horizontal="center"/>
    </xf>
    <xf numFmtId="165" fontId="0" fillId="0" borderId="57" xfId="0" applyNumberFormat="1" applyBorder="1" applyAlignment="1">
      <alignment horizontal="center" vertical="center"/>
    </xf>
    <xf numFmtId="165" fontId="0" fillId="0" borderId="2" xfId="0" applyNumberFormat="1" applyBorder="1" applyAlignment="1">
      <alignment horizontal="center" vertical="center"/>
    </xf>
    <xf numFmtId="165" fontId="0" fillId="0" borderId="5" xfId="0" applyNumberFormat="1" applyBorder="1" applyAlignment="1">
      <alignment vertical="center"/>
    </xf>
    <xf numFmtId="165" fontId="0" fillId="0" borderId="39" xfId="0" applyNumberFormat="1" applyBorder="1" applyAlignment="1">
      <alignment vertical="center"/>
    </xf>
    <xf numFmtId="165" fontId="0" fillId="0" borderId="41" xfId="0" applyNumberFormat="1" applyBorder="1" applyAlignment="1">
      <alignment vertical="center"/>
    </xf>
    <xf numFmtId="165" fontId="0" fillId="0" borderId="41" xfId="0" applyNumberFormat="1" applyBorder="1" applyAlignment="1">
      <alignment horizontal="center"/>
    </xf>
    <xf numFmtId="165" fontId="0" fillId="0" borderId="69" xfId="0" applyNumberFormat="1" applyBorder="1" applyAlignment="1">
      <alignment horizontal="center" vertical="center"/>
    </xf>
    <xf numFmtId="165" fontId="0" fillId="0" borderId="16" xfId="0" applyNumberFormat="1" applyBorder="1" applyAlignment="1">
      <alignment horizontal="center"/>
    </xf>
    <xf numFmtId="165" fontId="24" fillId="0" borderId="2" xfId="0" applyNumberFormat="1" applyFont="1" applyBorder="1" applyAlignment="1">
      <alignment horizontal="center" vertical="center"/>
    </xf>
    <xf numFmtId="0" fontId="0" fillId="0" borderId="62" xfId="0" applyBorder="1" applyAlignment="1">
      <alignment horizontal="center"/>
    </xf>
    <xf numFmtId="0" fontId="0" fillId="0" borderId="62" xfId="0" applyBorder="1" applyAlignment="1">
      <alignment horizontal="center" vertical="center"/>
    </xf>
    <xf numFmtId="0" fontId="0" fillId="0" borderId="31" xfId="0" applyBorder="1" applyAlignment="1">
      <alignment horizontal="center"/>
    </xf>
    <xf numFmtId="167" fontId="0" fillId="0" borderId="72" xfId="0" applyNumberFormat="1" applyBorder="1" applyAlignment="1">
      <alignment horizontal="center"/>
    </xf>
    <xf numFmtId="167" fontId="0" fillId="0" borderId="62" xfId="0" applyNumberFormat="1" applyBorder="1" applyAlignment="1">
      <alignment horizontal="center"/>
    </xf>
    <xf numFmtId="167" fontId="0" fillId="0" borderId="19" xfId="0" applyNumberFormat="1" applyBorder="1" applyAlignment="1">
      <alignment horizontal="center"/>
    </xf>
    <xf numFmtId="167" fontId="0" fillId="0" borderId="51" xfId="0" applyNumberFormat="1" applyBorder="1" applyAlignment="1">
      <alignment horizontal="center"/>
    </xf>
    <xf numFmtId="167" fontId="0" fillId="0" borderId="62" xfId="0" applyNumberFormat="1" applyBorder="1" applyAlignment="1">
      <alignment horizontal="center" vertical="center"/>
    </xf>
    <xf numFmtId="167" fontId="0" fillId="0" borderId="19" xfId="0" applyNumberFormat="1" applyBorder="1" applyAlignment="1">
      <alignment horizontal="center" vertical="center"/>
    </xf>
    <xf numFmtId="167" fontId="0" fillId="0" borderId="72" xfId="0" applyNumberFormat="1" applyBorder="1" applyAlignment="1">
      <alignment horizontal="center" vertical="center"/>
    </xf>
    <xf numFmtId="167" fontId="0" fillId="0" borderId="14" xfId="0" applyNumberFormat="1" applyBorder="1" applyAlignment="1">
      <alignment horizontal="center"/>
    </xf>
    <xf numFmtId="167" fontId="0" fillId="0" borderId="47" xfId="0" applyNumberFormat="1" applyBorder="1" applyAlignment="1">
      <alignment horizontal="center"/>
    </xf>
    <xf numFmtId="167" fontId="0" fillId="0" borderId="31" xfId="0" applyNumberFormat="1" applyBorder="1" applyAlignment="1">
      <alignment horizontal="center"/>
    </xf>
    <xf numFmtId="167" fontId="0" fillId="0" borderId="0" xfId="0" applyNumberFormat="1" applyAlignment="1">
      <alignment horizontal="center"/>
    </xf>
    <xf numFmtId="167" fontId="0" fillId="0" borderId="19" xfId="0" applyNumberFormat="1" applyBorder="1" applyAlignment="1">
      <alignment horizontal="left"/>
    </xf>
    <xf numFmtId="0" fontId="0" fillId="0" borderId="19" xfId="0" applyBorder="1" applyAlignment="1">
      <alignment horizontal="left"/>
    </xf>
    <xf numFmtId="9" fontId="0" fillId="0" borderId="62" xfId="0" applyNumberFormat="1" applyBorder="1" applyAlignment="1">
      <alignment horizontal="center"/>
    </xf>
    <xf numFmtId="9" fontId="0" fillId="0" borderId="72" xfId="0" applyNumberFormat="1" applyBorder="1" applyAlignment="1">
      <alignment horizontal="center"/>
    </xf>
    <xf numFmtId="9" fontId="0" fillId="0" borderId="19" xfId="0" applyNumberFormat="1" applyBorder="1" applyAlignment="1">
      <alignment horizontal="center"/>
    </xf>
    <xf numFmtId="9" fontId="0" fillId="0" borderId="51" xfId="0" applyNumberFormat="1" applyBorder="1" applyAlignment="1">
      <alignment horizontal="center"/>
    </xf>
    <xf numFmtId="9" fontId="0" fillId="0" borderId="62" xfId="0" applyNumberFormat="1" applyBorder="1" applyAlignment="1">
      <alignment horizontal="center" vertical="center"/>
    </xf>
    <xf numFmtId="9" fontId="0" fillId="0" borderId="19" xfId="0" applyNumberFormat="1" applyBorder="1" applyAlignment="1">
      <alignment horizontal="center" vertical="center"/>
    </xf>
    <xf numFmtId="9" fontId="0" fillId="0" borderId="72" xfId="0" applyNumberFormat="1" applyBorder="1" applyAlignment="1">
      <alignment horizontal="center" vertical="center"/>
    </xf>
    <xf numFmtId="9" fontId="0" fillId="0" borderId="14" xfId="0" applyNumberFormat="1" applyBorder="1" applyAlignment="1">
      <alignment horizontal="center"/>
    </xf>
    <xf numFmtId="9" fontId="0" fillId="0" borderId="47" xfId="0" applyNumberFormat="1" applyBorder="1" applyAlignment="1">
      <alignment horizontal="center"/>
    </xf>
    <xf numFmtId="9" fontId="0" fillId="0" borderId="31" xfId="0" applyNumberFormat="1" applyBorder="1" applyAlignment="1">
      <alignment horizontal="center"/>
    </xf>
    <xf numFmtId="10" fontId="0" fillId="0" borderId="72" xfId="0" applyNumberFormat="1" applyBorder="1" applyAlignment="1">
      <alignment horizontal="center"/>
    </xf>
    <xf numFmtId="10" fontId="0" fillId="0" borderId="62" xfId="0" applyNumberFormat="1" applyBorder="1" applyAlignment="1">
      <alignment horizontal="center"/>
    </xf>
    <xf numFmtId="10" fontId="0" fillId="0" borderId="19" xfId="0" applyNumberFormat="1" applyBorder="1" applyAlignment="1">
      <alignment horizontal="center"/>
    </xf>
    <xf numFmtId="10" fontId="0" fillId="0" borderId="51" xfId="0" applyNumberFormat="1" applyBorder="1" applyAlignment="1">
      <alignment horizontal="center"/>
    </xf>
    <xf numFmtId="10" fontId="0" fillId="0" borderId="62" xfId="0" applyNumberFormat="1" applyBorder="1" applyAlignment="1">
      <alignment horizontal="center" vertical="center"/>
    </xf>
    <xf numFmtId="10" fontId="0" fillId="0" borderId="19" xfId="0" applyNumberFormat="1" applyBorder="1" applyAlignment="1">
      <alignment horizontal="center" vertical="center"/>
    </xf>
    <xf numFmtId="10" fontId="0" fillId="0" borderId="72" xfId="0" applyNumberFormat="1" applyBorder="1" applyAlignment="1">
      <alignment horizontal="center" vertical="center"/>
    </xf>
    <xf numFmtId="10" fontId="0" fillId="0" borderId="14" xfId="0" applyNumberFormat="1" applyBorder="1" applyAlignment="1">
      <alignment horizontal="center"/>
    </xf>
    <xf numFmtId="10" fontId="0" fillId="0" borderId="47" xfId="0" applyNumberFormat="1" applyBorder="1" applyAlignment="1">
      <alignment horizontal="center"/>
    </xf>
    <xf numFmtId="10" fontId="0" fillId="0" borderId="31" xfId="0" applyNumberFormat="1" applyBorder="1" applyAlignment="1">
      <alignment horizontal="center"/>
    </xf>
    <xf numFmtId="43" fontId="0" fillId="0" borderId="5" xfId="2" applyFont="1" applyBorder="1" applyAlignment="1">
      <alignment horizontal="center"/>
    </xf>
    <xf numFmtId="43" fontId="0" fillId="0" borderId="2" xfId="2" applyFont="1" applyBorder="1" applyAlignment="1">
      <alignment horizontal="center"/>
    </xf>
    <xf numFmtId="43" fontId="0" fillId="0" borderId="0" xfId="2" applyFont="1" applyAlignment="1">
      <alignment horizontal="center"/>
    </xf>
    <xf numFmtId="168" fontId="1" fillId="0" borderId="0" xfId="5" applyNumberFormat="1"/>
    <xf numFmtId="166" fontId="0" fillId="0" borderId="78" xfId="0" applyNumberFormat="1" applyBorder="1" applyAlignment="1">
      <alignment horizontal="center"/>
    </xf>
    <xf numFmtId="166" fontId="0" fillId="0" borderId="19" xfId="0" applyNumberFormat="1" applyBorder="1" applyAlignment="1">
      <alignment horizontal="center"/>
    </xf>
    <xf numFmtId="166" fontId="0" fillId="0" borderId="5" xfId="0" applyNumberFormat="1" applyBorder="1" applyAlignment="1">
      <alignment horizontal="center" vertical="center"/>
    </xf>
    <xf numFmtId="166" fontId="0" fillId="0" borderId="39" xfId="0" applyNumberFormat="1" applyBorder="1" applyAlignment="1">
      <alignment horizontal="center" vertical="center"/>
    </xf>
    <xf numFmtId="166" fontId="0" fillId="0" borderId="39" xfId="0" applyNumberFormat="1" applyBorder="1" applyAlignment="1">
      <alignment horizontal="center"/>
    </xf>
    <xf numFmtId="166" fontId="0" fillId="0" borderId="57" xfId="0" applyNumberFormat="1" applyBorder="1" applyAlignment="1">
      <alignment horizontal="center" vertical="center"/>
    </xf>
    <xf numFmtId="166" fontId="0" fillId="0" borderId="2" xfId="0" applyNumberFormat="1" applyBorder="1" applyAlignment="1">
      <alignment horizontal="center" vertical="center"/>
    </xf>
    <xf numFmtId="166" fontId="0" fillId="0" borderId="0" xfId="0" applyNumberFormat="1" applyAlignment="1">
      <alignment horizontal="center" vertical="center"/>
    </xf>
    <xf numFmtId="166" fontId="0" fillId="0" borderId="46" xfId="0" applyNumberFormat="1" applyBorder="1" applyAlignment="1">
      <alignment horizontal="center" vertical="center"/>
    </xf>
    <xf numFmtId="166" fontId="0" fillId="0" borderId="41" xfId="0" applyNumberFormat="1" applyBorder="1" applyAlignment="1">
      <alignment horizontal="center"/>
    </xf>
    <xf numFmtId="166" fontId="0" fillId="0" borderId="69" xfId="0" applyNumberFormat="1" applyBorder="1" applyAlignment="1">
      <alignment horizontal="center" vertical="center"/>
    </xf>
    <xf numFmtId="166" fontId="0" fillId="0" borderId="14" xfId="0" applyNumberFormat="1" applyBorder="1" applyAlignment="1">
      <alignment horizontal="center"/>
    </xf>
    <xf numFmtId="166" fontId="0" fillId="0" borderId="47" xfId="0" applyNumberFormat="1" applyBorder="1" applyAlignment="1">
      <alignment horizontal="center"/>
    </xf>
    <xf numFmtId="166" fontId="0" fillId="0" borderId="31" xfId="2" applyNumberFormat="1" applyFont="1" applyBorder="1" applyAlignment="1">
      <alignment horizontal="center" vertical="center"/>
    </xf>
    <xf numFmtId="166" fontId="0" fillId="0" borderId="52" xfId="2" applyNumberFormat="1" applyFont="1" applyBorder="1"/>
    <xf numFmtId="166" fontId="0" fillId="0" borderId="31" xfId="2" applyNumberFormat="1" applyFont="1" applyBorder="1" applyAlignment="1">
      <alignment horizontal="center"/>
    </xf>
    <xf numFmtId="166" fontId="0" fillId="0" borderId="14" xfId="2" applyNumberFormat="1" applyFont="1" applyBorder="1" applyAlignment="1">
      <alignment horizontal="center"/>
    </xf>
    <xf numFmtId="168" fontId="0" fillId="0" borderId="51" xfId="2" applyNumberFormat="1" applyFont="1" applyBorder="1" applyAlignment="1">
      <alignment horizontal="center"/>
    </xf>
    <xf numFmtId="168" fontId="0" fillId="0" borderId="72" xfId="2" applyNumberFormat="1" applyFont="1" applyBorder="1" applyAlignment="1">
      <alignment horizontal="center"/>
    </xf>
    <xf numFmtId="168" fontId="0" fillId="0" borderId="47" xfId="0" applyNumberFormat="1" applyBorder="1" applyAlignment="1">
      <alignment horizontal="center"/>
    </xf>
    <xf numFmtId="2" fontId="2" fillId="0" borderId="69" xfId="0" applyNumberFormat="1" applyFont="1" applyBorder="1" applyAlignment="1">
      <alignment horizontal="center"/>
    </xf>
    <xf numFmtId="1" fontId="12" fillId="0" borderId="78" xfId="0" applyNumberFormat="1" applyFont="1" applyBorder="1" applyAlignment="1">
      <alignment horizontal="center"/>
    </xf>
    <xf numFmtId="1" fontId="12" fillId="0" borderId="64" xfId="0" applyNumberFormat="1" applyFont="1" applyBorder="1" applyAlignment="1">
      <alignment horizontal="center"/>
    </xf>
    <xf numFmtId="168" fontId="0" fillId="0" borderId="78" xfId="0" applyNumberFormat="1" applyBorder="1" applyAlignment="1">
      <alignment horizontal="center"/>
    </xf>
    <xf numFmtId="168" fontId="0" fillId="0" borderId="19" xfId="0" applyNumberFormat="1" applyBorder="1" applyAlignment="1">
      <alignment horizontal="center"/>
    </xf>
    <xf numFmtId="168" fontId="0" fillId="0" borderId="72" xfId="0" applyNumberFormat="1" applyBorder="1" applyAlignment="1">
      <alignment horizontal="center"/>
    </xf>
    <xf numFmtId="168" fontId="0" fillId="0" borderId="51" xfId="0" applyNumberFormat="1" applyBorder="1" applyAlignment="1">
      <alignment horizontal="center"/>
    </xf>
    <xf numFmtId="168" fontId="0" fillId="0" borderId="78" xfId="0" applyNumberFormat="1" applyBorder="1" applyAlignment="1">
      <alignment horizontal="center" vertical="center"/>
    </xf>
    <xf numFmtId="168" fontId="0" fillId="0" borderId="72" xfId="0" applyNumberFormat="1" applyBorder="1" applyAlignment="1">
      <alignment horizontal="center" vertical="center"/>
    </xf>
    <xf numFmtId="168" fontId="0" fillId="0" borderId="19" xfId="0" applyNumberFormat="1" applyBorder="1" applyAlignment="1">
      <alignment horizontal="center" vertical="center"/>
    </xf>
    <xf numFmtId="168" fontId="0" fillId="0" borderId="14" xfId="0" applyNumberFormat="1" applyBorder="1" applyAlignment="1">
      <alignment horizontal="center"/>
    </xf>
    <xf numFmtId="168" fontId="0" fillId="0" borderId="31" xfId="0" applyNumberFormat="1" applyBorder="1" applyAlignment="1">
      <alignment horizontal="center"/>
    </xf>
    <xf numFmtId="168" fontId="0" fillId="0" borderId="19" xfId="0" applyNumberFormat="1" applyBorder="1" applyAlignment="1">
      <alignment horizontal="left"/>
    </xf>
    <xf numFmtId="168" fontId="0" fillId="0" borderId="0" xfId="0" applyNumberFormat="1" applyAlignment="1">
      <alignment horizontal="center"/>
    </xf>
    <xf numFmtId="168" fontId="0" fillId="0" borderId="0" xfId="0" applyNumberFormat="1"/>
    <xf numFmtId="1" fontId="0" fillId="0" borderId="30" xfId="0" applyNumberFormat="1" applyBorder="1" applyAlignment="1">
      <alignment horizontal="center" vertical="center"/>
    </xf>
    <xf numFmtId="1" fontId="0" fillId="66" borderId="0" xfId="5" applyNumberFormat="1" applyFont="1" applyFill="1" applyAlignment="1">
      <alignment horizontal="center" vertical="center"/>
    </xf>
    <xf numFmtId="2" fontId="2" fillId="0" borderId="24" xfId="0" applyNumberFormat="1" applyFont="1" applyBorder="1" applyAlignment="1">
      <alignment horizontal="center" vertical="top"/>
    </xf>
    <xf numFmtId="2" fontId="0" fillId="0" borderId="66" xfId="0" applyNumberFormat="1" applyBorder="1" applyAlignment="1">
      <alignment horizontal="center" vertical="top"/>
    </xf>
    <xf numFmtId="1" fontId="0" fillId="66" borderId="2" xfId="5" applyNumberFormat="1" applyFont="1" applyFill="1" applyBorder="1" applyAlignment="1">
      <alignment horizontal="center" vertical="center"/>
    </xf>
    <xf numFmtId="1" fontId="0" fillId="66" borderId="46" xfId="5" applyNumberFormat="1" applyFont="1" applyFill="1" applyBorder="1" applyAlignment="1">
      <alignment horizontal="center" vertical="center"/>
    </xf>
    <xf numFmtId="168" fontId="0" fillId="0" borderId="62" xfId="0" applyNumberFormat="1" applyBorder="1" applyAlignment="1">
      <alignment horizontal="center"/>
    </xf>
    <xf numFmtId="168" fontId="0" fillId="0" borderId="62" xfId="0" applyNumberFormat="1" applyBorder="1" applyAlignment="1">
      <alignment horizontal="center" vertical="center"/>
    </xf>
    <xf numFmtId="2" fontId="0" fillId="0" borderId="21" xfId="0" applyNumberFormat="1" applyBorder="1"/>
    <xf numFmtId="165" fontId="0" fillId="0" borderId="56" xfId="0" applyNumberFormat="1" applyBorder="1" applyAlignment="1">
      <alignment horizontal="center" vertical="center"/>
    </xf>
    <xf numFmtId="165" fontId="0" fillId="0" borderId="32" xfId="0" applyNumberFormat="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4" borderId="0" xfId="0" applyFill="1" applyAlignment="1">
      <alignment horizontal="center" vertical="center"/>
    </xf>
    <xf numFmtId="9" fontId="0" fillId="0" borderId="78" xfId="6" applyFont="1" applyBorder="1" applyAlignment="1">
      <alignment horizontal="center"/>
    </xf>
    <xf numFmtId="1" fontId="24" fillId="0" borderId="0" xfId="5" applyNumberFormat="1" applyFont="1" applyAlignment="1">
      <alignment horizontal="center" vertical="center"/>
    </xf>
    <xf numFmtId="2" fontId="24" fillId="0" borderId="0" xfId="5" applyNumberFormat="1" applyFont="1" applyAlignment="1">
      <alignment horizontal="center" vertical="center"/>
    </xf>
    <xf numFmtId="1" fontId="24" fillId="0" borderId="0" xfId="2" applyNumberFormat="1" applyFont="1" applyAlignment="1">
      <alignment horizontal="center" vertical="center"/>
    </xf>
    <xf numFmtId="2" fontId="24" fillId="0" borderId="0" xfId="2" applyNumberFormat="1" applyFont="1" applyAlignment="1">
      <alignment horizontal="center" vertical="center"/>
    </xf>
    <xf numFmtId="2" fontId="0" fillId="3" borderId="0" xfId="0" applyNumberFormat="1" applyFill="1" applyAlignment="1">
      <alignment horizontal="center"/>
    </xf>
    <xf numFmtId="165" fontId="0" fillId="3" borderId="0" xfId="0" applyNumberFormat="1" applyFill="1" applyAlignment="1">
      <alignment horizontal="center"/>
    </xf>
    <xf numFmtId="49" fontId="0" fillId="3" borderId="0" xfId="0" applyNumberFormat="1" applyFill="1" applyAlignment="1">
      <alignment horizontal="center"/>
    </xf>
    <xf numFmtId="0" fontId="0" fillId="3" borderId="0" xfId="0" applyFill="1" applyAlignment="1">
      <alignment horizontal="center"/>
    </xf>
    <xf numFmtId="1" fontId="0" fillId="0" borderId="0" xfId="2" applyNumberFormat="1" applyFont="1" applyAlignment="1">
      <alignment horizontal="center" vertical="center"/>
    </xf>
    <xf numFmtId="2" fontId="0" fillId="0" borderId="0" xfId="2" applyNumberFormat="1" applyFont="1" applyAlignment="1">
      <alignment horizontal="center" vertical="center"/>
    </xf>
    <xf numFmtId="0" fontId="0" fillId="0" borderId="36" xfId="0" applyBorder="1" applyAlignment="1">
      <alignment horizontal="center"/>
    </xf>
    <xf numFmtId="0" fontId="0" fillId="0" borderId="77" xfId="0" applyBorder="1" applyAlignment="1">
      <alignment horizontal="center" vertical="center"/>
    </xf>
    <xf numFmtId="9" fontId="0" fillId="0" borderId="42" xfId="1" applyFont="1" applyBorder="1" applyAlignment="1">
      <alignment horizontal="center"/>
    </xf>
    <xf numFmtId="1" fontId="0" fillId="0" borderId="42" xfId="1" applyNumberFormat="1" applyFont="1" applyBorder="1" applyAlignment="1">
      <alignment horizontal="center"/>
    </xf>
    <xf numFmtId="9" fontId="1" fillId="0" borderId="0" xfId="6" applyAlignment="1">
      <alignment horizontal="center"/>
    </xf>
    <xf numFmtId="9" fontId="1" fillId="0" borderId="46" xfId="6" applyBorder="1" applyAlignment="1">
      <alignment horizontal="center"/>
    </xf>
    <xf numFmtId="0" fontId="1" fillId="0" borderId="46" xfId="5" applyNumberFormat="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xf>
    <xf numFmtId="0" fontId="0" fillId="0" borderId="42" xfId="0" applyBorder="1" applyAlignment="1">
      <alignment horizontal="center" vertical="center"/>
    </xf>
    <xf numFmtId="165" fontId="24" fillId="0" borderId="8" xfId="0" applyNumberFormat="1" applyFont="1" applyBorder="1" applyAlignment="1">
      <alignment horizontal="center" vertical="center"/>
    </xf>
    <xf numFmtId="9" fontId="0" fillId="0" borderId="52" xfId="6" applyFont="1" applyBorder="1" applyAlignment="1">
      <alignment horizontal="center"/>
    </xf>
    <xf numFmtId="9" fontId="0" fillId="0" borderId="16" xfId="6" applyFont="1" applyBorder="1" applyAlignment="1">
      <alignment horizontal="center"/>
    </xf>
    <xf numFmtId="9" fontId="0" fillId="0" borderId="60" xfId="6" applyFont="1" applyBorder="1" applyAlignment="1">
      <alignment horizontal="center"/>
    </xf>
    <xf numFmtId="2" fontId="0" fillId="0" borderId="60" xfId="6" applyNumberFormat="1" applyFont="1" applyBorder="1" applyAlignment="1">
      <alignment horizontal="center" vertical="center"/>
    </xf>
    <xf numFmtId="1" fontId="0" fillId="0" borderId="16" xfId="5" applyNumberFormat="1" applyFont="1" applyBorder="1" applyAlignment="1">
      <alignment horizontal="center" vertical="center"/>
    </xf>
    <xf numFmtId="2" fontId="0" fillId="0" borderId="16" xfId="5" applyNumberFormat="1" applyFont="1" applyBorder="1" applyAlignment="1">
      <alignment horizontal="center" vertical="center"/>
    </xf>
    <xf numFmtId="9" fontId="0" fillId="0" borderId="60" xfId="0" applyNumberFormat="1" applyBorder="1" applyAlignment="1">
      <alignment horizontal="center" vertical="top"/>
    </xf>
    <xf numFmtId="0" fontId="6" fillId="0" borderId="60" xfId="0" applyFont="1" applyBorder="1" applyAlignment="1">
      <alignment horizontal="center" vertical="center"/>
    </xf>
    <xf numFmtId="0" fontId="6" fillId="0" borderId="42" xfId="0" applyFont="1" applyBorder="1" applyAlignment="1">
      <alignment horizontal="center" vertical="center"/>
    </xf>
    <xf numFmtId="0" fontId="0" fillId="0" borderId="42" xfId="0" applyBorder="1" applyAlignment="1">
      <alignment horizontal="center" vertical="top"/>
    </xf>
    <xf numFmtId="0" fontId="0" fillId="0" borderId="42" xfId="0" quotePrefix="1" applyBorder="1" applyAlignment="1">
      <alignment horizontal="center" vertical="top"/>
    </xf>
    <xf numFmtId="165" fontId="0" fillId="0" borderId="16" xfId="0" applyNumberFormat="1" applyBorder="1" applyAlignment="1">
      <alignment vertical="center"/>
    </xf>
    <xf numFmtId="165" fontId="0" fillId="0" borderId="81" xfId="0" applyNumberFormat="1" applyBorder="1" applyAlignment="1">
      <alignment vertical="center"/>
    </xf>
    <xf numFmtId="0" fontId="0" fillId="0" borderId="82" xfId="0" applyBorder="1" applyAlignment="1">
      <alignment horizontal="right"/>
    </xf>
    <xf numFmtId="0" fontId="0" fillId="0" borderId="16" xfId="0" applyBorder="1" applyAlignment="1">
      <alignment horizontal="right"/>
    </xf>
    <xf numFmtId="0" fontId="0" fillId="0" borderId="52" xfId="0" applyBorder="1" applyAlignment="1">
      <alignment horizontal="center"/>
    </xf>
    <xf numFmtId="0" fontId="0" fillId="0" borderId="60" xfId="0" applyBorder="1" applyAlignment="1">
      <alignment horizontal="center"/>
    </xf>
    <xf numFmtId="165" fontId="0" fillId="0" borderId="82" xfId="0" applyNumberFormat="1" applyBorder="1" applyAlignment="1">
      <alignment horizontal="center"/>
    </xf>
    <xf numFmtId="0" fontId="0" fillId="0" borderId="52" xfId="0" applyBorder="1" applyAlignment="1">
      <alignment horizontal="center" vertical="center"/>
    </xf>
    <xf numFmtId="0" fontId="0" fillId="0" borderId="16" xfId="0" applyBorder="1" applyAlignment="1">
      <alignment horizontal="center" vertical="center"/>
    </xf>
    <xf numFmtId="164" fontId="0" fillId="0" borderId="16" xfId="6" applyNumberFormat="1" applyFont="1" applyBorder="1" applyAlignment="1">
      <alignment horizontal="center"/>
    </xf>
    <xf numFmtId="0" fontId="0" fillId="0" borderId="60" xfId="0" applyBorder="1" applyAlignment="1">
      <alignment horizontal="center" vertical="center"/>
    </xf>
    <xf numFmtId="49" fontId="0" fillId="0" borderId="16" xfId="0" applyNumberFormat="1" applyBorder="1" applyAlignment="1">
      <alignment horizontal="center"/>
    </xf>
    <xf numFmtId="0" fontId="0" fillId="0" borderId="77" xfId="0" applyBorder="1" applyAlignment="1">
      <alignment horizontal="center"/>
    </xf>
    <xf numFmtId="0" fontId="0" fillId="0" borderId="16" xfId="0" applyBorder="1"/>
    <xf numFmtId="0" fontId="0" fillId="0" borderId="0" xfId="6" applyNumberFormat="1" applyFont="1" applyAlignment="1">
      <alignment horizontal="center"/>
    </xf>
    <xf numFmtId="0" fontId="0" fillId="0" borderId="16" xfId="6" applyNumberFormat="1" applyFont="1" applyBorder="1" applyAlignment="1">
      <alignment horizontal="center" vertical="center"/>
    </xf>
    <xf numFmtId="2" fontId="0" fillId="0" borderId="47" xfId="0" applyNumberFormat="1" applyBorder="1" applyAlignment="1">
      <alignment horizontal="center"/>
    </xf>
    <xf numFmtId="0" fontId="0" fillId="0" borderId="76" xfId="0" applyBorder="1" applyAlignment="1">
      <alignment horizontal="center" vertical="center" wrapText="1"/>
    </xf>
    <xf numFmtId="165" fontId="0" fillId="0" borderId="22" xfId="0" applyNumberFormat="1" applyBorder="1" applyAlignment="1">
      <alignment horizontal="center" vertical="center"/>
    </xf>
    <xf numFmtId="0" fontId="32" fillId="67" borderId="68" xfId="0" applyFont="1" applyFill="1" applyBorder="1" applyAlignment="1">
      <alignment horizontal="center" vertical="center"/>
    </xf>
    <xf numFmtId="0" fontId="0" fillId="0" borderId="33" xfId="0" applyBorder="1"/>
    <xf numFmtId="0" fontId="32" fillId="68" borderId="83" xfId="0" applyFont="1" applyFill="1" applyBorder="1" applyAlignment="1">
      <alignment horizontal="center" vertical="center"/>
    </xf>
    <xf numFmtId="0" fontId="32" fillId="69" borderId="83" xfId="0" applyFont="1" applyFill="1" applyBorder="1" applyAlignment="1">
      <alignment horizontal="center" vertical="center"/>
    </xf>
    <xf numFmtId="0" fontId="32" fillId="70" borderId="61" xfId="0" applyFont="1" applyFill="1" applyBorder="1" applyAlignment="1">
      <alignment horizontal="center" vertical="center"/>
    </xf>
    <xf numFmtId="0" fontId="32" fillId="71" borderId="68" xfId="0" applyFont="1" applyFill="1" applyBorder="1" applyAlignment="1">
      <alignment horizontal="center" vertical="center"/>
    </xf>
    <xf numFmtId="0" fontId="33" fillId="72" borderId="83" xfId="0" applyFont="1" applyFill="1" applyBorder="1" applyAlignment="1">
      <alignment horizontal="center" vertical="center"/>
    </xf>
    <xf numFmtId="0" fontId="33" fillId="73" borderId="61" xfId="0" applyFont="1" applyFill="1" applyBorder="1" applyAlignment="1">
      <alignment horizontal="center" vertical="center"/>
    </xf>
    <xf numFmtId="0" fontId="27" fillId="0" borderId="23" xfId="0" applyFont="1" applyBorder="1"/>
    <xf numFmtId="0" fontId="32" fillId="74" borderId="83" xfId="0" applyFont="1" applyFill="1" applyBorder="1" applyAlignment="1">
      <alignment horizontal="center" vertical="center"/>
    </xf>
    <xf numFmtId="0" fontId="32" fillId="75" borderId="83" xfId="0" applyFont="1" applyFill="1" applyBorder="1" applyAlignment="1">
      <alignment horizontal="center" vertical="center"/>
    </xf>
    <xf numFmtId="0" fontId="33" fillId="76" borderId="83" xfId="0" applyFont="1" applyFill="1" applyBorder="1" applyAlignment="1">
      <alignment horizontal="center" vertical="center"/>
    </xf>
    <xf numFmtId="0" fontId="33" fillId="77" borderId="83" xfId="0" applyFont="1" applyFill="1" applyBorder="1" applyAlignment="1">
      <alignment horizontal="center" vertical="center"/>
    </xf>
    <xf numFmtId="0" fontId="33" fillId="78" borderId="61" xfId="0" applyFont="1" applyFill="1" applyBorder="1" applyAlignment="1">
      <alignment horizontal="center" vertical="center"/>
    </xf>
    <xf numFmtId="0" fontId="32" fillId="79" borderId="11" xfId="0" applyFont="1" applyFill="1" applyBorder="1" applyAlignment="1">
      <alignment horizontal="center" vertical="center"/>
    </xf>
    <xf numFmtId="0" fontId="32" fillId="80" borderId="11" xfId="0" applyFont="1" applyFill="1" applyBorder="1" applyAlignment="1">
      <alignment horizontal="center" vertical="center"/>
    </xf>
    <xf numFmtId="0" fontId="33" fillId="81" borderId="11" xfId="0" applyFont="1" applyFill="1" applyBorder="1" applyAlignment="1">
      <alignment horizontal="center" vertical="center"/>
    </xf>
    <xf numFmtId="0" fontId="33" fillId="82" borderId="11" xfId="0" applyFont="1" applyFill="1" applyBorder="1" applyAlignment="1">
      <alignment horizontal="center" vertical="center"/>
    </xf>
    <xf numFmtId="0" fontId="33" fillId="83" borderId="11" xfId="0" applyFont="1" applyFill="1" applyBorder="1" applyAlignment="1">
      <alignment horizontal="center" vertical="center"/>
    </xf>
    <xf numFmtId="0" fontId="27" fillId="0" borderId="33" xfId="0" applyFont="1" applyBorder="1"/>
    <xf numFmtId="0" fontId="27" fillId="0" borderId="40" xfId="0" applyFont="1" applyBorder="1"/>
    <xf numFmtId="0" fontId="32" fillId="84" borderId="68" xfId="0" applyFont="1" applyFill="1" applyBorder="1" applyAlignment="1">
      <alignment horizontal="center" vertical="center"/>
    </xf>
    <xf numFmtId="0" fontId="32" fillId="85" borderId="83" xfId="0" applyFont="1" applyFill="1" applyBorder="1" applyAlignment="1">
      <alignment horizontal="center" vertical="center"/>
    </xf>
    <xf numFmtId="0" fontId="32" fillId="86" borderId="83" xfId="0" applyFont="1" applyFill="1" applyBorder="1" applyAlignment="1">
      <alignment horizontal="center" vertical="center"/>
    </xf>
    <xf numFmtId="0" fontId="32" fillId="87" borderId="83" xfId="0" applyFont="1" applyFill="1" applyBorder="1" applyAlignment="1">
      <alignment horizontal="center" vertical="center"/>
    </xf>
    <xf numFmtId="0" fontId="33" fillId="88" borderId="61" xfId="0" applyFont="1" applyFill="1" applyBorder="1" applyAlignment="1">
      <alignment horizontal="center" vertical="center"/>
    </xf>
    <xf numFmtId="0" fontId="33" fillId="89" borderId="50" xfId="0" applyFont="1" applyFill="1" applyBorder="1" applyAlignment="1">
      <alignment horizontal="center" vertical="center"/>
    </xf>
    <xf numFmtId="0" fontId="32" fillId="90" borderId="83" xfId="0" applyFont="1" applyFill="1" applyBorder="1" applyAlignment="1">
      <alignment horizontal="center" vertical="center"/>
    </xf>
    <xf numFmtId="0" fontId="32" fillId="91" borderId="83" xfId="0" applyFont="1" applyFill="1" applyBorder="1" applyAlignment="1">
      <alignment horizontal="center" vertical="center"/>
    </xf>
    <xf numFmtId="0" fontId="32" fillId="92" borderId="83" xfId="0" applyFont="1" applyFill="1" applyBorder="1" applyAlignment="1">
      <alignment horizontal="center" vertical="center"/>
    </xf>
    <xf numFmtId="0" fontId="33" fillId="93" borderId="61" xfId="0" applyFont="1" applyFill="1" applyBorder="1" applyAlignment="1">
      <alignment horizontal="center" vertical="center"/>
    </xf>
    <xf numFmtId="0" fontId="32" fillId="94" borderId="11" xfId="0" applyFont="1" applyFill="1" applyBorder="1" applyAlignment="1">
      <alignment horizontal="center" vertical="center"/>
    </xf>
    <xf numFmtId="0" fontId="32" fillId="95" borderId="11" xfId="0" applyFont="1" applyFill="1" applyBorder="1" applyAlignment="1">
      <alignment horizontal="center" vertical="center"/>
    </xf>
    <xf numFmtId="0" fontId="33" fillId="96" borderId="75" xfId="0" applyFont="1" applyFill="1" applyBorder="1" applyAlignment="1">
      <alignment horizontal="center" vertical="center"/>
    </xf>
    <xf numFmtId="0" fontId="32" fillId="97" borderId="68" xfId="0" applyFont="1" applyFill="1" applyBorder="1" applyAlignment="1">
      <alignment horizontal="center" vertical="center"/>
    </xf>
    <xf numFmtId="0" fontId="32" fillId="98" borderId="83" xfId="0" applyFont="1" applyFill="1" applyBorder="1" applyAlignment="1">
      <alignment horizontal="center" vertical="center"/>
    </xf>
    <xf numFmtId="0" fontId="32" fillId="99" borderId="83" xfId="0" applyFont="1" applyFill="1" applyBorder="1" applyAlignment="1">
      <alignment horizontal="center" vertical="center"/>
    </xf>
    <xf numFmtId="0" fontId="33" fillId="100" borderId="61" xfId="0" applyFont="1" applyFill="1" applyBorder="1" applyAlignment="1">
      <alignment horizontal="center" vertical="center"/>
    </xf>
    <xf numFmtId="0" fontId="32" fillId="101" borderId="68" xfId="0" applyFont="1" applyFill="1" applyBorder="1" applyAlignment="1">
      <alignment horizontal="center" vertical="center"/>
    </xf>
    <xf numFmtId="0" fontId="32" fillId="102" borderId="83" xfId="0" applyFont="1" applyFill="1" applyBorder="1" applyAlignment="1">
      <alignment horizontal="center" vertical="center"/>
    </xf>
    <xf numFmtId="0" fontId="33" fillId="103" borderId="83" xfId="0" applyFont="1" applyFill="1" applyBorder="1" applyAlignment="1">
      <alignment horizontal="center" vertical="center"/>
    </xf>
    <xf numFmtId="0" fontId="33" fillId="104" borderId="83" xfId="0" applyFont="1" applyFill="1" applyBorder="1" applyAlignment="1">
      <alignment horizontal="center" vertical="center"/>
    </xf>
    <xf numFmtId="0" fontId="33" fillId="105" borderId="61" xfId="0" applyFont="1" applyFill="1" applyBorder="1" applyAlignment="1">
      <alignment horizontal="center" vertical="center"/>
    </xf>
    <xf numFmtId="0" fontId="32" fillId="106" borderId="68" xfId="0" applyFont="1" applyFill="1" applyBorder="1" applyAlignment="1">
      <alignment horizontal="center" vertical="center"/>
    </xf>
    <xf numFmtId="0" fontId="32" fillId="107" borderId="61" xfId="0" applyFont="1" applyFill="1" applyBorder="1" applyAlignment="1">
      <alignment horizontal="center" vertical="center"/>
    </xf>
    <xf numFmtId="0" fontId="33" fillId="108" borderId="68" xfId="0" applyFont="1" applyFill="1" applyBorder="1" applyAlignment="1">
      <alignment horizontal="center" vertical="center"/>
    </xf>
    <xf numFmtId="0" fontId="33" fillId="109" borderId="61" xfId="0" applyFont="1" applyFill="1" applyBorder="1" applyAlignment="1">
      <alignment horizontal="center" vertical="center"/>
    </xf>
    <xf numFmtId="0" fontId="32" fillId="110" borderId="83" xfId="0" applyFont="1" applyFill="1" applyBorder="1" applyAlignment="1">
      <alignment horizontal="center" vertical="center"/>
    </xf>
    <xf numFmtId="0" fontId="32" fillId="111" borderId="83" xfId="0" applyFont="1" applyFill="1" applyBorder="1" applyAlignment="1">
      <alignment horizontal="center" vertical="center"/>
    </xf>
    <xf numFmtId="0" fontId="33" fillId="112" borderId="83" xfId="0" applyFont="1" applyFill="1" applyBorder="1" applyAlignment="1">
      <alignment horizontal="center" vertical="center"/>
    </xf>
    <xf numFmtId="0" fontId="33" fillId="113" borderId="61" xfId="0" applyFont="1" applyFill="1" applyBorder="1" applyAlignment="1">
      <alignment horizontal="center" vertical="center"/>
    </xf>
    <xf numFmtId="0" fontId="32" fillId="114" borderId="83" xfId="0" applyFont="1" applyFill="1" applyBorder="1" applyAlignment="1">
      <alignment horizontal="center" vertical="center"/>
    </xf>
    <xf numFmtId="0" fontId="32" fillId="115" borderId="83" xfId="0" applyFont="1" applyFill="1" applyBorder="1" applyAlignment="1">
      <alignment horizontal="center" vertical="center"/>
    </xf>
    <xf numFmtId="0" fontId="33" fillId="116" borderId="83" xfId="0" applyFont="1" applyFill="1" applyBorder="1" applyAlignment="1">
      <alignment horizontal="center" vertical="center"/>
    </xf>
    <xf numFmtId="0" fontId="33" fillId="117" borderId="61" xfId="0" applyFont="1" applyFill="1" applyBorder="1" applyAlignment="1">
      <alignment horizontal="center" vertical="center"/>
    </xf>
    <xf numFmtId="2" fontId="0" fillId="66" borderId="0" xfId="5" applyNumberFormat="1" applyFont="1" applyFill="1" applyAlignment="1">
      <alignment horizontal="center" vertical="center"/>
    </xf>
    <xf numFmtId="2" fontId="1" fillId="66" borderId="0" xfId="5" applyNumberFormat="1" applyFill="1" applyAlignment="1">
      <alignment horizontal="center"/>
    </xf>
    <xf numFmtId="2" fontId="0" fillId="0" borderId="19" xfId="0" applyNumberFormat="1" applyBorder="1" applyAlignment="1">
      <alignment horizontal="center"/>
    </xf>
    <xf numFmtId="2" fontId="0" fillId="0" borderId="14" xfId="0" applyNumberFormat="1" applyBorder="1" applyAlignment="1">
      <alignment horizontal="center"/>
    </xf>
    <xf numFmtId="2" fontId="0" fillId="0" borderId="31" xfId="0" applyNumberFormat="1" applyBorder="1" applyAlignment="1">
      <alignment horizontal="center"/>
    </xf>
    <xf numFmtId="166" fontId="0" fillId="0" borderId="84" xfId="0" applyNumberFormat="1" applyBorder="1" applyAlignment="1">
      <alignment horizontal="center" vertical="center"/>
    </xf>
    <xf numFmtId="165" fontId="0" fillId="0" borderId="6" xfId="0" applyNumberFormat="1" applyBorder="1" applyAlignment="1">
      <alignment horizontal="center" vertical="center"/>
    </xf>
    <xf numFmtId="0" fontId="7" fillId="0" borderId="11" xfId="0" applyFont="1" applyBorder="1" applyAlignment="1">
      <alignment horizontal="center"/>
    </xf>
    <xf numFmtId="0" fontId="7" fillId="0" borderId="39" xfId="0" applyFont="1" applyBorder="1" applyAlignment="1">
      <alignment horizontal="center"/>
    </xf>
    <xf numFmtId="0" fontId="0" fillId="0" borderId="41" xfId="0" applyBorder="1" applyAlignment="1">
      <alignment horizontal="center" vertical="center" wrapText="1"/>
    </xf>
    <xf numFmtId="166" fontId="0" fillId="0" borderId="5" xfId="2" applyNumberFormat="1" applyFont="1" applyBorder="1" applyAlignment="1">
      <alignment horizontal="center" vertical="center"/>
    </xf>
    <xf numFmtId="166" fontId="0" fillId="0" borderId="0" xfId="2" applyNumberFormat="1" applyFont="1"/>
    <xf numFmtId="166" fontId="0" fillId="0" borderId="16" xfId="2" applyNumberFormat="1" applyFont="1" applyBorder="1"/>
    <xf numFmtId="166" fontId="0" fillId="0" borderId="5" xfId="2" applyNumberFormat="1" applyFont="1" applyBorder="1" applyAlignment="1">
      <alignment horizontal="center"/>
    </xf>
    <xf numFmtId="166" fontId="0" fillId="0" borderId="39" xfId="2" applyNumberFormat="1" applyFont="1" applyBorder="1" applyAlignment="1">
      <alignment horizontal="center"/>
    </xf>
    <xf numFmtId="166" fontId="0" fillId="0" borderId="69" xfId="0" applyNumberFormat="1" applyBorder="1" applyAlignment="1">
      <alignment horizontal="center"/>
    </xf>
    <xf numFmtId="168" fontId="0" fillId="0" borderId="2" xfId="2" applyNumberFormat="1" applyFont="1" applyBorder="1" applyAlignment="1">
      <alignment horizontal="center"/>
    </xf>
    <xf numFmtId="168" fontId="0" fillId="0" borderId="0" xfId="2" applyNumberFormat="1" applyFont="1" applyAlignment="1">
      <alignment horizontal="center"/>
    </xf>
    <xf numFmtId="168" fontId="0" fillId="0" borderId="46" xfId="0" applyNumberFormat="1" applyBorder="1" applyAlignment="1">
      <alignment horizontal="center"/>
    </xf>
    <xf numFmtId="166" fontId="0" fillId="0" borderId="46" xfId="0" applyNumberFormat="1" applyBorder="1" applyAlignment="1">
      <alignment horizontal="center"/>
    </xf>
    <xf numFmtId="166" fontId="0" fillId="0" borderId="5" xfId="0" applyNumberFormat="1" applyBorder="1" applyAlignment="1">
      <alignment horizontal="center"/>
    </xf>
    <xf numFmtId="1" fontId="0" fillId="0" borderId="13" xfId="5" applyNumberFormat="1" applyFont="1" applyBorder="1" applyAlignment="1">
      <alignment horizontal="center" vertical="center"/>
    </xf>
    <xf numFmtId="2" fontId="0" fillId="0" borderId="15" xfId="0" applyNumberFormat="1" applyBorder="1" applyAlignment="1">
      <alignment horizontal="center" vertical="center"/>
    </xf>
    <xf numFmtId="1" fontId="0" fillId="0" borderId="9" xfId="5" applyNumberFormat="1" applyFont="1" applyBorder="1" applyAlignment="1">
      <alignment horizontal="center" vertical="center"/>
    </xf>
    <xf numFmtId="2" fontId="0" fillId="0" borderId="12" xfId="0" applyNumberFormat="1" applyBorder="1" applyAlignment="1">
      <alignment horizontal="center" vertical="center"/>
    </xf>
    <xf numFmtId="1" fontId="0" fillId="0" borderId="17" xfId="5" applyNumberFormat="1" applyFont="1" applyBorder="1" applyAlignment="1">
      <alignment horizontal="center" vertical="center" wrapText="1"/>
    </xf>
    <xf numFmtId="2" fontId="0" fillId="0" borderId="22" xfId="0" applyNumberFormat="1" applyBorder="1" applyAlignment="1">
      <alignment horizontal="center" vertical="center" wrapText="1"/>
    </xf>
    <xf numFmtId="166" fontId="0" fillId="0" borderId="52" xfId="0" applyNumberFormat="1" applyBorder="1" applyAlignment="1">
      <alignment horizontal="center"/>
    </xf>
    <xf numFmtId="167" fontId="23" fillId="0" borderId="46" xfId="5" applyNumberFormat="1" applyFont="1" applyBorder="1"/>
    <xf numFmtId="167" fontId="6" fillId="0" borderId="2" xfId="5" applyNumberFormat="1" applyFont="1" applyBorder="1"/>
    <xf numFmtId="49" fontId="0" fillId="66" borderId="16" xfId="0" applyNumberFormat="1" applyFill="1" applyBorder="1" applyAlignment="1">
      <alignment horizontal="center"/>
    </xf>
    <xf numFmtId="0" fontId="0" fillId="0" borderId="74" xfId="0" applyBorder="1" applyAlignment="1">
      <alignment horizontal="center"/>
    </xf>
    <xf numFmtId="0" fontId="0" fillId="0" borderId="35" xfId="0" applyBorder="1" applyAlignment="1">
      <alignment horizontal="center" vertical="center"/>
    </xf>
    <xf numFmtId="0" fontId="3" fillId="0" borderId="49" xfId="0" applyFont="1" applyBorder="1" applyAlignment="1">
      <alignment horizontal="center"/>
    </xf>
    <xf numFmtId="9" fontId="0" fillId="0" borderId="65" xfId="0" applyNumberFormat="1" applyBorder="1" applyAlignment="1">
      <alignment horizontal="center"/>
    </xf>
    <xf numFmtId="2" fontId="0" fillId="0" borderId="53" xfId="0" applyNumberFormat="1" applyBorder="1" applyAlignment="1">
      <alignment horizontal="center"/>
    </xf>
    <xf numFmtId="2" fontId="0" fillId="0" borderId="58" xfId="0" applyNumberFormat="1" applyBorder="1" applyAlignment="1">
      <alignment horizontal="center"/>
    </xf>
    <xf numFmtId="1" fontId="0" fillId="0" borderId="57" xfId="5" applyNumberFormat="1" applyFont="1" applyBorder="1" applyAlignment="1">
      <alignment horizontal="center"/>
    </xf>
    <xf numFmtId="11" fontId="0" fillId="0" borderId="53" xfId="0" applyNumberFormat="1" applyBorder="1" applyAlignment="1">
      <alignment horizontal="center"/>
    </xf>
    <xf numFmtId="11" fontId="0" fillId="0" borderId="54" xfId="0" applyNumberFormat="1" applyBorder="1" applyAlignment="1">
      <alignment horizontal="center"/>
    </xf>
    <xf numFmtId="11" fontId="0" fillId="0" borderId="65" xfId="0" applyNumberFormat="1" applyBorder="1" applyAlignment="1">
      <alignment horizontal="center"/>
    </xf>
    <xf numFmtId="1" fontId="0" fillId="0" borderId="57" xfId="0" applyNumberFormat="1" applyBorder="1" applyAlignment="1">
      <alignment horizontal="center"/>
    </xf>
    <xf numFmtId="1" fontId="0" fillId="0" borderId="54" xfId="0" applyNumberFormat="1" applyBorder="1" applyAlignment="1">
      <alignment horizontal="center"/>
    </xf>
    <xf numFmtId="0" fontId="0" fillId="0" borderId="49" xfId="0" applyBorder="1" applyAlignment="1">
      <alignment horizontal="center"/>
    </xf>
    <xf numFmtId="0" fontId="12" fillId="0" borderId="65" xfId="0" applyFont="1" applyBorder="1" applyAlignment="1">
      <alignment horizontal="center" vertical="top"/>
    </xf>
    <xf numFmtId="0" fontId="7" fillId="0" borderId="21" xfId="0" applyFont="1" applyBorder="1" applyAlignment="1">
      <alignment horizontal="center" vertical="center"/>
    </xf>
    <xf numFmtId="0" fontId="0" fillId="0" borderId="47" xfId="0" applyBorder="1" applyAlignment="1">
      <alignment horizontal="left"/>
    </xf>
    <xf numFmtId="166" fontId="0" fillId="0" borderId="19" xfId="2" applyNumberFormat="1" applyFont="1" applyBorder="1" applyAlignment="1">
      <alignment horizontal="center" vertical="center"/>
    </xf>
    <xf numFmtId="166" fontId="0" fillId="0" borderId="16" xfId="0" applyNumberFormat="1" applyBorder="1" applyAlignment="1">
      <alignment horizontal="center"/>
    </xf>
    <xf numFmtId="2" fontId="0" fillId="0" borderId="31" xfId="2" applyNumberFormat="1" applyFont="1" applyBorder="1" applyAlignment="1">
      <alignment horizontal="center" vertical="center"/>
    </xf>
    <xf numFmtId="1" fontId="0" fillId="0" borderId="0" xfId="5" applyNumberFormat="1" applyFont="1" applyAlignment="1">
      <alignment horizontal="left"/>
    </xf>
    <xf numFmtId="9" fontId="0" fillId="0" borderId="66" xfId="1" applyFont="1" applyBorder="1" applyAlignment="1">
      <alignment horizontal="center"/>
    </xf>
    <xf numFmtId="166" fontId="0" fillId="0" borderId="52" xfId="2" applyNumberFormat="1" applyFont="1" applyBorder="1" applyAlignment="1">
      <alignment horizontal="center"/>
    </xf>
    <xf numFmtId="166" fontId="0" fillId="0" borderId="16" xfId="2" applyNumberFormat="1" applyFont="1" applyBorder="1" applyAlignment="1">
      <alignment horizontal="center"/>
    </xf>
    <xf numFmtId="43" fontId="0" fillId="0" borderId="16" xfId="2" applyFont="1" applyBorder="1" applyAlignment="1">
      <alignment horizontal="center"/>
    </xf>
    <xf numFmtId="0" fontId="0" fillId="0" borderId="60" xfId="6" applyNumberFormat="1" applyFont="1" applyBorder="1" applyAlignment="1">
      <alignment horizontal="center"/>
    </xf>
    <xf numFmtId="0" fontId="34" fillId="0" borderId="0" xfId="0" applyFont="1"/>
    <xf numFmtId="1" fontId="6" fillId="0" borderId="14" xfId="0" applyNumberFormat="1" applyFont="1" applyBorder="1" applyAlignment="1">
      <alignment horizontal="center"/>
    </xf>
    <xf numFmtId="1" fontId="6" fillId="0" borderId="19" xfId="0" applyNumberFormat="1" applyFont="1" applyBorder="1" applyAlignment="1">
      <alignment horizontal="center"/>
    </xf>
    <xf numFmtId="1" fontId="6" fillId="0" borderId="16" xfId="0" applyNumberFormat="1" applyFont="1" applyBorder="1" applyAlignment="1">
      <alignment horizontal="center"/>
    </xf>
    <xf numFmtId="166" fontId="6" fillId="0" borderId="5" xfId="0" applyNumberFormat="1" applyFont="1" applyBorder="1" applyAlignment="1">
      <alignment horizontal="center" vertical="center"/>
    </xf>
    <xf numFmtId="1" fontId="6" fillId="0" borderId="39" xfId="0" applyNumberFormat="1" applyFont="1" applyBorder="1" applyAlignment="1">
      <alignment horizontal="center"/>
    </xf>
    <xf numFmtId="166" fontId="6" fillId="0" borderId="39" xfId="0" applyNumberFormat="1" applyFont="1" applyBorder="1" applyAlignment="1">
      <alignment horizontal="center" vertical="center"/>
    </xf>
    <xf numFmtId="167" fontId="20" fillId="0" borderId="39" xfId="5" applyNumberFormat="1" applyFont="1" applyBorder="1" applyAlignment="1">
      <alignment horizontal="center"/>
    </xf>
    <xf numFmtId="166" fontId="6" fillId="0" borderId="39" xfId="0" applyNumberFormat="1" applyFont="1" applyBorder="1" applyAlignment="1">
      <alignment horizontal="center"/>
    </xf>
    <xf numFmtId="1" fontId="6" fillId="0" borderId="41" xfId="0" applyNumberFormat="1" applyFont="1" applyBorder="1" applyAlignment="1">
      <alignment horizontal="center"/>
    </xf>
    <xf numFmtId="167" fontId="20" fillId="0" borderId="41" xfId="5" applyNumberFormat="1" applyFont="1" applyBorder="1" applyAlignment="1">
      <alignment horizontal="center"/>
    </xf>
    <xf numFmtId="166" fontId="6" fillId="0" borderId="41" xfId="0" applyNumberFormat="1" applyFont="1" applyBorder="1" applyAlignment="1">
      <alignment horizontal="center"/>
    </xf>
    <xf numFmtId="0" fontId="0" fillId="66" borderId="0" xfId="0" applyFill="1" applyAlignment="1">
      <alignment horizontal="center"/>
    </xf>
    <xf numFmtId="1" fontId="24" fillId="66" borderId="25" xfId="2" applyNumberFormat="1" applyFont="1" applyFill="1" applyBorder="1" applyAlignment="1">
      <alignment horizontal="center"/>
    </xf>
    <xf numFmtId="166" fontId="0" fillId="0" borderId="0" xfId="0" applyNumberFormat="1"/>
    <xf numFmtId="0" fontId="0" fillId="0" borderId="69" xfId="0" applyBorder="1" applyAlignment="1">
      <alignment horizontal="center"/>
    </xf>
    <xf numFmtId="0" fontId="0" fillId="0" borderId="69" xfId="0" applyBorder="1"/>
    <xf numFmtId="0" fontId="0" fillId="0" borderId="0" xfId="0" applyAlignment="1">
      <alignment horizontal="center"/>
    </xf>
    <xf numFmtId="0" fontId="0" fillId="0" borderId="0" xfId="0"/>
    <xf numFmtId="0" fontId="0" fillId="0" borderId="16" xfId="0" applyBorder="1" applyAlignment="1">
      <alignment horizontal="center"/>
    </xf>
    <xf numFmtId="0" fontId="0" fillId="0" borderId="16" xfId="0" applyBorder="1"/>
    <xf numFmtId="0" fontId="0" fillId="0" borderId="49"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0" fillId="0" borderId="48" xfId="0" applyBorder="1" applyAlignment="1">
      <alignment horizontal="center" vertical="top"/>
    </xf>
    <xf numFmtId="0" fontId="0" fillId="0" borderId="46" xfId="0" applyBorder="1" applyAlignment="1">
      <alignment horizontal="center" vertical="top"/>
    </xf>
    <xf numFmtId="0" fontId="0" fillId="0" borderId="45" xfId="0" applyBorder="1" applyAlignment="1">
      <alignment horizontal="center" vertical="top"/>
    </xf>
    <xf numFmtId="0" fontId="0" fillId="0" borderId="8" xfId="0" applyBorder="1"/>
    <xf numFmtId="0" fontId="0" fillId="0" borderId="7" xfId="0" applyBorder="1" applyAlignment="1">
      <alignment horizontal="center" vertical="top"/>
    </xf>
    <xf numFmtId="0" fontId="0" fillId="0" borderId="0" xfId="0" applyAlignment="1">
      <alignment horizontal="left" vertical="center" wrapText="1"/>
    </xf>
    <xf numFmtId="0" fontId="3" fillId="0" borderId="50" xfId="0" applyFont="1" applyBorder="1" applyAlignment="1">
      <alignment horizontal="center" vertical="top" wrapText="1"/>
    </xf>
    <xf numFmtId="0" fontId="0" fillId="0" borderId="2" xfId="0" applyBorder="1"/>
    <xf numFmtId="0" fontId="0" fillId="0" borderId="3" xfId="0" applyBorder="1"/>
    <xf numFmtId="0" fontId="0" fillId="0" borderId="7" xfId="0" applyBorder="1"/>
    <xf numFmtId="0" fontId="0" fillId="0" borderId="45" xfId="0" applyBorder="1"/>
    <xf numFmtId="0" fontId="0" fillId="0" borderId="46" xfId="0" applyBorder="1"/>
    <xf numFmtId="0" fontId="0" fillId="0" borderId="48" xfId="0" applyBorder="1"/>
    <xf numFmtId="0" fontId="0" fillId="0" borderId="50" xfId="0" applyBorder="1" applyAlignment="1">
      <alignment horizontal="center" vertical="top" wrapText="1"/>
    </xf>
    <xf numFmtId="0" fontId="0" fillId="0" borderId="57" xfId="0" applyBorder="1"/>
    <xf numFmtId="0" fontId="0" fillId="0" borderId="58" xfId="0" applyBorder="1"/>
    <xf numFmtId="0" fontId="0" fillId="0" borderId="37" xfId="0" applyBorder="1" applyAlignment="1">
      <alignment horizontal="center" vertical="center"/>
    </xf>
    <xf numFmtId="0" fontId="0" fillId="0" borderId="34" xfId="0" applyBorder="1"/>
    <xf numFmtId="0" fontId="0" fillId="0" borderId="37" xfId="0" applyBorder="1"/>
    <xf numFmtId="0" fontId="0" fillId="0" borderId="21" xfId="0" applyBorder="1" applyAlignment="1">
      <alignment horizontal="center" vertical="center" wrapText="1"/>
    </xf>
    <xf numFmtId="0" fontId="0" fillId="0" borderId="25" xfId="0" applyBorder="1"/>
    <xf numFmtId="0" fontId="0" fillId="0" borderId="21" xfId="0" applyBorder="1"/>
    <xf numFmtId="0" fontId="0" fillId="0" borderId="67" xfId="0" applyBorder="1" applyAlignment="1">
      <alignment horizontal="center" vertical="center" wrapText="1"/>
    </xf>
    <xf numFmtId="0" fontId="0" fillId="0" borderId="66" xfId="0" applyBorder="1"/>
    <xf numFmtId="0" fontId="0" fillId="0" borderId="67" xfId="0" applyBorder="1"/>
    <xf numFmtId="0" fontId="7" fillId="0" borderId="37" xfId="0" applyFont="1" applyBorder="1" applyAlignment="1">
      <alignment horizontal="center" vertical="center"/>
    </xf>
    <xf numFmtId="0" fontId="7" fillId="0" borderId="34" xfId="0" applyFont="1" applyBorder="1"/>
    <xf numFmtId="0" fontId="7" fillId="0" borderId="37" xfId="0" applyFont="1" applyBorder="1"/>
    <xf numFmtId="0" fontId="0" fillId="0" borderId="25" xfId="0" applyBorder="1" applyAlignment="1">
      <alignment horizontal="center" vertical="center"/>
    </xf>
    <xf numFmtId="0" fontId="0" fillId="0" borderId="53" xfId="0" applyBorder="1" applyAlignment="1">
      <alignment horizontal="center" vertical="center" wrapText="1"/>
    </xf>
    <xf numFmtId="0" fontId="0" fillId="0" borderId="40" xfId="0" applyBorder="1" applyAlignment="1">
      <alignment horizontal="center" vertical="top" wrapText="1"/>
    </xf>
    <xf numFmtId="0" fontId="0" fillId="0" borderId="65" xfId="0" applyBorder="1" applyAlignment="1">
      <alignment horizontal="center" vertical="center" wrapText="1"/>
    </xf>
    <xf numFmtId="0" fontId="0" fillId="0" borderId="55" xfId="0" applyBorder="1" applyAlignment="1">
      <alignment horizontal="center" vertical="center"/>
    </xf>
    <xf numFmtId="0" fontId="0" fillId="0" borderId="50" xfId="0" applyBorder="1" applyAlignment="1">
      <alignment horizontal="center" vertical="top"/>
    </xf>
    <xf numFmtId="0" fontId="0" fillId="0" borderId="28" xfId="0" applyBorder="1" applyAlignment="1">
      <alignment horizontal="center" vertical="center"/>
    </xf>
    <xf numFmtId="0" fontId="0" fillId="0" borderId="68" xfId="0" applyBorder="1" applyAlignment="1">
      <alignment horizontal="center" vertical="top" wrapText="1"/>
    </xf>
    <xf numFmtId="0" fontId="0" fillId="0" borderId="5" xfId="0" applyBorder="1"/>
    <xf numFmtId="0" fontId="0" fillId="0" borderId="6" xfId="0" applyBorder="1"/>
    <xf numFmtId="165" fontId="0" fillId="0" borderId="32" xfId="0" applyNumberFormat="1" applyBorder="1" applyAlignment="1">
      <alignment horizontal="center" vertical="center"/>
    </xf>
    <xf numFmtId="0" fontId="0" fillId="0" borderId="32" xfId="0" applyBorder="1"/>
    <xf numFmtId="0" fontId="0" fillId="0" borderId="72" xfId="0" applyBorder="1" applyAlignment="1">
      <alignment horizontal="center" vertical="center"/>
    </xf>
    <xf numFmtId="0" fontId="0" fillId="0" borderId="28" xfId="0" applyBorder="1" applyAlignment="1">
      <alignment horizontal="center" vertical="top" wrapText="1"/>
    </xf>
    <xf numFmtId="0" fontId="4" fillId="0" borderId="23" xfId="4" applyBorder="1" applyAlignment="1">
      <alignment horizontal="center" vertical="center"/>
    </xf>
    <xf numFmtId="0" fontId="4" fillId="0" borderId="33" xfId="4" applyBorder="1" applyAlignment="1">
      <alignment horizontal="center" vertical="center"/>
    </xf>
    <xf numFmtId="0" fontId="4" fillId="0" borderId="40" xfId="4"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wrapText="1"/>
    </xf>
    <xf numFmtId="0" fontId="0" fillId="0" borderId="25" xfId="0" applyBorder="1" applyAlignment="1">
      <alignment vertical="center"/>
    </xf>
    <xf numFmtId="0" fontId="0" fillId="0" borderId="45" xfId="0" applyBorder="1" applyAlignment="1">
      <alignment horizontal="center" vertical="center" wrapText="1"/>
    </xf>
    <xf numFmtId="0" fontId="0" fillId="0" borderId="40" xfId="0" applyBorder="1" applyAlignment="1">
      <alignment horizontal="center" vertical="center" wrapText="1"/>
    </xf>
    <xf numFmtId="0" fontId="0" fillId="0" borderId="33" xfId="0" applyBorder="1" applyAlignment="1">
      <alignment horizontal="center" vertical="center" wrapText="1"/>
    </xf>
    <xf numFmtId="0" fontId="0" fillId="0" borderId="50" xfId="0" applyBorder="1" applyAlignment="1">
      <alignment horizontal="center" vertical="center" wrapText="1"/>
    </xf>
    <xf numFmtId="0" fontId="0" fillId="0" borderId="40" xfId="0" applyBorder="1"/>
    <xf numFmtId="0" fontId="0" fillId="0" borderId="55" xfId="0" applyBorder="1" applyAlignment="1">
      <alignment horizontal="center" vertical="center" wrapText="1"/>
    </xf>
    <xf numFmtId="0" fontId="0" fillId="0" borderId="75" xfId="0" applyBorder="1" applyAlignment="1">
      <alignment horizontal="center" vertical="center"/>
    </xf>
    <xf numFmtId="0" fontId="0" fillId="0" borderId="21" xfId="0" applyBorder="1" applyAlignment="1">
      <alignment horizontal="center" vertical="center"/>
    </xf>
    <xf numFmtId="0" fontId="0" fillId="0" borderId="34" xfId="0" applyBorder="1" applyAlignment="1">
      <alignment horizontal="center" vertical="center" wrapText="1"/>
    </xf>
    <xf numFmtId="0" fontId="0" fillId="0" borderId="53" xfId="0" applyBorder="1" applyAlignment="1">
      <alignment horizontal="center" vertical="center"/>
    </xf>
    <xf numFmtId="0" fontId="0" fillId="0" borderId="66" xfId="0"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82" xfId="0" applyBorder="1" applyAlignment="1">
      <alignment horizontal="center" vertical="center" wrapText="1"/>
    </xf>
    <xf numFmtId="0" fontId="4" fillId="0" borderId="23" xfId="4" applyBorder="1" applyAlignment="1">
      <alignment horizontal="center" vertical="center" wrapText="1"/>
    </xf>
    <xf numFmtId="0" fontId="4" fillId="0" borderId="33" xfId="4" applyBorder="1" applyAlignment="1">
      <alignment horizontal="center" vertical="center" wrapText="1"/>
    </xf>
    <xf numFmtId="0" fontId="4" fillId="0" borderId="40" xfId="4" applyBorder="1" applyAlignment="1">
      <alignment horizontal="center" vertical="center" wrapText="1"/>
    </xf>
    <xf numFmtId="0" fontId="0" fillId="0" borderId="67" xfId="0" applyBorder="1" applyAlignment="1">
      <alignment horizontal="center" vertical="center"/>
    </xf>
    <xf numFmtId="9" fontId="0" fillId="0" borderId="18" xfId="1" applyFont="1" applyBorder="1" applyAlignment="1">
      <alignment horizontal="center" vertical="center"/>
    </xf>
    <xf numFmtId="0" fontId="0" fillId="0" borderId="23" xfId="0" applyBorder="1" applyAlignment="1">
      <alignment horizontal="center" vertical="center" wrapText="1"/>
    </xf>
    <xf numFmtId="0" fontId="0" fillId="0" borderId="33" xfId="0" applyBorder="1"/>
    <xf numFmtId="0" fontId="0" fillId="0" borderId="27" xfId="0" applyBorder="1" applyAlignment="1">
      <alignment horizontal="center" vertical="center" wrapText="1"/>
    </xf>
    <xf numFmtId="9" fontId="0" fillId="0" borderId="21" xfId="1" applyFont="1" applyBorder="1" applyAlignment="1">
      <alignment horizontal="center" vertical="center"/>
    </xf>
    <xf numFmtId="0" fontId="7" fillId="0" borderId="10" xfId="0" applyFont="1" applyBorder="1" applyAlignment="1">
      <alignment horizontal="center" vertical="center" wrapText="1"/>
    </xf>
    <xf numFmtId="0" fontId="0" fillId="0" borderId="39" xfId="0" applyBorder="1"/>
    <xf numFmtId="0" fontId="0" fillId="0" borderId="10" xfId="0" applyBorder="1"/>
    <xf numFmtId="0" fontId="7" fillId="0" borderId="11" xfId="0" applyFont="1" applyBorder="1" applyAlignment="1">
      <alignment horizontal="center"/>
    </xf>
    <xf numFmtId="0" fontId="4" fillId="0" borderId="3" xfId="4" applyBorder="1" applyAlignment="1">
      <alignment horizontal="center" vertical="center"/>
    </xf>
    <xf numFmtId="0" fontId="4" fillId="0" borderId="8" xfId="4" applyBorder="1" applyAlignment="1">
      <alignment horizontal="center" vertical="center"/>
    </xf>
    <xf numFmtId="0" fontId="4" fillId="0" borderId="48" xfId="4" applyBorder="1" applyAlignment="1">
      <alignment horizontal="center" vertical="center"/>
    </xf>
    <xf numFmtId="0" fontId="4" fillId="0" borderId="0" xfId="4" applyAlignment="1">
      <alignment horizontal="center" vertical="center"/>
    </xf>
    <xf numFmtId="2" fontId="0" fillId="0" borderId="53" xfId="0" applyNumberFormat="1" applyBorder="1" applyAlignment="1">
      <alignment horizontal="center" vertical="center"/>
    </xf>
    <xf numFmtId="9" fontId="0" fillId="0" borderId="53" xfId="1" applyFont="1" applyBorder="1" applyAlignment="1">
      <alignment horizontal="center" vertical="center"/>
    </xf>
    <xf numFmtId="0" fontId="4" fillId="0" borderId="27" xfId="4" applyBorder="1" applyAlignment="1">
      <alignment horizontal="center" vertical="center"/>
    </xf>
    <xf numFmtId="0" fontId="4" fillId="0" borderId="34" xfId="4" applyBorder="1" applyAlignment="1">
      <alignment horizontal="center" vertical="center"/>
    </xf>
    <xf numFmtId="0" fontId="4" fillId="0" borderId="37" xfId="4" applyBorder="1" applyAlignment="1">
      <alignment horizontal="center" vertical="center"/>
    </xf>
    <xf numFmtId="0" fontId="7" fillId="0" borderId="14" xfId="0" applyFont="1" applyBorder="1" applyAlignment="1">
      <alignment horizontal="center"/>
    </xf>
    <xf numFmtId="0" fontId="7" fillId="0" borderId="39"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vertical="center"/>
    </xf>
    <xf numFmtId="0" fontId="7" fillId="0" borderId="11" xfId="0" applyFont="1" applyBorder="1" applyAlignment="1">
      <alignment horizontal="center" vertical="center" wrapText="1"/>
    </xf>
    <xf numFmtId="0" fontId="7" fillId="0" borderId="9" xfId="0" applyFont="1" applyBorder="1" applyAlignment="1">
      <alignment horizontal="center"/>
    </xf>
    <xf numFmtId="0" fontId="3" fillId="0" borderId="23" xfId="0" applyFont="1" applyBorder="1" applyAlignment="1">
      <alignment horizontal="center" vertical="center"/>
    </xf>
    <xf numFmtId="0" fontId="7" fillId="0" borderId="0" xfId="0" applyFont="1"/>
    <xf numFmtId="0" fontId="3" fillId="0" borderId="68"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7" fillId="0" borderId="74" xfId="0" applyFont="1" applyBorder="1" applyAlignment="1">
      <alignment horizontal="center"/>
    </xf>
    <xf numFmtId="0" fontId="0" fillId="0" borderId="11" xfId="0" applyBorder="1" applyAlignment="1">
      <alignment horizontal="center"/>
    </xf>
    <xf numFmtId="0" fontId="7" fillId="0" borderId="12" xfId="0" applyFont="1" applyBorder="1" applyAlignment="1">
      <alignment horizontal="center"/>
    </xf>
    <xf numFmtId="0" fontId="3" fillId="0" borderId="6" xfId="0" applyFont="1" applyBorder="1" applyAlignment="1">
      <alignment horizontal="center"/>
    </xf>
    <xf numFmtId="0" fontId="7" fillId="0" borderId="69" xfId="0" applyFont="1" applyBorder="1" applyAlignment="1">
      <alignment horizontal="center"/>
    </xf>
    <xf numFmtId="0" fontId="7" fillId="0" borderId="76"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7" fillId="0" borderId="46" xfId="0" applyFont="1" applyBorder="1" applyAlignment="1">
      <alignment horizontal="center"/>
    </xf>
    <xf numFmtId="0" fontId="7" fillId="0" borderId="48" xfId="0" applyFont="1" applyBorder="1" applyAlignment="1">
      <alignment horizontal="center"/>
    </xf>
    <xf numFmtId="0" fontId="0" fillId="0" borderId="40" xfId="0" applyBorder="1" applyAlignment="1">
      <alignment horizontal="center" vertical="top"/>
    </xf>
    <xf numFmtId="0" fontId="0" fillId="0" borderId="71" xfId="0" applyBorder="1" applyAlignment="1">
      <alignment horizontal="center" vertical="center" wrapText="1"/>
    </xf>
    <xf numFmtId="0" fontId="0" fillId="0" borderId="76" xfId="0" applyBorder="1"/>
    <xf numFmtId="166" fontId="0" fillId="0" borderId="53" xfId="0" applyNumberFormat="1" applyBorder="1" applyAlignment="1">
      <alignment horizontal="center" vertical="center"/>
    </xf>
    <xf numFmtId="2" fontId="0" fillId="0" borderId="21" xfId="0" applyNumberFormat="1" applyBorder="1" applyAlignment="1">
      <alignment horizontal="center" vertical="center"/>
    </xf>
    <xf numFmtId="166" fontId="0" fillId="0" borderId="21" xfId="0" applyNumberFormat="1" applyBorder="1" applyAlignment="1">
      <alignment horizontal="center" vertical="center"/>
    </xf>
    <xf numFmtId="2" fontId="0" fillId="0" borderId="72" xfId="0" applyNumberFormat="1" applyBorder="1" applyAlignment="1">
      <alignment horizontal="center" vertical="center"/>
    </xf>
    <xf numFmtId="0" fontId="0" fillId="0" borderId="72" xfId="0" applyBorder="1"/>
    <xf numFmtId="0" fontId="7" fillId="0" borderId="53" xfId="0" applyFont="1" applyBorder="1" applyAlignment="1">
      <alignment horizontal="center" vertical="center"/>
    </xf>
    <xf numFmtId="0" fontId="7" fillId="0" borderId="25" xfId="0" applyFont="1" applyBorder="1"/>
    <xf numFmtId="0" fontId="7" fillId="0" borderId="21" xfId="0" applyFont="1" applyBorder="1"/>
    <xf numFmtId="0" fontId="7" fillId="0" borderId="10" xfId="0" applyFont="1" applyBorder="1" applyAlignment="1">
      <alignment horizontal="center"/>
    </xf>
    <xf numFmtId="2" fontId="0" fillId="0" borderId="54" xfId="0" applyNumberFormat="1" applyBorder="1" applyAlignment="1">
      <alignment horizontal="center" vertical="center"/>
    </xf>
    <xf numFmtId="0" fontId="0" fillId="0" borderId="47" xfId="0" applyBorder="1"/>
    <xf numFmtId="165" fontId="0" fillId="0" borderId="56" xfId="0" applyNumberFormat="1" applyBorder="1" applyAlignment="1">
      <alignment horizontal="center" vertical="center"/>
    </xf>
    <xf numFmtId="0" fontId="0" fillId="0" borderId="38" xfId="0" applyBorder="1"/>
    <xf numFmtId="170" fontId="0" fillId="0" borderId="0" xfId="0" applyNumberFormat="1" applyAlignment="1">
      <alignment horizontal="center"/>
    </xf>
    <xf numFmtId="0" fontId="0" fillId="0" borderId="15" xfId="0" applyBorder="1" applyAlignment="1">
      <alignment horizontal="center"/>
    </xf>
    <xf numFmtId="0" fontId="0" fillId="0" borderId="12" xfId="0" applyBorder="1"/>
    <xf numFmtId="0" fontId="0" fillId="0" borderId="9" xfId="0" applyBorder="1" applyAlignment="1">
      <alignment horizontal="center"/>
    </xf>
    <xf numFmtId="0" fontId="0" fillId="0" borderId="3" xfId="0" applyBorder="1" applyAlignment="1">
      <alignment horizontal="center" vertical="center" wrapText="1"/>
    </xf>
    <xf numFmtId="0" fontId="0" fillId="0" borderId="23" xfId="0" applyBorder="1" applyAlignment="1">
      <alignment horizontal="center"/>
    </xf>
  </cellXfs>
  <cellStyles count="9">
    <cellStyle name="Lien hypertexte" xfId="4" builtinId="8"/>
    <cellStyle name="Lien hypertexte 2" xfId="3" xr:uid="{00000000-0005-0000-0000-000003000000}"/>
    <cellStyle name="Milliers" xfId="5" builtinId="3"/>
    <cellStyle name="Milliers 2" xfId="2" xr:uid="{00000000-0005-0000-0000-000002000000}"/>
    <cellStyle name="Normal" xfId="0" builtinId="0"/>
    <cellStyle name="Normal_Feuil1" xfId="8" xr:uid="{00000000-0005-0000-0000-000008000000}"/>
    <cellStyle name="Normal_Thermal" xfId="7" xr:uid="{00000000-0005-0000-0000-000007000000}"/>
    <cellStyle name="Pourcentage" xfId="6" builtinId="5"/>
    <cellStyle name="Pourcentage 2" xfId="1" xr:uid="{00000000-0005-0000-0000-000001000000}"/>
  </cellStyles>
  <dxfs count="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620A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a:t>Char Depth</a:t>
            </a:r>
          </a:p>
        </c:rich>
      </c:tx>
      <c:overlay val="0"/>
      <c:spPr>
        <a:noFill/>
        <a:ln>
          <a:noFill/>
          <a:prstDash val="solid"/>
        </a:ln>
      </c:spPr>
    </c:title>
    <c:autoTitleDeleted val="0"/>
    <c:plotArea>
      <c:layout/>
      <c:barChart>
        <c:barDir val="col"/>
        <c:grouping val="clustered"/>
        <c:varyColors val="0"/>
        <c:ser>
          <c:idx val="0"/>
          <c:order val="0"/>
          <c:tx>
            <c:strRef>
              <c:f>'Char Depth Graph'!$B$78:$D$78</c:f>
              <c:strCache>
                <c:ptCount val="1"/>
                <c:pt idx="0">
                  <c:v>Wall Exp.</c:v>
                </c:pt>
              </c:strCache>
            </c:strRef>
          </c:tx>
          <c:spPr>
            <a:pattFill prst="pct5">
              <a:fgClr>
                <a:schemeClr val="accent1"/>
              </a:fgClr>
              <a:bgClr>
                <a:schemeClr val="bg1"/>
              </a:bgClr>
            </a:pattFill>
            <a:ln>
              <a:solidFill>
                <a:srgbClr val="0070C0"/>
              </a:solidFill>
              <a:prstDash val="solid"/>
            </a:ln>
          </c:spPr>
          <c:invertIfNegative val="0"/>
          <c:errBars>
            <c:errBarType val="both"/>
            <c:errValType val="cust"/>
            <c:noEndCap val="0"/>
            <c:plus>
              <c:numRef>
                <c:f>'Char Depth Graph'!$D$116:$D$120</c:f>
                <c:numCache>
                  <c:formatCode>General</c:formatCode>
                  <c:ptCount val="5"/>
                  <c:pt idx="0">
                    <c:v>0</c:v>
                  </c:pt>
                  <c:pt idx="1">
                    <c:v>25.291666666666664</c:v>
                  </c:pt>
                  <c:pt idx="2">
                    <c:v>34.125</c:v>
                  </c:pt>
                  <c:pt idx="3">
                    <c:v>56.096153846153847</c:v>
                  </c:pt>
                  <c:pt idx="4">
                    <c:v>29.574074074074076</c:v>
                  </c:pt>
                </c:numCache>
              </c:numRef>
            </c:plus>
            <c:minus>
              <c:numRef>
                <c:f>'Char Depth Graph'!$C$116:$C$120</c:f>
                <c:numCache>
                  <c:formatCode>General</c:formatCode>
                  <c:ptCount val="5"/>
                  <c:pt idx="0">
                    <c:v>0</c:v>
                  </c:pt>
                  <c:pt idx="1">
                    <c:v>24.708333333333336</c:v>
                  </c:pt>
                  <c:pt idx="2">
                    <c:v>34.875</c:v>
                  </c:pt>
                  <c:pt idx="3">
                    <c:v>19.903846153846153</c:v>
                  </c:pt>
                  <c:pt idx="4">
                    <c:v>32.425925925925924</c:v>
                  </c:pt>
                </c:numCache>
              </c:numRef>
            </c:minus>
            <c:spPr>
              <a:noFill/>
              <a:ln w="12700">
                <a:solidFill>
                  <a:srgbClr val="0070C0"/>
                </a:solidFill>
                <a:prstDash val="solid"/>
                <a:round/>
              </a:ln>
            </c:spPr>
          </c:errBars>
          <c:cat>
            <c:strRef>
              <c:f>'Char Depth Graph'!$A$116:$A$120</c:f>
              <c:strCache>
                <c:ptCount val="5"/>
                <c:pt idx="0">
                  <c:v>RISE_1</c:v>
                </c:pt>
                <c:pt idx="1">
                  <c:v>RISE_2</c:v>
                </c:pt>
                <c:pt idx="2">
                  <c:v>RISE_3</c:v>
                </c:pt>
                <c:pt idx="3">
                  <c:v>RISE_4</c:v>
                </c:pt>
                <c:pt idx="4">
                  <c:v>RISE_5</c:v>
                </c:pt>
              </c:strCache>
            </c:strRef>
          </c:cat>
          <c:val>
            <c:numRef>
              <c:f>'Char Depth Graph'!$B$116:$B$120</c:f>
              <c:numCache>
                <c:formatCode>0</c:formatCode>
                <c:ptCount val="5"/>
                <c:pt idx="0">
                  <c:v>0</c:v>
                </c:pt>
                <c:pt idx="1">
                  <c:v>60.708333333333336</c:v>
                </c:pt>
                <c:pt idx="2">
                  <c:v>69.875</c:v>
                </c:pt>
                <c:pt idx="3">
                  <c:v>47.903846153846153</c:v>
                </c:pt>
                <c:pt idx="4">
                  <c:v>65.425925925925924</c:v>
                </c:pt>
              </c:numCache>
            </c:numRef>
          </c:val>
          <c:extLst>
            <c:ext xmlns:c16="http://schemas.microsoft.com/office/drawing/2014/chart" uri="{C3380CC4-5D6E-409C-BE32-E72D297353CC}">
              <c16:uniqueId val="{00000004-70CD-4C28-AC9C-A4AAC31AB748}"/>
            </c:ext>
          </c:extLst>
        </c:ser>
        <c:ser>
          <c:idx val="1"/>
          <c:order val="1"/>
          <c:tx>
            <c:strRef>
              <c:f>'Char Depth Graph'!$E$78:$G$78</c:f>
              <c:strCache>
                <c:ptCount val="1"/>
                <c:pt idx="0">
                  <c:v>Wall Model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070C0"/>
              </a:solidFill>
              <a:prstDash val="solid"/>
            </a:ln>
          </c:spPr>
          <c:invertIfNegative val="0"/>
          <c:errBars>
            <c:errBarType val="both"/>
            <c:errValType val="cust"/>
            <c:noEndCap val="0"/>
            <c:plus>
              <c:numRef>
                <c:f>'Char Depth Graph'!$G$116:$G$120</c:f>
                <c:numCache>
                  <c:formatCode>General</c:formatCode>
                  <c:ptCount val="5"/>
                  <c:pt idx="0">
                    <c:v>0</c:v>
                  </c:pt>
                  <c:pt idx="1">
                    <c:v>0</c:v>
                  </c:pt>
                  <c:pt idx="2">
                    <c:v>0</c:v>
                  </c:pt>
                  <c:pt idx="3">
                    <c:v>0</c:v>
                  </c:pt>
                  <c:pt idx="4">
                    <c:v>0</c:v>
                  </c:pt>
                </c:numCache>
              </c:numRef>
            </c:plus>
            <c:minus>
              <c:numRef>
                <c:f>'Char Depth Graph'!$F$116:$F$120</c:f>
                <c:numCache>
                  <c:formatCode>General</c:formatCode>
                  <c:ptCount val="5"/>
                  <c:pt idx="0">
                    <c:v>0</c:v>
                  </c:pt>
                  <c:pt idx="1">
                    <c:v>0</c:v>
                  </c:pt>
                  <c:pt idx="2">
                    <c:v>0</c:v>
                  </c:pt>
                  <c:pt idx="3">
                    <c:v>0</c:v>
                  </c:pt>
                  <c:pt idx="4">
                    <c:v>0</c:v>
                  </c:pt>
                </c:numCache>
              </c:numRef>
            </c:minus>
            <c:spPr>
              <a:noFill/>
              <a:ln w="9525">
                <a:solidFill>
                  <a:srgbClr val="0070C0"/>
                </a:solidFill>
                <a:prstDash val="solid"/>
                <a:round/>
              </a:ln>
            </c:spPr>
          </c:errBars>
          <c:cat>
            <c:strRef>
              <c:f>'Char Depth Graph'!$A$116:$A$120</c:f>
              <c:strCache>
                <c:ptCount val="5"/>
                <c:pt idx="0">
                  <c:v>RISE_1</c:v>
                </c:pt>
                <c:pt idx="1">
                  <c:v>RISE_2</c:v>
                </c:pt>
                <c:pt idx="2">
                  <c:v>RISE_3</c:v>
                </c:pt>
                <c:pt idx="3">
                  <c:v>RISE_4</c:v>
                </c:pt>
                <c:pt idx="4">
                  <c:v>RISE_5</c:v>
                </c:pt>
              </c:strCache>
            </c:strRef>
          </c:cat>
          <c:val>
            <c:numRef>
              <c:f>'Char Depth Graph'!$E$116:$E$120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70CD-4C28-AC9C-A4AAC31AB748}"/>
            </c:ext>
          </c:extLst>
        </c:ser>
        <c:ser>
          <c:idx val="2"/>
          <c:order val="2"/>
          <c:tx>
            <c:strRef>
              <c:f>'Char Depth Graph'!$H$78:$J$78</c:f>
              <c:strCache>
                <c:ptCount val="1"/>
                <c:pt idx="0">
                  <c:v>Ceiling Exp.</c:v>
                </c:pt>
              </c:strCache>
            </c:strRef>
          </c:tx>
          <c:spPr>
            <a:pattFill prst="dkHorz">
              <a:fgClr>
                <a:srgbClr val="FFC000"/>
              </a:fgClr>
              <a:bgClr>
                <a:schemeClr val="bg1"/>
              </a:bgClr>
            </a:pattFill>
            <a:ln>
              <a:solidFill>
                <a:srgbClr val="FFC000"/>
              </a:solidFill>
              <a:prstDash val="solid"/>
            </a:ln>
          </c:spPr>
          <c:invertIfNegative val="0"/>
          <c:errBars>
            <c:errBarType val="both"/>
            <c:errValType val="cust"/>
            <c:noEndCap val="0"/>
            <c:plus>
              <c:numRef>
                <c:f>'Char Depth Graph'!$J$116:$J$120</c:f>
                <c:numCache>
                  <c:formatCode>General</c:formatCode>
                  <c:ptCount val="5"/>
                  <c:pt idx="0">
                    <c:v>9.6666666666666643</c:v>
                  </c:pt>
                  <c:pt idx="1">
                    <c:v>13.875</c:v>
                  </c:pt>
                  <c:pt idx="2">
                    <c:v>11.4375</c:v>
                  </c:pt>
                  <c:pt idx="3">
                    <c:v>17.1875</c:v>
                  </c:pt>
                  <c:pt idx="4">
                    <c:v>22.6875</c:v>
                  </c:pt>
                </c:numCache>
              </c:numRef>
            </c:plus>
            <c:minus>
              <c:numRef>
                <c:f>'Char Depth Graph'!$I$116:$I$120</c:f>
                <c:numCache>
                  <c:formatCode>General</c:formatCode>
                  <c:ptCount val="5"/>
                  <c:pt idx="0">
                    <c:v>10.333333333333336</c:v>
                  </c:pt>
                  <c:pt idx="1">
                    <c:v>10.125</c:v>
                  </c:pt>
                  <c:pt idx="2">
                    <c:v>6.5625</c:v>
                  </c:pt>
                  <c:pt idx="3">
                    <c:v>14.8125</c:v>
                  </c:pt>
                  <c:pt idx="4">
                    <c:v>13.3125</c:v>
                  </c:pt>
                </c:numCache>
              </c:numRef>
            </c:minus>
            <c:spPr>
              <a:noFill/>
              <a:ln w="9525">
                <a:solidFill>
                  <a:srgbClr val="FFC000"/>
                </a:solidFill>
                <a:prstDash val="solid"/>
                <a:round/>
              </a:ln>
            </c:spPr>
          </c:errBars>
          <c:cat>
            <c:strRef>
              <c:f>'Char Depth Graph'!$A$116:$A$120</c:f>
              <c:strCache>
                <c:ptCount val="5"/>
                <c:pt idx="0">
                  <c:v>RISE_1</c:v>
                </c:pt>
                <c:pt idx="1">
                  <c:v>RISE_2</c:v>
                </c:pt>
                <c:pt idx="2">
                  <c:v>RISE_3</c:v>
                </c:pt>
                <c:pt idx="3">
                  <c:v>RISE_4</c:v>
                </c:pt>
                <c:pt idx="4">
                  <c:v>RISE_5</c:v>
                </c:pt>
              </c:strCache>
            </c:strRef>
          </c:cat>
          <c:val>
            <c:numRef>
              <c:f>'Char Depth Graph'!$H$116:$H$120</c:f>
              <c:numCache>
                <c:formatCode>0</c:formatCode>
                <c:ptCount val="5"/>
                <c:pt idx="0">
                  <c:v>35.333333333333336</c:v>
                </c:pt>
                <c:pt idx="1">
                  <c:v>43.125</c:v>
                </c:pt>
                <c:pt idx="2">
                  <c:v>46.5625</c:v>
                </c:pt>
                <c:pt idx="3">
                  <c:v>27.8125</c:v>
                </c:pt>
                <c:pt idx="4">
                  <c:v>50.3125</c:v>
                </c:pt>
              </c:numCache>
            </c:numRef>
          </c:val>
          <c:extLst>
            <c:ext xmlns:c16="http://schemas.microsoft.com/office/drawing/2014/chart" uri="{C3380CC4-5D6E-409C-BE32-E72D297353CC}">
              <c16:uniqueId val="{00000006-70CD-4C28-AC9C-A4AAC31AB748}"/>
            </c:ext>
          </c:extLst>
        </c:ser>
        <c:ser>
          <c:idx val="3"/>
          <c:order val="3"/>
          <c:tx>
            <c:strRef>
              <c:f>'Char Depth Graph'!$K$78:$M$78</c:f>
              <c:strCache>
                <c:ptCount val="1"/>
                <c:pt idx="0">
                  <c:v>Ceiling Model</c:v>
                </c:pt>
              </c:strCache>
            </c:strRef>
          </c:tx>
          <c:spPr>
            <a:gradFill>
              <a:gsLst>
                <a:gs pos="77000">
                  <a:schemeClr val="accent4"/>
                </a:gs>
                <a:gs pos="0">
                  <a:schemeClr val="accent4">
                    <a:lumMod val="20000"/>
                    <a:lumOff val="80000"/>
                  </a:schemeClr>
                </a:gs>
                <a:gs pos="100000">
                  <a:schemeClr val="accent4">
                    <a:lumMod val="40000"/>
                    <a:lumOff val="60000"/>
                  </a:schemeClr>
                </a:gs>
              </a:gsLst>
              <a:lin ang="5400000" scaled="1"/>
            </a:gradFill>
            <a:ln>
              <a:solidFill>
                <a:srgbClr val="FFC000"/>
              </a:solidFill>
              <a:prstDash val="solid"/>
            </a:ln>
          </c:spPr>
          <c:invertIfNegative val="0"/>
          <c:errBars>
            <c:errBarType val="both"/>
            <c:errValType val="cust"/>
            <c:noEndCap val="0"/>
            <c:plus>
              <c:numRef>
                <c:f>'Char Depth Graph'!$M$116:$M$120</c:f>
                <c:numCache>
                  <c:formatCode>General</c:formatCode>
                  <c:ptCount val="5"/>
                  <c:pt idx="0">
                    <c:v>0</c:v>
                  </c:pt>
                  <c:pt idx="1">
                    <c:v>0</c:v>
                  </c:pt>
                  <c:pt idx="2">
                    <c:v>0</c:v>
                  </c:pt>
                  <c:pt idx="3">
                    <c:v>0</c:v>
                  </c:pt>
                  <c:pt idx="4">
                    <c:v>0</c:v>
                  </c:pt>
                </c:numCache>
              </c:numRef>
            </c:plus>
            <c:minus>
              <c:numRef>
                <c:f>'Char Depth Graph'!$L$116:$L$120</c:f>
                <c:numCache>
                  <c:formatCode>General</c:formatCode>
                  <c:ptCount val="5"/>
                  <c:pt idx="0">
                    <c:v>0</c:v>
                  </c:pt>
                  <c:pt idx="1">
                    <c:v>0</c:v>
                  </c:pt>
                  <c:pt idx="2">
                    <c:v>0</c:v>
                  </c:pt>
                  <c:pt idx="3">
                    <c:v>0</c:v>
                  </c:pt>
                  <c:pt idx="4">
                    <c:v>0</c:v>
                  </c:pt>
                </c:numCache>
              </c:numRef>
            </c:minus>
            <c:spPr>
              <a:noFill/>
              <a:ln w="9525">
                <a:solidFill>
                  <a:srgbClr val="FFC000"/>
                </a:solidFill>
                <a:prstDash val="solid"/>
                <a:round/>
              </a:ln>
            </c:spPr>
          </c:errBars>
          <c:cat>
            <c:strRef>
              <c:f>'Char Depth Graph'!$A$116:$A$120</c:f>
              <c:strCache>
                <c:ptCount val="5"/>
                <c:pt idx="0">
                  <c:v>RISE_1</c:v>
                </c:pt>
                <c:pt idx="1">
                  <c:v>RISE_2</c:v>
                </c:pt>
                <c:pt idx="2">
                  <c:v>RISE_3</c:v>
                </c:pt>
                <c:pt idx="3">
                  <c:v>RISE_4</c:v>
                </c:pt>
                <c:pt idx="4">
                  <c:v>RISE_5</c:v>
                </c:pt>
              </c:strCache>
            </c:strRef>
          </c:cat>
          <c:val>
            <c:numRef>
              <c:f>'Char Depth Graph'!$K$116:$K$120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7-70CD-4C28-AC9C-A4AAC31AB748}"/>
            </c:ext>
          </c:extLst>
        </c:ser>
        <c:ser>
          <c:idx val="4"/>
          <c:order val="4"/>
          <c:tx>
            <c:strRef>
              <c:f>'Char Depth Graph'!$N$78:$P$78</c:f>
              <c:strCache>
                <c:ptCount val="1"/>
                <c:pt idx="0">
                  <c:v>Beam Exp.</c:v>
                </c:pt>
              </c:strCache>
            </c:strRef>
          </c:tx>
          <c:spPr>
            <a:pattFill prst="dkVert">
              <a:fgClr>
                <a:schemeClr val="accent6"/>
              </a:fgClr>
              <a:bgClr>
                <a:schemeClr val="bg1"/>
              </a:bgClr>
            </a:pattFill>
            <a:ln>
              <a:solidFill>
                <a:schemeClr val="accent6"/>
              </a:solidFill>
              <a:prstDash val="solid"/>
            </a:ln>
          </c:spPr>
          <c:invertIfNegative val="0"/>
          <c:errBars>
            <c:errBarType val="both"/>
            <c:errValType val="cust"/>
            <c:noEndCap val="0"/>
            <c:plus>
              <c:numRef>
                <c:f>'Char Depth Graph'!$P$116:$P$120</c:f>
                <c:numCache>
                  <c:formatCode>General</c:formatCode>
                  <c:ptCount val="5"/>
                  <c:pt idx="0">
                    <c:v>33</c:v>
                  </c:pt>
                  <c:pt idx="1">
                    <c:v>24</c:v>
                  </c:pt>
                  <c:pt idx="2">
                    <c:v>24</c:v>
                  </c:pt>
                  <c:pt idx="3">
                    <c:v>16</c:v>
                  </c:pt>
                  <c:pt idx="4">
                    <c:v>21</c:v>
                  </c:pt>
                </c:numCache>
              </c:numRef>
            </c:plus>
            <c:minus>
              <c:numRef>
                <c:f>'Char Depth Graph'!$O$116:$O$120</c:f>
                <c:numCache>
                  <c:formatCode>General</c:formatCode>
                  <c:ptCount val="5"/>
                  <c:pt idx="0">
                    <c:v>31.9</c:v>
                  </c:pt>
                  <c:pt idx="1">
                    <c:v>36</c:v>
                  </c:pt>
                  <c:pt idx="2">
                    <c:v>31</c:v>
                  </c:pt>
                  <c:pt idx="3">
                    <c:v>20.666666666666668</c:v>
                  </c:pt>
                  <c:pt idx="4">
                    <c:v>39</c:v>
                  </c:pt>
                </c:numCache>
              </c:numRef>
            </c:minus>
          </c:errBars>
          <c:cat>
            <c:strRef>
              <c:f>'Char Depth Graph'!$A$116:$A$120</c:f>
              <c:strCache>
                <c:ptCount val="5"/>
                <c:pt idx="0">
                  <c:v>RISE_1</c:v>
                </c:pt>
                <c:pt idx="1">
                  <c:v>RISE_2</c:v>
                </c:pt>
                <c:pt idx="2">
                  <c:v>RISE_3</c:v>
                </c:pt>
                <c:pt idx="3">
                  <c:v>RISE_4</c:v>
                </c:pt>
                <c:pt idx="4">
                  <c:v>RISE_5</c:v>
                </c:pt>
              </c:strCache>
            </c:strRef>
          </c:cat>
          <c:val>
            <c:numRef>
              <c:f>'Char Depth Graph'!$N$116:$N$120</c:f>
              <c:numCache>
                <c:formatCode>0</c:formatCode>
                <c:ptCount val="5"/>
                <c:pt idx="0">
                  <c:v>32</c:v>
                </c:pt>
                <c:pt idx="1">
                  <c:v>56</c:v>
                </c:pt>
                <c:pt idx="2">
                  <c:v>56</c:v>
                </c:pt>
                <c:pt idx="3">
                  <c:v>37.333333333333336</c:v>
                </c:pt>
                <c:pt idx="4">
                  <c:v>59</c:v>
                </c:pt>
              </c:numCache>
            </c:numRef>
          </c:val>
          <c:extLst>
            <c:ext xmlns:c16="http://schemas.microsoft.com/office/drawing/2014/chart" uri="{C3380CC4-5D6E-409C-BE32-E72D297353CC}">
              <c16:uniqueId val="{00000008-70CD-4C28-AC9C-A4AAC31AB748}"/>
            </c:ext>
          </c:extLst>
        </c:ser>
        <c:ser>
          <c:idx val="5"/>
          <c:order val="5"/>
          <c:tx>
            <c:strRef>
              <c:f>'Char Depth Graph'!$Q$78:$S$78</c:f>
              <c:strCache>
                <c:ptCount val="1"/>
                <c:pt idx="0">
                  <c:v>Beam Model</c:v>
                </c:pt>
              </c:strCache>
            </c:strRef>
          </c:tx>
          <c:spPr>
            <a:gradFill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prstDash val="solid"/>
            </a:ln>
          </c:spPr>
          <c:invertIfNegative val="0"/>
          <c:errBars>
            <c:errBarType val="both"/>
            <c:errValType val="cust"/>
            <c:noEndCap val="0"/>
            <c:plus>
              <c:numRef>
                <c:f>'Char Depth Graph'!$S$116:$S$120</c:f>
                <c:numCache>
                  <c:formatCode>General</c:formatCode>
                  <c:ptCount val="5"/>
                  <c:pt idx="0">
                    <c:v>0</c:v>
                  </c:pt>
                  <c:pt idx="1">
                    <c:v>0</c:v>
                  </c:pt>
                  <c:pt idx="2">
                    <c:v>0</c:v>
                  </c:pt>
                  <c:pt idx="3">
                    <c:v>0</c:v>
                  </c:pt>
                  <c:pt idx="4">
                    <c:v>0</c:v>
                  </c:pt>
                </c:numCache>
              </c:numRef>
            </c:plus>
            <c:minus>
              <c:numRef>
                <c:f>'Char Depth Graph'!$R$116:$R$120</c:f>
                <c:numCache>
                  <c:formatCode>General</c:formatCode>
                  <c:ptCount val="5"/>
                  <c:pt idx="0">
                    <c:v>0</c:v>
                  </c:pt>
                  <c:pt idx="1">
                    <c:v>0</c:v>
                  </c:pt>
                  <c:pt idx="2">
                    <c:v>0</c:v>
                  </c:pt>
                  <c:pt idx="3">
                    <c:v>0</c:v>
                  </c:pt>
                  <c:pt idx="4">
                    <c:v>0</c:v>
                  </c:pt>
                </c:numCache>
              </c:numRef>
            </c:minus>
          </c:errBars>
          <c:val>
            <c:numRef>
              <c:f>'Char Depth Graph'!$Q$116:$Q$120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9-70CD-4C28-AC9C-A4AAC31AB748}"/>
            </c:ext>
          </c:extLst>
        </c:ser>
        <c:ser>
          <c:idx val="6"/>
          <c:order val="6"/>
          <c:tx>
            <c:strRef>
              <c:f>'Char Depth Graph'!$T$78:$V$78</c:f>
              <c:strCache>
                <c:ptCount val="1"/>
                <c:pt idx="0">
                  <c:v>Column Exp.</c:v>
                </c:pt>
              </c:strCache>
            </c:strRef>
          </c:tx>
          <c:spPr>
            <a:pattFill prst="dkVert">
              <a:fgClr>
                <a:srgbClr val="7030A0"/>
              </a:fgClr>
              <a:bgClr>
                <a:schemeClr val="bg1"/>
              </a:bgClr>
            </a:pattFill>
            <a:ln>
              <a:solidFill>
                <a:srgbClr val="7030A0"/>
              </a:solidFill>
            </a:ln>
          </c:spPr>
          <c:invertIfNegative val="0"/>
          <c:errBars>
            <c:errBarType val="both"/>
            <c:errValType val="cust"/>
            <c:noEndCap val="0"/>
            <c:plus>
              <c:numRef>
                <c:f>'Char Depth Graph'!$V$116:$V$120</c:f>
                <c:numCache>
                  <c:formatCode>General</c:formatCode>
                  <c:ptCount val="5"/>
                  <c:pt idx="0">
                    <c:v>0</c:v>
                  </c:pt>
                  <c:pt idx="1">
                    <c:v>0</c:v>
                  </c:pt>
                  <c:pt idx="2">
                    <c:v>24</c:v>
                  </c:pt>
                  <c:pt idx="3">
                    <c:v>16</c:v>
                  </c:pt>
                  <c:pt idx="4">
                    <c:v>21</c:v>
                  </c:pt>
                </c:numCache>
              </c:numRef>
            </c:plus>
            <c:minus>
              <c:numRef>
                <c:f>'Char Depth Graph'!$U$116:$U$120</c:f>
                <c:numCache>
                  <c:formatCode>General</c:formatCode>
                  <c:ptCount val="5"/>
                  <c:pt idx="0">
                    <c:v>0</c:v>
                  </c:pt>
                  <c:pt idx="1">
                    <c:v>0</c:v>
                  </c:pt>
                  <c:pt idx="2">
                    <c:v>31</c:v>
                  </c:pt>
                  <c:pt idx="3">
                    <c:v>20.666666666666668</c:v>
                  </c:pt>
                  <c:pt idx="4">
                    <c:v>39</c:v>
                  </c:pt>
                </c:numCache>
              </c:numRef>
            </c:minus>
          </c:errBars>
          <c:val>
            <c:numRef>
              <c:f>'Char Depth Graph'!$T$116:$T$120</c:f>
              <c:numCache>
                <c:formatCode>0</c:formatCode>
                <c:ptCount val="5"/>
                <c:pt idx="0">
                  <c:v>0</c:v>
                </c:pt>
                <c:pt idx="1">
                  <c:v>0</c:v>
                </c:pt>
                <c:pt idx="2">
                  <c:v>56</c:v>
                </c:pt>
                <c:pt idx="3">
                  <c:v>37.333333333333336</c:v>
                </c:pt>
                <c:pt idx="4">
                  <c:v>59</c:v>
                </c:pt>
              </c:numCache>
            </c:numRef>
          </c:val>
          <c:extLst>
            <c:ext xmlns:c16="http://schemas.microsoft.com/office/drawing/2014/chart" uri="{C3380CC4-5D6E-409C-BE32-E72D297353CC}">
              <c16:uniqueId val="{00000001-70CD-4C28-AC9C-A4AAC31AB748}"/>
            </c:ext>
          </c:extLst>
        </c:ser>
        <c:ser>
          <c:idx val="7"/>
          <c:order val="7"/>
          <c:tx>
            <c:strRef>
              <c:f>'Char Depth Graph'!$W$78:$Y$78</c:f>
              <c:strCache>
                <c:ptCount val="1"/>
                <c:pt idx="0">
                  <c:v>Column Model</c:v>
                </c:pt>
              </c:strCache>
            </c:strRef>
          </c:tx>
          <c:spPr>
            <a:gradFill>
              <a:gsLst>
                <a:gs pos="100000">
                  <a:srgbClr val="7030A0"/>
                </a:gs>
                <a:gs pos="37000">
                  <a:srgbClr val="9148C8"/>
                </a:gs>
                <a:gs pos="0">
                  <a:srgbClr val="C198E0"/>
                </a:gs>
                <a:gs pos="100000">
                  <a:schemeClr val="accent1">
                    <a:lumMod val="30000"/>
                    <a:lumOff val="70000"/>
                  </a:schemeClr>
                </a:gs>
              </a:gsLst>
              <a:lin ang="5400000" scaled="1"/>
            </a:gradFill>
          </c:spPr>
          <c:invertIfNegative val="0"/>
          <c:errBars>
            <c:errBarType val="both"/>
            <c:errValType val="cust"/>
            <c:noEndCap val="0"/>
            <c:plus>
              <c:numRef>
                <c:f>'Char Depth Graph'!$Y$116:$Y$120</c:f>
                <c:numCache>
                  <c:formatCode>General</c:formatCode>
                  <c:ptCount val="5"/>
                  <c:pt idx="0">
                    <c:v>0</c:v>
                  </c:pt>
                  <c:pt idx="1">
                    <c:v>0</c:v>
                  </c:pt>
                  <c:pt idx="2">
                    <c:v>0</c:v>
                  </c:pt>
                  <c:pt idx="3">
                    <c:v>0</c:v>
                  </c:pt>
                  <c:pt idx="4">
                    <c:v>0</c:v>
                  </c:pt>
                </c:numCache>
              </c:numRef>
            </c:plus>
            <c:minus>
              <c:numRef>
                <c:f>'Char Depth Graph'!$X$116:$X$120</c:f>
                <c:numCache>
                  <c:formatCode>General</c:formatCode>
                  <c:ptCount val="5"/>
                  <c:pt idx="0">
                    <c:v>0</c:v>
                  </c:pt>
                  <c:pt idx="1">
                    <c:v>0</c:v>
                  </c:pt>
                  <c:pt idx="2">
                    <c:v>0</c:v>
                  </c:pt>
                  <c:pt idx="3">
                    <c:v>0</c:v>
                  </c:pt>
                  <c:pt idx="4">
                    <c:v>0</c:v>
                  </c:pt>
                </c:numCache>
              </c:numRef>
            </c:minus>
          </c:errBars>
          <c:val>
            <c:numRef>
              <c:f>'Char Depth Graph'!$W$116:$W$120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70CD-4C28-AC9C-A4AAC31AB748}"/>
            </c:ext>
          </c:extLst>
        </c:ser>
        <c:dLbls>
          <c:showLegendKey val="0"/>
          <c:showVal val="0"/>
          <c:showCatName val="0"/>
          <c:showSerName val="0"/>
          <c:showPercent val="0"/>
          <c:showBubbleSize val="0"/>
        </c:dLbls>
        <c:gapWidth val="100"/>
        <c:axId val="1034959200"/>
        <c:axId val="1034960640"/>
      </c:barChart>
      <c:catAx>
        <c:axId val="103495920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1400" b="0" i="0" strike="noStrike" kern="1200" cap="all" spc="120" normalizeH="0" baseline="0">
                <a:solidFill>
                  <a:schemeClr val="tx1">
                    <a:lumMod val="65000"/>
                    <a:lumOff val="35000"/>
                  </a:schemeClr>
                </a:solidFill>
                <a:latin typeface="+mn-lt"/>
                <a:ea typeface="+mn-ea"/>
                <a:cs typeface="+mn-cs"/>
              </a:defRPr>
            </a:pPr>
            <a:endParaRPr lang="fr-FR"/>
          </a:p>
        </c:txPr>
        <c:crossAx val="1034960640"/>
        <c:crosses val="autoZero"/>
        <c:auto val="1"/>
        <c:lblAlgn val="ctr"/>
        <c:lblOffset val="100"/>
        <c:tickMarkSkip val="1"/>
        <c:noMultiLvlLbl val="0"/>
      </c:catAx>
      <c:valAx>
        <c:axId val="10349606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cross"/>
        <c:minorTickMark val="none"/>
        <c:tickLblPos val="nextTo"/>
        <c:spPr>
          <a:noFill/>
          <a:ln w="9525" cap="flat" cmpd="sng" algn="ctr">
            <a:solidFill>
              <a:schemeClr val="dk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fr-FR"/>
          </a:p>
        </c:txPr>
        <c:crossAx val="1034959200"/>
        <c:crosses val="autoZero"/>
        <c:crossBetween val="between"/>
        <c:majorUnit val="10"/>
      </c:valAx>
    </c:plotArea>
    <c:legend>
      <c:legendPos val="r"/>
      <c:overlay val="0"/>
      <c:spPr>
        <a:noFill/>
        <a:ln>
          <a:noFill/>
          <a:prstDash val="solid"/>
        </a:ln>
      </c:spPr>
      <c:txPr>
        <a:bodyPr rot="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a:t>Char Depth </a:t>
            </a:r>
          </a:p>
        </c:rich>
      </c:tx>
      <c:overlay val="0"/>
      <c:spPr>
        <a:noFill/>
        <a:ln>
          <a:noFill/>
          <a:prstDash val="solid"/>
        </a:ln>
      </c:spPr>
    </c:title>
    <c:autoTitleDeleted val="0"/>
    <c:plotArea>
      <c:layout/>
      <c:barChart>
        <c:barDir val="col"/>
        <c:grouping val="clustered"/>
        <c:varyColors val="0"/>
        <c:ser>
          <c:idx val="0"/>
          <c:order val="0"/>
          <c:tx>
            <c:strRef>
              <c:f>'Char Depth Graph'!$B$78:$D$78</c:f>
              <c:strCache>
                <c:ptCount val="1"/>
                <c:pt idx="0">
                  <c:v>Wall Exp.</c:v>
                </c:pt>
              </c:strCache>
            </c:strRef>
          </c:tx>
          <c:spPr>
            <a:pattFill prst="pct5">
              <a:fgClr>
                <a:schemeClr val="accent1"/>
              </a:fgClr>
              <a:bgClr>
                <a:schemeClr val="bg1"/>
              </a:bgClr>
            </a:pattFill>
            <a:ln>
              <a:solidFill>
                <a:srgbClr val="0070C0"/>
              </a:solidFill>
              <a:prstDash val="solid"/>
            </a:ln>
          </c:spPr>
          <c:invertIfNegative val="0"/>
          <c:errBars>
            <c:errBarType val="both"/>
            <c:errValType val="cust"/>
            <c:noEndCap val="0"/>
            <c:plus>
              <c:numRef>
                <c:f>'Char Depth Graph'!$D$80:$D$128</c:f>
                <c:numCache>
                  <c:formatCode>General</c:formatCode>
                  <c:ptCount val="49"/>
                  <c:pt idx="0">
                    <c:v>34</c:v>
                  </c:pt>
                  <c:pt idx="1">
                    <c:v>10</c:v>
                  </c:pt>
                  <c:pt idx="2">
                    <c:v>0</c:v>
                  </c:pt>
                  <c:pt idx="3">
                    <c:v>8</c:v>
                  </c:pt>
                  <c:pt idx="4">
                    <c:v>5.5</c:v>
                  </c:pt>
                  <c:pt idx="5">
                    <c:v>4</c:v>
                  </c:pt>
                  <c:pt idx="6">
                    <c:v>10.75</c:v>
                  </c:pt>
                  <c:pt idx="7">
                    <c:v>0</c:v>
                  </c:pt>
                  <c:pt idx="8">
                    <c:v>0</c:v>
                  </c:pt>
                  <c:pt idx="9">
                    <c:v>7.5</c:v>
                  </c:pt>
                  <c:pt idx="10">
                    <c:v>0</c:v>
                  </c:pt>
                  <c:pt idx="11">
                    <c:v>9.71875</c:v>
                  </c:pt>
                  <c:pt idx="12">
                    <c:v>20.46875</c:v>
                  </c:pt>
                  <c:pt idx="13">
                    <c:v>0</c:v>
                  </c:pt>
                  <c:pt idx="14">
                    <c:v>26.6875</c:v>
                  </c:pt>
                  <c:pt idx="15">
                    <c:v>36.384615384615387</c:v>
                  </c:pt>
                  <c:pt idx="16">
                    <c:v>19.274999999999999</c:v>
                  </c:pt>
                  <c:pt idx="17">
                    <c:v>20.375</c:v>
                  </c:pt>
                  <c:pt idx="18">
                    <c:v>20</c:v>
                  </c:pt>
                  <c:pt idx="19">
                    <c:v>13.677419354838712</c:v>
                  </c:pt>
                  <c:pt idx="20">
                    <c:v>17.147058823529413</c:v>
                  </c:pt>
                  <c:pt idx="21">
                    <c:v>4</c:v>
                  </c:pt>
                  <c:pt idx="22">
                    <c:v>13.894736842105264</c:v>
                  </c:pt>
                  <c:pt idx="23">
                    <c:v>18.315789473684212</c:v>
                  </c:pt>
                  <c:pt idx="24">
                    <c:v>5</c:v>
                  </c:pt>
                  <c:pt idx="25">
                    <c:v>0</c:v>
                  </c:pt>
                  <c:pt idx="26">
                    <c:v>17.333333333333336</c:v>
                  </c:pt>
                  <c:pt idx="27">
                    <c:v>0</c:v>
                  </c:pt>
                  <c:pt idx="28">
                    <c:v>11</c:v>
                  </c:pt>
                  <c:pt idx="29">
                    <c:v>0</c:v>
                  </c:pt>
                  <c:pt idx="30">
                    <c:v>0</c:v>
                  </c:pt>
                  <c:pt idx="31">
                    <c:v>0</c:v>
                  </c:pt>
                  <c:pt idx="32">
                    <c:v>0</c:v>
                  </c:pt>
                  <c:pt idx="33">
                    <c:v>0</c:v>
                  </c:pt>
                  <c:pt idx="34">
                    <c:v>4</c:v>
                  </c:pt>
                  <c:pt idx="35">
                    <c:v>0</c:v>
                  </c:pt>
                  <c:pt idx="36">
                    <c:v>0</c:v>
                  </c:pt>
                  <c:pt idx="37">
                    <c:v>25.291666666666664</c:v>
                  </c:pt>
                  <c:pt idx="38">
                    <c:v>34.125</c:v>
                  </c:pt>
                  <c:pt idx="39">
                    <c:v>56.096153846153847</c:v>
                  </c:pt>
                  <c:pt idx="40">
                    <c:v>29.574074074074076</c:v>
                  </c:pt>
                  <c:pt idx="41">
                    <c:v>0</c:v>
                  </c:pt>
                  <c:pt idx="42">
                    <c:v>0</c:v>
                  </c:pt>
                  <c:pt idx="43">
                    <c:v>0</c:v>
                  </c:pt>
                  <c:pt idx="44">
                    <c:v>0.20799659719268249</c:v>
                  </c:pt>
                  <c:pt idx="45">
                    <c:v>14.5</c:v>
                  </c:pt>
                  <c:pt idx="46">
                    <c:v>0</c:v>
                  </c:pt>
                  <c:pt idx="47">
                    <c:v>0</c:v>
                  </c:pt>
                  <c:pt idx="48">
                    <c:v>0</c:v>
                  </c:pt>
                </c:numCache>
              </c:numRef>
            </c:plus>
            <c:minus>
              <c:numRef>
                <c:f>'Char Depth Graph'!$C$80:$C$128</c:f>
                <c:numCache>
                  <c:formatCode>General</c:formatCode>
                  <c:ptCount val="49"/>
                  <c:pt idx="0">
                    <c:v>20</c:v>
                  </c:pt>
                  <c:pt idx="1">
                    <c:v>7.5</c:v>
                  </c:pt>
                  <c:pt idx="2">
                    <c:v>0</c:v>
                  </c:pt>
                  <c:pt idx="3">
                    <c:v>22</c:v>
                  </c:pt>
                  <c:pt idx="4">
                    <c:v>3.5</c:v>
                  </c:pt>
                  <c:pt idx="5">
                    <c:v>2</c:v>
                  </c:pt>
                  <c:pt idx="6">
                    <c:v>12.25</c:v>
                  </c:pt>
                  <c:pt idx="7">
                    <c:v>0</c:v>
                  </c:pt>
                  <c:pt idx="8">
                    <c:v>0</c:v>
                  </c:pt>
                  <c:pt idx="9">
                    <c:v>7.5</c:v>
                  </c:pt>
                  <c:pt idx="10">
                    <c:v>0</c:v>
                  </c:pt>
                  <c:pt idx="11">
                    <c:v>29.28125</c:v>
                  </c:pt>
                  <c:pt idx="12">
                    <c:v>34.53125</c:v>
                  </c:pt>
                  <c:pt idx="13">
                    <c:v>0</c:v>
                  </c:pt>
                  <c:pt idx="14">
                    <c:v>18.3125</c:v>
                  </c:pt>
                  <c:pt idx="15">
                    <c:v>0</c:v>
                  </c:pt>
                  <c:pt idx="16">
                    <c:v>0</c:v>
                  </c:pt>
                  <c:pt idx="17">
                    <c:v>7.625</c:v>
                  </c:pt>
                  <c:pt idx="18">
                    <c:v>4.9000000000000004</c:v>
                  </c:pt>
                  <c:pt idx="19">
                    <c:v>9.8306451612903203</c:v>
                  </c:pt>
                  <c:pt idx="20">
                    <c:v>8.963235294117645</c:v>
                  </c:pt>
                  <c:pt idx="21">
                    <c:v>2.75</c:v>
                  </c:pt>
                  <c:pt idx="22">
                    <c:v>7.526315789473685</c:v>
                  </c:pt>
                  <c:pt idx="23">
                    <c:v>9.9210526315789451</c:v>
                  </c:pt>
                  <c:pt idx="24">
                    <c:v>3.75</c:v>
                  </c:pt>
                  <c:pt idx="25">
                    <c:v>0</c:v>
                  </c:pt>
                  <c:pt idx="26">
                    <c:v>9.6666666666666643</c:v>
                  </c:pt>
                  <c:pt idx="27">
                    <c:v>0</c:v>
                  </c:pt>
                  <c:pt idx="28">
                    <c:v>0.9</c:v>
                  </c:pt>
                  <c:pt idx="29">
                    <c:v>0</c:v>
                  </c:pt>
                  <c:pt idx="30">
                    <c:v>0</c:v>
                  </c:pt>
                  <c:pt idx="31">
                    <c:v>0</c:v>
                  </c:pt>
                  <c:pt idx="32">
                    <c:v>0</c:v>
                  </c:pt>
                  <c:pt idx="33">
                    <c:v>0</c:v>
                  </c:pt>
                  <c:pt idx="34">
                    <c:v>0.9</c:v>
                  </c:pt>
                  <c:pt idx="35">
                    <c:v>0</c:v>
                  </c:pt>
                  <c:pt idx="36">
                    <c:v>0</c:v>
                  </c:pt>
                  <c:pt idx="37">
                    <c:v>24.708333333333336</c:v>
                  </c:pt>
                  <c:pt idx="38">
                    <c:v>34.875</c:v>
                  </c:pt>
                  <c:pt idx="39">
                    <c:v>19.903846153846153</c:v>
                  </c:pt>
                  <c:pt idx="40">
                    <c:v>32.425925925925924</c:v>
                  </c:pt>
                  <c:pt idx="41">
                    <c:v>0</c:v>
                  </c:pt>
                  <c:pt idx="42">
                    <c:v>0</c:v>
                  </c:pt>
                  <c:pt idx="43">
                    <c:v>0</c:v>
                  </c:pt>
                  <c:pt idx="44">
                    <c:v>-0.20799659719268249</c:v>
                  </c:pt>
                  <c:pt idx="45">
                    <c:v>8.5</c:v>
                  </c:pt>
                  <c:pt idx="46">
                    <c:v>0</c:v>
                  </c:pt>
                  <c:pt idx="47">
                    <c:v>0</c:v>
                  </c:pt>
                  <c:pt idx="48">
                    <c:v>0</c:v>
                  </c:pt>
                </c:numCache>
              </c:numRef>
            </c:minus>
            <c:spPr>
              <a:noFill/>
              <a:ln w="12700">
                <a:solidFill>
                  <a:srgbClr val="0070C0"/>
                </a:solidFill>
                <a:prstDash val="solid"/>
                <a:round/>
              </a:ln>
            </c:spPr>
          </c:errBars>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Graph'!$B$80:$B$128</c:f>
              <c:numCache>
                <c:formatCode>0</c:formatCode>
                <c:ptCount val="49"/>
                <c:pt idx="0">
                  <c:v>26</c:v>
                </c:pt>
                <c:pt idx="1">
                  <c:v>30</c:v>
                </c:pt>
                <c:pt idx="2">
                  <c:v>0</c:v>
                </c:pt>
                <c:pt idx="3">
                  <c:v>62</c:v>
                </c:pt>
                <c:pt idx="4">
                  <c:v>74.5</c:v>
                </c:pt>
                <c:pt idx="5">
                  <c:v>56</c:v>
                </c:pt>
                <c:pt idx="6">
                  <c:v>33.25</c:v>
                </c:pt>
                <c:pt idx="7">
                  <c:v>0</c:v>
                </c:pt>
                <c:pt idx="8">
                  <c:v>0</c:v>
                </c:pt>
                <c:pt idx="9">
                  <c:v>27.5</c:v>
                </c:pt>
                <c:pt idx="10">
                  <c:v>0</c:v>
                </c:pt>
                <c:pt idx="11">
                  <c:v>131.28125</c:v>
                </c:pt>
                <c:pt idx="12">
                  <c:v>122.53125</c:v>
                </c:pt>
                <c:pt idx="13">
                  <c:v>0</c:v>
                </c:pt>
                <c:pt idx="14">
                  <c:v>68.3125</c:v>
                </c:pt>
                <c:pt idx="15">
                  <c:v>46.615384615384613</c:v>
                </c:pt>
                <c:pt idx="16">
                  <c:v>25.725000000000001</c:v>
                </c:pt>
                <c:pt idx="17">
                  <c:v>88.625</c:v>
                </c:pt>
                <c:pt idx="18">
                  <c:v>5</c:v>
                </c:pt>
                <c:pt idx="19">
                  <c:v>39.322580645161288</c:v>
                </c:pt>
                <c:pt idx="20">
                  <c:v>35.852941176470587</c:v>
                </c:pt>
                <c:pt idx="21">
                  <c:v>11</c:v>
                </c:pt>
                <c:pt idx="22">
                  <c:v>30.105263157894736</c:v>
                </c:pt>
                <c:pt idx="23">
                  <c:v>39.684210526315788</c:v>
                </c:pt>
                <c:pt idx="24">
                  <c:v>15</c:v>
                </c:pt>
                <c:pt idx="25">
                  <c:v>0</c:v>
                </c:pt>
                <c:pt idx="26">
                  <c:v>32.666666666666664</c:v>
                </c:pt>
                <c:pt idx="27">
                  <c:v>0.5</c:v>
                </c:pt>
                <c:pt idx="28">
                  <c:v>1</c:v>
                </c:pt>
                <c:pt idx="29">
                  <c:v>0</c:v>
                </c:pt>
                <c:pt idx="30">
                  <c:v>0</c:v>
                </c:pt>
                <c:pt idx="31">
                  <c:v>0</c:v>
                </c:pt>
                <c:pt idx="32">
                  <c:v>25</c:v>
                </c:pt>
                <c:pt idx="33">
                  <c:v>0</c:v>
                </c:pt>
                <c:pt idx="34">
                  <c:v>1</c:v>
                </c:pt>
                <c:pt idx="35">
                  <c:v>0</c:v>
                </c:pt>
                <c:pt idx="36">
                  <c:v>0</c:v>
                </c:pt>
                <c:pt idx="37">
                  <c:v>60.708333333333336</c:v>
                </c:pt>
                <c:pt idx="38">
                  <c:v>69.875</c:v>
                </c:pt>
                <c:pt idx="39">
                  <c:v>47.903846153846153</c:v>
                </c:pt>
                <c:pt idx="40">
                  <c:v>65.425925925925924</c:v>
                </c:pt>
                <c:pt idx="41">
                  <c:v>0</c:v>
                </c:pt>
                <c:pt idx="42">
                  <c:v>0</c:v>
                </c:pt>
                <c:pt idx="43">
                  <c:v>0</c:v>
                </c:pt>
                <c:pt idx="44">
                  <c:v>38.792003402807318</c:v>
                </c:pt>
                <c:pt idx="45">
                  <c:v>83.5</c:v>
                </c:pt>
                <c:pt idx="46">
                  <c:v>0</c:v>
                </c:pt>
                <c:pt idx="47">
                  <c:v>0</c:v>
                </c:pt>
                <c:pt idx="48">
                  <c:v>0</c:v>
                </c:pt>
              </c:numCache>
            </c:numRef>
          </c:val>
          <c:extLst>
            <c:ext xmlns:c16="http://schemas.microsoft.com/office/drawing/2014/chart" uri="{C3380CC4-5D6E-409C-BE32-E72D297353CC}">
              <c16:uniqueId val="{00000000-8B75-41B4-804E-CE84BEC4D8F6}"/>
            </c:ext>
          </c:extLst>
        </c:ser>
        <c:ser>
          <c:idx val="1"/>
          <c:order val="1"/>
          <c:tx>
            <c:strRef>
              <c:f>'Char Depth Graph'!$E$78:$G$78</c:f>
              <c:strCache>
                <c:ptCount val="1"/>
                <c:pt idx="0">
                  <c:v>Wall Model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070C0"/>
              </a:solidFill>
              <a:prstDash val="solid"/>
            </a:ln>
          </c:spPr>
          <c:invertIfNegative val="0"/>
          <c:errBars>
            <c:errBarType val="both"/>
            <c:errValType val="cust"/>
            <c:noEndCap val="0"/>
            <c:plus>
              <c:numRef>
                <c:f>'Char Depth Graph'!$G$80:$G$128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plus>
            <c:minus>
              <c:numRef>
                <c:f>'Char Depth Graph'!$F$80:$F$128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minus>
            <c:spPr>
              <a:noFill/>
              <a:ln w="9525">
                <a:solidFill>
                  <a:srgbClr val="0070C0"/>
                </a:solidFill>
                <a:prstDash val="solid"/>
                <a:round/>
              </a:ln>
            </c:spPr>
          </c:errBars>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Graph'!$E$80:$E$128</c:f>
              <c:numCache>
                <c:formatCode>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1-8B75-41B4-804E-CE84BEC4D8F6}"/>
            </c:ext>
          </c:extLst>
        </c:ser>
        <c:ser>
          <c:idx val="2"/>
          <c:order val="2"/>
          <c:tx>
            <c:strRef>
              <c:f>'Char Depth Graph'!$H$78:$J$78</c:f>
              <c:strCache>
                <c:ptCount val="1"/>
                <c:pt idx="0">
                  <c:v>Ceiling Exp.</c:v>
                </c:pt>
              </c:strCache>
            </c:strRef>
          </c:tx>
          <c:spPr>
            <a:pattFill prst="dkHorz">
              <a:fgClr>
                <a:srgbClr val="FFC000"/>
              </a:fgClr>
              <a:bgClr>
                <a:schemeClr val="bg1"/>
              </a:bgClr>
            </a:pattFill>
            <a:ln>
              <a:solidFill>
                <a:srgbClr val="FFC000"/>
              </a:solidFill>
              <a:prstDash val="solid"/>
            </a:ln>
          </c:spPr>
          <c:invertIfNegative val="0"/>
          <c:errBars>
            <c:errBarType val="both"/>
            <c:errValType val="cust"/>
            <c:noEndCap val="0"/>
            <c:plus>
              <c:numRef>
                <c:f>'Char Depth Graph'!$J$80:$J$128</c:f>
                <c:numCache>
                  <c:formatCode>General</c:formatCode>
                  <c:ptCount val="49"/>
                  <c:pt idx="0">
                    <c:v>21</c:v>
                  </c:pt>
                  <c:pt idx="1">
                    <c:v>20</c:v>
                  </c:pt>
                  <c:pt idx="2">
                    <c:v>0</c:v>
                  </c:pt>
                  <c:pt idx="3">
                    <c:v>13</c:v>
                  </c:pt>
                  <c:pt idx="4">
                    <c:v>4</c:v>
                  </c:pt>
                  <c:pt idx="5">
                    <c:v>0.5</c:v>
                  </c:pt>
                  <c:pt idx="6">
                    <c:v>0</c:v>
                  </c:pt>
                  <c:pt idx="7">
                    <c:v>0</c:v>
                  </c:pt>
                  <c:pt idx="8">
                    <c:v>10</c:v>
                  </c:pt>
                  <c:pt idx="9">
                    <c:v>0</c:v>
                  </c:pt>
                  <c:pt idx="10">
                    <c:v>11.375</c:v>
                  </c:pt>
                  <c:pt idx="11">
                    <c:v>17.71875</c:v>
                  </c:pt>
                  <c:pt idx="12">
                    <c:v>26.483870967741936</c:v>
                  </c:pt>
                  <c:pt idx="13">
                    <c:v>0</c:v>
                  </c:pt>
                  <c:pt idx="14">
                    <c:v>10.5</c:v>
                  </c:pt>
                  <c:pt idx="15">
                    <c:v>33.25</c:v>
                  </c:pt>
                  <c:pt idx="16">
                    <c:v>11.9375</c:v>
                  </c:pt>
                  <c:pt idx="17">
                    <c:v>12.5</c:v>
                  </c:pt>
                  <c:pt idx="18">
                    <c:v>10</c:v>
                  </c:pt>
                  <c:pt idx="19">
                    <c:v>0</c:v>
                  </c:pt>
                  <c:pt idx="20">
                    <c:v>0</c:v>
                  </c:pt>
                  <c:pt idx="21">
                    <c:v>3</c:v>
                  </c:pt>
                  <c:pt idx="22">
                    <c:v>12.631578947368425</c:v>
                  </c:pt>
                  <c:pt idx="23">
                    <c:v>16.650717703349287</c:v>
                  </c:pt>
                  <c:pt idx="24">
                    <c:v>5</c:v>
                  </c:pt>
                  <c:pt idx="25">
                    <c:v>0</c:v>
                  </c:pt>
                  <c:pt idx="26">
                    <c:v>0</c:v>
                  </c:pt>
                  <c:pt idx="27">
                    <c:v>0</c:v>
                  </c:pt>
                  <c:pt idx="28">
                    <c:v>9</c:v>
                  </c:pt>
                  <c:pt idx="29">
                    <c:v>0</c:v>
                  </c:pt>
                  <c:pt idx="30">
                    <c:v>0</c:v>
                  </c:pt>
                  <c:pt idx="31">
                    <c:v>0</c:v>
                  </c:pt>
                  <c:pt idx="32">
                    <c:v>0</c:v>
                  </c:pt>
                  <c:pt idx="33">
                    <c:v>7.8571428571428541</c:v>
                  </c:pt>
                  <c:pt idx="34">
                    <c:v>1</c:v>
                  </c:pt>
                  <c:pt idx="35">
                    <c:v>18.583333333333329</c:v>
                  </c:pt>
                  <c:pt idx="36">
                    <c:v>9.6666666666666643</c:v>
                  </c:pt>
                  <c:pt idx="37">
                    <c:v>13.875</c:v>
                  </c:pt>
                  <c:pt idx="38">
                    <c:v>11.4375</c:v>
                  </c:pt>
                  <c:pt idx="39">
                    <c:v>17.1875</c:v>
                  </c:pt>
                  <c:pt idx="40">
                    <c:v>22.6875</c:v>
                  </c:pt>
                  <c:pt idx="41">
                    <c:v>6</c:v>
                  </c:pt>
                  <c:pt idx="42">
                    <c:v>2.1999999999999993</c:v>
                  </c:pt>
                  <c:pt idx="43">
                    <c:v>14</c:v>
                  </c:pt>
                  <c:pt idx="44">
                    <c:v>-0.36363636363636687</c:v>
                  </c:pt>
                  <c:pt idx="45">
                    <c:v>0</c:v>
                  </c:pt>
                  <c:pt idx="46">
                    <c:v>3</c:v>
                  </c:pt>
                  <c:pt idx="47">
                    <c:v>0</c:v>
                  </c:pt>
                  <c:pt idx="48">
                    <c:v>8</c:v>
                  </c:pt>
                </c:numCache>
              </c:numRef>
            </c:plus>
            <c:minus>
              <c:numRef>
                <c:f>'Char Depth Graph'!$I$80:$I$128</c:f>
                <c:numCache>
                  <c:formatCode>General</c:formatCode>
                  <c:ptCount val="49"/>
                  <c:pt idx="0">
                    <c:v>22</c:v>
                  </c:pt>
                  <c:pt idx="1">
                    <c:v>5</c:v>
                  </c:pt>
                  <c:pt idx="2">
                    <c:v>0</c:v>
                  </c:pt>
                  <c:pt idx="3">
                    <c:v>27</c:v>
                  </c:pt>
                  <c:pt idx="4">
                    <c:v>4</c:v>
                  </c:pt>
                  <c:pt idx="5">
                    <c:v>0.5</c:v>
                  </c:pt>
                  <c:pt idx="6">
                    <c:v>0</c:v>
                  </c:pt>
                  <c:pt idx="7">
                    <c:v>0</c:v>
                  </c:pt>
                  <c:pt idx="8">
                    <c:v>-0.1</c:v>
                  </c:pt>
                  <c:pt idx="9">
                    <c:v>0</c:v>
                  </c:pt>
                  <c:pt idx="10">
                    <c:v>10.625</c:v>
                  </c:pt>
                  <c:pt idx="11">
                    <c:v>36.28125</c:v>
                  </c:pt>
                  <c:pt idx="12">
                    <c:v>114.51612903225806</c:v>
                  </c:pt>
                  <c:pt idx="13">
                    <c:v>0</c:v>
                  </c:pt>
                  <c:pt idx="14">
                    <c:v>7.5</c:v>
                  </c:pt>
                  <c:pt idx="15">
                    <c:v>0</c:v>
                  </c:pt>
                  <c:pt idx="16">
                    <c:v>7.0625</c:v>
                  </c:pt>
                  <c:pt idx="17">
                    <c:v>7.5</c:v>
                  </c:pt>
                  <c:pt idx="18">
                    <c:v>35</c:v>
                  </c:pt>
                  <c:pt idx="19">
                    <c:v>0</c:v>
                  </c:pt>
                  <c:pt idx="20">
                    <c:v>0</c:v>
                  </c:pt>
                  <c:pt idx="21">
                    <c:v>2.5</c:v>
                  </c:pt>
                  <c:pt idx="22">
                    <c:v>6.8421052631578938</c:v>
                  </c:pt>
                  <c:pt idx="23">
                    <c:v>9.0191387559808618</c:v>
                  </c:pt>
                  <c:pt idx="24">
                    <c:v>3.75</c:v>
                  </c:pt>
                  <c:pt idx="25">
                    <c:v>0</c:v>
                  </c:pt>
                  <c:pt idx="26">
                    <c:v>0</c:v>
                  </c:pt>
                  <c:pt idx="27">
                    <c:v>0</c:v>
                  </c:pt>
                  <c:pt idx="28">
                    <c:v>0.9</c:v>
                  </c:pt>
                  <c:pt idx="29">
                    <c:v>0</c:v>
                  </c:pt>
                  <c:pt idx="30">
                    <c:v>0</c:v>
                  </c:pt>
                  <c:pt idx="31">
                    <c:v>0</c:v>
                  </c:pt>
                  <c:pt idx="32">
                    <c:v>0</c:v>
                  </c:pt>
                  <c:pt idx="33">
                    <c:v>12.142857142857146</c:v>
                  </c:pt>
                  <c:pt idx="34">
                    <c:v>0.9</c:v>
                  </c:pt>
                  <c:pt idx="35">
                    <c:v>17.416666666666671</c:v>
                  </c:pt>
                  <c:pt idx="36">
                    <c:v>10.333333333333336</c:v>
                  </c:pt>
                  <c:pt idx="37">
                    <c:v>10.125</c:v>
                  </c:pt>
                  <c:pt idx="38">
                    <c:v>6.5625</c:v>
                  </c:pt>
                  <c:pt idx="39">
                    <c:v>14.8125</c:v>
                  </c:pt>
                  <c:pt idx="40">
                    <c:v>13.3125</c:v>
                  </c:pt>
                  <c:pt idx="41">
                    <c:v>7</c:v>
                  </c:pt>
                  <c:pt idx="42">
                    <c:v>2.8000000000000007</c:v>
                  </c:pt>
                  <c:pt idx="43">
                    <c:v>6</c:v>
                  </c:pt>
                  <c:pt idx="44">
                    <c:v>0.36363636363636687</c:v>
                  </c:pt>
                  <c:pt idx="45">
                    <c:v>0</c:v>
                  </c:pt>
                  <c:pt idx="46">
                    <c:v>7</c:v>
                  </c:pt>
                  <c:pt idx="47">
                    <c:v>0</c:v>
                  </c:pt>
                  <c:pt idx="48">
                    <c:v>4</c:v>
                  </c:pt>
                </c:numCache>
              </c:numRef>
            </c:minus>
            <c:spPr>
              <a:noFill/>
              <a:ln w="15875">
                <a:solidFill>
                  <a:srgbClr val="FFC000"/>
                </a:solidFill>
                <a:prstDash val="solid"/>
                <a:round/>
              </a:ln>
            </c:spPr>
          </c:errBars>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Graph'!$H$80:$H$128</c:f>
              <c:numCache>
                <c:formatCode>0</c:formatCode>
                <c:ptCount val="49"/>
                <c:pt idx="0">
                  <c:v>34</c:v>
                </c:pt>
                <c:pt idx="1">
                  <c:v>20</c:v>
                </c:pt>
                <c:pt idx="2">
                  <c:v>0</c:v>
                </c:pt>
                <c:pt idx="3">
                  <c:v>67</c:v>
                </c:pt>
                <c:pt idx="4">
                  <c:v>37</c:v>
                </c:pt>
                <c:pt idx="5">
                  <c:v>11.5</c:v>
                </c:pt>
                <c:pt idx="6">
                  <c:v>0</c:v>
                </c:pt>
                <c:pt idx="7">
                  <c:v>0</c:v>
                </c:pt>
                <c:pt idx="8">
                  <c:v>0</c:v>
                </c:pt>
                <c:pt idx="9">
                  <c:v>0</c:v>
                </c:pt>
                <c:pt idx="10">
                  <c:v>78.625</c:v>
                </c:pt>
                <c:pt idx="11">
                  <c:v>61.28125</c:v>
                </c:pt>
                <c:pt idx="12">
                  <c:v>127.51612903225806</c:v>
                </c:pt>
                <c:pt idx="13">
                  <c:v>0</c:v>
                </c:pt>
                <c:pt idx="14">
                  <c:v>52.5</c:v>
                </c:pt>
                <c:pt idx="15">
                  <c:v>32.75</c:v>
                </c:pt>
                <c:pt idx="16">
                  <c:v>54.0625</c:v>
                </c:pt>
                <c:pt idx="17">
                  <c:v>77.5</c:v>
                </c:pt>
                <c:pt idx="18">
                  <c:v>70</c:v>
                </c:pt>
                <c:pt idx="19">
                  <c:v>0</c:v>
                </c:pt>
                <c:pt idx="20">
                  <c:v>0</c:v>
                </c:pt>
                <c:pt idx="21">
                  <c:v>10</c:v>
                </c:pt>
                <c:pt idx="22">
                  <c:v>27.368421052631575</c:v>
                </c:pt>
                <c:pt idx="23">
                  <c:v>36.07655502392344</c:v>
                </c:pt>
                <c:pt idx="24">
                  <c:v>15</c:v>
                </c:pt>
                <c:pt idx="25">
                  <c:v>23</c:v>
                </c:pt>
                <c:pt idx="26">
                  <c:v>0</c:v>
                </c:pt>
                <c:pt idx="27">
                  <c:v>0.5</c:v>
                </c:pt>
                <c:pt idx="28">
                  <c:v>1</c:v>
                </c:pt>
                <c:pt idx="29">
                  <c:v>49.5</c:v>
                </c:pt>
                <c:pt idx="30">
                  <c:v>82.5</c:v>
                </c:pt>
                <c:pt idx="31">
                  <c:v>78</c:v>
                </c:pt>
                <c:pt idx="32">
                  <c:v>25</c:v>
                </c:pt>
                <c:pt idx="33">
                  <c:v>40.142857142857146</c:v>
                </c:pt>
                <c:pt idx="34">
                  <c:v>1</c:v>
                </c:pt>
                <c:pt idx="35">
                  <c:v>70.416666666666671</c:v>
                </c:pt>
                <c:pt idx="36">
                  <c:v>35.333333333333336</c:v>
                </c:pt>
                <c:pt idx="37">
                  <c:v>43.125</c:v>
                </c:pt>
                <c:pt idx="38">
                  <c:v>46.5625</c:v>
                </c:pt>
                <c:pt idx="39">
                  <c:v>27.8125</c:v>
                </c:pt>
                <c:pt idx="40">
                  <c:v>50.3125</c:v>
                </c:pt>
                <c:pt idx="41">
                  <c:v>25</c:v>
                </c:pt>
                <c:pt idx="42">
                  <c:v>27.8</c:v>
                </c:pt>
                <c:pt idx="43">
                  <c:v>26</c:v>
                </c:pt>
                <c:pt idx="44">
                  <c:v>36.363636363636367</c:v>
                </c:pt>
                <c:pt idx="45">
                  <c:v>0</c:v>
                </c:pt>
                <c:pt idx="46">
                  <c:v>47</c:v>
                </c:pt>
                <c:pt idx="47">
                  <c:v>0</c:v>
                </c:pt>
                <c:pt idx="48">
                  <c:v>94</c:v>
                </c:pt>
              </c:numCache>
            </c:numRef>
          </c:val>
          <c:extLst>
            <c:ext xmlns:c16="http://schemas.microsoft.com/office/drawing/2014/chart" uri="{C3380CC4-5D6E-409C-BE32-E72D297353CC}">
              <c16:uniqueId val="{00000002-8B75-41B4-804E-CE84BEC4D8F6}"/>
            </c:ext>
          </c:extLst>
        </c:ser>
        <c:ser>
          <c:idx val="3"/>
          <c:order val="3"/>
          <c:tx>
            <c:strRef>
              <c:f>'Char Depth Graph'!$K$78:$M$78</c:f>
              <c:strCache>
                <c:ptCount val="1"/>
                <c:pt idx="0">
                  <c:v>Ceiling Model</c:v>
                </c:pt>
              </c:strCache>
            </c:strRef>
          </c:tx>
          <c:spPr>
            <a:gradFill>
              <a:gsLst>
                <a:gs pos="77000">
                  <a:schemeClr val="accent4"/>
                </a:gs>
                <a:gs pos="0">
                  <a:schemeClr val="accent4">
                    <a:lumMod val="20000"/>
                    <a:lumOff val="80000"/>
                  </a:schemeClr>
                </a:gs>
                <a:gs pos="100000">
                  <a:schemeClr val="accent4">
                    <a:lumMod val="40000"/>
                    <a:lumOff val="60000"/>
                  </a:schemeClr>
                </a:gs>
              </a:gsLst>
              <a:lin ang="5400000" scaled="1"/>
            </a:gradFill>
            <a:ln>
              <a:solidFill>
                <a:srgbClr val="FFC000"/>
              </a:solidFill>
              <a:prstDash val="solid"/>
            </a:ln>
          </c:spPr>
          <c:invertIfNegative val="0"/>
          <c:errBars>
            <c:errBarType val="both"/>
            <c:errValType val="cust"/>
            <c:noEndCap val="0"/>
            <c:plus>
              <c:numRef>
                <c:f>'Char Depth Graph'!$M$80:$M$128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plus>
            <c:minus>
              <c:numRef>
                <c:f>'Char Depth Graph'!$L$80:$L$128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minus>
            <c:spPr>
              <a:noFill/>
              <a:ln w="9525">
                <a:solidFill>
                  <a:srgbClr val="FFC000"/>
                </a:solidFill>
                <a:prstDash val="solid"/>
                <a:round/>
              </a:ln>
            </c:spPr>
          </c:errBars>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Graph'!$K$80:$K$128</c:f>
              <c:numCache>
                <c:formatCode>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3-8B75-41B4-804E-CE84BEC4D8F6}"/>
            </c:ext>
          </c:extLst>
        </c:ser>
        <c:ser>
          <c:idx val="4"/>
          <c:order val="4"/>
          <c:tx>
            <c:strRef>
              <c:f>'Char Depth Graph'!$T$78:$V$78</c:f>
              <c:strCache>
                <c:ptCount val="1"/>
                <c:pt idx="0">
                  <c:v>Column Exp.</c:v>
                </c:pt>
              </c:strCache>
            </c:strRef>
          </c:tx>
          <c:spPr>
            <a:pattFill prst="narVert">
              <a:fgClr>
                <a:srgbClr val="7030A0"/>
              </a:fgClr>
              <a:bgClr>
                <a:schemeClr val="bg1"/>
              </a:bgClr>
            </a:pattFill>
            <a:ln>
              <a:solidFill>
                <a:srgbClr val="7030A0"/>
              </a:solidFill>
              <a:prstDash val="solid"/>
            </a:ln>
          </c:spPr>
          <c:invertIfNegative val="0"/>
          <c:errBars>
            <c:errBarType val="both"/>
            <c:errValType val="cust"/>
            <c:noEndCap val="0"/>
            <c:plus>
              <c:numRef>
                <c:f>'Char Depth Graph'!$V$80:$V$128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54.125</c:v>
                  </c:pt>
                  <c:pt idx="16">
                    <c:v>18.9375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34.25</c:v>
                  </c:pt>
                  <c:pt idx="34">
                    <c:v>0</c:v>
                  </c:pt>
                  <c:pt idx="35">
                    <c:v>70.5625</c:v>
                  </c:pt>
                  <c:pt idx="36">
                    <c:v>0</c:v>
                  </c:pt>
                  <c:pt idx="37">
                    <c:v>0</c:v>
                  </c:pt>
                  <c:pt idx="38">
                    <c:v>24</c:v>
                  </c:pt>
                  <c:pt idx="39">
                    <c:v>16</c:v>
                  </c:pt>
                  <c:pt idx="40">
                    <c:v>21</c:v>
                  </c:pt>
                  <c:pt idx="41">
                    <c:v>30</c:v>
                  </c:pt>
                  <c:pt idx="42">
                    <c:v>61</c:v>
                  </c:pt>
                  <c:pt idx="43">
                    <c:v>0</c:v>
                  </c:pt>
                  <c:pt idx="44">
                    <c:v>0</c:v>
                  </c:pt>
                  <c:pt idx="45">
                    <c:v>0</c:v>
                  </c:pt>
                  <c:pt idx="46">
                    <c:v>0</c:v>
                  </c:pt>
                  <c:pt idx="47">
                    <c:v>14.8125</c:v>
                  </c:pt>
                  <c:pt idx="48">
                    <c:v>0</c:v>
                  </c:pt>
                </c:numCache>
              </c:numRef>
            </c:plus>
            <c:minus>
              <c:numRef>
                <c:f>'Char Depth Graph'!$U$80:$U$128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16.375</c:v>
                  </c:pt>
                  <c:pt idx="16">
                    <c:v>12.0625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25.75</c:v>
                  </c:pt>
                  <c:pt idx="34">
                    <c:v>0</c:v>
                  </c:pt>
                  <c:pt idx="35">
                    <c:v>42.4375</c:v>
                  </c:pt>
                  <c:pt idx="36">
                    <c:v>0</c:v>
                  </c:pt>
                  <c:pt idx="37">
                    <c:v>0</c:v>
                  </c:pt>
                  <c:pt idx="38">
                    <c:v>31</c:v>
                  </c:pt>
                  <c:pt idx="39">
                    <c:v>20.666666666666668</c:v>
                  </c:pt>
                  <c:pt idx="40">
                    <c:v>39</c:v>
                  </c:pt>
                  <c:pt idx="41">
                    <c:v>25</c:v>
                  </c:pt>
                  <c:pt idx="42">
                    <c:v>30</c:v>
                  </c:pt>
                  <c:pt idx="43">
                    <c:v>0</c:v>
                  </c:pt>
                  <c:pt idx="44">
                    <c:v>0</c:v>
                  </c:pt>
                  <c:pt idx="45">
                    <c:v>0</c:v>
                  </c:pt>
                  <c:pt idx="46">
                    <c:v>0</c:v>
                  </c:pt>
                  <c:pt idx="47">
                    <c:v>15.6875</c:v>
                  </c:pt>
                  <c:pt idx="48">
                    <c:v>0</c:v>
                  </c:pt>
                </c:numCache>
              </c:numRef>
            </c:minus>
          </c:errBars>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Graph'!$T$80:$T$128</c:f>
              <c:numCache>
                <c:formatCode>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108.375</c:v>
                </c:pt>
                <c:pt idx="16">
                  <c:v>74.5625</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60.75</c:v>
                </c:pt>
                <c:pt idx="34">
                  <c:v>0</c:v>
                </c:pt>
                <c:pt idx="35">
                  <c:v>64.4375</c:v>
                </c:pt>
                <c:pt idx="36">
                  <c:v>0</c:v>
                </c:pt>
                <c:pt idx="37">
                  <c:v>0</c:v>
                </c:pt>
                <c:pt idx="38">
                  <c:v>56</c:v>
                </c:pt>
                <c:pt idx="39">
                  <c:v>37.333333333333336</c:v>
                </c:pt>
                <c:pt idx="40">
                  <c:v>59</c:v>
                </c:pt>
                <c:pt idx="41">
                  <c:v>30</c:v>
                </c:pt>
                <c:pt idx="42">
                  <c:v>35</c:v>
                </c:pt>
                <c:pt idx="43">
                  <c:v>0</c:v>
                </c:pt>
                <c:pt idx="44">
                  <c:v>0</c:v>
                </c:pt>
                <c:pt idx="45">
                  <c:v>0</c:v>
                </c:pt>
                <c:pt idx="46">
                  <c:v>0</c:v>
                </c:pt>
                <c:pt idx="47">
                  <c:v>42.6875</c:v>
                </c:pt>
                <c:pt idx="48">
                  <c:v>0</c:v>
                </c:pt>
              </c:numCache>
            </c:numRef>
          </c:val>
          <c:extLst>
            <c:ext xmlns:c16="http://schemas.microsoft.com/office/drawing/2014/chart" uri="{C3380CC4-5D6E-409C-BE32-E72D297353CC}">
              <c16:uniqueId val="{00000004-8B75-41B4-804E-CE84BEC4D8F6}"/>
            </c:ext>
          </c:extLst>
        </c:ser>
        <c:ser>
          <c:idx val="5"/>
          <c:order val="5"/>
          <c:tx>
            <c:strRef>
              <c:f>'Char Depth Graph'!$W$78:$Y$78</c:f>
              <c:strCache>
                <c:ptCount val="1"/>
                <c:pt idx="0">
                  <c:v>Column Model</c:v>
                </c:pt>
              </c:strCache>
            </c:strRef>
          </c:tx>
          <c:spPr>
            <a:gradFill>
              <a:gsLst>
                <a:gs pos="100000">
                  <a:srgbClr val="7030A0"/>
                </a:gs>
                <a:gs pos="37000">
                  <a:srgbClr val="9148C8"/>
                </a:gs>
                <a:gs pos="0">
                  <a:srgbClr val="C198E0"/>
                </a:gs>
                <a:gs pos="100000">
                  <a:schemeClr val="accent1">
                    <a:lumMod val="30000"/>
                    <a:lumOff val="70000"/>
                  </a:schemeClr>
                </a:gs>
              </a:gsLst>
              <a:lin ang="5400000" scaled="1"/>
            </a:gradFill>
            <a:ln>
              <a:prstDash val="solid"/>
            </a:ln>
          </c:spPr>
          <c:invertIfNegative val="0"/>
          <c:errBars>
            <c:errBarType val="both"/>
            <c:errValType val="cust"/>
            <c:noEndCap val="0"/>
            <c:plus>
              <c:numRef>
                <c:f>'Char Depth Graph'!$Y$80:$Y$128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plus>
            <c:minus>
              <c:numRef>
                <c:f>'Char Depth Graph'!$X$80:$X$128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minus>
          </c:errBars>
          <c:val>
            <c:numRef>
              <c:f>'Char Depth Graph'!$W$80:$W$128</c:f>
              <c:numCache>
                <c:formatCode>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5-8B75-41B4-804E-CE84BEC4D8F6}"/>
            </c:ext>
          </c:extLst>
        </c:ser>
        <c:ser>
          <c:idx val="6"/>
          <c:order val="6"/>
          <c:tx>
            <c:strRef>
              <c:f>'Char Depth Graph'!$N$78:$P$78</c:f>
              <c:strCache>
                <c:ptCount val="1"/>
                <c:pt idx="0">
                  <c:v>Beam Exp.</c:v>
                </c:pt>
              </c:strCache>
            </c:strRef>
          </c:tx>
          <c:spPr>
            <a:pattFill prst="narVert">
              <a:fgClr>
                <a:srgbClr val="00B050"/>
              </a:fgClr>
              <a:bgClr>
                <a:schemeClr val="bg1"/>
              </a:bgClr>
            </a:pattFill>
            <a:ln>
              <a:solidFill>
                <a:srgbClr val="00B050"/>
              </a:solidFill>
              <a:prstDash val="solid"/>
            </a:ln>
          </c:spPr>
          <c:invertIfNegative val="0"/>
          <c:errBars>
            <c:errBarType val="both"/>
            <c:errValType val="cust"/>
            <c:noEndCap val="0"/>
            <c:plus>
              <c:numRef>
                <c:f>'Char Depth Graph'!$P$80:$P$128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39.041666666666671</c:v>
                  </c:pt>
                  <c:pt idx="16">
                    <c:v>3.8499999999999943</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25.75</c:v>
                  </c:pt>
                  <c:pt idx="34">
                    <c:v>0</c:v>
                  </c:pt>
                  <c:pt idx="35">
                    <c:v>20.96875</c:v>
                  </c:pt>
                  <c:pt idx="36">
                    <c:v>33</c:v>
                  </c:pt>
                  <c:pt idx="37">
                    <c:v>24</c:v>
                  </c:pt>
                  <c:pt idx="38">
                    <c:v>24</c:v>
                  </c:pt>
                  <c:pt idx="39">
                    <c:v>16</c:v>
                  </c:pt>
                  <c:pt idx="40">
                    <c:v>21</c:v>
                  </c:pt>
                  <c:pt idx="41">
                    <c:v>0</c:v>
                  </c:pt>
                  <c:pt idx="42">
                    <c:v>0</c:v>
                  </c:pt>
                  <c:pt idx="43">
                    <c:v>0</c:v>
                  </c:pt>
                  <c:pt idx="44">
                    <c:v>0</c:v>
                  </c:pt>
                  <c:pt idx="45">
                    <c:v>0</c:v>
                  </c:pt>
                  <c:pt idx="46">
                    <c:v>0</c:v>
                  </c:pt>
                  <c:pt idx="47">
                    <c:v>40.3125</c:v>
                  </c:pt>
                  <c:pt idx="48">
                    <c:v>0</c:v>
                  </c:pt>
                </c:numCache>
              </c:numRef>
            </c:plus>
            <c:minus>
              <c:numRef>
                <c:f>'Char Depth Graph'!$O$80:$O$128</c:f>
                <c:numCache>
                  <c:formatCode>General</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18.458333333333329</c:v>
                  </c:pt>
                  <c:pt idx="16">
                    <c:v>9.1500000000000057</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39.25</c:v>
                  </c:pt>
                  <c:pt idx="34">
                    <c:v>0</c:v>
                  </c:pt>
                  <c:pt idx="35">
                    <c:v>21.03125</c:v>
                  </c:pt>
                  <c:pt idx="36">
                    <c:v>31.9</c:v>
                  </c:pt>
                  <c:pt idx="37">
                    <c:v>36</c:v>
                  </c:pt>
                  <c:pt idx="38">
                    <c:v>31</c:v>
                  </c:pt>
                  <c:pt idx="39">
                    <c:v>20.666666666666668</c:v>
                  </c:pt>
                  <c:pt idx="40">
                    <c:v>39</c:v>
                  </c:pt>
                  <c:pt idx="41">
                    <c:v>0</c:v>
                  </c:pt>
                  <c:pt idx="42">
                    <c:v>0</c:v>
                  </c:pt>
                  <c:pt idx="43">
                    <c:v>0</c:v>
                  </c:pt>
                  <c:pt idx="44">
                    <c:v>0</c:v>
                  </c:pt>
                  <c:pt idx="45">
                    <c:v>0</c:v>
                  </c:pt>
                  <c:pt idx="46">
                    <c:v>0</c:v>
                  </c:pt>
                  <c:pt idx="47">
                    <c:v>22.1875</c:v>
                  </c:pt>
                  <c:pt idx="48">
                    <c:v>0</c:v>
                  </c:pt>
                </c:numCache>
              </c:numRef>
            </c:minus>
          </c:errBars>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Graph'!$N$80:$N$128</c:f>
              <c:numCache>
                <c:formatCode>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121.95833333333333</c:v>
                </c:pt>
                <c:pt idx="16">
                  <c:v>78.150000000000006</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64.25</c:v>
                </c:pt>
                <c:pt idx="34">
                  <c:v>0</c:v>
                </c:pt>
                <c:pt idx="35">
                  <c:v>47.03125</c:v>
                </c:pt>
                <c:pt idx="36">
                  <c:v>32</c:v>
                </c:pt>
                <c:pt idx="37">
                  <c:v>56</c:v>
                </c:pt>
                <c:pt idx="38">
                  <c:v>56</c:v>
                </c:pt>
                <c:pt idx="39">
                  <c:v>37.333333333333336</c:v>
                </c:pt>
                <c:pt idx="40">
                  <c:v>59</c:v>
                </c:pt>
                <c:pt idx="41">
                  <c:v>0</c:v>
                </c:pt>
                <c:pt idx="42">
                  <c:v>0</c:v>
                </c:pt>
                <c:pt idx="43">
                  <c:v>0</c:v>
                </c:pt>
                <c:pt idx="44">
                  <c:v>0</c:v>
                </c:pt>
                <c:pt idx="45">
                  <c:v>0</c:v>
                </c:pt>
                <c:pt idx="46">
                  <c:v>0</c:v>
                </c:pt>
                <c:pt idx="47">
                  <c:v>54.6875</c:v>
                </c:pt>
                <c:pt idx="48">
                  <c:v>0</c:v>
                </c:pt>
              </c:numCache>
            </c:numRef>
          </c:val>
          <c:extLst>
            <c:ext xmlns:c16="http://schemas.microsoft.com/office/drawing/2014/chart" uri="{C3380CC4-5D6E-409C-BE32-E72D297353CC}">
              <c16:uniqueId val="{00000006-8B75-41B4-804E-CE84BEC4D8F6}"/>
            </c:ext>
          </c:extLst>
        </c:ser>
        <c:ser>
          <c:idx val="7"/>
          <c:order val="7"/>
          <c:tx>
            <c:strRef>
              <c:f>'Char Depth Graph'!$Q$78:$S$78</c:f>
              <c:strCache>
                <c:ptCount val="1"/>
                <c:pt idx="0">
                  <c:v>Beam Model</c:v>
                </c:pt>
              </c:strCache>
            </c:strRef>
          </c:tx>
          <c:spPr>
            <a:gradFill>
              <a:gsLst>
                <a:gs pos="0">
                  <a:schemeClr val="accent6">
                    <a:lumMod val="67000"/>
                  </a:schemeClr>
                </a:gs>
                <a:gs pos="48000">
                  <a:schemeClr val="accent6">
                    <a:lumMod val="97000"/>
                    <a:lumOff val="3000"/>
                  </a:schemeClr>
                </a:gs>
                <a:gs pos="100000">
                  <a:schemeClr val="accent6">
                    <a:lumMod val="60000"/>
                    <a:lumOff val="40000"/>
                  </a:schemeClr>
                </a:gs>
              </a:gsLst>
              <a:lin ang="16200000" scaled="1"/>
            </a:gradFill>
            <a:ln>
              <a:prstDash val="solid"/>
            </a:ln>
          </c:spPr>
          <c:invertIfNegative val="0"/>
          <c:dPt>
            <c:idx val="33"/>
            <c:invertIfNegative val="0"/>
            <c:bubble3D val="0"/>
            <c:spPr>
              <a:gradFill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00B050"/>
                </a:solidFill>
                <a:prstDash val="solid"/>
              </a:ln>
            </c:spPr>
            <c:extLst>
              <c:ext xmlns:c16="http://schemas.microsoft.com/office/drawing/2014/chart" uri="{C3380CC4-5D6E-409C-BE32-E72D297353CC}">
                <c16:uniqueId val="{00000001-35B6-4E13-8AA3-FD815F7734DE}"/>
              </c:ext>
            </c:extLst>
          </c:dPt>
          <c:cat>
            <c:strRef>
              <c:f>'Char Depth Graph'!$A$80:$A$128</c:f>
              <c:strCache>
                <c:ptCount val="49"/>
                <c:pt idx="0">
                  <c:v>McGregor_1</c:v>
                </c:pt>
                <c:pt idx="1">
                  <c:v>McGregor_3</c:v>
                </c:pt>
                <c:pt idx="2">
                  <c:v>McGregor_4</c:v>
                </c:pt>
                <c:pt idx="3">
                  <c:v>McGregor_5</c:v>
                </c:pt>
                <c:pt idx="4">
                  <c:v>Medina_1</c:v>
                </c:pt>
                <c:pt idx="5">
                  <c:v>Medina_2</c:v>
                </c:pt>
                <c:pt idx="6">
                  <c:v>Medina_3</c:v>
                </c:pt>
                <c:pt idx="7">
                  <c:v>NRCC&amp;NIST_1</c:v>
                </c:pt>
                <c:pt idx="8">
                  <c:v>NRCC&amp;NIST_2</c:v>
                </c:pt>
                <c:pt idx="9">
                  <c:v>NRCC&amp;NIST_3</c:v>
                </c:pt>
                <c:pt idx="10">
                  <c:v>NRCC&amp;NIST_4</c:v>
                </c:pt>
                <c:pt idx="11">
                  <c:v>NRCC&amp;NIST_5</c:v>
                </c:pt>
                <c:pt idx="12">
                  <c:v>NRCC&amp;NIST_6</c:v>
                </c:pt>
                <c:pt idx="13">
                  <c:v>NRCC_Room_1</c:v>
                </c:pt>
                <c:pt idx="14">
                  <c:v>NRCC_Room_2</c:v>
                </c:pt>
                <c:pt idx="15">
                  <c:v>NRCC_Room_3</c:v>
                </c:pt>
                <c:pt idx="16">
                  <c:v>NRCC_Room_4</c:v>
                </c:pt>
                <c:pt idx="17">
                  <c:v>NRCC_Room_5</c:v>
                </c:pt>
                <c:pt idx="18">
                  <c:v>NRCC_Elevator_1</c:v>
                </c:pt>
                <c:pt idx="19">
                  <c:v>Edimb_1</c:v>
                </c:pt>
                <c:pt idx="20">
                  <c:v>Edimb_2</c:v>
                </c:pt>
                <c:pt idx="21">
                  <c:v>Edimb_3</c:v>
                </c:pt>
                <c:pt idx="22">
                  <c:v>Edimb_4</c:v>
                </c:pt>
                <c:pt idx="23">
                  <c:v>Edimb_5</c:v>
                </c:pt>
                <c:pt idx="24">
                  <c:v>Emb_1</c:v>
                </c:pt>
                <c:pt idx="25">
                  <c:v>USDA_2</c:v>
                </c:pt>
                <c:pt idx="26">
                  <c:v>USDA_3</c:v>
                </c:pt>
                <c:pt idx="27">
                  <c:v>USDA_4</c:v>
                </c:pt>
                <c:pt idx="28">
                  <c:v>USDA_5</c:v>
                </c:pt>
                <c:pt idx="29">
                  <c:v>Epernon_1</c:v>
                </c:pt>
                <c:pt idx="30">
                  <c:v>Epernon_2</c:v>
                </c:pt>
                <c:pt idx="31">
                  <c:v>Epernon_3</c:v>
                </c:pt>
                <c:pt idx="32">
                  <c:v>NRCC_LS_1</c:v>
                </c:pt>
                <c:pt idx="33">
                  <c:v>NRCC_LS_2</c:v>
                </c:pt>
                <c:pt idx="34">
                  <c:v>NRCC_LS_3</c:v>
                </c:pt>
                <c:pt idx="35">
                  <c:v>NRCC_LS_4</c:v>
                </c:pt>
                <c:pt idx="36">
                  <c:v>RISE_1</c:v>
                </c:pt>
                <c:pt idx="37">
                  <c:v>RISE_2</c:v>
                </c:pt>
                <c:pt idx="38">
                  <c:v>RISE_3</c:v>
                </c:pt>
                <c:pt idx="39">
                  <c:v>RISE_4</c:v>
                </c:pt>
                <c:pt idx="40">
                  <c:v>RISE_5</c:v>
                </c:pt>
                <c:pt idx="41">
                  <c:v>CodeRed_1</c:v>
                </c:pt>
                <c:pt idx="42">
                  <c:v>CodeRed_2</c:v>
                </c:pt>
                <c:pt idx="43">
                  <c:v>FRIC_1</c:v>
                </c:pt>
                <c:pt idx="44">
                  <c:v>FRIC_2</c:v>
                </c:pt>
                <c:pt idx="45">
                  <c:v>AdivBois_1</c:v>
                </c:pt>
                <c:pt idx="46">
                  <c:v>AdivBois_2</c:v>
                </c:pt>
                <c:pt idx="47">
                  <c:v>AdivBois_3</c:v>
                </c:pt>
                <c:pt idx="48">
                  <c:v>AdivBois_4</c:v>
                </c:pt>
              </c:strCache>
            </c:strRef>
          </c:cat>
          <c:val>
            <c:numRef>
              <c:f>'Char Depth Graph'!$Q$80:$Q$128</c:f>
              <c:numCache>
                <c:formatCode>0</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9-8B75-41B4-804E-CE84BEC4D8F6}"/>
            </c:ext>
          </c:extLst>
        </c:ser>
        <c:dLbls>
          <c:showLegendKey val="0"/>
          <c:showVal val="0"/>
          <c:showCatName val="0"/>
          <c:showSerName val="0"/>
          <c:showPercent val="0"/>
          <c:showBubbleSize val="0"/>
        </c:dLbls>
        <c:gapWidth val="100"/>
        <c:axId val="1034959200"/>
        <c:axId val="1034960640"/>
      </c:barChart>
      <c:catAx>
        <c:axId val="103495920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1400" b="0" i="0" strike="noStrike" kern="1200" cap="all" spc="120" normalizeH="0" baseline="0">
                <a:solidFill>
                  <a:schemeClr val="tx1">
                    <a:lumMod val="65000"/>
                    <a:lumOff val="35000"/>
                  </a:schemeClr>
                </a:solidFill>
                <a:latin typeface="+mn-lt"/>
                <a:ea typeface="+mn-ea"/>
                <a:cs typeface="+mn-cs"/>
              </a:defRPr>
            </a:pPr>
            <a:endParaRPr lang="fr-FR"/>
          </a:p>
        </c:txPr>
        <c:crossAx val="1034960640"/>
        <c:crosses val="autoZero"/>
        <c:auto val="1"/>
        <c:lblAlgn val="ctr"/>
        <c:lblOffset val="100"/>
        <c:tickMarkSkip val="1"/>
        <c:noMultiLvlLbl val="0"/>
      </c:catAx>
      <c:valAx>
        <c:axId val="1034960640"/>
        <c:scaling>
          <c:orientation val="minMax"/>
          <c:max val="120"/>
          <c:min val="0"/>
        </c:scaling>
        <c:delete val="0"/>
        <c:axPos val="l"/>
        <c:majorGridlines>
          <c:spPr>
            <a:ln w="9525" cap="flat" cmpd="sng" algn="ctr">
              <a:solidFill>
                <a:schemeClr val="tx1">
                  <a:lumMod val="15000"/>
                  <a:lumOff val="85000"/>
                </a:schemeClr>
              </a:solidFill>
              <a:prstDash val="solid"/>
              <a:round/>
            </a:ln>
          </c:spPr>
        </c:majorGridlines>
        <c:minorGridlines>
          <c:spPr>
            <a:ln>
              <a:solidFill>
                <a:schemeClr val="tx1">
                  <a:lumMod val="5000"/>
                  <a:lumOff val="95000"/>
                </a:schemeClr>
              </a:solidFill>
              <a:prstDash val="solid"/>
            </a:ln>
          </c:spPr>
        </c:minorGridlines>
        <c:numFmt formatCode="0" sourceLinked="0"/>
        <c:majorTickMark val="cross"/>
        <c:minorTickMark val="none"/>
        <c:tickLblPos val="nextTo"/>
        <c:spPr>
          <a:noFill/>
          <a:ln w="9525" cap="flat" cmpd="sng" algn="ctr">
            <a:solidFill>
              <a:schemeClr val="dk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fr-FR"/>
          </a:p>
        </c:txPr>
        <c:crossAx val="1034959200"/>
        <c:crosses val="autoZero"/>
        <c:crossBetween val="between"/>
      </c:valAx>
    </c:plotArea>
    <c:legend>
      <c:legendPos val="b"/>
      <c:layout>
        <c:manualLayout>
          <c:xMode val="edge"/>
          <c:yMode val="edge"/>
          <c:x val="0.31009456660238899"/>
          <c:y val="0.90376814710435904"/>
          <c:w val="0.51197672938803362"/>
          <c:h val="6.111945705197265E-2"/>
        </c:manualLayout>
      </c:layout>
      <c:overlay val="0"/>
      <c:spPr>
        <a:noFill/>
        <a:ln>
          <a:noFill/>
          <a:prstDash val="solid"/>
        </a:ln>
      </c:spPr>
      <c:txPr>
        <a:bodyPr rot="0" spcFirstLastPara="1" vertOverflow="ellipsis" vert="horz" wrap="square" anchor="ctr" anchorCtr="1"/>
        <a:lstStyle/>
        <a:p>
          <a:pPr>
            <a:defRPr sz="20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a:t>Char Depth</a:t>
            </a:r>
          </a:p>
        </c:rich>
      </c:tx>
      <c:overlay val="0"/>
      <c:spPr>
        <a:noFill/>
        <a:ln>
          <a:noFill/>
          <a:prstDash val="solid"/>
        </a:ln>
      </c:spPr>
    </c:title>
    <c:autoTitleDeleted val="0"/>
    <c:plotArea>
      <c:layout/>
      <c:barChart>
        <c:barDir val="col"/>
        <c:grouping val="clustered"/>
        <c:varyColors val="0"/>
        <c:ser>
          <c:idx val="0"/>
          <c:order val="0"/>
          <c:tx>
            <c:strRef>
              <c:f>'Char Depth Graph'!$B$78:$D$78</c:f>
              <c:strCache>
                <c:ptCount val="1"/>
                <c:pt idx="0">
                  <c:v>Wall Exp.</c:v>
                </c:pt>
              </c:strCache>
            </c:strRef>
          </c:tx>
          <c:spPr>
            <a:pattFill prst="pct5">
              <a:fgClr>
                <a:schemeClr val="accent1"/>
              </a:fgClr>
              <a:bgClr>
                <a:schemeClr val="bg1"/>
              </a:bgClr>
            </a:pattFill>
            <a:ln>
              <a:solidFill>
                <a:srgbClr val="0070C0"/>
              </a:solidFill>
              <a:prstDash val="solid"/>
            </a:ln>
          </c:spPr>
          <c:invertIfNegative val="0"/>
          <c:errBars>
            <c:errBarType val="both"/>
            <c:errValType val="cust"/>
            <c:noEndCap val="0"/>
            <c:plus>
              <c:numRef>
                <c:f>('Char Depth Graph'!$D$116:$D$120,'Char Depth Graph'!$D$94,'Char Depth Graph'!$D$96,'Char Depth Graph'!$D$97,'Char Depth Graph'!$D$89:$D$92,'Char Depth Graph'!$D$84:$D$86)</c:f>
                <c:numCache>
                  <c:formatCode>General</c:formatCode>
                  <c:ptCount val="15"/>
                  <c:pt idx="0">
                    <c:v>0</c:v>
                  </c:pt>
                  <c:pt idx="1">
                    <c:v>25.291666666666664</c:v>
                  </c:pt>
                  <c:pt idx="2">
                    <c:v>34.125</c:v>
                  </c:pt>
                  <c:pt idx="3">
                    <c:v>56.096153846153847</c:v>
                  </c:pt>
                  <c:pt idx="4">
                    <c:v>29.574074074074076</c:v>
                  </c:pt>
                  <c:pt idx="5">
                    <c:v>26.6875</c:v>
                  </c:pt>
                  <c:pt idx="6">
                    <c:v>19.274999999999999</c:v>
                  </c:pt>
                  <c:pt idx="7">
                    <c:v>20.375</c:v>
                  </c:pt>
                  <c:pt idx="8">
                    <c:v>7.5</c:v>
                  </c:pt>
                  <c:pt idx="9">
                    <c:v>0</c:v>
                  </c:pt>
                  <c:pt idx="10">
                    <c:v>9.71875</c:v>
                  </c:pt>
                  <c:pt idx="11">
                    <c:v>20.46875</c:v>
                  </c:pt>
                  <c:pt idx="12">
                    <c:v>5.5</c:v>
                  </c:pt>
                  <c:pt idx="13">
                    <c:v>4</c:v>
                  </c:pt>
                  <c:pt idx="14">
                    <c:v>10.75</c:v>
                  </c:pt>
                </c:numCache>
              </c:numRef>
            </c:plus>
            <c:minus>
              <c:numRef>
                <c:f>('Char Depth Graph'!$C$116:$C$120,'Char Depth Graph'!$C$94,'Char Depth Graph'!$C$96,'Char Depth Graph'!$C$97,'Char Depth Graph'!$C$89:$C$92,'Char Depth Graph'!$C$84:$C$86)</c:f>
                <c:numCache>
                  <c:formatCode>General</c:formatCode>
                  <c:ptCount val="15"/>
                  <c:pt idx="0">
                    <c:v>0</c:v>
                  </c:pt>
                  <c:pt idx="1">
                    <c:v>24.708333333333336</c:v>
                  </c:pt>
                  <c:pt idx="2">
                    <c:v>34.875</c:v>
                  </c:pt>
                  <c:pt idx="3">
                    <c:v>19.903846153846153</c:v>
                  </c:pt>
                  <c:pt idx="4">
                    <c:v>32.425925925925924</c:v>
                  </c:pt>
                  <c:pt idx="5">
                    <c:v>18.3125</c:v>
                  </c:pt>
                  <c:pt idx="6">
                    <c:v>0</c:v>
                  </c:pt>
                  <c:pt idx="7">
                    <c:v>7.625</c:v>
                  </c:pt>
                  <c:pt idx="8">
                    <c:v>7.5</c:v>
                  </c:pt>
                  <c:pt idx="9">
                    <c:v>0</c:v>
                  </c:pt>
                  <c:pt idx="10">
                    <c:v>29.28125</c:v>
                  </c:pt>
                  <c:pt idx="11">
                    <c:v>34.53125</c:v>
                  </c:pt>
                  <c:pt idx="12">
                    <c:v>3.5</c:v>
                  </c:pt>
                  <c:pt idx="13">
                    <c:v>2</c:v>
                  </c:pt>
                  <c:pt idx="14">
                    <c:v>12.25</c:v>
                  </c:pt>
                </c:numCache>
              </c:numRef>
            </c:minus>
            <c:spPr>
              <a:noFill/>
              <a:ln w="12700">
                <a:solidFill>
                  <a:srgbClr val="0070C0"/>
                </a:solidFill>
                <a:prstDash val="solid"/>
                <a:round/>
              </a:ln>
            </c:spPr>
          </c:errBars>
          <c:cat>
            <c:strRef>
              <c:f>('Char Depth Graph'!$A$116:$A$120,'Char Depth Graph'!$A$94,'Char Depth Graph'!$A$96,'Char Depth Graph'!$A$97,'Char Depth Graph'!$A$89:$A$92,'Char Depth Graph'!$A$84:$A$86)</c:f>
              <c:strCache>
                <c:ptCount val="15"/>
                <c:pt idx="0">
                  <c:v>RISE_1</c:v>
                </c:pt>
                <c:pt idx="1">
                  <c:v>RISE_2</c:v>
                </c:pt>
                <c:pt idx="2">
                  <c:v>RISE_3</c:v>
                </c:pt>
                <c:pt idx="3">
                  <c:v>RISE_4</c:v>
                </c:pt>
                <c:pt idx="4">
                  <c:v>RISE_5</c:v>
                </c:pt>
                <c:pt idx="5">
                  <c:v>NRCC_Room_2</c:v>
                </c:pt>
                <c:pt idx="6">
                  <c:v>NRCC_Room_4</c:v>
                </c:pt>
                <c:pt idx="7">
                  <c:v>NRCC_Room_5</c:v>
                </c:pt>
                <c:pt idx="8">
                  <c:v>NRCC&amp;NIST_3</c:v>
                </c:pt>
                <c:pt idx="9">
                  <c:v>NRCC&amp;NIST_4</c:v>
                </c:pt>
                <c:pt idx="10">
                  <c:v>NRCC&amp;NIST_5</c:v>
                </c:pt>
                <c:pt idx="11">
                  <c:v>NRCC&amp;NIST_6</c:v>
                </c:pt>
                <c:pt idx="12">
                  <c:v>Medina_1</c:v>
                </c:pt>
                <c:pt idx="13">
                  <c:v>Medina_2</c:v>
                </c:pt>
                <c:pt idx="14">
                  <c:v>Medina_3</c:v>
                </c:pt>
              </c:strCache>
            </c:strRef>
          </c:cat>
          <c:val>
            <c:numRef>
              <c:f>('Char Depth Graph'!$B$116:$B$120,'Char Depth Graph'!$B$94,'Char Depth Graph'!$B$96,'Char Depth Graph'!$B$97,'Char Depth Graph'!$B$89:$B$92,'Char Depth Graph'!$B$84:$B$86)</c:f>
              <c:numCache>
                <c:formatCode>0</c:formatCode>
                <c:ptCount val="15"/>
                <c:pt idx="0">
                  <c:v>0</c:v>
                </c:pt>
                <c:pt idx="1">
                  <c:v>60.708333333333336</c:v>
                </c:pt>
                <c:pt idx="2">
                  <c:v>69.875</c:v>
                </c:pt>
                <c:pt idx="3">
                  <c:v>47.903846153846153</c:v>
                </c:pt>
                <c:pt idx="4">
                  <c:v>65.425925925925924</c:v>
                </c:pt>
                <c:pt idx="5">
                  <c:v>68.3125</c:v>
                </c:pt>
                <c:pt idx="6">
                  <c:v>25.725000000000001</c:v>
                </c:pt>
                <c:pt idx="7">
                  <c:v>88.625</c:v>
                </c:pt>
                <c:pt idx="8">
                  <c:v>27.5</c:v>
                </c:pt>
                <c:pt idx="9">
                  <c:v>0</c:v>
                </c:pt>
                <c:pt idx="10">
                  <c:v>131.28125</c:v>
                </c:pt>
                <c:pt idx="11">
                  <c:v>122.53125</c:v>
                </c:pt>
                <c:pt idx="12">
                  <c:v>74.5</c:v>
                </c:pt>
                <c:pt idx="13">
                  <c:v>56</c:v>
                </c:pt>
                <c:pt idx="14">
                  <c:v>33.25</c:v>
                </c:pt>
              </c:numCache>
            </c:numRef>
          </c:val>
          <c:extLst>
            <c:ext xmlns:c16="http://schemas.microsoft.com/office/drawing/2014/chart" uri="{C3380CC4-5D6E-409C-BE32-E72D297353CC}">
              <c16:uniqueId val="{00000000-D65F-4D21-9E51-FFBF0E6A0575}"/>
            </c:ext>
          </c:extLst>
        </c:ser>
        <c:ser>
          <c:idx val="1"/>
          <c:order val="1"/>
          <c:tx>
            <c:strRef>
              <c:f>'Char Depth Graph'!$E$78:$G$78</c:f>
              <c:strCache>
                <c:ptCount val="1"/>
                <c:pt idx="0">
                  <c:v>Wall Model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070C0"/>
              </a:solidFill>
              <a:prstDash val="solid"/>
            </a:ln>
          </c:spPr>
          <c:invertIfNegative val="0"/>
          <c:errBars>
            <c:errBarType val="both"/>
            <c:errValType val="cust"/>
            <c:noEndCap val="0"/>
            <c:plus>
              <c:numRef>
                <c:f>('Char Depth Graph'!$G$116:$G$120,'Char Depth Graph'!$G$94,'Char Depth Graph'!$G$96:$G$97,'Char Depth Graph'!$G$89:$G$92,'Char Depth Graph'!$G$84:$G$86)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('Char Depth Graph'!$F$116:$F$120,'Char Depth Graph'!$F$94,'Char Depth Graph'!$F$96:$F$97,'Char Depth Graph'!$F$89:$F$92,'Char Depth Graph'!$F$84:$F$86)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spPr>
              <a:noFill/>
              <a:ln w="9525">
                <a:solidFill>
                  <a:srgbClr val="0070C0"/>
                </a:solidFill>
                <a:prstDash val="solid"/>
                <a:round/>
              </a:ln>
            </c:spPr>
          </c:errBars>
          <c:cat>
            <c:strRef>
              <c:f>('Char Depth Graph'!$A$116:$A$120,'Char Depth Graph'!$A$94,'Char Depth Graph'!$A$96,'Char Depth Graph'!$A$97,'Char Depth Graph'!$A$89:$A$92,'Char Depth Graph'!$A$84:$A$86)</c:f>
              <c:strCache>
                <c:ptCount val="15"/>
                <c:pt idx="0">
                  <c:v>RISE_1</c:v>
                </c:pt>
                <c:pt idx="1">
                  <c:v>RISE_2</c:v>
                </c:pt>
                <c:pt idx="2">
                  <c:v>RISE_3</c:v>
                </c:pt>
                <c:pt idx="3">
                  <c:v>RISE_4</c:v>
                </c:pt>
                <c:pt idx="4">
                  <c:v>RISE_5</c:v>
                </c:pt>
                <c:pt idx="5">
                  <c:v>NRCC_Room_2</c:v>
                </c:pt>
                <c:pt idx="6">
                  <c:v>NRCC_Room_4</c:v>
                </c:pt>
                <c:pt idx="7">
                  <c:v>NRCC_Room_5</c:v>
                </c:pt>
                <c:pt idx="8">
                  <c:v>NRCC&amp;NIST_3</c:v>
                </c:pt>
                <c:pt idx="9">
                  <c:v>NRCC&amp;NIST_4</c:v>
                </c:pt>
                <c:pt idx="10">
                  <c:v>NRCC&amp;NIST_5</c:v>
                </c:pt>
                <c:pt idx="11">
                  <c:v>NRCC&amp;NIST_6</c:v>
                </c:pt>
                <c:pt idx="12">
                  <c:v>Medina_1</c:v>
                </c:pt>
                <c:pt idx="13">
                  <c:v>Medina_2</c:v>
                </c:pt>
                <c:pt idx="14">
                  <c:v>Medina_3</c:v>
                </c:pt>
              </c:strCache>
            </c:strRef>
          </c:cat>
          <c:val>
            <c:numRef>
              <c:f>('Char Depth Graph'!$E$116:$E$120,'Char Depth Graph'!$E$94,'Char Depth Graph'!$E$96,'Char Depth Graph'!$E$97,'Char Depth Graph'!$E$89:$E$92,'Char Depth Graph'!$E$84:$E$86)</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D65F-4D21-9E51-FFBF0E6A0575}"/>
            </c:ext>
          </c:extLst>
        </c:ser>
        <c:ser>
          <c:idx val="2"/>
          <c:order val="2"/>
          <c:tx>
            <c:strRef>
              <c:f>'Char Depth Graph'!$H$78:$J$78</c:f>
              <c:strCache>
                <c:ptCount val="1"/>
                <c:pt idx="0">
                  <c:v>Ceiling Exp.</c:v>
                </c:pt>
              </c:strCache>
            </c:strRef>
          </c:tx>
          <c:spPr>
            <a:pattFill prst="dkHorz">
              <a:fgClr>
                <a:srgbClr val="FFC000"/>
              </a:fgClr>
              <a:bgClr>
                <a:schemeClr val="bg1"/>
              </a:bgClr>
            </a:pattFill>
            <a:ln>
              <a:solidFill>
                <a:srgbClr val="FFC000"/>
              </a:solidFill>
              <a:prstDash val="solid"/>
            </a:ln>
          </c:spPr>
          <c:invertIfNegative val="0"/>
          <c:errBars>
            <c:errBarType val="both"/>
            <c:errValType val="cust"/>
            <c:noEndCap val="0"/>
            <c:plus>
              <c:numRef>
                <c:f>('Char Depth Graph'!$J$116:$J$120,'Char Depth Graph'!$J$94,'Char Depth Graph'!$J$96,'Char Depth Graph'!$J$97,'Char Depth Graph'!$J$89:$J$92,'Char Depth Graph'!$J$84:$J$86)</c:f>
                <c:numCache>
                  <c:formatCode>General</c:formatCode>
                  <c:ptCount val="15"/>
                  <c:pt idx="0">
                    <c:v>9.6666666666666643</c:v>
                  </c:pt>
                  <c:pt idx="1">
                    <c:v>13.875</c:v>
                  </c:pt>
                  <c:pt idx="2">
                    <c:v>11.4375</c:v>
                  </c:pt>
                  <c:pt idx="3">
                    <c:v>17.1875</c:v>
                  </c:pt>
                  <c:pt idx="4">
                    <c:v>22.6875</c:v>
                  </c:pt>
                  <c:pt idx="5">
                    <c:v>10.5</c:v>
                  </c:pt>
                  <c:pt idx="6">
                    <c:v>11.9375</c:v>
                  </c:pt>
                  <c:pt idx="7">
                    <c:v>12.5</c:v>
                  </c:pt>
                  <c:pt idx="8">
                    <c:v>0</c:v>
                  </c:pt>
                  <c:pt idx="9">
                    <c:v>11.375</c:v>
                  </c:pt>
                  <c:pt idx="10">
                    <c:v>17.71875</c:v>
                  </c:pt>
                  <c:pt idx="11">
                    <c:v>26.483870967741936</c:v>
                  </c:pt>
                  <c:pt idx="12">
                    <c:v>4</c:v>
                  </c:pt>
                  <c:pt idx="13">
                    <c:v>0.5</c:v>
                  </c:pt>
                  <c:pt idx="14">
                    <c:v>0</c:v>
                  </c:pt>
                </c:numCache>
              </c:numRef>
            </c:plus>
            <c:minus>
              <c:numRef>
                <c:f>'Char Depth Graph'!$I$116:$I$120</c:f>
                <c:numCache>
                  <c:formatCode>General</c:formatCode>
                  <c:ptCount val="5"/>
                  <c:pt idx="0">
                    <c:v>10.333333333333336</c:v>
                  </c:pt>
                  <c:pt idx="1">
                    <c:v>10.125</c:v>
                  </c:pt>
                  <c:pt idx="2">
                    <c:v>6.5625</c:v>
                  </c:pt>
                  <c:pt idx="3">
                    <c:v>14.8125</c:v>
                  </c:pt>
                  <c:pt idx="4">
                    <c:v>13.3125</c:v>
                  </c:pt>
                </c:numCache>
              </c:numRef>
            </c:minus>
            <c:spPr>
              <a:noFill/>
              <a:ln w="9525">
                <a:solidFill>
                  <a:srgbClr val="FFC000"/>
                </a:solidFill>
                <a:prstDash val="solid"/>
                <a:round/>
              </a:ln>
            </c:spPr>
          </c:errBars>
          <c:cat>
            <c:strRef>
              <c:f>('Char Depth Graph'!$A$116:$A$120,'Char Depth Graph'!$A$94,'Char Depth Graph'!$A$96,'Char Depth Graph'!$A$97,'Char Depth Graph'!$A$89:$A$92,'Char Depth Graph'!$A$84:$A$86)</c:f>
              <c:strCache>
                <c:ptCount val="15"/>
                <c:pt idx="0">
                  <c:v>RISE_1</c:v>
                </c:pt>
                <c:pt idx="1">
                  <c:v>RISE_2</c:v>
                </c:pt>
                <c:pt idx="2">
                  <c:v>RISE_3</c:v>
                </c:pt>
                <c:pt idx="3">
                  <c:v>RISE_4</c:v>
                </c:pt>
                <c:pt idx="4">
                  <c:v>RISE_5</c:v>
                </c:pt>
                <c:pt idx="5">
                  <c:v>NRCC_Room_2</c:v>
                </c:pt>
                <c:pt idx="6">
                  <c:v>NRCC_Room_4</c:v>
                </c:pt>
                <c:pt idx="7">
                  <c:v>NRCC_Room_5</c:v>
                </c:pt>
                <c:pt idx="8">
                  <c:v>NRCC&amp;NIST_3</c:v>
                </c:pt>
                <c:pt idx="9">
                  <c:v>NRCC&amp;NIST_4</c:v>
                </c:pt>
                <c:pt idx="10">
                  <c:v>NRCC&amp;NIST_5</c:v>
                </c:pt>
                <c:pt idx="11">
                  <c:v>NRCC&amp;NIST_6</c:v>
                </c:pt>
                <c:pt idx="12">
                  <c:v>Medina_1</c:v>
                </c:pt>
                <c:pt idx="13">
                  <c:v>Medina_2</c:v>
                </c:pt>
                <c:pt idx="14">
                  <c:v>Medina_3</c:v>
                </c:pt>
              </c:strCache>
            </c:strRef>
          </c:cat>
          <c:val>
            <c:numRef>
              <c:f>('Char Depth Graph'!$H$116:$H$120,'Char Depth Graph'!$H$94,'Char Depth Graph'!$H$96,'Char Depth Graph'!$H$97,'Char Depth Graph'!$H$89:$H$92,'Char Depth Graph'!$H$84:$H$86)</c:f>
              <c:numCache>
                <c:formatCode>0</c:formatCode>
                <c:ptCount val="15"/>
                <c:pt idx="0">
                  <c:v>35.333333333333336</c:v>
                </c:pt>
                <c:pt idx="1">
                  <c:v>43.125</c:v>
                </c:pt>
                <c:pt idx="2">
                  <c:v>46.5625</c:v>
                </c:pt>
                <c:pt idx="3">
                  <c:v>27.8125</c:v>
                </c:pt>
                <c:pt idx="4">
                  <c:v>50.3125</c:v>
                </c:pt>
                <c:pt idx="5">
                  <c:v>52.5</c:v>
                </c:pt>
                <c:pt idx="6">
                  <c:v>54.0625</c:v>
                </c:pt>
                <c:pt idx="7">
                  <c:v>77.5</c:v>
                </c:pt>
                <c:pt idx="8">
                  <c:v>0</c:v>
                </c:pt>
                <c:pt idx="9">
                  <c:v>78.625</c:v>
                </c:pt>
                <c:pt idx="10">
                  <c:v>61.28125</c:v>
                </c:pt>
                <c:pt idx="11">
                  <c:v>127.51612903225806</c:v>
                </c:pt>
                <c:pt idx="12">
                  <c:v>37</c:v>
                </c:pt>
                <c:pt idx="13">
                  <c:v>11.5</c:v>
                </c:pt>
                <c:pt idx="14">
                  <c:v>0</c:v>
                </c:pt>
              </c:numCache>
            </c:numRef>
          </c:val>
          <c:extLst>
            <c:ext xmlns:c16="http://schemas.microsoft.com/office/drawing/2014/chart" uri="{C3380CC4-5D6E-409C-BE32-E72D297353CC}">
              <c16:uniqueId val="{00000002-D65F-4D21-9E51-FFBF0E6A0575}"/>
            </c:ext>
          </c:extLst>
        </c:ser>
        <c:ser>
          <c:idx val="3"/>
          <c:order val="3"/>
          <c:tx>
            <c:strRef>
              <c:f>'Char Depth Graph'!$K$78:$M$78</c:f>
              <c:strCache>
                <c:ptCount val="1"/>
                <c:pt idx="0">
                  <c:v>Ceiling Model</c:v>
                </c:pt>
              </c:strCache>
            </c:strRef>
          </c:tx>
          <c:spPr>
            <a:gradFill>
              <a:gsLst>
                <a:gs pos="77000">
                  <a:schemeClr val="accent4"/>
                </a:gs>
                <a:gs pos="0">
                  <a:schemeClr val="accent4">
                    <a:lumMod val="20000"/>
                    <a:lumOff val="80000"/>
                  </a:schemeClr>
                </a:gs>
                <a:gs pos="100000">
                  <a:schemeClr val="accent4">
                    <a:lumMod val="40000"/>
                    <a:lumOff val="60000"/>
                  </a:schemeClr>
                </a:gs>
              </a:gsLst>
              <a:lin ang="5400000" scaled="1"/>
            </a:gradFill>
            <a:ln>
              <a:solidFill>
                <a:srgbClr val="FFC000"/>
              </a:solidFill>
              <a:prstDash val="solid"/>
            </a:ln>
          </c:spPr>
          <c:invertIfNegative val="0"/>
          <c:errBars>
            <c:errBarType val="both"/>
            <c:errValType val="cust"/>
            <c:noEndCap val="0"/>
            <c:plus>
              <c:numRef>
                <c:f>'Char Depth Graph'!$M$116:$M$120</c:f>
                <c:numCache>
                  <c:formatCode>General</c:formatCode>
                  <c:ptCount val="5"/>
                  <c:pt idx="0">
                    <c:v>0</c:v>
                  </c:pt>
                  <c:pt idx="1">
                    <c:v>0</c:v>
                  </c:pt>
                  <c:pt idx="2">
                    <c:v>0</c:v>
                  </c:pt>
                  <c:pt idx="3">
                    <c:v>0</c:v>
                  </c:pt>
                  <c:pt idx="4">
                    <c:v>0</c:v>
                  </c:pt>
                </c:numCache>
              </c:numRef>
            </c:plus>
            <c:minus>
              <c:numRef>
                <c:f>'Char Depth Graph'!$L$116:$L$120</c:f>
                <c:numCache>
                  <c:formatCode>General</c:formatCode>
                  <c:ptCount val="5"/>
                  <c:pt idx="0">
                    <c:v>0</c:v>
                  </c:pt>
                  <c:pt idx="1">
                    <c:v>0</c:v>
                  </c:pt>
                  <c:pt idx="2">
                    <c:v>0</c:v>
                  </c:pt>
                  <c:pt idx="3">
                    <c:v>0</c:v>
                  </c:pt>
                  <c:pt idx="4">
                    <c:v>0</c:v>
                  </c:pt>
                </c:numCache>
              </c:numRef>
            </c:minus>
            <c:spPr>
              <a:noFill/>
              <a:ln w="9525">
                <a:solidFill>
                  <a:srgbClr val="FFC000"/>
                </a:solidFill>
                <a:prstDash val="solid"/>
                <a:round/>
              </a:ln>
            </c:spPr>
          </c:errBars>
          <c:cat>
            <c:strRef>
              <c:f>('Char Depth Graph'!$A$116:$A$120,'Char Depth Graph'!$A$94,'Char Depth Graph'!$A$96,'Char Depth Graph'!$A$97,'Char Depth Graph'!$A$89:$A$92,'Char Depth Graph'!$A$84:$A$86)</c:f>
              <c:strCache>
                <c:ptCount val="15"/>
                <c:pt idx="0">
                  <c:v>RISE_1</c:v>
                </c:pt>
                <c:pt idx="1">
                  <c:v>RISE_2</c:v>
                </c:pt>
                <c:pt idx="2">
                  <c:v>RISE_3</c:v>
                </c:pt>
                <c:pt idx="3">
                  <c:v>RISE_4</c:v>
                </c:pt>
                <c:pt idx="4">
                  <c:v>RISE_5</c:v>
                </c:pt>
                <c:pt idx="5">
                  <c:v>NRCC_Room_2</c:v>
                </c:pt>
                <c:pt idx="6">
                  <c:v>NRCC_Room_4</c:v>
                </c:pt>
                <c:pt idx="7">
                  <c:v>NRCC_Room_5</c:v>
                </c:pt>
                <c:pt idx="8">
                  <c:v>NRCC&amp;NIST_3</c:v>
                </c:pt>
                <c:pt idx="9">
                  <c:v>NRCC&amp;NIST_4</c:v>
                </c:pt>
                <c:pt idx="10">
                  <c:v>NRCC&amp;NIST_5</c:v>
                </c:pt>
                <c:pt idx="11">
                  <c:v>NRCC&amp;NIST_6</c:v>
                </c:pt>
                <c:pt idx="12">
                  <c:v>Medina_1</c:v>
                </c:pt>
                <c:pt idx="13">
                  <c:v>Medina_2</c:v>
                </c:pt>
                <c:pt idx="14">
                  <c:v>Medina_3</c:v>
                </c:pt>
              </c:strCache>
            </c:strRef>
          </c:cat>
          <c:val>
            <c:numRef>
              <c:f>('Char Depth Graph'!$K$116:$K$120,'Char Depth Graph'!$K$94,'Char Depth Graph'!$K$96,'Char Depth Graph'!$K$97,'Char Depth Graph'!$K$89:$K$92,'Char Depth Graph'!$K$84:$K$86)</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D65F-4D21-9E51-FFBF0E6A0575}"/>
            </c:ext>
          </c:extLst>
        </c:ser>
        <c:ser>
          <c:idx val="4"/>
          <c:order val="4"/>
          <c:tx>
            <c:strRef>
              <c:f>'Char Depth Graph'!$N$78:$P$78</c:f>
              <c:strCache>
                <c:ptCount val="1"/>
                <c:pt idx="0">
                  <c:v>Beam Exp.</c:v>
                </c:pt>
              </c:strCache>
            </c:strRef>
          </c:tx>
          <c:spPr>
            <a:pattFill prst="dkVert">
              <a:fgClr>
                <a:schemeClr val="accent6"/>
              </a:fgClr>
              <a:bgClr>
                <a:schemeClr val="bg1"/>
              </a:bgClr>
            </a:pattFill>
            <a:ln>
              <a:solidFill>
                <a:schemeClr val="accent6"/>
              </a:solidFill>
              <a:prstDash val="solid"/>
            </a:ln>
          </c:spPr>
          <c:invertIfNegative val="0"/>
          <c:errBars>
            <c:errBarType val="both"/>
            <c:errValType val="cust"/>
            <c:noEndCap val="0"/>
            <c:plus>
              <c:numRef>
                <c:f>('Char Depth Graph'!$P$116:$P$120,'Char Depth Graph'!$P$94,'Char Depth Graph'!$P$96,'Char Depth Graph'!$P$97,'Char Depth Graph'!$P$89:$P$92,'Char Depth Graph'!$P$84:$P$86)</c:f>
                <c:numCache>
                  <c:formatCode>General</c:formatCode>
                  <c:ptCount val="15"/>
                  <c:pt idx="0">
                    <c:v>33</c:v>
                  </c:pt>
                  <c:pt idx="1">
                    <c:v>24</c:v>
                  </c:pt>
                  <c:pt idx="2">
                    <c:v>24</c:v>
                  </c:pt>
                  <c:pt idx="3">
                    <c:v>16</c:v>
                  </c:pt>
                  <c:pt idx="4">
                    <c:v>21</c:v>
                  </c:pt>
                  <c:pt idx="5">
                    <c:v>0</c:v>
                  </c:pt>
                  <c:pt idx="6">
                    <c:v>3.8499999999999943</c:v>
                  </c:pt>
                  <c:pt idx="7">
                    <c:v>0</c:v>
                  </c:pt>
                  <c:pt idx="8">
                    <c:v>0</c:v>
                  </c:pt>
                  <c:pt idx="9">
                    <c:v>0</c:v>
                  </c:pt>
                  <c:pt idx="10">
                    <c:v>0</c:v>
                  </c:pt>
                  <c:pt idx="11">
                    <c:v>0</c:v>
                  </c:pt>
                  <c:pt idx="12">
                    <c:v>0</c:v>
                  </c:pt>
                  <c:pt idx="13">
                    <c:v>0</c:v>
                  </c:pt>
                  <c:pt idx="14">
                    <c:v>0</c:v>
                  </c:pt>
                </c:numCache>
              </c:numRef>
            </c:plus>
            <c:minus>
              <c:numRef>
                <c:f>('Char Depth Graph'!$O$116:$O$120,'Char Depth Graph'!$O$94,'Char Depth Graph'!$O$96,'Char Depth Graph'!$O$97,'Char Depth Graph'!$O$89:$O$92,'Char Depth Graph'!$O$84:$O$86)</c:f>
                <c:numCache>
                  <c:formatCode>General</c:formatCode>
                  <c:ptCount val="15"/>
                  <c:pt idx="0">
                    <c:v>31.9</c:v>
                  </c:pt>
                  <c:pt idx="1">
                    <c:v>36</c:v>
                  </c:pt>
                  <c:pt idx="2">
                    <c:v>31</c:v>
                  </c:pt>
                  <c:pt idx="3">
                    <c:v>20.666666666666668</c:v>
                  </c:pt>
                  <c:pt idx="4">
                    <c:v>39</c:v>
                  </c:pt>
                  <c:pt idx="5">
                    <c:v>0</c:v>
                  </c:pt>
                  <c:pt idx="6">
                    <c:v>9.1500000000000057</c:v>
                  </c:pt>
                  <c:pt idx="7">
                    <c:v>0</c:v>
                  </c:pt>
                  <c:pt idx="8">
                    <c:v>0</c:v>
                  </c:pt>
                  <c:pt idx="9">
                    <c:v>0</c:v>
                  </c:pt>
                  <c:pt idx="10">
                    <c:v>0</c:v>
                  </c:pt>
                  <c:pt idx="11">
                    <c:v>0</c:v>
                  </c:pt>
                  <c:pt idx="12">
                    <c:v>0</c:v>
                  </c:pt>
                  <c:pt idx="13">
                    <c:v>0</c:v>
                  </c:pt>
                  <c:pt idx="14">
                    <c:v>0</c:v>
                  </c:pt>
                </c:numCache>
              </c:numRef>
            </c:minus>
          </c:errBars>
          <c:cat>
            <c:strRef>
              <c:f>('Char Depth Graph'!$A$116:$A$120,'Char Depth Graph'!$A$94,'Char Depth Graph'!$A$96,'Char Depth Graph'!$A$97,'Char Depth Graph'!$A$89:$A$92,'Char Depth Graph'!$A$84:$A$86)</c:f>
              <c:strCache>
                <c:ptCount val="15"/>
                <c:pt idx="0">
                  <c:v>RISE_1</c:v>
                </c:pt>
                <c:pt idx="1">
                  <c:v>RISE_2</c:v>
                </c:pt>
                <c:pt idx="2">
                  <c:v>RISE_3</c:v>
                </c:pt>
                <c:pt idx="3">
                  <c:v>RISE_4</c:v>
                </c:pt>
                <c:pt idx="4">
                  <c:v>RISE_5</c:v>
                </c:pt>
                <c:pt idx="5">
                  <c:v>NRCC_Room_2</c:v>
                </c:pt>
                <c:pt idx="6">
                  <c:v>NRCC_Room_4</c:v>
                </c:pt>
                <c:pt idx="7">
                  <c:v>NRCC_Room_5</c:v>
                </c:pt>
                <c:pt idx="8">
                  <c:v>NRCC&amp;NIST_3</c:v>
                </c:pt>
                <c:pt idx="9">
                  <c:v>NRCC&amp;NIST_4</c:v>
                </c:pt>
                <c:pt idx="10">
                  <c:v>NRCC&amp;NIST_5</c:v>
                </c:pt>
                <c:pt idx="11">
                  <c:v>NRCC&amp;NIST_6</c:v>
                </c:pt>
                <c:pt idx="12">
                  <c:v>Medina_1</c:v>
                </c:pt>
                <c:pt idx="13">
                  <c:v>Medina_2</c:v>
                </c:pt>
                <c:pt idx="14">
                  <c:v>Medina_3</c:v>
                </c:pt>
              </c:strCache>
            </c:strRef>
          </c:cat>
          <c:val>
            <c:numRef>
              <c:f>('Char Depth Graph'!$N$116:$N$120,'Char Depth Graph'!$N$94,'Char Depth Graph'!$N$96,'Char Depth Graph'!$N$97,'Char Depth Graph'!$N$89:$N$92,'Char Depth Graph'!$N$84:$N$86)</c:f>
              <c:numCache>
                <c:formatCode>0</c:formatCode>
                <c:ptCount val="15"/>
                <c:pt idx="0">
                  <c:v>32</c:v>
                </c:pt>
                <c:pt idx="1">
                  <c:v>56</c:v>
                </c:pt>
                <c:pt idx="2">
                  <c:v>56</c:v>
                </c:pt>
                <c:pt idx="3">
                  <c:v>37.333333333333336</c:v>
                </c:pt>
                <c:pt idx="4">
                  <c:v>59</c:v>
                </c:pt>
                <c:pt idx="5">
                  <c:v>0</c:v>
                </c:pt>
                <c:pt idx="6">
                  <c:v>78.150000000000006</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D65F-4D21-9E51-FFBF0E6A0575}"/>
            </c:ext>
          </c:extLst>
        </c:ser>
        <c:ser>
          <c:idx val="5"/>
          <c:order val="5"/>
          <c:tx>
            <c:strRef>
              <c:f>'Char Depth Graph'!$Q$78:$S$78</c:f>
              <c:strCache>
                <c:ptCount val="1"/>
                <c:pt idx="0">
                  <c:v>Beam Model</c:v>
                </c:pt>
              </c:strCache>
            </c:strRef>
          </c:tx>
          <c:spPr>
            <a:gradFill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prstDash val="solid"/>
            </a:ln>
          </c:spPr>
          <c:invertIfNegative val="0"/>
          <c:errBars>
            <c:errBarType val="both"/>
            <c:errValType val="cust"/>
            <c:noEndCap val="0"/>
            <c:plus>
              <c:numRef>
                <c:f>('Char Depth Graph'!$S$116:$S$120,'Char Depth Graph'!$S$94,'Char Depth Graph'!$S$96:$S$97,'Char Depth Graph'!$S$89:$S$92,'Char Depth Graph'!$S$84:$S$86)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('Char Depth Graph'!$R$116:$R$120,'Char Depth Graph'!$R$94,'Char Depth Graph'!$R$96:$R$97,'Char Depth Graph'!$R$89:$R$92,'Char Depth Graph'!$R$84:$R$86)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strRef>
              <c:f>('Char Depth Graph'!$A$116:$A$120,'Char Depth Graph'!$A$94,'Char Depth Graph'!$A$96,'Char Depth Graph'!$A$97,'Char Depth Graph'!$A$89:$A$92,'Char Depth Graph'!$A$84:$A$86)</c:f>
              <c:strCache>
                <c:ptCount val="15"/>
                <c:pt idx="0">
                  <c:v>RISE_1</c:v>
                </c:pt>
                <c:pt idx="1">
                  <c:v>RISE_2</c:v>
                </c:pt>
                <c:pt idx="2">
                  <c:v>RISE_3</c:v>
                </c:pt>
                <c:pt idx="3">
                  <c:v>RISE_4</c:v>
                </c:pt>
                <c:pt idx="4">
                  <c:v>RISE_5</c:v>
                </c:pt>
                <c:pt idx="5">
                  <c:v>NRCC_Room_2</c:v>
                </c:pt>
                <c:pt idx="6">
                  <c:v>NRCC_Room_4</c:v>
                </c:pt>
                <c:pt idx="7">
                  <c:v>NRCC_Room_5</c:v>
                </c:pt>
                <c:pt idx="8">
                  <c:v>NRCC&amp;NIST_3</c:v>
                </c:pt>
                <c:pt idx="9">
                  <c:v>NRCC&amp;NIST_4</c:v>
                </c:pt>
                <c:pt idx="10">
                  <c:v>NRCC&amp;NIST_5</c:v>
                </c:pt>
                <c:pt idx="11">
                  <c:v>NRCC&amp;NIST_6</c:v>
                </c:pt>
                <c:pt idx="12">
                  <c:v>Medina_1</c:v>
                </c:pt>
                <c:pt idx="13">
                  <c:v>Medina_2</c:v>
                </c:pt>
                <c:pt idx="14">
                  <c:v>Medina_3</c:v>
                </c:pt>
              </c:strCache>
            </c:strRef>
          </c:cat>
          <c:val>
            <c:numRef>
              <c:f>('Char Depth Graph'!$Q$116:$Q$120,'Char Depth Graph'!$Q$94,'Char Depth Graph'!$Q$96,'Char Depth Graph'!$Q$97,'Char Depth Graph'!$Q$89:$Q$92,'Char Depth Graph'!$Q$84:$Q$86)</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D65F-4D21-9E51-FFBF0E6A0575}"/>
            </c:ext>
          </c:extLst>
        </c:ser>
        <c:dLbls>
          <c:showLegendKey val="0"/>
          <c:showVal val="0"/>
          <c:showCatName val="0"/>
          <c:showSerName val="0"/>
          <c:showPercent val="0"/>
          <c:showBubbleSize val="0"/>
        </c:dLbls>
        <c:gapWidth val="100"/>
        <c:axId val="1034959200"/>
        <c:axId val="1034960640"/>
      </c:barChart>
      <c:catAx>
        <c:axId val="103495920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1400" b="0" i="0" strike="noStrike" kern="1200" cap="all" spc="120" normalizeH="0" baseline="0">
                <a:solidFill>
                  <a:schemeClr val="tx1">
                    <a:lumMod val="65000"/>
                    <a:lumOff val="35000"/>
                  </a:schemeClr>
                </a:solidFill>
                <a:latin typeface="+mn-lt"/>
                <a:ea typeface="+mn-ea"/>
                <a:cs typeface="+mn-cs"/>
              </a:defRPr>
            </a:pPr>
            <a:endParaRPr lang="fr-FR"/>
          </a:p>
        </c:txPr>
        <c:crossAx val="1034960640"/>
        <c:crosses val="autoZero"/>
        <c:auto val="1"/>
        <c:lblAlgn val="ctr"/>
        <c:lblOffset val="100"/>
        <c:tickMarkSkip val="1"/>
        <c:noMultiLvlLbl val="0"/>
      </c:catAx>
      <c:valAx>
        <c:axId val="10349606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cross"/>
        <c:minorTickMark val="none"/>
        <c:tickLblPos val="nextTo"/>
        <c:spPr>
          <a:noFill/>
          <a:ln w="9525" cap="flat" cmpd="sng" algn="ctr">
            <a:solidFill>
              <a:schemeClr val="dk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fr-FR"/>
          </a:p>
        </c:txPr>
        <c:crossAx val="1034959200"/>
        <c:crosses val="autoZero"/>
        <c:crossBetween val="between"/>
        <c:majorUnit val="10"/>
      </c:valAx>
    </c:plotArea>
    <c:legend>
      <c:legendPos val="r"/>
      <c:overlay val="0"/>
      <c:spPr>
        <a:noFill/>
        <a:ln>
          <a:noFill/>
          <a:prstDash val="solid"/>
        </a:ln>
      </c:spPr>
      <c:txPr>
        <a:bodyPr rot="0" spcFirstLastPara="1" vertOverflow="ellipsis" vert="horz" wrap="square" anchor="ctr" anchorCtr="1"/>
        <a:lstStyle/>
        <a:p>
          <a:pPr>
            <a:defRPr sz="12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190499</xdr:rowOff>
    </xdr:from>
    <xdr:ext cx="5116285" cy="2723841"/>
    <xdr:pic>
      <xdr:nvPicPr>
        <xdr:cNvPr id="4" name="Image 3">
          <a:extLst>
            <a:ext uri="{FF2B5EF4-FFF2-40B4-BE49-F238E27FC236}">
              <a16:creationId xmlns:a16="http://schemas.microsoft.com/office/drawing/2014/main" id="{C4AC16AA-20AA-42BB-BF81-AB22BF6BFD0F}"/>
            </a:ext>
          </a:extLst>
        </xdr:cNvPr>
        <xdr:cNvPicPr>
          <a:picLocks noChangeAspect="1"/>
        </xdr:cNvPicPr>
      </xdr:nvPicPr>
      <xdr:blipFill>
        <a:blip xmlns:r="http://schemas.openxmlformats.org/officeDocument/2006/relationships" r:embed="rId1"/>
        <a:stretch>
          <a:fillRect/>
        </a:stretch>
      </xdr:blipFill>
      <xdr:spPr>
        <a:xfrm>
          <a:off x="762000" y="380999"/>
          <a:ext cx="5116285" cy="2723841"/>
        </a:xfrm>
        <a:prstGeom prst="rect">
          <a:avLst/>
        </a:prstGeom>
      </xdr:spPr>
    </xdr:pic>
    <xdr:clientData/>
  </xdr:oneCellAnchor>
  <xdr:oneCellAnchor>
    <xdr:from>
      <xdr:col>7</xdr:col>
      <xdr:colOff>695740</xdr:colOff>
      <xdr:row>1</xdr:row>
      <xdr:rowOff>0</xdr:rowOff>
    </xdr:from>
    <xdr:ext cx="1816720" cy="3061606"/>
    <xdr:pic>
      <xdr:nvPicPr>
        <xdr:cNvPr id="5" name="Image 4">
          <a:extLst>
            <a:ext uri="{FF2B5EF4-FFF2-40B4-BE49-F238E27FC236}">
              <a16:creationId xmlns:a16="http://schemas.microsoft.com/office/drawing/2014/main" id="{109B67D7-7122-4C4A-85D1-527FC8EEC1CF}"/>
            </a:ext>
          </a:extLst>
        </xdr:cNvPr>
        <xdr:cNvPicPr>
          <a:picLocks noChangeAspect="1"/>
        </xdr:cNvPicPr>
      </xdr:nvPicPr>
      <xdr:blipFill>
        <a:blip xmlns:r="http://schemas.openxmlformats.org/officeDocument/2006/relationships" r:embed="rId2"/>
        <a:stretch>
          <a:fillRect/>
        </a:stretch>
      </xdr:blipFill>
      <xdr:spPr>
        <a:xfrm>
          <a:off x="6096001" y="190500"/>
          <a:ext cx="1816720" cy="306160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146</xdr:row>
      <xdr:rowOff>33613</xdr:rowOff>
    </xdr:from>
    <xdr:to>
      <xdr:col>12</xdr:col>
      <xdr:colOff>752474</xdr:colOff>
      <xdr:row>166</xdr:row>
      <xdr:rowOff>168306</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171</xdr:row>
      <xdr:rowOff>140713</xdr:rowOff>
    </xdr:from>
    <xdr:to>
      <xdr:col>36</xdr:col>
      <xdr:colOff>311726</xdr:colOff>
      <xdr:row>204</xdr:row>
      <xdr:rowOff>123395</xdr:rowOff>
    </xdr:to>
    <xdr:graphicFrame macro="">
      <xdr:nvGraphicFramePr>
        <xdr:cNvPr id="3" name="Graphique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138472</xdr:colOff>
      <xdr:row>208</xdr:row>
      <xdr:rowOff>149678</xdr:rowOff>
    </xdr:from>
    <xdr:to>
      <xdr:col>13</xdr:col>
      <xdr:colOff>14104</xdr:colOff>
      <xdr:row>251</xdr:row>
      <xdr:rowOff>165191</xdr:rowOff>
    </xdr:to>
    <xdr:graphicFrame macro="">
      <xdr:nvGraphicFramePr>
        <xdr:cNvPr id="4" name="Graphique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201706</xdr:colOff>
      <xdr:row>250</xdr:row>
      <xdr:rowOff>56030</xdr:rowOff>
    </xdr:from>
    <xdr:to>
      <xdr:col>2</xdr:col>
      <xdr:colOff>207421</xdr:colOff>
      <xdr:row>259</xdr:row>
      <xdr:rowOff>64196</xdr:rowOff>
    </xdr:to>
    <xdr:cxnSp macro="">
      <xdr:nvCxnSpPr>
        <xdr:cNvPr id="27" name="Connecteur droit avec flèche 26">
          <a:extLst>
            <a:ext uri="{FF2B5EF4-FFF2-40B4-BE49-F238E27FC236}">
              <a16:creationId xmlns:a16="http://schemas.microsoft.com/office/drawing/2014/main" id="{51FF7E45-AE7B-421C-8EEE-98F94D67F912}"/>
            </a:ext>
          </a:extLst>
        </xdr:cNvPr>
        <xdr:cNvCxnSpPr/>
      </xdr:nvCxnSpPr>
      <xdr:spPr>
        <a:xfrm flipH="1">
          <a:off x="2218765" y="42167736"/>
          <a:ext cx="5715" cy="1722666"/>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6</xdr:col>
      <xdr:colOff>703266</xdr:colOff>
      <xdr:row>252</xdr:row>
      <xdr:rowOff>127062</xdr:rowOff>
    </xdr:from>
    <xdr:to>
      <xdr:col>6</xdr:col>
      <xdr:colOff>703266</xdr:colOff>
      <xdr:row>258</xdr:row>
      <xdr:rowOff>171421</xdr:rowOff>
    </xdr:to>
    <xdr:cxnSp macro="">
      <xdr:nvCxnSpPr>
        <xdr:cNvPr id="28" name="Connecteur droit avec flèche 27">
          <a:extLst>
            <a:ext uri="{FF2B5EF4-FFF2-40B4-BE49-F238E27FC236}">
              <a16:creationId xmlns:a16="http://schemas.microsoft.com/office/drawing/2014/main" id="{684EE83F-D4A4-4B4F-B554-346C8F3650A6}"/>
            </a:ext>
          </a:extLst>
        </xdr:cNvPr>
        <xdr:cNvCxnSpPr/>
      </xdr:nvCxnSpPr>
      <xdr:spPr>
        <a:xfrm>
          <a:off x="5768325" y="42619768"/>
          <a:ext cx="0" cy="1187359"/>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37</xdr:col>
      <xdr:colOff>159531</xdr:colOff>
      <xdr:row>178</xdr:row>
      <xdr:rowOff>142213</xdr:rowOff>
    </xdr:from>
    <xdr:to>
      <xdr:col>37</xdr:col>
      <xdr:colOff>361236</xdr:colOff>
      <xdr:row>182</xdr:row>
      <xdr:rowOff>30154</xdr:rowOff>
    </xdr:to>
    <xdr:sp macro="" textlink="">
      <xdr:nvSpPr>
        <xdr:cNvPr id="30" name="Ellipse 29">
          <a:extLst>
            <a:ext uri="{FF2B5EF4-FFF2-40B4-BE49-F238E27FC236}">
              <a16:creationId xmlns:a16="http://schemas.microsoft.com/office/drawing/2014/main" id="{AE266DF1-DE30-41A5-BFFF-04BD0F353C84}"/>
            </a:ext>
          </a:extLst>
        </xdr:cNvPr>
        <xdr:cNvSpPr/>
      </xdr:nvSpPr>
      <xdr:spPr>
        <a:xfrm>
          <a:off x="29149149" y="28537919"/>
          <a:ext cx="201705" cy="649941"/>
        </a:xfrm>
        <a:prstGeom prst="ellipse">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37</xdr:col>
      <xdr:colOff>138749</xdr:colOff>
      <xdr:row>173</xdr:row>
      <xdr:rowOff>165237</xdr:rowOff>
    </xdr:from>
    <xdr:to>
      <xdr:col>37</xdr:col>
      <xdr:colOff>340454</xdr:colOff>
      <xdr:row>177</xdr:row>
      <xdr:rowOff>53178</xdr:rowOff>
    </xdr:to>
    <xdr:sp macro="" textlink="">
      <xdr:nvSpPr>
        <xdr:cNvPr id="69" name="Ellipse 68">
          <a:extLst>
            <a:ext uri="{FF2B5EF4-FFF2-40B4-BE49-F238E27FC236}">
              <a16:creationId xmlns:a16="http://schemas.microsoft.com/office/drawing/2014/main" id="{85211DC5-D916-495C-9143-F1BE6CD01771}"/>
            </a:ext>
          </a:extLst>
        </xdr:cNvPr>
        <xdr:cNvSpPr/>
      </xdr:nvSpPr>
      <xdr:spPr>
        <a:xfrm>
          <a:off x="29128367" y="27608443"/>
          <a:ext cx="201705" cy="649941"/>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37</xdr:col>
      <xdr:colOff>155048</xdr:colOff>
      <xdr:row>183</xdr:row>
      <xdr:rowOff>137731</xdr:rowOff>
    </xdr:from>
    <xdr:to>
      <xdr:col>37</xdr:col>
      <xdr:colOff>356753</xdr:colOff>
      <xdr:row>187</xdr:row>
      <xdr:rowOff>25672</xdr:rowOff>
    </xdr:to>
    <xdr:sp macro="" textlink="">
      <xdr:nvSpPr>
        <xdr:cNvPr id="112" name="Ellipse 111">
          <a:extLst>
            <a:ext uri="{FF2B5EF4-FFF2-40B4-BE49-F238E27FC236}">
              <a16:creationId xmlns:a16="http://schemas.microsoft.com/office/drawing/2014/main" id="{A9A24BB2-91C6-4EF4-AABA-E92C83BB9135}"/>
            </a:ext>
          </a:extLst>
        </xdr:cNvPr>
        <xdr:cNvSpPr/>
      </xdr:nvSpPr>
      <xdr:spPr>
        <a:xfrm>
          <a:off x="29144666" y="29485937"/>
          <a:ext cx="201705" cy="649941"/>
        </a:xfrm>
        <a:prstGeom prst="ellipse">
          <a:avLst/>
        </a:prstGeom>
        <a:noFill/>
        <a:ln w="381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ysClr val="windowText" lastClr="000000"/>
            </a:solidFill>
          </a:endParaRPr>
        </a:p>
      </xdr:txBody>
    </xdr:sp>
    <xdr:clientData/>
  </xdr:twoCellAnchor>
  <xdr:twoCellAnchor editAs="oneCell">
    <xdr:from>
      <xdr:col>45</xdr:col>
      <xdr:colOff>0</xdr:colOff>
      <xdr:row>10</xdr:row>
      <xdr:rowOff>0</xdr:rowOff>
    </xdr:from>
    <xdr:to>
      <xdr:col>47</xdr:col>
      <xdr:colOff>627571</xdr:colOff>
      <xdr:row>24</xdr:row>
      <xdr:rowOff>85725</xdr:rowOff>
    </xdr:to>
    <xdr:pic>
      <xdr:nvPicPr>
        <xdr:cNvPr id="6" name="Image 5">
          <a:extLst>
            <a:ext uri="{FF2B5EF4-FFF2-40B4-BE49-F238E27FC236}">
              <a16:creationId xmlns:a16="http://schemas.microsoft.com/office/drawing/2014/main" id="{400FA006-D1D5-632A-E9A2-AF4E4927AAF5}"/>
            </a:ext>
          </a:extLst>
        </xdr:cNvPr>
        <xdr:cNvPicPr>
          <a:picLocks noChangeAspect="1"/>
        </xdr:cNvPicPr>
      </xdr:nvPicPr>
      <xdr:blipFill>
        <a:blip xmlns:r="http://schemas.openxmlformats.org/officeDocument/2006/relationships" r:embed="rId4"/>
        <a:stretch>
          <a:fillRect/>
        </a:stretch>
      </xdr:blipFill>
      <xdr:spPr>
        <a:xfrm>
          <a:off x="35090100" y="1933575"/>
          <a:ext cx="2151571" cy="2781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34636</xdr:colOff>
      <xdr:row>246</xdr:row>
      <xdr:rowOff>51955</xdr:rowOff>
    </xdr:from>
    <xdr:to>
      <xdr:col>14</xdr:col>
      <xdr:colOff>346363</xdr:colOff>
      <xdr:row>271</xdr:row>
      <xdr:rowOff>131303</xdr:rowOff>
    </xdr:to>
    <xdr:pic>
      <xdr:nvPicPr>
        <xdr:cNvPr id="2" name="Image 1">
          <a:extLst>
            <a:ext uri="{FF2B5EF4-FFF2-40B4-BE49-F238E27FC236}">
              <a16:creationId xmlns:a16="http://schemas.microsoft.com/office/drawing/2014/main" id="{2D7EF2C8-A60C-BCF2-2D8E-5C8565B44A5D}"/>
            </a:ext>
          </a:extLst>
        </xdr:cNvPr>
        <xdr:cNvPicPr>
          <a:picLocks noChangeAspect="1"/>
        </xdr:cNvPicPr>
      </xdr:nvPicPr>
      <xdr:blipFill>
        <a:blip xmlns:r="http://schemas.openxmlformats.org/officeDocument/2006/relationships" r:embed="rId1"/>
        <a:stretch>
          <a:fillRect/>
        </a:stretch>
      </xdr:blipFill>
      <xdr:spPr>
        <a:xfrm>
          <a:off x="1558636" y="46914955"/>
          <a:ext cx="9455727" cy="4841848"/>
        </a:xfrm>
        <a:prstGeom prst="rect">
          <a:avLst/>
        </a:prstGeom>
      </xdr:spPr>
    </xdr:pic>
    <xdr:clientData/>
  </xdr:twoCellAnchor>
  <xdr:twoCellAnchor editAs="oneCell">
    <xdr:from>
      <xdr:col>2</xdr:col>
      <xdr:colOff>0</xdr:colOff>
      <xdr:row>273</xdr:row>
      <xdr:rowOff>0</xdr:rowOff>
    </xdr:from>
    <xdr:to>
      <xdr:col>14</xdr:col>
      <xdr:colOff>399642</xdr:colOff>
      <xdr:row>296</xdr:row>
      <xdr:rowOff>86591</xdr:rowOff>
    </xdr:to>
    <xdr:pic>
      <xdr:nvPicPr>
        <xdr:cNvPr id="3" name="Image 2">
          <a:extLst>
            <a:ext uri="{FF2B5EF4-FFF2-40B4-BE49-F238E27FC236}">
              <a16:creationId xmlns:a16="http://schemas.microsoft.com/office/drawing/2014/main" id="{41486D87-43A9-C06C-CC56-DF81B42BF90E}"/>
            </a:ext>
          </a:extLst>
        </xdr:cNvPr>
        <xdr:cNvPicPr>
          <a:picLocks noChangeAspect="1"/>
        </xdr:cNvPicPr>
      </xdr:nvPicPr>
      <xdr:blipFill>
        <a:blip xmlns:r="http://schemas.openxmlformats.org/officeDocument/2006/relationships" r:embed="rId2"/>
        <a:stretch>
          <a:fillRect/>
        </a:stretch>
      </xdr:blipFill>
      <xdr:spPr>
        <a:xfrm>
          <a:off x="1524000" y="52006500"/>
          <a:ext cx="9543642" cy="4468091"/>
        </a:xfrm>
        <a:prstGeom prst="rect">
          <a:avLst/>
        </a:prstGeom>
      </xdr:spPr>
    </xdr:pic>
    <xdr:clientData/>
  </xdr:twoCellAnchor>
  <xdr:twoCellAnchor editAs="oneCell">
    <xdr:from>
      <xdr:col>2</xdr:col>
      <xdr:colOff>0</xdr:colOff>
      <xdr:row>297</xdr:row>
      <xdr:rowOff>1</xdr:rowOff>
    </xdr:from>
    <xdr:to>
      <xdr:col>14</xdr:col>
      <xdr:colOff>254430</xdr:colOff>
      <xdr:row>326</xdr:row>
      <xdr:rowOff>34637</xdr:rowOff>
    </xdr:to>
    <xdr:pic>
      <xdr:nvPicPr>
        <xdr:cNvPr id="4" name="Image 3">
          <a:extLst>
            <a:ext uri="{FF2B5EF4-FFF2-40B4-BE49-F238E27FC236}">
              <a16:creationId xmlns:a16="http://schemas.microsoft.com/office/drawing/2014/main" id="{E0F7CC72-F72C-441A-AEEF-ED83D49FD6B0}"/>
            </a:ext>
          </a:extLst>
        </xdr:cNvPr>
        <xdr:cNvPicPr>
          <a:picLocks noChangeAspect="1"/>
        </xdr:cNvPicPr>
      </xdr:nvPicPr>
      <xdr:blipFill>
        <a:blip xmlns:r="http://schemas.openxmlformats.org/officeDocument/2006/relationships" r:embed="rId3"/>
        <a:stretch>
          <a:fillRect/>
        </a:stretch>
      </xdr:blipFill>
      <xdr:spPr>
        <a:xfrm>
          <a:off x="1524000" y="56578501"/>
          <a:ext cx="9398430" cy="5559136"/>
        </a:xfrm>
        <a:prstGeom prst="rect">
          <a:avLst/>
        </a:prstGeom>
      </xdr:spPr>
    </xdr:pic>
    <xdr:clientData/>
  </xdr:twoCellAnchor>
  <xdr:twoCellAnchor editAs="oneCell">
    <xdr:from>
      <xdr:col>5</xdr:col>
      <xdr:colOff>1</xdr:colOff>
      <xdr:row>328</xdr:row>
      <xdr:rowOff>0</xdr:rowOff>
    </xdr:from>
    <xdr:to>
      <xdr:col>10</xdr:col>
      <xdr:colOff>381001</xdr:colOff>
      <xdr:row>347</xdr:row>
      <xdr:rowOff>59477</xdr:rowOff>
    </xdr:to>
    <xdr:pic>
      <xdr:nvPicPr>
        <xdr:cNvPr id="5" name="Image 4">
          <a:extLst>
            <a:ext uri="{FF2B5EF4-FFF2-40B4-BE49-F238E27FC236}">
              <a16:creationId xmlns:a16="http://schemas.microsoft.com/office/drawing/2014/main" id="{6F9C510C-14EF-AD7E-767A-9DAD8EA10491}"/>
            </a:ext>
          </a:extLst>
        </xdr:cNvPr>
        <xdr:cNvPicPr>
          <a:picLocks noChangeAspect="1"/>
        </xdr:cNvPicPr>
      </xdr:nvPicPr>
      <xdr:blipFill>
        <a:blip xmlns:r="http://schemas.openxmlformats.org/officeDocument/2006/relationships" r:embed="rId4"/>
        <a:stretch>
          <a:fillRect/>
        </a:stretch>
      </xdr:blipFill>
      <xdr:spPr>
        <a:xfrm>
          <a:off x="3810001" y="62484000"/>
          <a:ext cx="4191000" cy="3678977"/>
        </a:xfrm>
        <a:prstGeom prst="rect">
          <a:avLst/>
        </a:prstGeom>
      </xdr:spPr>
    </xdr:pic>
    <xdr:clientData/>
  </xdr:twoCellAnchor>
  <xdr:twoCellAnchor editAs="oneCell">
    <xdr:from>
      <xdr:col>4</xdr:col>
      <xdr:colOff>621196</xdr:colOff>
      <xdr:row>347</xdr:row>
      <xdr:rowOff>91109</xdr:rowOff>
    </xdr:from>
    <xdr:to>
      <xdr:col>10</xdr:col>
      <xdr:colOff>392596</xdr:colOff>
      <xdr:row>355</xdr:row>
      <xdr:rowOff>14909</xdr:rowOff>
    </xdr:to>
    <xdr:pic>
      <xdr:nvPicPr>
        <xdr:cNvPr id="6" name="Image 5">
          <a:extLst>
            <a:ext uri="{FF2B5EF4-FFF2-40B4-BE49-F238E27FC236}">
              <a16:creationId xmlns:a16="http://schemas.microsoft.com/office/drawing/2014/main" id="{BE813445-AC2B-E465-0955-EB7F80C9B769}"/>
            </a:ext>
          </a:extLst>
        </xdr:cNvPr>
        <xdr:cNvPicPr>
          <a:picLocks noChangeAspect="1"/>
        </xdr:cNvPicPr>
      </xdr:nvPicPr>
      <xdr:blipFill>
        <a:blip xmlns:r="http://schemas.openxmlformats.org/officeDocument/2006/relationships" r:embed="rId5"/>
        <a:stretch>
          <a:fillRect/>
        </a:stretch>
      </xdr:blipFill>
      <xdr:spPr>
        <a:xfrm>
          <a:off x="3669196" y="66202892"/>
          <a:ext cx="4343400" cy="1447800"/>
        </a:xfrm>
        <a:prstGeom prst="rect">
          <a:avLst/>
        </a:prstGeom>
      </xdr:spPr>
    </xdr:pic>
    <xdr:clientData/>
  </xdr:twoCellAnchor>
  <xdr:twoCellAnchor editAs="oneCell">
    <xdr:from>
      <xdr:col>11</xdr:col>
      <xdr:colOff>1</xdr:colOff>
      <xdr:row>328</xdr:row>
      <xdr:rowOff>0</xdr:rowOff>
    </xdr:from>
    <xdr:to>
      <xdr:col>15</xdr:col>
      <xdr:colOff>666751</xdr:colOff>
      <xdr:row>353</xdr:row>
      <xdr:rowOff>5192</xdr:rowOff>
    </xdr:to>
    <xdr:pic>
      <xdr:nvPicPr>
        <xdr:cNvPr id="7" name="Image 6">
          <a:extLst>
            <a:ext uri="{FF2B5EF4-FFF2-40B4-BE49-F238E27FC236}">
              <a16:creationId xmlns:a16="http://schemas.microsoft.com/office/drawing/2014/main" id="{91C69017-DDAC-D955-C7CA-AE1CCC6D902D}"/>
            </a:ext>
          </a:extLst>
        </xdr:cNvPr>
        <xdr:cNvPicPr>
          <a:picLocks noChangeAspect="1"/>
        </xdr:cNvPicPr>
      </xdr:nvPicPr>
      <xdr:blipFill>
        <a:blip xmlns:r="http://schemas.openxmlformats.org/officeDocument/2006/relationships" r:embed="rId6"/>
        <a:stretch>
          <a:fillRect/>
        </a:stretch>
      </xdr:blipFill>
      <xdr:spPr>
        <a:xfrm>
          <a:off x="8382001" y="62484000"/>
          <a:ext cx="3714750" cy="4767692"/>
        </a:xfrm>
        <a:prstGeom prst="rect">
          <a:avLst/>
        </a:prstGeom>
      </xdr:spPr>
    </xdr:pic>
    <xdr:clientData/>
  </xdr:twoCellAnchor>
  <xdr:twoCellAnchor editAs="oneCell">
    <xdr:from>
      <xdr:col>16</xdr:col>
      <xdr:colOff>0</xdr:colOff>
      <xdr:row>328</xdr:row>
      <xdr:rowOff>0</xdr:rowOff>
    </xdr:from>
    <xdr:to>
      <xdr:col>20</xdr:col>
      <xdr:colOff>552000</xdr:colOff>
      <xdr:row>353</xdr:row>
      <xdr:rowOff>128026</xdr:rowOff>
    </xdr:to>
    <xdr:pic>
      <xdr:nvPicPr>
        <xdr:cNvPr id="8" name="Image 7">
          <a:extLst>
            <a:ext uri="{FF2B5EF4-FFF2-40B4-BE49-F238E27FC236}">
              <a16:creationId xmlns:a16="http://schemas.microsoft.com/office/drawing/2014/main" id="{69F1FB6B-099B-EB86-45DC-0D6C40E46F56}"/>
            </a:ext>
          </a:extLst>
        </xdr:cNvPr>
        <xdr:cNvPicPr>
          <a:picLocks noChangeAspect="1"/>
        </xdr:cNvPicPr>
      </xdr:nvPicPr>
      <xdr:blipFill>
        <a:blip xmlns:r="http://schemas.openxmlformats.org/officeDocument/2006/relationships" r:embed="rId7"/>
        <a:stretch>
          <a:fillRect/>
        </a:stretch>
      </xdr:blipFill>
      <xdr:spPr>
        <a:xfrm>
          <a:off x="12192000" y="62497607"/>
          <a:ext cx="3600000" cy="4890526"/>
        </a:xfrm>
        <a:prstGeom prst="rect">
          <a:avLst/>
        </a:prstGeom>
      </xdr:spPr>
    </xdr:pic>
    <xdr:clientData/>
  </xdr:twoCellAnchor>
  <xdr:twoCellAnchor editAs="oneCell">
    <xdr:from>
      <xdr:col>11</xdr:col>
      <xdr:colOff>0</xdr:colOff>
      <xdr:row>354</xdr:row>
      <xdr:rowOff>0</xdr:rowOff>
    </xdr:from>
    <xdr:to>
      <xdr:col>15</xdr:col>
      <xdr:colOff>552000</xdr:colOff>
      <xdr:row>360</xdr:row>
      <xdr:rowOff>154106</xdr:rowOff>
    </xdr:to>
    <xdr:pic>
      <xdr:nvPicPr>
        <xdr:cNvPr id="9" name="Image 8">
          <a:extLst>
            <a:ext uri="{FF2B5EF4-FFF2-40B4-BE49-F238E27FC236}">
              <a16:creationId xmlns:a16="http://schemas.microsoft.com/office/drawing/2014/main" id="{ABA93C24-FB18-2EFC-35D0-9B235B76C9E8}"/>
            </a:ext>
          </a:extLst>
        </xdr:cNvPr>
        <xdr:cNvPicPr>
          <a:picLocks noChangeAspect="1"/>
        </xdr:cNvPicPr>
      </xdr:nvPicPr>
      <xdr:blipFill>
        <a:blip xmlns:r="http://schemas.openxmlformats.org/officeDocument/2006/relationships" r:embed="rId8"/>
        <a:stretch>
          <a:fillRect/>
        </a:stretch>
      </xdr:blipFill>
      <xdr:spPr>
        <a:xfrm>
          <a:off x="8382000" y="67450607"/>
          <a:ext cx="3600000" cy="12971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5</xdr:col>
      <xdr:colOff>18008</xdr:colOff>
      <xdr:row>23</xdr:row>
      <xdr:rowOff>182217</xdr:rowOff>
    </xdr:to>
    <xdr:pic>
      <xdr:nvPicPr>
        <xdr:cNvPr id="2" name="Image 1">
          <a:extLst>
            <a:ext uri="{FF2B5EF4-FFF2-40B4-BE49-F238E27FC236}">
              <a16:creationId xmlns:a16="http://schemas.microsoft.com/office/drawing/2014/main" id="{5B9974A1-A16E-4E3D-8B10-FFB7F810156E}"/>
            </a:ext>
          </a:extLst>
        </xdr:cNvPr>
        <xdr:cNvPicPr>
          <a:picLocks noChangeAspect="1"/>
        </xdr:cNvPicPr>
      </xdr:nvPicPr>
      <xdr:blipFill>
        <a:blip xmlns:r="http://schemas.openxmlformats.org/officeDocument/2006/relationships" r:embed="rId1"/>
        <a:stretch>
          <a:fillRect/>
        </a:stretch>
      </xdr:blipFill>
      <xdr:spPr>
        <a:xfrm>
          <a:off x="0" y="190501"/>
          <a:ext cx="3828008" cy="4373216"/>
        </a:xfrm>
        <a:prstGeom prst="rect">
          <a:avLst/>
        </a:prstGeom>
      </xdr:spPr>
    </xdr:pic>
    <xdr:clientData/>
  </xdr:twoCellAnchor>
  <xdr:twoCellAnchor editAs="oneCell">
    <xdr:from>
      <xdr:col>0</xdr:col>
      <xdr:colOff>82826</xdr:colOff>
      <xdr:row>26</xdr:row>
      <xdr:rowOff>157371</xdr:rowOff>
    </xdr:from>
    <xdr:to>
      <xdr:col>6</xdr:col>
      <xdr:colOff>94292</xdr:colOff>
      <xdr:row>46</xdr:row>
      <xdr:rowOff>62121</xdr:rowOff>
    </xdr:to>
    <xdr:pic>
      <xdr:nvPicPr>
        <xdr:cNvPr id="4" name="Image 3">
          <a:extLst>
            <a:ext uri="{FF2B5EF4-FFF2-40B4-BE49-F238E27FC236}">
              <a16:creationId xmlns:a16="http://schemas.microsoft.com/office/drawing/2014/main" id="{329754F9-89EE-47B8-ADAA-92EFF05862AB}"/>
            </a:ext>
          </a:extLst>
        </xdr:cNvPr>
        <xdr:cNvPicPr>
          <a:picLocks noChangeAspect="1"/>
        </xdr:cNvPicPr>
      </xdr:nvPicPr>
      <xdr:blipFill>
        <a:blip xmlns:r="http://schemas.openxmlformats.org/officeDocument/2006/relationships" r:embed="rId2"/>
        <a:stretch>
          <a:fillRect/>
        </a:stretch>
      </xdr:blipFill>
      <xdr:spPr>
        <a:xfrm>
          <a:off x="82826" y="5110371"/>
          <a:ext cx="4583466" cy="3714750"/>
        </a:xfrm>
        <a:prstGeom prst="rect">
          <a:avLst/>
        </a:prstGeom>
      </xdr:spPr>
    </xdr:pic>
    <xdr:clientData/>
  </xdr:twoCellAnchor>
  <xdr:twoCellAnchor editAs="oneCell">
    <xdr:from>
      <xdr:col>0</xdr:col>
      <xdr:colOff>0</xdr:colOff>
      <xdr:row>48</xdr:row>
      <xdr:rowOff>0</xdr:rowOff>
    </xdr:from>
    <xdr:to>
      <xdr:col>5</xdr:col>
      <xdr:colOff>265043</xdr:colOff>
      <xdr:row>65</xdr:row>
      <xdr:rowOff>42137</xdr:rowOff>
    </xdr:to>
    <xdr:pic>
      <xdr:nvPicPr>
        <xdr:cNvPr id="5" name="Image 4">
          <a:extLst>
            <a:ext uri="{FF2B5EF4-FFF2-40B4-BE49-F238E27FC236}">
              <a16:creationId xmlns:a16="http://schemas.microsoft.com/office/drawing/2014/main" id="{FF8874B1-9FAE-45CA-A9BB-099674FAF6C0}"/>
            </a:ext>
          </a:extLst>
        </xdr:cNvPr>
        <xdr:cNvPicPr>
          <a:picLocks noChangeAspect="1"/>
        </xdr:cNvPicPr>
      </xdr:nvPicPr>
      <xdr:blipFill>
        <a:blip xmlns:r="http://schemas.openxmlformats.org/officeDocument/2006/relationships" r:embed="rId3"/>
        <a:stretch>
          <a:fillRect/>
        </a:stretch>
      </xdr:blipFill>
      <xdr:spPr>
        <a:xfrm>
          <a:off x="0" y="9144000"/>
          <a:ext cx="4075043" cy="328063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ONSIGNY François" id="{4B44D3E3-CBE6-4ED8-822B-51018B2006AE}" userId="S::Francois.CONSIGNY@cstb.fr::1d0491eb-fff5-4bca-bff9-e4f88f96b7f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2" displayName="Tableau2" ref="A2:A6" totalsRowShown="0">
  <autoFilter ref="A2:A6" xr:uid="{00000000-0009-0000-0100-000001000000}"/>
  <tableColumns count="1">
    <tableColumn id="1" xr3:uid="{00000000-0010-0000-0000-000001000000}" name="Vent Face"/>
  </tableColumns>
  <tableStyleInfo name="TableStyleLight9"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M70" dT="2025-03-07T08:38:07.73" personId="{4B44D3E3-CBE6-4ED8-822B-51018B2006AE}" id="{50446792-4351-4791-9A0B-7A0FF88700DE}">
    <text>Deux faces (sous face et retombé exposées)</text>
  </threadedComment>
  <threadedComment ref="EL91" dT="2025-03-07T08:38:07.73" personId="{4B44D3E3-CBE6-4ED8-822B-51018B2006AE}" id="{B11ADEEF-A3CC-4163-9BAE-4C141FBED51B}">
    <text>Deux faces (sous face et retombé exposées)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b:/r/sites/01_EXT_DSSF_These_Francois_Consigny_571/Documents%20partages/Biblio/Recap%20Experiments/Taber%20et%20al.%20-%202014%20-Test%20APT-CLT.pdf?csf=1&amp;web=1&amp;e=MSphrb" TargetMode="External"/><Relationship Id="rId13" Type="http://schemas.openxmlformats.org/officeDocument/2006/relationships/hyperlink" Target="../../Francois.CONSIGNY/Zotero/storage/JIEGJFW3/Epernon%20Fire%20tests%20programme%20&#8211;%20The%20Epernon%20Fire%20Te.pdf" TargetMode="External"/><Relationship Id="rId18" Type="http://schemas.openxmlformats.org/officeDocument/2006/relationships/hyperlink" Target="../../../../../../../:b:/r/sites/01_EXT_DSSF_These_Francois_Consigny_571/Documents%20partages/Biblio/Recap%20Experiments/B%C3%B8e%20et%20al.%20-%202023%20-%20Fire%20spread%20in%20a%20large%20compartment%20with%20exposed%20cr.pdf?csf=1&amp;web=1&amp;e=igVXKA" TargetMode="External"/><Relationship Id="rId26" Type="http://schemas.openxmlformats.org/officeDocument/2006/relationships/hyperlink" Target="../../../../../../../:b:/r/sites/01_EXT_DSSF_These_Francois_Consigny_571/Documents%20partages/Biblio/Recap%20Experiments/Medina%20Hevia%20-%202015%20-%20Fire%20Resistance%20of%20Partially%20Protected%20Cross-Lamin.pdf?csf=1&amp;web=1&amp;e=TPJI9Q" TargetMode="External"/><Relationship Id="rId39" Type="http://schemas.openxmlformats.org/officeDocument/2006/relationships/comments" Target="../comments1.xml"/><Relationship Id="rId3" Type="http://schemas.openxmlformats.org/officeDocument/2006/relationships/hyperlink" Target="../../../Zotero/storage/W2S5E696/Su%20et%20al.%20-%20Fire%20Safety%20Challenges%20of%20Tall%20Wood%20Buildings%20&#8211;%20Ph.pdf" TargetMode="External"/><Relationship Id="rId21" Type="http://schemas.openxmlformats.org/officeDocument/2006/relationships/hyperlink" Target="https://doi.org/10.1016/j.conbuildmat.2021.126099" TargetMode="External"/><Relationship Id="rId34" Type="http://schemas.openxmlformats.org/officeDocument/2006/relationships/hyperlink" Target="../../../../../../../:b:/r/sites/01_EXT_DSSF_These_Francois_Consigny_571/Documents%20partages/Biblio/Recap%20Experiments/Brandon%20et%20al.%20-%202021%20-%20Fire%20Safe%20implementation%20of%20visible%20mass%20timber%20in.pdf?csf=1&amp;web=1&amp;e=TfhSCl" TargetMode="External"/><Relationship Id="rId7" Type="http://schemas.openxmlformats.org/officeDocument/2006/relationships/hyperlink" Target="../../../../../../../:b:/r/sites/01_EXT_DSSF_These_Francois_Consigny_571/Documents%20partages/Biblio/Recap%20Experiments/Taber%20et%20al.%20-%202014%20-%20Test%20APT-LWF-1.pdf?csf=1&amp;web=1&amp;e=Inap8a" TargetMode="External"/><Relationship Id="rId12" Type="http://schemas.openxmlformats.org/officeDocument/2006/relationships/hyperlink" Target="../../Francois.CONSIGNY/Zotero/storage/GKCKQE5W/Zelinka%20et%20al.%20-%202018%20-%20Compartment%20Fire%20Testing%20of%20a%20Two-Story%20Mass%20Timbe.pdf" TargetMode="External"/><Relationship Id="rId17" Type="http://schemas.openxmlformats.org/officeDocument/2006/relationships/hyperlink" Target="../../../../../../../:b:/r/sites/01_EXT_DSSF_These_Francois_Consigny_571/Documents%20partages/Biblio/Recap%20Experiments/Kotsovinos%20et%20al.%20-%202023%20-%20Impact%20of%20ventilation%20on%20the%20fire%20dynamics%20of%20an%20o.pdf?csf=1&amp;web=1&amp;e=YmRwgA" TargetMode="External"/><Relationship Id="rId25" Type="http://schemas.openxmlformats.org/officeDocument/2006/relationships/hyperlink" Target="../../../../../../../:b:/r/sites/01_EXT_DSSF_These_Francois_Consigny_571/Documents%20partages/Biblio/Recap%20Experiments/McGregor%20-%202013%20-%20Contribution%20of%20cross%20laminated%20timber%20panels%20to%20room%20fires.pdf?csf=1&amp;web=1&amp;e=5f8IX8" TargetMode="External"/><Relationship Id="rId33" Type="http://schemas.openxmlformats.org/officeDocument/2006/relationships/hyperlink" Target="../../../../../../../:b:/r/sites/01_EXT_DSSF_These_Francois_Consigny_571/Documents%20partages/Biblio/Recap%20Experiments/Su%20et%20al.%20-%202023%20-%20Large-scale%20fire%20tests%20of%20a%20mass%20timber%20building%20s.pdf?csf=1&amp;web=1&amp;e=yAQady" TargetMode="External"/><Relationship Id="rId38" Type="http://schemas.openxmlformats.org/officeDocument/2006/relationships/vmlDrawing" Target="../drawings/vmlDrawing1.vml"/><Relationship Id="rId2" Type="http://schemas.openxmlformats.org/officeDocument/2006/relationships/hyperlink" Target="../../Francois.CONSIGNY/Zotero/storage/BSYP8FPX/Medina%20Hevia%20-%202015%20-%20Fire%20Resistance%20of%20Partially%20Protected%20Cross-Lamin.pdf" TargetMode="External"/><Relationship Id="rId16" Type="http://schemas.openxmlformats.org/officeDocument/2006/relationships/hyperlink" Target="../../../../../../../:b:/r/sites/01_EXT_DSSF_These_Francois_Consigny_571/Documents%20partages/Biblio/Recap%20Experiments/Kotsovinos%20et%20al.%20-%202023%20-%20Fire%20dynamics%20inside%20a%20large%20and%20open-plan%20compart.pdf?csf=1&amp;web=1&amp;e=69tC2T" TargetMode="External"/><Relationship Id="rId20" Type="http://schemas.openxmlformats.org/officeDocument/2006/relationships/hyperlink" Target="../../../Zotero/storage/7EZAF7QN/INC_0%20RAPPORT%20DE%20SYNTHESE%20DE%20RESISTANCE%20AU%20FEU%20ET%20SECURITE%20INCENDIE%20-%20avec%20liens%20de%20t&#233;l&#233;chargement.pdf" TargetMode="External"/><Relationship Id="rId29" Type="http://schemas.openxmlformats.org/officeDocument/2006/relationships/hyperlink" Target="../../../../../../../:b:/r/sites/01_EXT_DSSF_These_Francois_Consigny_571/Documents%20partages/Biblio/Recap%20Experiments/Hadden%20et%20al.%20-%202017%20-%20Effects%20of%20exposed%20cross%20laminated%20timber%20on%20compa.pdf?csf=1&amp;web=1&amp;e=FTFxT2" TargetMode="External"/><Relationship Id="rId1" Type="http://schemas.openxmlformats.org/officeDocument/2006/relationships/hyperlink" Target="../../Francois.CONSIGNY/Zotero/storage/IQFADI85/McGregor%20CJ.%20Contribution%20of%20cross-laminated%20timbe.pdf" TargetMode="External"/><Relationship Id="rId6" Type="http://schemas.openxmlformats.org/officeDocument/2006/relationships/hyperlink" Target="../../Francois.CONSIGNY/Zotero/storage/AAQET9JR/Su%20et%20Lougheed%20-%202014%20-%20Fire%20safety%20summary%20Fire%20research%20conducted%20for%20t.pdf" TargetMode="External"/><Relationship Id="rId11" Type="http://schemas.openxmlformats.org/officeDocument/2006/relationships/hyperlink" Target="../../Francois.CONSIGNY/Zotero/storage/RT5JE3LH/Hadden%20et%20al.%20-%202017%20-%20Effects%20of%20exposed%20cross%20laminated%20timber%20on%20compa.pdf" TargetMode="External"/><Relationship Id="rId24" Type="http://schemas.openxmlformats.org/officeDocument/2006/relationships/hyperlink" Target="../../../../../../../:b:/r/sites/01_EXT_DSSF_These_Francois_Consigny_571/Documents%20partages/Biblio/Recap%20Experiments/Timpulse.pdf?csf=1&amp;web=1&amp;e=9cX9wU" TargetMode="External"/><Relationship Id="rId32" Type="http://schemas.openxmlformats.org/officeDocument/2006/relationships/hyperlink" Target="../../../../../../../:b:/r/sites/01_EXT_DSSF_These_Francois_Consigny_571/Documents%20partages/Biblio/Recap%20Experiments/Epernon%20Fire%20Tests%20Programme.pdf?csf=1&amp;web=1&amp;e=0orUz9" TargetMode="External"/><Relationship Id="rId37" Type="http://schemas.openxmlformats.org/officeDocument/2006/relationships/printerSettings" Target="../printerSettings/printerSettings2.bin"/><Relationship Id="rId40" Type="http://schemas.microsoft.com/office/2017/10/relationships/threadedComment" Target="../threadedComments/threadedComment1.xml"/><Relationship Id="rId5" Type="http://schemas.openxmlformats.org/officeDocument/2006/relationships/hyperlink" Target="../../../../../../../:b:/r/sites/01_EXT_DSSF_These_Francois_Consigny_571/Documents%20partages/Biblio/Recap%20Experiments/Su%20et%20Muradori%20-%202015%20-%20Fire%20demonstration%20cross-laminated%20timber%20staire.pdf?csf=1&amp;web=1&amp;e=U45kRs" TargetMode="External"/><Relationship Id="rId15" Type="http://schemas.openxmlformats.org/officeDocument/2006/relationships/hyperlink" Target="../../../Zotero/storage/VDKTWU3R/Brandon%20et%20al.%20-%202021%20-%20Fire%20Safe%20implementation%20of%20visible%20mass%20timber%20in.pdf" TargetMode="External"/><Relationship Id="rId23" Type="http://schemas.openxmlformats.org/officeDocument/2006/relationships/hyperlink" Target="https://doi.org/10.1177/07349041211034460" TargetMode="External"/><Relationship Id="rId28" Type="http://schemas.openxmlformats.org/officeDocument/2006/relationships/hyperlink" Target="../../../../../../../:b:/r/sites/01_EXT_DSSF_These_Francois_Consigny_571/Documents%20partages/Biblio/Recap%20Experiments/Su%20et%20al.%20-%202021%20-%20Fire%20testing%20of%20rooms%20with%20exposed%20wood%20surfaces%20i.pdf?csf=1&amp;web=1&amp;e=QGYb7x" TargetMode="External"/><Relationship Id="rId36" Type="http://schemas.openxmlformats.org/officeDocument/2006/relationships/hyperlink" Target="../../../../../../../:b:/r/sites/01_EXT_DSSF_These_Francois_Consigny_571/Documents%20partages/Biblio/Recap%20Experiments/Su%20et%20Lougheed%20-%202014%20-%20Fire%20safety%20summary%20Fire%20research%20conducted%20for%20t.pdf?csf=1&amp;web=1&amp;e=BC0ECm" TargetMode="External"/><Relationship Id="rId10" Type="http://schemas.openxmlformats.org/officeDocument/2006/relationships/hyperlink" Target="../../../../../../../:b:/r/sites/01_EXT_DSSF_These_Francois_Consigny_571/Documents%20partages/Biblio/Recap%20Experiments/Lougheed%20et%20Su%20-%202014%20-%20APT-LFW-2.pdf?csf=1&amp;web=1&amp;e=nCrPWt" TargetMode="External"/><Relationship Id="rId19" Type="http://schemas.openxmlformats.org/officeDocument/2006/relationships/hyperlink" Target="../../../../../../../:b:/r/sites/01_EXT_DSSF_These_Francois_Consigny_571/Documents%20partages/Biblio/Recap%20Experiments/B%C3%B8e%20et%20al.%20-%202023%20-%20Fire%20spread%20in%20a%20large%20compartment%20with%20exposed%20cr2.pdf?csf=1&amp;web=1&amp;e=URt2YZ" TargetMode="External"/><Relationship Id="rId31" Type="http://schemas.openxmlformats.org/officeDocument/2006/relationships/hyperlink" Target="../../../../../../../:b:/r/sites/01_EXT_DSSF_These_Francois_Consigny_571/Documents%20partages/Biblio/Recap%20Experiments/Zelinka%20et%20al.%20-%202018%20-%20Compartment%20fire%20testing%20of%20a%20two-story%20mass%20timbe.pdf?csf=1&amp;web=1&amp;e=Z9q6rk" TargetMode="External"/><Relationship Id="rId4" Type="http://schemas.openxmlformats.org/officeDocument/2006/relationships/hyperlink" Target="../../../Zotero/storage/W49VE6DK/Su%20et%20al.%20-%202021%20-%20Fire%20testing%20of%20rooms%20with%20exposed%20wood%20surfaces%20i.pdf" TargetMode="External"/><Relationship Id="rId9" Type="http://schemas.openxmlformats.org/officeDocument/2006/relationships/hyperlink" Target="../../../../../../../:b:/r/sites/01_EXT_DSSF_These_Francois_Consigny_571/Documents%20partages/Biblio/Recap%20Experiments/Taber%20et%20al.%20-%202014%20-%20Test%20APT-LSF.pdf?csf=1&amp;web=1&amp;e=EBrFhG" TargetMode="External"/><Relationship Id="rId14" Type="http://schemas.openxmlformats.org/officeDocument/2006/relationships/hyperlink" Target="../../../Zotero/storage/RHVGV2IT/Su%20et%20al.%20-%202023%20-%20Large-scale%20fire%20tests%20of%20a%20mass%20timber%20building%20s.pdf" TargetMode="External"/><Relationship Id="rId22" Type="http://schemas.openxmlformats.org/officeDocument/2006/relationships/hyperlink" Target="https://doi.org/10.1002/fam.3121" TargetMode="External"/><Relationship Id="rId27" Type="http://schemas.openxmlformats.org/officeDocument/2006/relationships/hyperlink" Target="../../../../../../../:b:/r/sites/01_EXT_DSSF_These_Francois_Consigny_571/Documents%20partages/Biblio/Recap%20Experiments/Su%20et%20al.%20-%20Fire%20Safety%20Challenges%20of%20Tall%20Wood%20Buildings%20%E2%80%93%20Ph.pdf?csf=1&amp;web=1&amp;e=NkzI1S" TargetMode="External"/><Relationship Id="rId30" Type="http://schemas.openxmlformats.org/officeDocument/2006/relationships/hyperlink" Target="../../../../../../../:b:/r/sites/01_EXT_DSSF_These_Francois_Consigny_571/Documents%20partages/Biblio/Recap%20Experiments/Emberley%20et%20al.%20-%202017%20-%20Description%20of%20small%20and%20large-scale%20cross%20laminat.pdf?csf=1&amp;web=1&amp;e=aP9RA8" TargetMode="External"/><Relationship Id="rId35" Type="http://schemas.openxmlformats.org/officeDocument/2006/relationships/hyperlink" Target="../../../../../../../:b:/r/sites/01_EXT_DSSF_These_Francois_Consigny_571/Documents%20partages/Biblio/Recap%20Experiments/ADICbois%20-%20Essais_%20grande%20%C3%A9chelle_%20Rapport_Efectis%20-%202022-05-28.pdf?csf=1&amp;web=1&amp;e=dBG4Cv"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R58"/>
  <sheetViews>
    <sheetView topLeftCell="A34" zoomScale="115" zoomScaleNormal="115" workbookViewId="0">
      <selection activeCell="A20" sqref="A20:XFD58"/>
    </sheetView>
  </sheetViews>
  <sheetFormatPr baseColWidth="10" defaultColWidth="11.42578125" defaultRowHeight="15"/>
  <cols>
    <col min="2" max="2" width="12.42578125" bestFit="1" customWidth="1"/>
    <col min="14" max="17" width="11.85546875" bestFit="1" customWidth="1"/>
  </cols>
  <sheetData>
    <row r="1" spans="1:2">
      <c r="A1" t="s">
        <v>0</v>
      </c>
      <c r="B1" t="s">
        <v>1</v>
      </c>
    </row>
    <row r="2" spans="1:2">
      <c r="A2" t="s">
        <v>2</v>
      </c>
    </row>
    <row r="20" spans="1:18">
      <c r="A20" t="s">
        <v>3</v>
      </c>
    </row>
    <row r="21" spans="1:18">
      <c r="A21" t="s">
        <v>4</v>
      </c>
      <c r="C21" t="s">
        <v>5</v>
      </c>
    </row>
    <row r="22" spans="1:18">
      <c r="A22" t="s">
        <v>6</v>
      </c>
      <c r="C22" t="s">
        <v>1019</v>
      </c>
    </row>
    <row r="23" spans="1:18">
      <c r="A23" t="s">
        <v>7</v>
      </c>
      <c r="C23" t="s">
        <v>8</v>
      </c>
    </row>
    <row r="24" spans="1:18">
      <c r="A24" t="s">
        <v>9</v>
      </c>
      <c r="C24" t="s">
        <v>10</v>
      </c>
    </row>
    <row r="25" spans="1:18">
      <c r="A25" s="1095" t="s">
        <v>11</v>
      </c>
      <c r="B25" s="1095"/>
      <c r="C25" s="1095" t="s">
        <v>12</v>
      </c>
      <c r="D25" s="1095"/>
    </row>
    <row r="28" spans="1:18">
      <c r="A28" t="s">
        <v>13</v>
      </c>
      <c r="F28" t="s">
        <v>14</v>
      </c>
      <c r="Q28" s="423">
        <v>45545</v>
      </c>
      <c r="R28" t="s">
        <v>1020</v>
      </c>
    </row>
    <row r="29" spans="1:18">
      <c r="Q29" s="423">
        <v>45583</v>
      </c>
      <c r="R29" t="s">
        <v>1021</v>
      </c>
    </row>
    <row r="30" spans="1:18">
      <c r="D30" s="588" t="s">
        <v>15</v>
      </c>
      <c r="Q30" s="423">
        <v>45604</v>
      </c>
      <c r="R30" t="s">
        <v>1022</v>
      </c>
    </row>
    <row r="31" spans="1:18">
      <c r="R31" t="s">
        <v>1023</v>
      </c>
    </row>
    <row r="33" spans="1:18">
      <c r="A33" t="s">
        <v>16</v>
      </c>
      <c r="B33" t="s">
        <v>17</v>
      </c>
      <c r="C33" t="s">
        <v>18</v>
      </c>
      <c r="R33" t="s">
        <v>19</v>
      </c>
    </row>
    <row r="34" spans="1:18">
      <c r="A34" t="s">
        <v>20</v>
      </c>
      <c r="B34" s="423">
        <v>45545</v>
      </c>
      <c r="C34" t="s">
        <v>21</v>
      </c>
      <c r="I34" t="s">
        <v>22</v>
      </c>
      <c r="R34" t="s">
        <v>1024</v>
      </c>
    </row>
    <row r="35" spans="1:18">
      <c r="B35" s="423">
        <v>45581</v>
      </c>
      <c r="C35" t="s">
        <v>23</v>
      </c>
    </row>
    <row r="36" spans="1:18">
      <c r="B36" s="423">
        <v>45582</v>
      </c>
      <c r="C36" t="s">
        <v>24</v>
      </c>
    </row>
    <row r="37" spans="1:18">
      <c r="A37" t="s">
        <v>25</v>
      </c>
      <c r="B37" s="423">
        <v>45593</v>
      </c>
      <c r="C37" t="s">
        <v>26</v>
      </c>
      <c r="R37" t="s">
        <v>1025</v>
      </c>
    </row>
    <row r="38" spans="1:18">
      <c r="B38" s="423"/>
      <c r="C38" t="s">
        <v>27</v>
      </c>
    </row>
    <row r="39" spans="1:18">
      <c r="B39" s="423"/>
      <c r="C39" t="s">
        <v>28</v>
      </c>
    </row>
    <row r="40" spans="1:18">
      <c r="B40" s="423"/>
      <c r="C40" t="s">
        <v>29</v>
      </c>
    </row>
    <row r="41" spans="1:18">
      <c r="A41" t="s">
        <v>30</v>
      </c>
      <c r="B41" s="423">
        <v>45604</v>
      </c>
      <c r="C41" t="s">
        <v>31</v>
      </c>
      <c r="R41" t="s">
        <v>1026</v>
      </c>
    </row>
    <row r="42" spans="1:18">
      <c r="C42" t="s">
        <v>32</v>
      </c>
      <c r="R42" t="s">
        <v>33</v>
      </c>
    </row>
    <row r="43" spans="1:18">
      <c r="D43" t="s">
        <v>1027</v>
      </c>
    </row>
    <row r="44" spans="1:18">
      <c r="D44" t="s">
        <v>1028</v>
      </c>
    </row>
    <row r="45" spans="1:18">
      <c r="D45" t="s">
        <v>1029</v>
      </c>
    </row>
    <row r="46" spans="1:18">
      <c r="E46" t="s">
        <v>1030</v>
      </c>
    </row>
    <row r="47" spans="1:18">
      <c r="E47" t="s">
        <v>1031</v>
      </c>
    </row>
    <row r="48" spans="1:18">
      <c r="E48" t="s">
        <v>1032</v>
      </c>
    </row>
    <row r="49" spans="1:18">
      <c r="C49" t="s">
        <v>34</v>
      </c>
    </row>
    <row r="50" spans="1:18">
      <c r="A50" t="s">
        <v>1033</v>
      </c>
      <c r="B50">
        <v>2025</v>
      </c>
      <c r="C50" t="s">
        <v>1034</v>
      </c>
      <c r="R50" t="s">
        <v>1035</v>
      </c>
    </row>
    <row r="51" spans="1:18">
      <c r="C51" t="s">
        <v>1036</v>
      </c>
    </row>
    <row r="52" spans="1:18">
      <c r="A52" t="s">
        <v>1037</v>
      </c>
      <c r="B52" s="423">
        <v>46054</v>
      </c>
      <c r="C52" t="s">
        <v>1038</v>
      </c>
      <c r="R52" t="s">
        <v>1039</v>
      </c>
    </row>
    <row r="53" spans="1:18">
      <c r="C53" t="s">
        <v>1040</v>
      </c>
    </row>
    <row r="54" spans="1:18">
      <c r="D54" t="s">
        <v>1041</v>
      </c>
      <c r="G54" t="s">
        <v>1042</v>
      </c>
    </row>
    <row r="55" spans="1:18">
      <c r="D55" t="s">
        <v>1043</v>
      </c>
      <c r="G55" t="s">
        <v>1044</v>
      </c>
    </row>
    <row r="56" spans="1:18">
      <c r="D56" t="s">
        <v>1045</v>
      </c>
      <c r="G56" t="s">
        <v>1046</v>
      </c>
    </row>
    <row r="57" spans="1:18">
      <c r="D57" t="s">
        <v>399</v>
      </c>
      <c r="G57" t="s">
        <v>1047</v>
      </c>
    </row>
    <row r="58" spans="1:18">
      <c r="C58" t="s">
        <v>1048</v>
      </c>
    </row>
  </sheetData>
  <pageMargins left="0.70866141732283472" right="0.70866141732283472" top="0.74803149606299213"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2:IJ99"/>
  <sheetViews>
    <sheetView tabSelected="1" zoomScaleNormal="100" workbookViewId="0">
      <pane xSplit="6195" ySplit="2910" topLeftCell="A39" activePane="bottomLeft"/>
      <selection activeCell="E19" sqref="E19"/>
      <selection pane="topRight" activeCell="T6" sqref="T6"/>
      <selection pane="bottomLeft" activeCell="C53" sqref="A53:XFD53"/>
      <selection pane="bottomRight" activeCell="E79" sqref="E79"/>
    </sheetView>
  </sheetViews>
  <sheetFormatPr baseColWidth="10" defaultColWidth="11.42578125" defaultRowHeight="15" outlineLevelCol="2"/>
  <cols>
    <col min="1" max="1" width="14.85546875" bestFit="1" customWidth="1"/>
    <col min="2" max="2" width="14.140625" bestFit="1" customWidth="1"/>
    <col min="3" max="3" width="8.5703125" bestFit="1" customWidth="1"/>
    <col min="4" max="4" width="19.28515625" customWidth="1"/>
    <col min="5" max="5" width="17.42578125" customWidth="1"/>
    <col min="6" max="6" width="15.85546875" customWidth="1"/>
    <col min="7" max="7" width="12.7109375" customWidth="1" outlineLevel="1"/>
    <col min="8" max="9" width="10.85546875" style="506" customWidth="1"/>
    <col min="11" max="14" width="13" style="31" customWidth="1" outlineLevel="1"/>
    <col min="15" max="18" width="12.42578125" style="168" customWidth="1" outlineLevel="1"/>
    <col min="19" max="20" width="13.5703125" style="168" customWidth="1" outlineLevel="1"/>
    <col min="21" max="21" width="12.42578125" style="168" customWidth="1" outlineLevel="1"/>
    <col min="22" max="22" width="8.7109375" style="168" customWidth="1" outlineLevel="1"/>
    <col min="23" max="25" width="10.85546875" style="506" customWidth="1"/>
    <col min="26" max="26" width="10.85546875" style="491" customWidth="1"/>
    <col min="27" max="36" width="10.85546875" style="491" customWidth="1" outlineLevel="1"/>
    <col min="37" max="37" width="10.85546875" customWidth="1" outlineLevel="1"/>
    <col min="38" max="40" width="12.5703125" customWidth="1"/>
    <col min="41" max="41" width="48.28515625" bestFit="1" customWidth="1"/>
    <col min="42" max="42" width="14.7109375" bestFit="1" customWidth="1"/>
    <col min="43" max="43" width="16.5703125" bestFit="1" customWidth="1"/>
    <col min="44" max="44" width="8.42578125" bestFit="1" customWidth="1"/>
    <col min="45" max="45" width="8.42578125" customWidth="1"/>
    <col min="46" max="46" width="11" bestFit="1" customWidth="1"/>
    <col min="47" max="47" width="13.140625" bestFit="1" customWidth="1"/>
    <col min="48" max="49" width="13.140625" customWidth="1"/>
    <col min="50" max="50" width="12.5703125" customWidth="1" outlineLevel="1"/>
    <col min="51" max="51" width="10.85546875" style="28" customWidth="1" outlineLevel="1"/>
    <col min="52" max="53" width="10.85546875" style="28" customWidth="1" outlineLevel="2"/>
    <col min="54" max="54" width="10.85546875" style="116" customWidth="1" outlineLevel="2"/>
    <col min="55" max="55" width="10.85546875" style="28" customWidth="1" outlineLevel="1"/>
    <col min="56" max="57" width="10.85546875" style="28" customWidth="1" outlineLevel="2"/>
    <col min="58" max="58" width="10.85546875" style="116" customWidth="1" outlineLevel="2"/>
    <col min="59" max="59" width="10.85546875" style="28" customWidth="1" outlineLevel="1"/>
    <col min="60" max="61" width="10.85546875" style="28" customWidth="1" outlineLevel="2"/>
    <col min="62" max="62" width="10.85546875" customWidth="1" outlineLevel="1"/>
    <col min="63" max="65" width="10.85546875" customWidth="1" outlineLevel="2"/>
    <col min="66" max="66" width="10.85546875" customWidth="1" outlineLevel="1"/>
    <col min="67" max="68" width="10.85546875" customWidth="1" outlineLevel="2"/>
    <col min="69" max="69" width="12.28515625" bestFit="1" customWidth="1" outlineLevel="2"/>
    <col min="70" max="71" width="10.85546875" customWidth="1" outlineLevel="2"/>
    <col min="72" max="73" width="19" customWidth="1" outlineLevel="2"/>
    <col min="74" max="78" width="16.5703125" customWidth="1"/>
    <col min="80" max="82" width="10.85546875" customWidth="1" outlineLevel="1"/>
    <col min="83" max="87" width="10.85546875" style="506" customWidth="1" outlineLevel="1"/>
    <col min="88" max="88" width="10.85546875" customWidth="1" outlineLevel="1"/>
    <col min="89" max="92" width="11.7109375" customWidth="1" outlineLevel="1"/>
    <col min="93" max="93" width="10.85546875" style="506" customWidth="1" outlineLevel="1"/>
    <col min="94" max="94" width="10.85546875" style="506" customWidth="1"/>
    <col min="95" max="95" width="10.85546875" style="119" customWidth="1" outlineLevel="1"/>
    <col min="96" max="98" width="10.85546875" style="119" customWidth="1" outlineLevel="2"/>
    <col min="99" max="99" width="10.85546875" style="506" customWidth="1" outlineLevel="2"/>
    <col min="100" max="100" width="10.85546875" customWidth="1" outlineLevel="2"/>
    <col min="101" max="102" width="10.85546875" style="506" customWidth="1" outlineLevel="2"/>
    <col min="103" max="103" width="10.85546875" style="339" customWidth="1" outlineLevel="2"/>
    <col min="104" max="104" width="10.85546875" customWidth="1" outlineLevel="2"/>
    <col min="105" max="105" width="10.85546875" style="340" customWidth="1" outlineLevel="2"/>
    <col min="106" max="106" width="10.85546875" style="506" customWidth="1" outlineLevel="2"/>
    <col min="107" max="107" width="10.85546875" style="111" customWidth="1" outlineLevel="1"/>
    <col min="108" max="112" width="10.85546875" style="506" customWidth="1" outlineLevel="2"/>
    <col min="113" max="114" width="10.85546875" customWidth="1" outlineLevel="2"/>
    <col min="115" max="115" width="10.85546875" style="339" customWidth="1" outlineLevel="2"/>
    <col min="116" max="118" width="10.85546875" customWidth="1" outlineLevel="2"/>
    <col min="119" max="119" width="10.85546875" style="119" customWidth="1" outlineLevel="2"/>
    <col min="120" max="120" width="10.85546875" style="506" customWidth="1" outlineLevel="1"/>
    <col min="121" max="121" width="11.42578125" style="506" customWidth="1" outlineLevel="2"/>
    <col min="122" max="125" width="10.85546875" style="506" customWidth="1" outlineLevel="2"/>
    <col min="126" max="127" width="10.85546875" customWidth="1" outlineLevel="2"/>
    <col min="128" max="128" width="10.85546875" style="341" customWidth="1" outlineLevel="2"/>
    <col min="129" max="129" width="10.85546875" customWidth="1" outlineLevel="2"/>
    <col min="130" max="131" width="10.85546875" style="506" customWidth="1" outlineLevel="2"/>
    <col min="132" max="132" width="10.85546875" style="506" customWidth="1" outlineLevel="1"/>
    <col min="133" max="133" width="10.85546875" customWidth="1" outlineLevel="2"/>
    <col min="134" max="134" width="10.85546875" style="506" customWidth="1" outlineLevel="2"/>
    <col min="135" max="135" width="10.85546875" style="341" customWidth="1" outlineLevel="2"/>
    <col min="136" max="140" width="10.85546875" customWidth="1" outlineLevel="2"/>
    <col min="141" max="141" width="10.85546875" style="698" customWidth="1" outlineLevel="2"/>
    <col min="142" max="142" width="10.85546875" customWidth="1" outlineLevel="2"/>
    <col min="143" max="143" width="10.85546875" customWidth="1" outlineLevel="1"/>
    <col min="144" max="145" width="10.85546875" customWidth="1" outlineLevel="2"/>
    <col min="146" max="146" width="10.85546875" style="339" customWidth="1" outlineLevel="2"/>
    <col min="147" max="151" width="10.85546875" customWidth="1" outlineLevel="2"/>
    <col min="152" max="152" width="10.85546875" style="690" customWidth="1" outlineLevel="2"/>
    <col min="153" max="153" width="10.85546875" customWidth="1" outlineLevel="2"/>
    <col min="154" max="154" width="10.85546875" style="506" customWidth="1"/>
    <col min="155" max="155" width="10.85546875" customWidth="1" outlineLevel="1"/>
    <col min="156" max="162" width="10.85546875" customWidth="1" outlineLevel="2"/>
    <col min="163" max="163" width="10.85546875" customWidth="1" outlineLevel="1"/>
    <col min="164" max="170" width="10.85546875" customWidth="1" outlineLevel="2"/>
    <col min="171" max="171" width="10.85546875" customWidth="1" outlineLevel="1"/>
    <col min="172" max="178" width="10.85546875" customWidth="1" outlineLevel="2"/>
    <col min="179" max="179" width="10.85546875" customWidth="1" outlineLevel="1"/>
    <col min="180" max="186" width="10.85546875" customWidth="1" outlineLevel="2"/>
    <col min="187" max="187" width="10.85546875" customWidth="1" outlineLevel="1"/>
    <col min="188" max="194" width="10.85546875" customWidth="1" outlineLevel="2"/>
    <col min="195" max="195" width="10.85546875" customWidth="1" outlineLevel="1"/>
    <col min="196" max="202" width="10.85546875" customWidth="1" outlineLevel="2"/>
    <col min="203" max="203" width="10.85546875" customWidth="1" outlineLevel="1"/>
    <col min="204" max="210" width="10.85546875" customWidth="1" outlineLevel="2"/>
    <col min="211" max="211" width="10.85546875" customWidth="1" outlineLevel="1"/>
    <col min="212" max="218" width="10.85546875" customWidth="1" outlineLevel="2"/>
    <col min="219" max="219" width="10.85546875" customWidth="1" outlineLevel="1"/>
    <col min="220" max="226" width="10.85546875" customWidth="1" outlineLevel="2"/>
    <col min="227" max="227" width="10.85546875" customWidth="1" outlineLevel="1"/>
    <col min="228" max="234" width="10.85546875" customWidth="1" outlineLevel="2"/>
    <col min="235" max="235" width="10.85546875" customWidth="1" outlineLevel="1"/>
    <col min="236" max="242" width="10.85546875" customWidth="1" outlineLevel="2"/>
  </cols>
  <sheetData>
    <row r="2" spans="1:243" ht="15" customHeight="1" thickBot="1">
      <c r="DC2" s="433"/>
    </row>
    <row r="3" spans="1:243">
      <c r="A3" s="1209" t="s">
        <v>35</v>
      </c>
      <c r="B3" s="1126"/>
      <c r="C3" s="1126"/>
      <c r="D3" s="1127"/>
      <c r="E3" s="1211" t="s">
        <v>36</v>
      </c>
      <c r="F3" s="1213"/>
      <c r="G3" s="1155"/>
      <c r="H3" s="1155"/>
      <c r="I3" s="1155"/>
      <c r="J3" s="1155"/>
      <c r="K3" s="1155"/>
      <c r="L3" s="1155"/>
      <c r="M3" s="1155"/>
      <c r="N3" s="1155"/>
      <c r="O3" s="1155"/>
      <c r="P3" s="1155"/>
      <c r="Q3" s="1155"/>
      <c r="R3" s="1155"/>
      <c r="S3" s="1155"/>
      <c r="T3" s="1155"/>
      <c r="U3" s="1155"/>
      <c r="V3" s="1155"/>
      <c r="W3" s="1155"/>
      <c r="X3" s="1155"/>
      <c r="Y3" s="1156"/>
      <c r="Z3" s="1212" t="s">
        <v>37</v>
      </c>
      <c r="AA3" s="1213"/>
      <c r="AB3" s="1213"/>
      <c r="AC3" s="1213"/>
      <c r="AD3" s="1213"/>
      <c r="AE3" s="1213"/>
      <c r="AF3" s="1213"/>
      <c r="AG3" s="1213"/>
      <c r="AH3" s="1213"/>
      <c r="AI3" s="1213"/>
      <c r="AJ3" s="1213"/>
      <c r="AK3" s="1213"/>
      <c r="AL3" s="1213"/>
      <c r="AM3" s="1213"/>
      <c r="AN3" s="1213"/>
      <c r="AO3" s="1213"/>
      <c r="AP3" s="1213"/>
      <c r="AQ3" s="1213"/>
      <c r="AR3" s="1213"/>
      <c r="AS3" s="1213"/>
      <c r="AT3" s="1213"/>
      <c r="AU3" s="1213"/>
      <c r="AV3" s="1213"/>
      <c r="AW3" s="1213"/>
      <c r="AX3" s="1213"/>
      <c r="AY3" s="1213"/>
      <c r="AZ3" s="1213"/>
      <c r="BA3" s="1213"/>
      <c r="BB3" s="1213"/>
      <c r="BC3" s="1213"/>
      <c r="BD3" s="1213"/>
      <c r="BE3" s="1213"/>
      <c r="BF3" s="1213"/>
      <c r="BG3" s="1213"/>
      <c r="BH3" s="1213"/>
      <c r="BI3" s="1213"/>
      <c r="BJ3" s="1213"/>
      <c r="BK3" s="1213"/>
      <c r="BL3" s="1213"/>
      <c r="BM3" s="1213"/>
      <c r="BN3" s="1213"/>
      <c r="BO3" s="1213"/>
      <c r="BP3" s="1213"/>
      <c r="BQ3" s="1213"/>
      <c r="BR3" s="1213"/>
      <c r="BS3" s="1213"/>
      <c r="BT3" s="1213"/>
      <c r="BU3" s="1213"/>
      <c r="BV3" s="1217"/>
      <c r="BW3" s="1213" t="s">
        <v>38</v>
      </c>
      <c r="BX3" s="1213"/>
      <c r="BY3" s="1213"/>
      <c r="BZ3" s="1213"/>
      <c r="CA3" s="1217"/>
      <c r="CB3" s="1212" t="s">
        <v>39</v>
      </c>
      <c r="CC3" s="1155"/>
      <c r="CD3" s="1155"/>
      <c r="CE3" s="1155"/>
      <c r="CF3" s="1155"/>
      <c r="CG3" s="1155"/>
      <c r="CH3" s="1155"/>
      <c r="CI3" s="1155"/>
      <c r="CJ3" s="1155"/>
      <c r="CK3" s="1155"/>
      <c r="CL3" s="1155"/>
      <c r="CM3" s="1155"/>
      <c r="CN3" s="1155"/>
      <c r="CO3" s="1155"/>
      <c r="CP3" s="1155"/>
      <c r="CQ3" s="1212" t="s">
        <v>40</v>
      </c>
      <c r="CR3" s="1155"/>
      <c r="CS3" s="1155"/>
      <c r="CT3" s="1155"/>
      <c r="CU3" s="1155"/>
      <c r="CV3" s="1155"/>
      <c r="CW3" s="1155"/>
      <c r="CX3" s="1155"/>
      <c r="CY3" s="1155"/>
      <c r="CZ3" s="1155"/>
      <c r="DA3" s="1155"/>
      <c r="DB3" s="1155"/>
      <c r="DC3" s="1155"/>
      <c r="DD3" s="1155"/>
      <c r="DE3" s="1155"/>
      <c r="DF3" s="1155"/>
      <c r="DG3" s="1155"/>
      <c r="DH3" s="1155"/>
      <c r="DI3" s="1155"/>
      <c r="DJ3" s="1155"/>
      <c r="DK3" s="1155"/>
      <c r="DL3" s="1155"/>
      <c r="DM3" s="1155"/>
      <c r="DN3" s="1155"/>
      <c r="DO3" s="1155"/>
      <c r="DP3" s="1155"/>
      <c r="DQ3" s="1155"/>
      <c r="DR3" s="1155"/>
      <c r="DS3" s="1155"/>
      <c r="DT3" s="1155"/>
      <c r="DU3" s="1155"/>
      <c r="DV3" s="1155"/>
      <c r="DW3" s="1155"/>
      <c r="DX3" s="1155"/>
      <c r="DY3" s="1155"/>
      <c r="DZ3" s="1155"/>
      <c r="EA3" s="1155"/>
      <c r="EB3" s="1155"/>
      <c r="EC3" s="1155"/>
      <c r="ED3" s="1155"/>
      <c r="EE3" s="1155"/>
      <c r="EF3" s="1155"/>
      <c r="EG3" s="1155"/>
      <c r="EH3" s="1155"/>
      <c r="EI3" s="1155"/>
      <c r="EJ3" s="1155"/>
      <c r="EK3" s="1155"/>
      <c r="EL3" s="1155"/>
      <c r="EM3" s="1155"/>
      <c r="EN3" s="1155"/>
      <c r="EO3" s="1155"/>
      <c r="EP3" s="1155"/>
      <c r="EQ3" s="1155"/>
      <c r="ER3" s="1155"/>
      <c r="ES3" s="1155"/>
      <c r="ET3" s="1155"/>
      <c r="EU3" s="1155"/>
      <c r="EV3" s="1155"/>
      <c r="EW3" s="1155"/>
      <c r="EX3" s="1155"/>
      <c r="EY3" s="1211" t="s">
        <v>41</v>
      </c>
      <c r="EZ3" s="1155"/>
      <c r="FA3" s="1155"/>
      <c r="FB3" s="1155"/>
      <c r="FC3" s="1155"/>
      <c r="FD3" s="1155"/>
      <c r="FE3" s="1155"/>
      <c r="FF3" s="1155"/>
      <c r="FG3" s="1155"/>
      <c r="FH3" s="1155"/>
      <c r="FI3" s="1155"/>
      <c r="FJ3" s="1155"/>
      <c r="FK3" s="1155"/>
      <c r="FL3" s="1155"/>
      <c r="FM3" s="1155"/>
      <c r="FN3" s="1155"/>
      <c r="FO3" s="1155"/>
      <c r="FP3" s="1155"/>
      <c r="FQ3" s="1155"/>
      <c r="FR3" s="1155"/>
      <c r="FS3" s="1155"/>
      <c r="FT3" s="1155"/>
      <c r="FU3" s="1155"/>
      <c r="FV3" s="1155"/>
      <c r="FW3" s="1155"/>
      <c r="FX3" s="1155"/>
      <c r="FY3" s="1155"/>
      <c r="FZ3" s="1155"/>
      <c r="GA3" s="1155"/>
      <c r="GB3" s="1155"/>
      <c r="GC3" s="1155"/>
      <c r="GD3" s="1155"/>
      <c r="GE3" s="1155"/>
      <c r="GF3" s="1155"/>
      <c r="GG3" s="1155"/>
      <c r="GH3" s="1155"/>
      <c r="GI3" s="1155"/>
      <c r="GJ3" s="1155"/>
      <c r="GK3" s="1155"/>
      <c r="GL3" s="1155"/>
      <c r="GM3" s="1155"/>
      <c r="GN3" s="1155"/>
      <c r="GO3" s="1155"/>
      <c r="GP3" s="1155"/>
      <c r="GQ3" s="1155"/>
      <c r="GR3" s="1155"/>
      <c r="GS3" s="1155"/>
      <c r="GT3" s="1155"/>
      <c r="GU3" s="1155"/>
      <c r="GV3" s="1155"/>
      <c r="GW3" s="1155"/>
      <c r="GX3" s="1155"/>
      <c r="GY3" s="1155"/>
      <c r="GZ3" s="1155"/>
      <c r="HA3" s="1155"/>
      <c r="HB3" s="1155"/>
      <c r="HC3" s="1155"/>
      <c r="HD3" s="1155"/>
      <c r="HE3" s="1155"/>
      <c r="HF3" s="1155"/>
      <c r="HG3" s="1155"/>
      <c r="HH3" s="1155"/>
      <c r="HI3" s="1155"/>
      <c r="HJ3" s="1155"/>
      <c r="HK3" s="1155"/>
      <c r="HL3" s="1155"/>
      <c r="HM3" s="1155"/>
      <c r="HN3" s="1155"/>
      <c r="HO3" s="1155"/>
      <c r="HP3" s="1155"/>
      <c r="HQ3" s="1155"/>
      <c r="HR3" s="1155"/>
      <c r="HS3" s="1155"/>
      <c r="HT3" s="1155"/>
      <c r="HU3" s="1155"/>
      <c r="HV3" s="1155"/>
      <c r="HW3" s="1155"/>
      <c r="HX3" s="1155"/>
      <c r="HY3" s="1155"/>
      <c r="HZ3" s="1155"/>
      <c r="IA3" s="1155"/>
      <c r="IB3" s="1155"/>
      <c r="IC3" s="1155"/>
      <c r="ID3" s="1155"/>
      <c r="IE3" s="1155"/>
      <c r="IF3" s="1155"/>
      <c r="IG3" s="1155"/>
      <c r="IH3" s="1155"/>
      <c r="II3" s="1156"/>
    </row>
    <row r="4" spans="1:243" s="530" customFormat="1" ht="14.45" customHeight="1">
      <c r="A4" s="1128"/>
      <c r="B4" s="1210"/>
      <c r="C4" s="1210"/>
      <c r="D4" s="1122"/>
      <c r="E4" s="1208" t="s">
        <v>42</v>
      </c>
      <c r="F4" s="1235"/>
      <c r="G4" s="1192"/>
      <c r="H4" s="1193" t="s">
        <v>43</v>
      </c>
      <c r="I4" s="1192"/>
      <c r="J4" s="1193" t="s">
        <v>44</v>
      </c>
      <c r="K4" s="1191"/>
      <c r="L4" s="1191"/>
      <c r="M4" s="1191"/>
      <c r="N4" s="1191"/>
      <c r="O4" s="1191"/>
      <c r="P4" s="1191"/>
      <c r="Q4" s="1191"/>
      <c r="R4" s="1191"/>
      <c r="S4" s="1192"/>
      <c r="T4" s="1203" t="s">
        <v>45</v>
      </c>
      <c r="U4" s="1235"/>
      <c r="V4" s="675"/>
      <c r="W4" s="677" t="s">
        <v>41</v>
      </c>
      <c r="X4" s="528"/>
      <c r="Y4" s="676"/>
      <c r="Z4" s="1208" t="s">
        <v>42</v>
      </c>
      <c r="AA4" s="1191"/>
      <c r="AB4" s="1191"/>
      <c r="AC4" s="1191"/>
      <c r="AD4" s="1191"/>
      <c r="AE4" s="1191"/>
      <c r="AF4" s="1191"/>
      <c r="AG4" s="1191"/>
      <c r="AH4" s="1191"/>
      <c r="AI4" s="1191"/>
      <c r="AJ4" s="1191"/>
      <c r="AK4" s="1192"/>
      <c r="AL4" s="1046" t="s">
        <v>46</v>
      </c>
      <c r="AM4" s="1193" t="s">
        <v>889</v>
      </c>
      <c r="AN4" s="1204"/>
      <c r="AO4" s="1191"/>
      <c r="AP4" s="1191"/>
      <c r="AQ4" s="1191"/>
      <c r="AR4" s="1191"/>
      <c r="AS4" s="1191"/>
      <c r="AT4" s="1191"/>
      <c r="AU4" s="1191"/>
      <c r="AV4" s="1191"/>
      <c r="AW4" s="1191"/>
      <c r="AX4" s="1192"/>
      <c r="AY4" s="1193" t="s">
        <v>47</v>
      </c>
      <c r="AZ4" s="1191"/>
      <c r="BA4" s="1191"/>
      <c r="BB4" s="1192"/>
      <c r="BC4" s="1193" t="s">
        <v>48</v>
      </c>
      <c r="BD4" s="1191"/>
      <c r="BE4" s="1192"/>
      <c r="BF4" s="1047"/>
      <c r="BG4" s="1193" t="s">
        <v>49</v>
      </c>
      <c r="BH4" s="1191"/>
      <c r="BI4" s="1192"/>
      <c r="BJ4" s="1193" t="s">
        <v>50</v>
      </c>
      <c r="BK4" s="1191"/>
      <c r="BL4" s="1191"/>
      <c r="BM4" s="1192"/>
      <c r="BN4" s="1214" t="s">
        <v>51</v>
      </c>
      <c r="BO4" s="1111"/>
      <c r="BP4" s="1111"/>
      <c r="BQ4" s="1111"/>
      <c r="BR4" s="1203" t="s">
        <v>895</v>
      </c>
      <c r="BS4" s="1204"/>
      <c r="BT4" s="1204"/>
      <c r="BU4" s="1204"/>
      <c r="BV4" s="1216"/>
      <c r="BW4" s="1218"/>
      <c r="BX4" s="1218"/>
      <c r="BY4" s="1218"/>
      <c r="BZ4" s="1218"/>
      <c r="CA4" s="1219"/>
      <c r="CB4" s="1205" t="s">
        <v>52</v>
      </c>
      <c r="CC4" s="1191"/>
      <c r="CD4" s="1191"/>
      <c r="CE4" s="1191"/>
      <c r="CF4" s="1215" t="s">
        <v>53</v>
      </c>
      <c r="CG4" s="1191"/>
      <c r="CH4" s="1191"/>
      <c r="CI4" s="1191"/>
      <c r="CJ4" s="1192"/>
      <c r="CK4" s="1206" t="s">
        <v>54</v>
      </c>
      <c r="CL4" s="1191"/>
      <c r="CM4" s="1191"/>
      <c r="CN4" s="1191"/>
      <c r="CO4" s="1191"/>
      <c r="CP4" s="1191"/>
      <c r="CQ4" s="283" t="s">
        <v>55</v>
      </c>
      <c r="CR4" s="1207" t="s">
        <v>56</v>
      </c>
      <c r="CS4" s="1191"/>
      <c r="CT4" s="1191"/>
      <c r="CU4" s="1191"/>
      <c r="CV4" s="1191"/>
      <c r="CW4" s="1192"/>
      <c r="CX4" s="1204" t="s">
        <v>57</v>
      </c>
      <c r="CY4" s="1191"/>
      <c r="CZ4" s="1191"/>
      <c r="DA4" s="1191"/>
      <c r="DB4" s="1191"/>
      <c r="DC4" s="1191"/>
      <c r="DD4" s="1207" t="s">
        <v>58</v>
      </c>
      <c r="DE4" s="1191"/>
      <c r="DF4" s="1191"/>
      <c r="DG4" s="1191"/>
      <c r="DH4" s="1191"/>
      <c r="DI4" s="1192"/>
      <c r="DJ4" s="1193" t="s">
        <v>59</v>
      </c>
      <c r="DK4" s="1191"/>
      <c r="DL4" s="1191"/>
      <c r="DM4" s="1191"/>
      <c r="DN4" s="1191"/>
      <c r="DO4" s="1191"/>
      <c r="DP4" s="1192"/>
      <c r="DQ4" s="1207" t="s">
        <v>60</v>
      </c>
      <c r="DR4" s="1191"/>
      <c r="DS4" s="1191"/>
      <c r="DT4" s="1191"/>
      <c r="DU4" s="1191"/>
      <c r="DV4" s="1192"/>
      <c r="DW4" s="1193" t="s">
        <v>61</v>
      </c>
      <c r="DX4" s="1191"/>
      <c r="DY4" s="1191"/>
      <c r="DZ4" s="1191"/>
      <c r="EA4" s="1191"/>
      <c r="EB4" s="1192"/>
      <c r="EC4" s="1193" t="s">
        <v>62</v>
      </c>
      <c r="ED4" s="1191"/>
      <c r="EE4" s="1191"/>
      <c r="EF4" s="1191"/>
      <c r="EG4" s="1191"/>
      <c r="EH4" s="1191"/>
      <c r="EI4" s="1191"/>
      <c r="EJ4" s="1191"/>
      <c r="EK4" s="1191"/>
      <c r="EL4" s="1191"/>
      <c r="EM4" s="1192"/>
      <c r="EN4" s="1203" t="s">
        <v>63</v>
      </c>
      <c r="EO4" s="1191"/>
      <c r="EP4" s="1191"/>
      <c r="EQ4" s="1191"/>
      <c r="ER4" s="1191"/>
      <c r="ES4" s="1191"/>
      <c r="ET4" s="1191"/>
      <c r="EU4" s="1191"/>
      <c r="EV4" s="1191"/>
      <c r="EW4" s="1191"/>
      <c r="EX4" s="1191"/>
      <c r="EY4" s="125" t="s">
        <v>64</v>
      </c>
      <c r="EZ4" s="1190" t="s">
        <v>65</v>
      </c>
      <c r="FA4" s="1191"/>
      <c r="FB4" s="1191"/>
      <c r="FC4" s="1191"/>
      <c r="FD4" s="1191"/>
      <c r="FE4" s="1191"/>
      <c r="FF4" s="1191"/>
      <c r="FG4" s="1192"/>
      <c r="FH4" s="1207" t="s">
        <v>66</v>
      </c>
      <c r="FI4" s="1191"/>
      <c r="FJ4" s="1191"/>
      <c r="FK4" s="1191"/>
      <c r="FL4" s="1191"/>
      <c r="FM4" s="1191"/>
      <c r="FN4" s="1191"/>
      <c r="FO4" s="1192"/>
      <c r="FP4" s="1207" t="s">
        <v>67</v>
      </c>
      <c r="FQ4" s="1191"/>
      <c r="FR4" s="1191"/>
      <c r="FS4" s="1191"/>
      <c r="FT4" s="1191"/>
      <c r="FU4" s="1191"/>
      <c r="FV4" s="1191"/>
      <c r="FW4" s="1192"/>
      <c r="FX4" s="1207" t="s">
        <v>68</v>
      </c>
      <c r="FY4" s="1191"/>
      <c r="FZ4" s="1191"/>
      <c r="GA4" s="1191"/>
      <c r="GB4" s="1191"/>
      <c r="GC4" s="1191"/>
      <c r="GD4" s="1191"/>
      <c r="GE4" s="1192"/>
      <c r="GF4" s="1207" t="s">
        <v>69</v>
      </c>
      <c r="GG4" s="1191"/>
      <c r="GH4" s="1191"/>
      <c r="GI4" s="1191"/>
      <c r="GJ4" s="1191"/>
      <c r="GK4" s="1191"/>
      <c r="GL4" s="1191"/>
      <c r="GM4" s="1192"/>
      <c r="GN4" s="1207" t="s">
        <v>70</v>
      </c>
      <c r="GO4" s="1191"/>
      <c r="GP4" s="1191"/>
      <c r="GQ4" s="1191"/>
      <c r="GR4" s="1191"/>
      <c r="GS4" s="1191"/>
      <c r="GT4" s="1191"/>
      <c r="GU4" s="1192"/>
      <c r="GV4" s="1207" t="s">
        <v>71</v>
      </c>
      <c r="GW4" s="1191"/>
      <c r="GX4" s="1191"/>
      <c r="GY4" s="1191"/>
      <c r="GZ4" s="1191"/>
      <c r="HA4" s="1191"/>
      <c r="HB4" s="1191"/>
      <c r="HC4" s="1192"/>
      <c r="HD4" s="1207" t="s">
        <v>72</v>
      </c>
      <c r="HE4" s="1191"/>
      <c r="HF4" s="1191"/>
      <c r="HG4" s="1191"/>
      <c r="HH4" s="1191"/>
      <c r="HI4" s="1191"/>
      <c r="HJ4" s="1191"/>
      <c r="HK4" s="1192"/>
      <c r="HL4" s="1207" t="s">
        <v>73</v>
      </c>
      <c r="HM4" s="1191"/>
      <c r="HN4" s="1191"/>
      <c r="HO4" s="1191"/>
      <c r="HP4" s="1191"/>
      <c r="HQ4" s="1191"/>
      <c r="HR4" s="1191"/>
      <c r="HS4" s="1192"/>
      <c r="HT4" s="1207" t="s">
        <v>74</v>
      </c>
      <c r="HU4" s="1191"/>
      <c r="HV4" s="1191"/>
      <c r="HW4" s="1191"/>
      <c r="HX4" s="1191"/>
      <c r="HY4" s="1191"/>
      <c r="HZ4" s="1191"/>
      <c r="IA4" s="1192"/>
      <c r="IB4" s="1207" t="s">
        <v>75</v>
      </c>
      <c r="IC4" s="1191"/>
      <c r="ID4" s="1191"/>
      <c r="IE4" s="1191"/>
      <c r="IF4" s="1191"/>
      <c r="IG4" s="1191"/>
      <c r="IH4" s="1191"/>
      <c r="II4" s="1192"/>
    </row>
    <row r="5" spans="1:243" s="535" customFormat="1" ht="23.45" customHeight="1">
      <c r="A5" s="126" t="s">
        <v>76</v>
      </c>
      <c r="B5" s="81" t="s">
        <v>77</v>
      </c>
      <c r="C5" s="81" t="s">
        <v>78</v>
      </c>
      <c r="D5" s="121" t="s">
        <v>79</v>
      </c>
      <c r="E5" s="17" t="s">
        <v>80</v>
      </c>
      <c r="F5" s="102" t="s">
        <v>81</v>
      </c>
      <c r="G5" s="102" t="s">
        <v>82</v>
      </c>
      <c r="H5" s="82" t="s">
        <v>83</v>
      </c>
      <c r="I5" s="82" t="s">
        <v>84</v>
      </c>
      <c r="J5" s="82" t="s">
        <v>85</v>
      </c>
      <c r="K5" s="724" t="s">
        <v>86</v>
      </c>
      <c r="L5" s="637" t="s">
        <v>87</v>
      </c>
      <c r="M5" s="637" t="s">
        <v>88</v>
      </c>
      <c r="N5" s="637" t="s">
        <v>89</v>
      </c>
      <c r="O5" s="169" t="s">
        <v>90</v>
      </c>
      <c r="P5" s="169" t="s">
        <v>91</v>
      </c>
      <c r="Q5" s="169" t="s">
        <v>92</v>
      </c>
      <c r="R5" s="169" t="s">
        <v>93</v>
      </c>
      <c r="S5" s="169" t="s">
        <v>94</v>
      </c>
      <c r="T5" s="169" t="s">
        <v>1017</v>
      </c>
      <c r="U5" s="171" t="s">
        <v>95</v>
      </c>
      <c r="V5" s="171" t="s">
        <v>96</v>
      </c>
      <c r="W5" s="82" t="s">
        <v>97</v>
      </c>
      <c r="X5" s="82" t="s">
        <v>98</v>
      </c>
      <c r="Y5" s="83" t="s">
        <v>99</v>
      </c>
      <c r="Z5" s="1060" t="s">
        <v>100</v>
      </c>
      <c r="AA5" s="137" t="s">
        <v>101</v>
      </c>
      <c r="AB5" s="137" t="s">
        <v>102</v>
      </c>
      <c r="AC5" s="137" t="s">
        <v>103</v>
      </c>
      <c r="AD5" s="137" t="s">
        <v>104</v>
      </c>
      <c r="AE5" s="137" t="s">
        <v>105</v>
      </c>
      <c r="AF5" s="137" t="s">
        <v>106</v>
      </c>
      <c r="AG5" s="137" t="s">
        <v>928</v>
      </c>
      <c r="AH5" s="137" t="s">
        <v>929</v>
      </c>
      <c r="AI5" s="137" t="s">
        <v>932</v>
      </c>
      <c r="AJ5" s="137" t="s">
        <v>107</v>
      </c>
      <c r="AK5" s="82" t="s">
        <v>108</v>
      </c>
      <c r="AL5" s="85" t="s">
        <v>109</v>
      </c>
      <c r="AM5" s="85" t="s">
        <v>110</v>
      </c>
      <c r="AN5" s="85" t="s">
        <v>111</v>
      </c>
      <c r="AO5" s="82" t="s">
        <v>112</v>
      </c>
      <c r="AP5" s="82" t="s">
        <v>113</v>
      </c>
      <c r="AQ5" s="82" t="s">
        <v>114</v>
      </c>
      <c r="AR5" s="82" t="s">
        <v>921</v>
      </c>
      <c r="AS5" s="82" t="s">
        <v>922</v>
      </c>
      <c r="AT5" s="82" t="s">
        <v>891</v>
      </c>
      <c r="AU5" s="82" t="s">
        <v>892</v>
      </c>
      <c r="AV5" s="82" t="s">
        <v>115</v>
      </c>
      <c r="AW5" s="82" t="s">
        <v>116</v>
      </c>
      <c r="AX5" s="101" t="s">
        <v>117</v>
      </c>
      <c r="AY5" s="64" t="s">
        <v>118</v>
      </c>
      <c r="AZ5" s="64" t="s">
        <v>119</v>
      </c>
      <c r="BA5" s="64" t="s">
        <v>120</v>
      </c>
      <c r="BB5" s="216" t="s">
        <v>121</v>
      </c>
      <c r="BC5" s="64" t="s">
        <v>122</v>
      </c>
      <c r="BD5" s="64" t="s">
        <v>123</v>
      </c>
      <c r="BE5" s="64" t="s">
        <v>124</v>
      </c>
      <c r="BF5" s="216" t="s">
        <v>125</v>
      </c>
      <c r="BG5" s="64" t="s">
        <v>126</v>
      </c>
      <c r="BH5" s="64" t="s">
        <v>127</v>
      </c>
      <c r="BI5" s="64" t="s">
        <v>128</v>
      </c>
      <c r="BJ5" s="64" t="s">
        <v>129</v>
      </c>
      <c r="BK5" s="64" t="s">
        <v>130</v>
      </c>
      <c r="BL5" s="64" t="s">
        <v>131</v>
      </c>
      <c r="BM5" s="216" t="s">
        <v>132</v>
      </c>
      <c r="BN5" s="64" t="s">
        <v>133</v>
      </c>
      <c r="BO5" s="64" t="s">
        <v>134</v>
      </c>
      <c r="BP5" s="64" t="s">
        <v>135</v>
      </c>
      <c r="BQ5" s="216" t="s">
        <v>132</v>
      </c>
      <c r="BR5" s="64" t="s">
        <v>897</v>
      </c>
      <c r="BS5" s="64" t="s">
        <v>990</v>
      </c>
      <c r="BT5" s="64" t="s">
        <v>902</v>
      </c>
      <c r="BU5" s="64" t="s">
        <v>912</v>
      </c>
      <c r="BV5" s="1061" t="s">
        <v>896</v>
      </c>
      <c r="BW5" s="1220"/>
      <c r="BX5" s="1220"/>
      <c r="BY5" s="1220"/>
      <c r="BZ5" s="1220"/>
      <c r="CA5" s="1221"/>
      <c r="CB5" s="84" t="s">
        <v>136</v>
      </c>
      <c r="CC5" s="82" t="s">
        <v>137</v>
      </c>
      <c r="CD5" s="82" t="s">
        <v>138</v>
      </c>
      <c r="CE5" s="82" t="s">
        <v>139</v>
      </c>
      <c r="CF5" s="82" t="s">
        <v>140</v>
      </c>
      <c r="CG5" s="82" t="s">
        <v>141</v>
      </c>
      <c r="CH5" s="82" t="s">
        <v>142</v>
      </c>
      <c r="CI5" s="82" t="s">
        <v>143</v>
      </c>
      <c r="CJ5" s="82" t="s">
        <v>144</v>
      </c>
      <c r="CK5" s="82" t="s">
        <v>145</v>
      </c>
      <c r="CL5" s="82" t="s">
        <v>146</v>
      </c>
      <c r="CM5" s="82" t="s">
        <v>147</v>
      </c>
      <c r="CN5" s="82" t="s">
        <v>148</v>
      </c>
      <c r="CO5" s="82" t="s">
        <v>149</v>
      </c>
      <c r="CP5" s="123" t="s">
        <v>150</v>
      </c>
      <c r="CQ5" s="17" t="s">
        <v>151</v>
      </c>
      <c r="CR5" s="82" t="s">
        <v>152</v>
      </c>
      <c r="CS5" s="82" t="s">
        <v>153</v>
      </c>
      <c r="CT5" s="82" t="s">
        <v>154</v>
      </c>
      <c r="CU5" s="82" t="s">
        <v>155</v>
      </c>
      <c r="CV5" s="82" t="s">
        <v>156</v>
      </c>
      <c r="CW5" s="82" t="s">
        <v>157</v>
      </c>
      <c r="CX5" s="102" t="s">
        <v>158</v>
      </c>
      <c r="CY5" s="82" t="s">
        <v>159</v>
      </c>
      <c r="CZ5" s="342" t="s">
        <v>160</v>
      </c>
      <c r="DA5" s="110" t="s">
        <v>161</v>
      </c>
      <c r="DB5" s="343" t="s">
        <v>162</v>
      </c>
      <c r="DC5" s="123" t="s">
        <v>163</v>
      </c>
      <c r="DD5" s="82" t="s">
        <v>164</v>
      </c>
      <c r="DE5" s="82" t="s">
        <v>165</v>
      </c>
      <c r="DF5" s="82" t="s">
        <v>166</v>
      </c>
      <c r="DG5" s="82" t="s">
        <v>167</v>
      </c>
      <c r="DH5" s="82" t="s">
        <v>168</v>
      </c>
      <c r="DI5" s="82" t="s">
        <v>169</v>
      </c>
      <c r="DJ5" s="102" t="s">
        <v>170</v>
      </c>
      <c r="DK5" s="82" t="s">
        <v>171</v>
      </c>
      <c r="DL5" s="342" t="s">
        <v>172</v>
      </c>
      <c r="DM5" s="110" t="s">
        <v>173</v>
      </c>
      <c r="DN5" s="110" t="s">
        <v>174</v>
      </c>
      <c r="DO5" s="97" t="s">
        <v>175</v>
      </c>
      <c r="DP5" s="97" t="s">
        <v>176</v>
      </c>
      <c r="DQ5" s="102" t="s">
        <v>177</v>
      </c>
      <c r="DR5" s="82" t="s">
        <v>178</v>
      </c>
      <c r="DS5" s="82" t="s">
        <v>179</v>
      </c>
      <c r="DT5" s="82" t="s">
        <v>180</v>
      </c>
      <c r="DU5" s="82" t="s">
        <v>181</v>
      </c>
      <c r="DV5" s="82" t="s">
        <v>182</v>
      </c>
      <c r="DW5" s="102" t="s">
        <v>183</v>
      </c>
      <c r="DX5" s="82" t="s">
        <v>184</v>
      </c>
      <c r="DY5" s="342" t="s">
        <v>185</v>
      </c>
      <c r="DZ5" s="110" t="s">
        <v>186</v>
      </c>
      <c r="EA5" s="97" t="s">
        <v>187</v>
      </c>
      <c r="EB5" s="97" t="s">
        <v>188</v>
      </c>
      <c r="EC5" s="101" t="s">
        <v>189</v>
      </c>
      <c r="ED5" s="82" t="s">
        <v>190</v>
      </c>
      <c r="EE5" s="82" t="s">
        <v>191</v>
      </c>
      <c r="EF5" s="342" t="s">
        <v>192</v>
      </c>
      <c r="EG5" s="110" t="s">
        <v>193</v>
      </c>
      <c r="EH5" s="97" t="s">
        <v>194</v>
      </c>
      <c r="EI5" s="97" t="s">
        <v>195</v>
      </c>
      <c r="EJ5" s="97" t="s">
        <v>196</v>
      </c>
      <c r="EK5" s="97" t="s">
        <v>197</v>
      </c>
      <c r="EL5" s="691" t="s">
        <v>198</v>
      </c>
      <c r="EM5" s="97" t="s">
        <v>199</v>
      </c>
      <c r="EN5" s="101" t="s">
        <v>200</v>
      </c>
      <c r="EO5" s="82" t="s">
        <v>201</v>
      </c>
      <c r="EP5" s="82" t="s">
        <v>202</v>
      </c>
      <c r="EQ5" s="342" t="s">
        <v>203</v>
      </c>
      <c r="ER5" s="110" t="s">
        <v>204</v>
      </c>
      <c r="ES5" s="97" t="s">
        <v>205</v>
      </c>
      <c r="ET5" s="97" t="s">
        <v>206</v>
      </c>
      <c r="EU5" s="123" t="s">
        <v>207</v>
      </c>
      <c r="EV5" s="97" t="s">
        <v>208</v>
      </c>
      <c r="EW5" s="691" t="s">
        <v>209</v>
      </c>
      <c r="EX5" s="97" t="s">
        <v>210</v>
      </c>
      <c r="EY5" s="126" t="s">
        <v>211</v>
      </c>
      <c r="EZ5" s="202" t="s">
        <v>212</v>
      </c>
      <c r="FA5" s="104" t="s">
        <v>213</v>
      </c>
      <c r="FB5" s="104" t="s">
        <v>214</v>
      </c>
      <c r="FC5" s="81" t="s">
        <v>215</v>
      </c>
      <c r="FD5" s="81" t="s">
        <v>216</v>
      </c>
      <c r="FE5" s="81" t="s">
        <v>217</v>
      </c>
      <c r="FF5" s="81" t="s">
        <v>218</v>
      </c>
      <c r="FG5" s="81" t="s">
        <v>219</v>
      </c>
      <c r="FH5" s="202" t="s">
        <v>220</v>
      </c>
      <c r="FI5" s="104" t="s">
        <v>221</v>
      </c>
      <c r="FJ5" s="104" t="s">
        <v>222</v>
      </c>
      <c r="FK5" s="81" t="s">
        <v>223</v>
      </c>
      <c r="FL5" s="81" t="s">
        <v>224</v>
      </c>
      <c r="FM5" s="81" t="s">
        <v>225</v>
      </c>
      <c r="FN5" s="81" t="s">
        <v>226</v>
      </c>
      <c r="FO5" s="81" t="s">
        <v>227</v>
      </c>
      <c r="FP5" s="104" t="s">
        <v>228</v>
      </c>
      <c r="FQ5" s="104" t="s">
        <v>229</v>
      </c>
      <c r="FR5" s="104" t="s">
        <v>230</v>
      </c>
      <c r="FS5" s="81" t="s">
        <v>231</v>
      </c>
      <c r="FT5" s="81" t="s">
        <v>232</v>
      </c>
      <c r="FU5" s="81" t="s">
        <v>233</v>
      </c>
      <c r="FV5" s="81" t="s">
        <v>234</v>
      </c>
      <c r="FW5" s="81" t="s">
        <v>235</v>
      </c>
      <c r="FX5" s="104" t="s">
        <v>236</v>
      </c>
      <c r="FY5" s="104" t="s">
        <v>237</v>
      </c>
      <c r="FZ5" s="104" t="s">
        <v>238</v>
      </c>
      <c r="GA5" s="81" t="s">
        <v>239</v>
      </c>
      <c r="GB5" s="81" t="s">
        <v>240</v>
      </c>
      <c r="GC5" s="81" t="s">
        <v>241</v>
      </c>
      <c r="GD5" s="81" t="s">
        <v>242</v>
      </c>
      <c r="GE5" s="81" t="s">
        <v>243</v>
      </c>
      <c r="GF5" s="104" t="s">
        <v>244</v>
      </c>
      <c r="GG5" s="104" t="s">
        <v>245</v>
      </c>
      <c r="GH5" s="104" t="s">
        <v>246</v>
      </c>
      <c r="GI5" s="81" t="s">
        <v>247</v>
      </c>
      <c r="GJ5" s="81" t="s">
        <v>248</v>
      </c>
      <c r="GK5" s="81" t="s">
        <v>249</v>
      </c>
      <c r="GL5" s="81" t="s">
        <v>250</v>
      </c>
      <c r="GM5" s="81" t="s">
        <v>251</v>
      </c>
      <c r="GN5" s="104" t="s">
        <v>252</v>
      </c>
      <c r="GO5" s="104" t="s">
        <v>253</v>
      </c>
      <c r="GP5" s="104" t="s">
        <v>254</v>
      </c>
      <c r="GQ5" s="81" t="s">
        <v>255</v>
      </c>
      <c r="GR5" s="81" t="s">
        <v>256</v>
      </c>
      <c r="GS5" s="81" t="s">
        <v>257</v>
      </c>
      <c r="GT5" s="81" t="s">
        <v>258</v>
      </c>
      <c r="GU5" s="121" t="s">
        <v>259</v>
      </c>
      <c r="GV5" s="104" t="s">
        <v>260</v>
      </c>
      <c r="GW5" s="104" t="s">
        <v>261</v>
      </c>
      <c r="GX5" s="104" t="s">
        <v>262</v>
      </c>
      <c r="GY5" s="81" t="s">
        <v>263</v>
      </c>
      <c r="GZ5" s="81" t="s">
        <v>264</v>
      </c>
      <c r="HA5" s="81" t="s">
        <v>265</v>
      </c>
      <c r="HB5" s="81" t="s">
        <v>266</v>
      </c>
      <c r="HC5" s="121" t="s">
        <v>267</v>
      </c>
      <c r="HD5" s="104" t="s">
        <v>268</v>
      </c>
      <c r="HE5" s="104" t="s">
        <v>269</v>
      </c>
      <c r="HF5" s="104" t="s">
        <v>270</v>
      </c>
      <c r="HG5" s="81" t="s">
        <v>271</v>
      </c>
      <c r="HH5" s="81" t="s">
        <v>272</v>
      </c>
      <c r="HI5" s="81" t="s">
        <v>273</v>
      </c>
      <c r="HJ5" s="81" t="s">
        <v>274</v>
      </c>
      <c r="HK5" s="121" t="s">
        <v>275</v>
      </c>
      <c r="HL5" s="104" t="s">
        <v>276</v>
      </c>
      <c r="HM5" s="104" t="s">
        <v>277</v>
      </c>
      <c r="HN5" s="104" t="s">
        <v>278</v>
      </c>
      <c r="HO5" s="81" t="s">
        <v>279</v>
      </c>
      <c r="HP5" s="81" t="s">
        <v>280</v>
      </c>
      <c r="HQ5" s="81" t="s">
        <v>281</v>
      </c>
      <c r="HR5" s="81" t="s">
        <v>282</v>
      </c>
      <c r="HS5" s="121" t="s">
        <v>283</v>
      </c>
      <c r="HT5" s="104" t="s">
        <v>284</v>
      </c>
      <c r="HU5" s="104" t="s">
        <v>285</v>
      </c>
      <c r="HV5" s="104" t="s">
        <v>286</v>
      </c>
      <c r="HW5" s="81" t="s">
        <v>287</v>
      </c>
      <c r="HX5" s="81" t="s">
        <v>288</v>
      </c>
      <c r="HY5" s="81" t="s">
        <v>289</v>
      </c>
      <c r="HZ5" s="81" t="s">
        <v>290</v>
      </c>
      <c r="IA5" s="121" t="s">
        <v>291</v>
      </c>
      <c r="IB5" s="104" t="s">
        <v>292</v>
      </c>
      <c r="IC5" s="104" t="s">
        <v>293</v>
      </c>
      <c r="ID5" s="104" t="s">
        <v>294</v>
      </c>
      <c r="IE5" s="81" t="s">
        <v>295</v>
      </c>
      <c r="IF5" s="81" t="s">
        <v>296</v>
      </c>
      <c r="IG5" s="81" t="s">
        <v>297</v>
      </c>
      <c r="IH5" s="81" t="s">
        <v>298</v>
      </c>
      <c r="II5" s="121" t="s">
        <v>299</v>
      </c>
    </row>
    <row r="6" spans="1:243" s="535" customFormat="1" ht="16.5" customHeight="1" thickBot="1">
      <c r="A6" s="73" t="s">
        <v>300</v>
      </c>
      <c r="B6" s="74" t="s">
        <v>300</v>
      </c>
      <c r="C6" s="74" t="s">
        <v>301</v>
      </c>
      <c r="D6" s="122" t="s">
        <v>300</v>
      </c>
      <c r="E6" s="17" t="s">
        <v>302</v>
      </c>
      <c r="F6" s="102" t="s">
        <v>300</v>
      </c>
      <c r="G6" s="17" t="s">
        <v>303</v>
      </c>
      <c r="H6" s="82" t="s">
        <v>304</v>
      </c>
      <c r="I6" s="82" t="s">
        <v>304</v>
      </c>
      <c r="J6" s="82" t="s">
        <v>305</v>
      </c>
      <c r="K6" s="82" t="s">
        <v>300</v>
      </c>
      <c r="L6" s="82" t="s">
        <v>305</v>
      </c>
      <c r="M6" s="82" t="s">
        <v>305</v>
      </c>
      <c r="N6" s="82" t="s">
        <v>305</v>
      </c>
      <c r="O6" s="170" t="s">
        <v>305</v>
      </c>
      <c r="P6" s="171" t="s">
        <v>305</v>
      </c>
      <c r="Q6" s="171" t="s">
        <v>305</v>
      </c>
      <c r="R6" s="171" t="s">
        <v>305</v>
      </c>
      <c r="S6" s="171" t="s">
        <v>305</v>
      </c>
      <c r="T6" s="171" t="s">
        <v>301</v>
      </c>
      <c r="U6" s="171" t="s">
        <v>306</v>
      </c>
      <c r="V6" s="171" t="s">
        <v>307</v>
      </c>
      <c r="W6" s="82" t="s">
        <v>308</v>
      </c>
      <c r="X6" s="82" t="s">
        <v>304</v>
      </c>
      <c r="Y6" s="83" t="s">
        <v>309</v>
      </c>
      <c r="Z6" s="1062" t="s">
        <v>310</v>
      </c>
      <c r="AA6" s="204" t="s">
        <v>310</v>
      </c>
      <c r="AB6" s="138" t="s">
        <v>310</v>
      </c>
      <c r="AC6" s="138" t="s">
        <v>311</v>
      </c>
      <c r="AD6" s="204" t="s">
        <v>312</v>
      </c>
      <c r="AE6" s="204" t="s">
        <v>313</v>
      </c>
      <c r="AF6" s="204" t="s">
        <v>313</v>
      </c>
      <c r="AG6" s="204" t="s">
        <v>308</v>
      </c>
      <c r="AH6" s="204" t="s">
        <v>308</v>
      </c>
      <c r="AI6" s="204" t="s">
        <v>308</v>
      </c>
      <c r="AJ6" s="204" t="s">
        <v>301</v>
      </c>
      <c r="AK6" s="82" t="s">
        <v>305</v>
      </c>
      <c r="AL6" s="85" t="s">
        <v>314</v>
      </c>
      <c r="AM6" s="103" t="s">
        <v>315</v>
      </c>
      <c r="AN6" s="103" t="s">
        <v>315</v>
      </c>
      <c r="AO6" s="102" t="s">
        <v>316</v>
      </c>
      <c r="AP6" s="103" t="s">
        <v>315</v>
      </c>
      <c r="AQ6" s="103" t="s">
        <v>315</v>
      </c>
      <c r="AR6" s="103" t="s">
        <v>315</v>
      </c>
      <c r="AS6" s="103" t="s">
        <v>315</v>
      </c>
      <c r="AT6" s="103" t="s">
        <v>315</v>
      </c>
      <c r="AU6" s="103" t="s">
        <v>315</v>
      </c>
      <c r="AV6" s="103" t="s">
        <v>315</v>
      </c>
      <c r="AW6" s="102" t="s">
        <v>307</v>
      </c>
      <c r="AX6" s="103" t="s">
        <v>315</v>
      </c>
      <c r="AY6" s="34" t="s">
        <v>317</v>
      </c>
      <c r="AZ6" s="34" t="s">
        <v>317</v>
      </c>
      <c r="BA6" s="34" t="s">
        <v>317</v>
      </c>
      <c r="BB6" s="227" t="s">
        <v>318</v>
      </c>
      <c r="BC6" s="34" t="s">
        <v>317</v>
      </c>
      <c r="BD6" s="34" t="s">
        <v>317</v>
      </c>
      <c r="BE6" s="34" t="s">
        <v>317</v>
      </c>
      <c r="BF6" s="217" t="s">
        <v>318</v>
      </c>
      <c r="BG6" s="181" t="s">
        <v>317</v>
      </c>
      <c r="BH6" s="34" t="s">
        <v>317</v>
      </c>
      <c r="BI6" s="34" t="s">
        <v>317</v>
      </c>
      <c r="BJ6" s="102" t="s">
        <v>317</v>
      </c>
      <c r="BK6" s="82" t="s">
        <v>317</v>
      </c>
      <c r="BL6" s="82" t="s">
        <v>317</v>
      </c>
      <c r="BM6" s="217" t="s">
        <v>318</v>
      </c>
      <c r="BN6" s="102" t="s">
        <v>317</v>
      </c>
      <c r="BO6" s="82" t="s">
        <v>317</v>
      </c>
      <c r="BP6" s="82" t="s">
        <v>317</v>
      </c>
      <c r="BQ6" s="227" t="s">
        <v>318</v>
      </c>
      <c r="BR6" s="82" t="s">
        <v>308</v>
      </c>
      <c r="BS6" s="82" t="s">
        <v>301</v>
      </c>
      <c r="BT6" s="82" t="s">
        <v>301</v>
      </c>
      <c r="BU6" s="82" t="s">
        <v>314</v>
      </c>
      <c r="BV6" s="1063" t="s">
        <v>311</v>
      </c>
      <c r="BW6" s="1220"/>
      <c r="BX6" s="1220"/>
      <c r="BY6" s="1220"/>
      <c r="BZ6" s="1220"/>
      <c r="CA6" s="1221"/>
      <c r="CB6" s="17" t="s">
        <v>308</v>
      </c>
      <c r="CC6" s="82" t="s">
        <v>308</v>
      </c>
      <c r="CD6" s="82" t="s">
        <v>308</v>
      </c>
      <c r="CE6" s="101" t="s">
        <v>319</v>
      </c>
      <c r="CF6" s="82" t="s">
        <v>320</v>
      </c>
      <c r="CG6" s="101" t="s">
        <v>301</v>
      </c>
      <c r="CH6" s="101" t="s">
        <v>301</v>
      </c>
      <c r="CI6" s="101" t="s">
        <v>301</v>
      </c>
      <c r="CJ6" s="101" t="s">
        <v>300</v>
      </c>
      <c r="CK6" s="82" t="s">
        <v>308</v>
      </c>
      <c r="CL6" s="102" t="s">
        <v>321</v>
      </c>
      <c r="CM6" s="102" t="s">
        <v>322</v>
      </c>
      <c r="CN6" s="102" t="s">
        <v>323</v>
      </c>
      <c r="CO6" s="102" t="s">
        <v>305</v>
      </c>
      <c r="CP6" s="110" t="s">
        <v>314</v>
      </c>
      <c r="CQ6" s="17" t="s">
        <v>304</v>
      </c>
      <c r="CR6" s="82" t="s">
        <v>300</v>
      </c>
      <c r="CS6" s="103" t="s">
        <v>324</v>
      </c>
      <c r="CT6" s="102" t="s">
        <v>300</v>
      </c>
      <c r="CU6" s="103" t="s">
        <v>324</v>
      </c>
      <c r="CV6" s="102" t="s">
        <v>300</v>
      </c>
      <c r="CW6" s="103" t="s">
        <v>324</v>
      </c>
      <c r="CX6" s="102" t="s">
        <v>300</v>
      </c>
      <c r="CY6" s="102" t="s">
        <v>300</v>
      </c>
      <c r="CZ6" s="342" t="s">
        <v>305</v>
      </c>
      <c r="DA6" s="101" t="s">
        <v>325</v>
      </c>
      <c r="DB6" s="344" t="s">
        <v>304</v>
      </c>
      <c r="DC6" s="110" t="s">
        <v>304</v>
      </c>
      <c r="DD6" s="82" t="s">
        <v>300</v>
      </c>
      <c r="DE6" s="103" t="s">
        <v>324</v>
      </c>
      <c r="DF6" s="102" t="s">
        <v>300</v>
      </c>
      <c r="DG6" s="103" t="s">
        <v>324</v>
      </c>
      <c r="DH6" s="102" t="s">
        <v>300</v>
      </c>
      <c r="DI6" s="103" t="s">
        <v>324</v>
      </c>
      <c r="DJ6" s="102" t="s">
        <v>300</v>
      </c>
      <c r="DK6" s="102" t="s">
        <v>300</v>
      </c>
      <c r="DL6" s="342" t="s">
        <v>305</v>
      </c>
      <c r="DM6" s="101" t="s">
        <v>325</v>
      </c>
      <c r="DN6" s="101" t="s">
        <v>303</v>
      </c>
      <c r="DO6" s="82" t="s">
        <v>304</v>
      </c>
      <c r="DP6" s="110" t="s">
        <v>304</v>
      </c>
      <c r="DQ6" s="102" t="s">
        <v>300</v>
      </c>
      <c r="DR6" s="103" t="s">
        <v>324</v>
      </c>
      <c r="DS6" s="102" t="s">
        <v>300</v>
      </c>
      <c r="DT6" s="103" t="s">
        <v>324</v>
      </c>
      <c r="DU6" s="102" t="s">
        <v>300</v>
      </c>
      <c r="DV6" s="103" t="s">
        <v>324</v>
      </c>
      <c r="DW6" s="102" t="s">
        <v>300</v>
      </c>
      <c r="DX6" s="102" t="s">
        <v>300</v>
      </c>
      <c r="DY6" s="342" t="s">
        <v>305</v>
      </c>
      <c r="DZ6" s="101" t="s">
        <v>325</v>
      </c>
      <c r="EA6" s="82" t="s">
        <v>304</v>
      </c>
      <c r="EB6" s="82" t="s">
        <v>304</v>
      </c>
      <c r="EC6" s="102" t="s">
        <v>301</v>
      </c>
      <c r="ED6" s="102" t="s">
        <v>300</v>
      </c>
      <c r="EE6" s="102" t="s">
        <v>300</v>
      </c>
      <c r="EF6" s="342" t="s">
        <v>305</v>
      </c>
      <c r="EG6" s="101" t="s">
        <v>325</v>
      </c>
      <c r="EH6" s="82" t="s">
        <v>308</v>
      </c>
      <c r="EI6" s="82" t="s">
        <v>308</v>
      </c>
      <c r="EJ6" s="82" t="s">
        <v>308</v>
      </c>
      <c r="EK6" s="82" t="s">
        <v>308</v>
      </c>
      <c r="EL6" s="692" t="s">
        <v>301</v>
      </c>
      <c r="EM6" s="82" t="s">
        <v>304</v>
      </c>
      <c r="EN6" s="101" t="s">
        <v>301</v>
      </c>
      <c r="EO6" s="102" t="s">
        <v>300</v>
      </c>
      <c r="EP6" s="102" t="s">
        <v>300</v>
      </c>
      <c r="EQ6" s="342" t="s">
        <v>305</v>
      </c>
      <c r="ER6" s="101" t="s">
        <v>325</v>
      </c>
      <c r="ES6" s="82" t="s">
        <v>308</v>
      </c>
      <c r="ET6" s="82" t="s">
        <v>308</v>
      </c>
      <c r="EU6" s="110" t="s">
        <v>308</v>
      </c>
      <c r="EV6" s="82" t="s">
        <v>308</v>
      </c>
      <c r="EW6" s="692" t="s">
        <v>301</v>
      </c>
      <c r="EX6" s="82" t="s">
        <v>304</v>
      </c>
      <c r="EY6" s="126" t="s">
        <v>301</v>
      </c>
      <c r="EZ6" s="102" t="s">
        <v>308</v>
      </c>
      <c r="FA6" s="82" t="s">
        <v>308</v>
      </c>
      <c r="FB6" s="82" t="s">
        <v>308</v>
      </c>
      <c r="FC6" s="82" t="s">
        <v>308</v>
      </c>
      <c r="FD6" s="82" t="s">
        <v>304</v>
      </c>
      <c r="FE6" s="82" t="s">
        <v>301</v>
      </c>
      <c r="FF6" s="82" t="s">
        <v>308</v>
      </c>
      <c r="FG6" s="81" t="s">
        <v>300</v>
      </c>
      <c r="FH6" s="82" t="s">
        <v>308</v>
      </c>
      <c r="FI6" s="82" t="s">
        <v>308</v>
      </c>
      <c r="FJ6" s="82" t="s">
        <v>308</v>
      </c>
      <c r="FK6" s="82" t="s">
        <v>308</v>
      </c>
      <c r="FL6" s="82" t="s">
        <v>304</v>
      </c>
      <c r="FM6" s="82" t="s">
        <v>301</v>
      </c>
      <c r="FN6" s="82" t="s">
        <v>308</v>
      </c>
      <c r="FO6" s="81" t="s">
        <v>300</v>
      </c>
      <c r="FP6" s="82" t="s">
        <v>308</v>
      </c>
      <c r="FQ6" s="82" t="s">
        <v>308</v>
      </c>
      <c r="FR6" s="82" t="s">
        <v>308</v>
      </c>
      <c r="FS6" s="82" t="s">
        <v>308</v>
      </c>
      <c r="FT6" s="82" t="s">
        <v>304</v>
      </c>
      <c r="FU6" s="82" t="s">
        <v>301</v>
      </c>
      <c r="FV6" s="82" t="s">
        <v>308</v>
      </c>
      <c r="FW6" s="81" t="s">
        <v>300</v>
      </c>
      <c r="FX6" s="82" t="s">
        <v>308</v>
      </c>
      <c r="FY6" s="82" t="s">
        <v>308</v>
      </c>
      <c r="FZ6" s="82" t="s">
        <v>308</v>
      </c>
      <c r="GA6" s="82" t="s">
        <v>308</v>
      </c>
      <c r="GB6" s="82" t="s">
        <v>304</v>
      </c>
      <c r="GC6" s="82" t="s">
        <v>301</v>
      </c>
      <c r="GD6" s="82" t="s">
        <v>308</v>
      </c>
      <c r="GE6" s="81" t="s">
        <v>300</v>
      </c>
      <c r="GF6" s="82" t="s">
        <v>308</v>
      </c>
      <c r="GG6" s="82" t="s">
        <v>308</v>
      </c>
      <c r="GH6" s="82" t="s">
        <v>308</v>
      </c>
      <c r="GI6" s="82" t="s">
        <v>308</v>
      </c>
      <c r="GJ6" s="82" t="s">
        <v>304</v>
      </c>
      <c r="GK6" s="82" t="s">
        <v>301</v>
      </c>
      <c r="GL6" s="82" t="s">
        <v>308</v>
      </c>
      <c r="GM6" s="81" t="s">
        <v>300</v>
      </c>
      <c r="GN6" s="82" t="s">
        <v>308</v>
      </c>
      <c r="GO6" s="82" t="s">
        <v>308</v>
      </c>
      <c r="GP6" s="82" t="s">
        <v>308</v>
      </c>
      <c r="GQ6" s="82" t="s">
        <v>308</v>
      </c>
      <c r="GR6" s="82" t="s">
        <v>304</v>
      </c>
      <c r="GS6" s="82" t="s">
        <v>301</v>
      </c>
      <c r="GT6" s="82" t="s">
        <v>308</v>
      </c>
      <c r="GU6" s="121" t="s">
        <v>300</v>
      </c>
      <c r="GV6" s="82" t="s">
        <v>308</v>
      </c>
      <c r="GW6" s="82" t="s">
        <v>308</v>
      </c>
      <c r="GX6" s="82" t="s">
        <v>308</v>
      </c>
      <c r="GY6" s="82" t="s">
        <v>308</v>
      </c>
      <c r="GZ6" s="82" t="s">
        <v>304</v>
      </c>
      <c r="HA6" s="82" t="s">
        <v>301</v>
      </c>
      <c r="HB6" s="82" t="s">
        <v>308</v>
      </c>
      <c r="HC6" s="121" t="s">
        <v>300</v>
      </c>
      <c r="HD6" s="82" t="s">
        <v>308</v>
      </c>
      <c r="HE6" s="82" t="s">
        <v>308</v>
      </c>
      <c r="HF6" s="82" t="s">
        <v>308</v>
      </c>
      <c r="HG6" s="82" t="s">
        <v>308</v>
      </c>
      <c r="HH6" s="82" t="s">
        <v>304</v>
      </c>
      <c r="HI6" s="82" t="s">
        <v>301</v>
      </c>
      <c r="HJ6" s="82" t="s">
        <v>308</v>
      </c>
      <c r="HK6" s="121" t="s">
        <v>300</v>
      </c>
      <c r="HL6" s="82" t="s">
        <v>308</v>
      </c>
      <c r="HM6" s="82" t="s">
        <v>308</v>
      </c>
      <c r="HN6" s="82" t="s">
        <v>308</v>
      </c>
      <c r="HO6" s="82" t="s">
        <v>308</v>
      </c>
      <c r="HP6" s="82" t="s">
        <v>304</v>
      </c>
      <c r="HQ6" s="82" t="s">
        <v>301</v>
      </c>
      <c r="HR6" s="82" t="s">
        <v>308</v>
      </c>
      <c r="HS6" s="121" t="s">
        <v>300</v>
      </c>
      <c r="HT6" s="82" t="s">
        <v>308</v>
      </c>
      <c r="HU6" s="82" t="s">
        <v>308</v>
      </c>
      <c r="HV6" s="82" t="s">
        <v>308</v>
      </c>
      <c r="HW6" s="82" t="s">
        <v>308</v>
      </c>
      <c r="HX6" s="82" t="s">
        <v>304</v>
      </c>
      <c r="HY6" s="82" t="s">
        <v>301</v>
      </c>
      <c r="HZ6" s="82" t="s">
        <v>308</v>
      </c>
      <c r="IA6" s="121" t="s">
        <v>300</v>
      </c>
      <c r="IB6" s="82" t="s">
        <v>308</v>
      </c>
      <c r="IC6" s="82" t="s">
        <v>308</v>
      </c>
      <c r="ID6" s="82" t="s">
        <v>308</v>
      </c>
      <c r="IE6" s="82" t="s">
        <v>308</v>
      </c>
      <c r="IF6" s="82" t="s">
        <v>304</v>
      </c>
      <c r="IG6" s="82" t="s">
        <v>301</v>
      </c>
      <c r="IH6" s="82" t="s">
        <v>308</v>
      </c>
      <c r="II6" s="121" t="s">
        <v>300</v>
      </c>
    </row>
    <row r="7" spans="1:243" s="535" customFormat="1" ht="60.6" customHeight="1" thickBot="1">
      <c r="A7" s="77" t="s">
        <v>326</v>
      </c>
      <c r="B7" s="76" t="s">
        <v>327</v>
      </c>
      <c r="C7" s="74" t="s">
        <v>328</v>
      </c>
      <c r="D7" s="75" t="s">
        <v>329</v>
      </c>
      <c r="E7" s="73" t="s">
        <v>330</v>
      </c>
      <c r="F7" s="76" t="s">
        <v>331</v>
      </c>
      <c r="G7" s="76" t="s">
        <v>332</v>
      </c>
      <c r="H7" s="74" t="s">
        <v>333</v>
      </c>
      <c r="I7" s="74" t="s">
        <v>334</v>
      </c>
      <c r="J7" s="74" t="s">
        <v>44</v>
      </c>
      <c r="K7" s="203" t="s">
        <v>335</v>
      </c>
      <c r="L7" s="74" t="s">
        <v>336</v>
      </c>
      <c r="M7" s="74" t="s">
        <v>337</v>
      </c>
      <c r="N7" s="74" t="s">
        <v>338</v>
      </c>
      <c r="O7" s="434" t="s">
        <v>339</v>
      </c>
      <c r="P7" s="172" t="s">
        <v>340</v>
      </c>
      <c r="Q7" s="172" t="s">
        <v>341</v>
      </c>
      <c r="R7" s="172" t="s">
        <v>342</v>
      </c>
      <c r="S7" s="172" t="s">
        <v>343</v>
      </c>
      <c r="T7" s="172" t="s">
        <v>1018</v>
      </c>
      <c r="U7" s="172" t="s">
        <v>344</v>
      </c>
      <c r="V7" s="172" t="s">
        <v>345</v>
      </c>
      <c r="W7" s="74" t="s">
        <v>346</v>
      </c>
      <c r="X7" s="74" t="s">
        <v>347</v>
      </c>
      <c r="Y7" s="982" t="s">
        <v>348</v>
      </c>
      <c r="Z7" s="1064" t="s">
        <v>349</v>
      </c>
      <c r="AA7" s="205" t="s">
        <v>350</v>
      </c>
      <c r="AB7" s="139" t="s">
        <v>351</v>
      </c>
      <c r="AC7" s="205" t="s">
        <v>352</v>
      </c>
      <c r="AD7" s="205" t="s">
        <v>353</v>
      </c>
      <c r="AE7" s="205" t="s">
        <v>354</v>
      </c>
      <c r="AF7" s="205" t="s">
        <v>355</v>
      </c>
      <c r="AG7" s="205" t="s">
        <v>930</v>
      </c>
      <c r="AH7" s="205" t="s">
        <v>931</v>
      </c>
      <c r="AI7" s="205" t="s">
        <v>933</v>
      </c>
      <c r="AJ7" s="205" t="s">
        <v>356</v>
      </c>
      <c r="AK7" s="74" t="s">
        <v>357</v>
      </c>
      <c r="AL7" s="86" t="s">
        <v>358</v>
      </c>
      <c r="AM7" s="400" t="s">
        <v>359</v>
      </c>
      <c r="AN7" s="431" t="s">
        <v>360</v>
      </c>
      <c r="AO7" s="431" t="s">
        <v>361</v>
      </c>
      <c r="AP7" s="431" t="s">
        <v>362</v>
      </c>
      <c r="AQ7" s="431" t="s">
        <v>363</v>
      </c>
      <c r="AR7" s="805" t="s">
        <v>923</v>
      </c>
      <c r="AS7" s="805" t="s">
        <v>924</v>
      </c>
      <c r="AT7" s="124" t="s">
        <v>893</v>
      </c>
      <c r="AU7" s="75" t="s">
        <v>890</v>
      </c>
      <c r="AV7" s="74" t="s">
        <v>364</v>
      </c>
      <c r="AW7" s="74" t="s">
        <v>365</v>
      </c>
      <c r="AX7" s="74" t="s">
        <v>366</v>
      </c>
      <c r="AY7" s="184" t="s">
        <v>367</v>
      </c>
      <c r="AZ7" s="183" t="s">
        <v>368</v>
      </c>
      <c r="BA7" s="184" t="s">
        <v>369</v>
      </c>
      <c r="BB7" s="308" t="s">
        <v>370</v>
      </c>
      <c r="BC7" s="184" t="s">
        <v>367</v>
      </c>
      <c r="BD7" s="183" t="s">
        <v>368</v>
      </c>
      <c r="BE7" s="184" t="s">
        <v>369</v>
      </c>
      <c r="BF7" s="218" t="s">
        <v>370</v>
      </c>
      <c r="BG7" s="182" t="s">
        <v>367</v>
      </c>
      <c r="BH7" s="183" t="s">
        <v>368</v>
      </c>
      <c r="BI7" s="184" t="s">
        <v>369</v>
      </c>
      <c r="BJ7" s="76" t="s">
        <v>367</v>
      </c>
      <c r="BK7" s="75" t="s">
        <v>368</v>
      </c>
      <c r="BL7" s="74" t="s">
        <v>369</v>
      </c>
      <c r="BM7" s="218" t="s">
        <v>370</v>
      </c>
      <c r="BN7" s="76" t="s">
        <v>367</v>
      </c>
      <c r="BO7" s="75" t="s">
        <v>368</v>
      </c>
      <c r="BP7" s="75" t="s">
        <v>369</v>
      </c>
      <c r="BQ7" s="827" t="s">
        <v>370</v>
      </c>
      <c r="BR7" s="74" t="s">
        <v>898</v>
      </c>
      <c r="BS7" s="1048" t="s">
        <v>991</v>
      </c>
      <c r="BT7" s="75" t="s">
        <v>904</v>
      </c>
      <c r="BU7" s="75" t="s">
        <v>46</v>
      </c>
      <c r="BV7" s="1065" t="s">
        <v>899</v>
      </c>
      <c r="BW7" s="1222"/>
      <c r="BX7" s="1222"/>
      <c r="BY7" s="1222"/>
      <c r="BZ7" s="1222"/>
      <c r="CA7" s="1223"/>
      <c r="CB7" s="98" t="s">
        <v>371</v>
      </c>
      <c r="CC7" s="99" t="s">
        <v>372</v>
      </c>
      <c r="CD7" s="99" t="s">
        <v>373</v>
      </c>
      <c r="CE7" s="99" t="s">
        <v>374</v>
      </c>
      <c r="CF7" s="99" t="s">
        <v>375</v>
      </c>
      <c r="CG7" s="74" t="s">
        <v>376</v>
      </c>
      <c r="CH7" s="74" t="s">
        <v>377</v>
      </c>
      <c r="CI7" s="74" t="s">
        <v>378</v>
      </c>
      <c r="CJ7" s="74" t="s">
        <v>379</v>
      </c>
      <c r="CK7" s="99" t="s">
        <v>380</v>
      </c>
      <c r="CL7" s="74" t="s">
        <v>381</v>
      </c>
      <c r="CM7" s="74" t="s">
        <v>382</v>
      </c>
      <c r="CN7" s="74" t="s">
        <v>383</v>
      </c>
      <c r="CO7" s="74" t="s">
        <v>384</v>
      </c>
      <c r="CP7" s="75" t="s">
        <v>385</v>
      </c>
      <c r="CQ7" s="73" t="s">
        <v>386</v>
      </c>
      <c r="CR7" s="74" t="s">
        <v>387</v>
      </c>
      <c r="CS7" s="74" t="s">
        <v>388</v>
      </c>
      <c r="CT7" s="74" t="s">
        <v>389</v>
      </c>
      <c r="CU7" s="74" t="s">
        <v>390</v>
      </c>
      <c r="CV7" s="74" t="s">
        <v>391</v>
      </c>
      <c r="CW7" s="74" t="s">
        <v>392</v>
      </c>
      <c r="CX7" s="161" t="s">
        <v>393</v>
      </c>
      <c r="CY7" s="99" t="s">
        <v>394</v>
      </c>
      <c r="CZ7" s="345" t="s">
        <v>395</v>
      </c>
      <c r="DA7" s="99" t="s">
        <v>396</v>
      </c>
      <c r="DB7" s="346" t="s">
        <v>397</v>
      </c>
      <c r="DC7" s="75" t="s">
        <v>398</v>
      </c>
      <c r="DD7" s="74" t="s">
        <v>387</v>
      </c>
      <c r="DE7" s="74" t="s">
        <v>388</v>
      </c>
      <c r="DF7" s="74" t="s">
        <v>389</v>
      </c>
      <c r="DG7" s="74" t="s">
        <v>390</v>
      </c>
      <c r="DH7" s="74" t="s">
        <v>391</v>
      </c>
      <c r="DI7" s="74" t="s">
        <v>392</v>
      </c>
      <c r="DJ7" s="161" t="s">
        <v>393</v>
      </c>
      <c r="DK7" s="99" t="s">
        <v>394</v>
      </c>
      <c r="DL7" s="345" t="s">
        <v>395</v>
      </c>
      <c r="DM7" s="99" t="s">
        <v>396</v>
      </c>
      <c r="DN7" s="74" t="s">
        <v>399</v>
      </c>
      <c r="DO7" s="74" t="s">
        <v>397</v>
      </c>
      <c r="DP7" s="74" t="s">
        <v>400</v>
      </c>
      <c r="DQ7" s="76" t="s">
        <v>387</v>
      </c>
      <c r="DR7" s="74" t="s">
        <v>388</v>
      </c>
      <c r="DS7" s="74" t="s">
        <v>389</v>
      </c>
      <c r="DT7" s="74" t="s">
        <v>390</v>
      </c>
      <c r="DU7" s="74" t="s">
        <v>391</v>
      </c>
      <c r="DV7" s="74" t="s">
        <v>392</v>
      </c>
      <c r="DW7" s="161" t="s">
        <v>393</v>
      </c>
      <c r="DX7" s="99" t="s">
        <v>394</v>
      </c>
      <c r="DY7" s="345" t="s">
        <v>395</v>
      </c>
      <c r="DZ7" s="99" t="s">
        <v>396</v>
      </c>
      <c r="EA7" s="74" t="s">
        <v>397</v>
      </c>
      <c r="EB7" s="74" t="s">
        <v>400</v>
      </c>
      <c r="EC7" s="76" t="s">
        <v>401</v>
      </c>
      <c r="ED7" s="99" t="s">
        <v>393</v>
      </c>
      <c r="EE7" s="99" t="s">
        <v>394</v>
      </c>
      <c r="EF7" s="345" t="s">
        <v>395</v>
      </c>
      <c r="EG7" s="99" t="s">
        <v>396</v>
      </c>
      <c r="EH7" s="99" t="s">
        <v>402</v>
      </c>
      <c r="EI7" s="99" t="s">
        <v>403</v>
      </c>
      <c r="EJ7" s="99" t="s">
        <v>404</v>
      </c>
      <c r="EK7" s="74" t="s">
        <v>405</v>
      </c>
      <c r="EL7" s="693" t="s">
        <v>406</v>
      </c>
      <c r="EM7" s="74" t="s">
        <v>398</v>
      </c>
      <c r="EN7" s="76" t="s">
        <v>401</v>
      </c>
      <c r="EO7" s="99" t="s">
        <v>393</v>
      </c>
      <c r="EP7" s="99" t="s">
        <v>394</v>
      </c>
      <c r="EQ7" s="345" t="s">
        <v>395</v>
      </c>
      <c r="ER7" s="99" t="s">
        <v>396</v>
      </c>
      <c r="ES7" s="99" t="s">
        <v>402</v>
      </c>
      <c r="ET7" s="99" t="s">
        <v>403</v>
      </c>
      <c r="EU7" s="124" t="s">
        <v>404</v>
      </c>
      <c r="EV7" s="74" t="s">
        <v>405</v>
      </c>
      <c r="EW7" s="693" t="s">
        <v>406</v>
      </c>
      <c r="EX7" s="74" t="s">
        <v>398</v>
      </c>
      <c r="EY7" s="73" t="s">
        <v>407</v>
      </c>
      <c r="EZ7" s="76" t="s">
        <v>403</v>
      </c>
      <c r="FA7" s="74" t="s">
        <v>404</v>
      </c>
      <c r="FB7" s="74" t="s">
        <v>408</v>
      </c>
      <c r="FC7" s="74" t="s">
        <v>409</v>
      </c>
      <c r="FD7" s="74" t="s">
        <v>410</v>
      </c>
      <c r="FE7" s="74" t="s">
        <v>411</v>
      </c>
      <c r="FF7" s="74" t="s">
        <v>412</v>
      </c>
      <c r="FG7" s="74" t="s">
        <v>413</v>
      </c>
      <c r="FH7" s="74" t="s">
        <v>403</v>
      </c>
      <c r="FI7" s="74" t="s">
        <v>404</v>
      </c>
      <c r="FJ7" s="74" t="s">
        <v>408</v>
      </c>
      <c r="FK7" s="74" t="s">
        <v>409</v>
      </c>
      <c r="FL7" s="74" t="s">
        <v>410</v>
      </c>
      <c r="FM7" s="74" t="s">
        <v>411</v>
      </c>
      <c r="FN7" s="74" t="s">
        <v>412</v>
      </c>
      <c r="FO7" s="74" t="s">
        <v>413</v>
      </c>
      <c r="FP7" s="74" t="s">
        <v>403</v>
      </c>
      <c r="FQ7" s="74" t="s">
        <v>404</v>
      </c>
      <c r="FR7" s="74" t="s">
        <v>408</v>
      </c>
      <c r="FS7" s="74" t="s">
        <v>409</v>
      </c>
      <c r="FT7" s="74" t="s">
        <v>410</v>
      </c>
      <c r="FU7" s="74" t="s">
        <v>411</v>
      </c>
      <c r="FV7" s="74" t="s">
        <v>412</v>
      </c>
      <c r="FW7" s="74" t="s">
        <v>413</v>
      </c>
      <c r="FX7" s="74" t="s">
        <v>403</v>
      </c>
      <c r="FY7" s="74" t="s">
        <v>404</v>
      </c>
      <c r="FZ7" s="74" t="s">
        <v>408</v>
      </c>
      <c r="GA7" s="74" t="s">
        <v>409</v>
      </c>
      <c r="GB7" s="74" t="s">
        <v>410</v>
      </c>
      <c r="GC7" s="74" t="s">
        <v>411</v>
      </c>
      <c r="GD7" s="74" t="s">
        <v>412</v>
      </c>
      <c r="GE7" s="74" t="s">
        <v>413</v>
      </c>
      <c r="GF7" s="74" t="s">
        <v>403</v>
      </c>
      <c r="GG7" s="74" t="s">
        <v>404</v>
      </c>
      <c r="GH7" s="74" t="s">
        <v>408</v>
      </c>
      <c r="GI7" s="74" t="s">
        <v>409</v>
      </c>
      <c r="GJ7" s="74" t="s">
        <v>410</v>
      </c>
      <c r="GK7" s="74" t="s">
        <v>411</v>
      </c>
      <c r="GL7" s="74" t="s">
        <v>412</v>
      </c>
      <c r="GM7" s="74" t="s">
        <v>413</v>
      </c>
      <c r="GN7" s="74" t="s">
        <v>403</v>
      </c>
      <c r="GO7" s="74" t="s">
        <v>404</v>
      </c>
      <c r="GP7" s="74" t="s">
        <v>408</v>
      </c>
      <c r="GQ7" s="74" t="s">
        <v>409</v>
      </c>
      <c r="GR7" s="74" t="s">
        <v>410</v>
      </c>
      <c r="GS7" s="74" t="s">
        <v>411</v>
      </c>
      <c r="GT7" s="74" t="s">
        <v>412</v>
      </c>
      <c r="GU7" s="122" t="s">
        <v>413</v>
      </c>
      <c r="GV7" s="74" t="s">
        <v>403</v>
      </c>
      <c r="GW7" s="74" t="s">
        <v>404</v>
      </c>
      <c r="GX7" s="74" t="s">
        <v>408</v>
      </c>
      <c r="GY7" s="74" t="s">
        <v>409</v>
      </c>
      <c r="GZ7" s="74" t="s">
        <v>410</v>
      </c>
      <c r="HA7" s="74" t="s">
        <v>411</v>
      </c>
      <c r="HB7" s="74" t="s">
        <v>412</v>
      </c>
      <c r="HC7" s="122" t="s">
        <v>413</v>
      </c>
      <c r="HD7" s="74" t="s">
        <v>403</v>
      </c>
      <c r="HE7" s="74" t="s">
        <v>404</v>
      </c>
      <c r="HF7" s="74" t="s">
        <v>408</v>
      </c>
      <c r="HG7" s="74" t="s">
        <v>409</v>
      </c>
      <c r="HH7" s="74" t="s">
        <v>410</v>
      </c>
      <c r="HI7" s="74" t="s">
        <v>411</v>
      </c>
      <c r="HJ7" s="74" t="s">
        <v>412</v>
      </c>
      <c r="HK7" s="122" t="s">
        <v>413</v>
      </c>
      <c r="HL7" s="74" t="s">
        <v>403</v>
      </c>
      <c r="HM7" s="74" t="s">
        <v>404</v>
      </c>
      <c r="HN7" s="74" t="s">
        <v>408</v>
      </c>
      <c r="HO7" s="74" t="s">
        <v>409</v>
      </c>
      <c r="HP7" s="74" t="s">
        <v>410</v>
      </c>
      <c r="HQ7" s="74" t="s">
        <v>411</v>
      </c>
      <c r="HR7" s="74" t="s">
        <v>412</v>
      </c>
      <c r="HS7" s="122" t="s">
        <v>413</v>
      </c>
      <c r="HT7" s="74" t="s">
        <v>403</v>
      </c>
      <c r="HU7" s="74" t="s">
        <v>404</v>
      </c>
      <c r="HV7" s="74" t="s">
        <v>408</v>
      </c>
      <c r="HW7" s="74" t="s">
        <v>409</v>
      </c>
      <c r="HX7" s="74" t="s">
        <v>410</v>
      </c>
      <c r="HY7" s="74" t="s">
        <v>411</v>
      </c>
      <c r="HZ7" s="74" t="s">
        <v>412</v>
      </c>
      <c r="IA7" s="122" t="s">
        <v>413</v>
      </c>
      <c r="IB7" s="74" t="s">
        <v>403</v>
      </c>
      <c r="IC7" s="74" t="s">
        <v>404</v>
      </c>
      <c r="ID7" s="74" t="s">
        <v>408</v>
      </c>
      <c r="IE7" s="74" t="s">
        <v>409</v>
      </c>
      <c r="IF7" s="74" t="s">
        <v>410</v>
      </c>
      <c r="IG7" s="74" t="s">
        <v>411</v>
      </c>
      <c r="IH7" s="74" t="s">
        <v>412</v>
      </c>
      <c r="II7" s="122" t="s">
        <v>413</v>
      </c>
    </row>
    <row r="8" spans="1:243" ht="14.45" customHeight="1" thickBot="1">
      <c r="A8" s="1170" t="s">
        <v>414</v>
      </c>
      <c r="B8" s="1197" t="s">
        <v>415</v>
      </c>
      <c r="C8" s="51">
        <v>1</v>
      </c>
      <c r="D8" s="425" t="str">
        <f>CONCATENATE("McGregor_",C8)</f>
        <v>McGregor_1</v>
      </c>
      <c r="E8" s="1">
        <v>482</v>
      </c>
      <c r="F8" s="435" t="s">
        <v>416</v>
      </c>
      <c r="G8" s="435">
        <v>43.7</v>
      </c>
      <c r="H8" s="335">
        <f t="shared" ref="H8:H27" si="0">CB8*CC8</f>
        <v>15.34618064</v>
      </c>
      <c r="I8" s="347">
        <f t="shared" ref="I8:I27" si="1">2*H8+2*(CB8+CC8)*CD8</f>
        <v>69.331334080000005</v>
      </c>
      <c r="J8" s="2">
        <f t="shared" ref="J8:J27" si="2">CQ8/I8</f>
        <v>0</v>
      </c>
      <c r="K8" s="30">
        <v>0</v>
      </c>
      <c r="L8" s="2">
        <f t="shared" ref="L8:L27" si="3">CQ8/(2*(CB8+CC8)*CD8)</f>
        <v>0</v>
      </c>
      <c r="M8" s="2">
        <f t="shared" ref="M8:M49" si="4">CQ8/(2*(CB8+CC8)*CD8-X8)</f>
        <v>0</v>
      </c>
      <c r="N8" s="2">
        <f t="shared" ref="N8:N49" si="5">CQ8/H8</f>
        <v>0</v>
      </c>
      <c r="O8" s="158">
        <f t="shared" ref="O8:O26" si="6">DC8/(2*(CB8+CC8)*CD8-X8)</f>
        <v>0</v>
      </c>
      <c r="P8" s="159">
        <f t="shared" ref="P8:P26" si="7">DP8/H8</f>
        <v>0</v>
      </c>
      <c r="Q8" s="159" t="str">
        <f t="shared" ref="Q8:Q17" si="8">IF(ISNUMBER(EB8),EB8/H8,"")</f>
        <v/>
      </c>
      <c r="R8" s="159"/>
      <c r="S8" s="160"/>
      <c r="T8" s="678"/>
      <c r="U8" s="285"/>
      <c r="V8" s="678" t="s">
        <v>417</v>
      </c>
      <c r="W8" s="335">
        <f t="shared" ref="W8:W27" si="9">SUM(FD8*FA8+FL8*FI8+FT8*FQ8+GB8*FY8+GJ8*GG8+GR8*GO8)/X8</f>
        <v>2</v>
      </c>
      <c r="X8" s="210">
        <f t="shared" ref="X8:X27" si="10">FD8+FL8+FT8+GB8+GJ8+GR8</f>
        <v>2.1379999999999999</v>
      </c>
      <c r="Y8" s="348">
        <f t="shared" ref="Y8:Y28" si="11">X8*SQRT(W8)/I8</f>
        <v>4.3610708440498497E-2</v>
      </c>
      <c r="Z8" s="349">
        <v>4.59</v>
      </c>
      <c r="AA8" s="349">
        <v>4</v>
      </c>
      <c r="AB8" s="349">
        <v>2.8</v>
      </c>
      <c r="AC8" s="349">
        <f t="shared" ref="AC8:AC28" si="12">AA8/H8*1000</f>
        <v>260.65117398487757</v>
      </c>
      <c r="AD8" s="495"/>
      <c r="AE8" t="s">
        <v>418</v>
      </c>
      <c r="AF8" s="140"/>
      <c r="AG8" s="140"/>
      <c r="AH8" s="140"/>
      <c r="AI8" s="140"/>
      <c r="AJ8" s="489"/>
      <c r="AK8" s="435"/>
      <c r="AL8" s="105">
        <v>1157</v>
      </c>
      <c r="AM8" s="105">
        <v>119</v>
      </c>
      <c r="AN8" s="105"/>
      <c r="AO8" s="105" t="s">
        <v>419</v>
      </c>
      <c r="AP8" s="105">
        <v>60</v>
      </c>
      <c r="AQ8" s="105">
        <v>41</v>
      </c>
      <c r="AR8" s="425">
        <v>46.5</v>
      </c>
      <c r="AS8" s="425">
        <v>39.299999999999997</v>
      </c>
      <c r="AT8" s="806">
        <v>45.9</v>
      </c>
      <c r="AU8" s="806">
        <v>36.200000000000003</v>
      </c>
      <c r="AV8" s="263" t="s">
        <v>420</v>
      </c>
      <c r="AW8" s="264" t="s">
        <v>417</v>
      </c>
      <c r="AX8" s="193">
        <v>119</v>
      </c>
      <c r="AY8" s="589">
        <f>ROUND('Char measurement'!U264,0)</f>
        <v>26</v>
      </c>
      <c r="AZ8" s="241">
        <v>6</v>
      </c>
      <c r="BA8" s="241">
        <v>60</v>
      </c>
      <c r="BB8" s="219">
        <v>0.6</v>
      </c>
      <c r="BC8" s="593">
        <f>ROUND('Char measurement'!Q264,0)</f>
        <v>34</v>
      </c>
      <c r="BD8" s="241">
        <v>12</v>
      </c>
      <c r="BE8" s="311">
        <v>55</v>
      </c>
      <c r="BF8" s="231">
        <v>1.67</v>
      </c>
      <c r="BG8" s="53"/>
      <c r="BH8" s="53"/>
      <c r="BI8" s="53"/>
      <c r="BJ8" s="3"/>
      <c r="BK8" s="53"/>
      <c r="BL8" s="53"/>
      <c r="BM8" s="53"/>
      <c r="BN8" s="3"/>
      <c r="BO8" s="53"/>
      <c r="BP8" s="53"/>
      <c r="BQ8" s="828"/>
      <c r="BR8" s="896"/>
      <c r="BS8" s="1049"/>
      <c r="BT8" s="53"/>
      <c r="BU8" s="53"/>
      <c r="BV8" s="828"/>
      <c r="BW8" s="1132" t="s">
        <v>421</v>
      </c>
      <c r="BX8" s="1126"/>
      <c r="BY8" s="1126"/>
      <c r="BZ8" s="1126"/>
      <c r="CA8" s="1127"/>
      <c r="CB8" s="242">
        <f>3.5-2*CS8/1000</f>
        <v>3.4491999999999998</v>
      </c>
      <c r="CC8" s="243">
        <f>4.5-2*CS8/1000</f>
        <v>4.4492000000000003</v>
      </c>
      <c r="CD8" s="243">
        <f>2.5-(DE8+DR8+DT8)/1000</f>
        <v>2.4460000000000002</v>
      </c>
      <c r="CE8" s="504"/>
      <c r="CF8" s="149">
        <v>0.25</v>
      </c>
      <c r="CG8" s="504"/>
      <c r="CH8" s="504"/>
      <c r="CI8" s="504"/>
      <c r="CJ8" s="45"/>
      <c r="CK8" s="507"/>
      <c r="CL8" s="507"/>
      <c r="CM8" s="507"/>
      <c r="CN8" s="507"/>
      <c r="CO8" s="507"/>
      <c r="CP8" s="504">
        <v>5.5</v>
      </c>
      <c r="CQ8" s="350">
        <f t="shared" ref="CQ8:CQ27" si="13">DC8+DP8+IF(ISNUMBER(EB8),EB8,0)+EM8+EX8</f>
        <v>0</v>
      </c>
      <c r="CR8" s="163" t="s">
        <v>422</v>
      </c>
      <c r="CS8" s="118">
        <f>2*12.7</f>
        <v>25.4</v>
      </c>
      <c r="CT8" s="118" t="s">
        <v>423</v>
      </c>
      <c r="CU8" s="118">
        <f>3*35</f>
        <v>105</v>
      </c>
      <c r="CV8" s="119" t="s">
        <v>422</v>
      </c>
      <c r="CW8" s="156">
        <v>12.7</v>
      </c>
      <c r="CX8" s="504" t="s">
        <v>424</v>
      </c>
      <c r="CY8" s="504" t="s">
        <v>425</v>
      </c>
      <c r="CZ8" s="351"/>
      <c r="DA8" s="507"/>
      <c r="DB8" s="352">
        <f t="shared" ref="DB8:DB27" si="14">2*(CB8+CC8)*CD8-X8</f>
        <v>36.500972800000007</v>
      </c>
      <c r="DC8" s="504"/>
      <c r="DD8" s="163" t="s">
        <v>422</v>
      </c>
      <c r="DE8" s="118">
        <f>2*12.7</f>
        <v>25.4</v>
      </c>
      <c r="DF8" s="118" t="s">
        <v>423</v>
      </c>
      <c r="DG8" s="118">
        <f>3*35</f>
        <v>105</v>
      </c>
      <c r="DH8" s="504" t="s">
        <v>422</v>
      </c>
      <c r="DI8" s="45">
        <v>12.7</v>
      </c>
      <c r="DJ8" s="507" t="s">
        <v>424</v>
      </c>
      <c r="DK8" s="507" t="s">
        <v>425</v>
      </c>
      <c r="DL8" s="351"/>
      <c r="DM8" s="507"/>
      <c r="DN8" s="507"/>
      <c r="DO8" s="249">
        <f t="shared" ref="DO8:DO27" si="15">CB8*CC8</f>
        <v>15.34618064</v>
      </c>
      <c r="DP8" s="135"/>
      <c r="DQ8" s="149" t="s">
        <v>426</v>
      </c>
      <c r="DR8" s="504">
        <v>12.7</v>
      </c>
      <c r="DS8" s="504" t="s">
        <v>422</v>
      </c>
      <c r="DT8" s="504">
        <v>15.9</v>
      </c>
      <c r="DU8" s="504" t="s">
        <v>423</v>
      </c>
      <c r="DV8" s="45">
        <v>105</v>
      </c>
      <c r="DW8" s="507"/>
      <c r="DX8" s="507"/>
      <c r="DY8" s="353"/>
      <c r="DZ8" s="507"/>
      <c r="EA8" s="504">
        <f t="shared" ref="EA8:EA26" si="16">CB8*CC8</f>
        <v>15.34618064</v>
      </c>
      <c r="EB8" s="45" t="s">
        <v>427</v>
      </c>
      <c r="EC8" s="504"/>
      <c r="ED8" s="507"/>
      <c r="EE8" s="504"/>
      <c r="EF8" s="353"/>
      <c r="EG8" s="507"/>
      <c r="EH8" s="507"/>
      <c r="EI8" s="507"/>
      <c r="EJ8" s="507"/>
      <c r="EK8" s="507"/>
      <c r="EL8" s="697"/>
      <c r="EM8" s="156"/>
      <c r="EN8" s="507"/>
      <c r="EO8" s="507"/>
      <c r="EP8" s="507"/>
      <c r="EQ8" s="351"/>
      <c r="ER8" s="507"/>
      <c r="ES8" s="507"/>
      <c r="ET8" s="507"/>
      <c r="EU8" s="507"/>
      <c r="EV8" s="507"/>
      <c r="EW8" s="694"/>
      <c r="EX8" s="507"/>
      <c r="EY8" s="162">
        <v>1</v>
      </c>
      <c r="EZ8" s="149">
        <v>1.069</v>
      </c>
      <c r="FA8" s="504">
        <v>2</v>
      </c>
      <c r="FB8" s="504">
        <v>0</v>
      </c>
      <c r="FC8" s="249">
        <f t="shared" ref="FC8:FC15" si="17">(CB8-EZ8)/2</f>
        <v>1.1900999999999999</v>
      </c>
      <c r="FD8" s="249">
        <f t="shared" ref="FD8:FD27" si="18">EZ8*FA8</f>
        <v>2.1379999999999999</v>
      </c>
      <c r="FE8" s="249"/>
      <c r="FF8" s="249"/>
      <c r="FG8" s="45" t="s">
        <v>428</v>
      </c>
      <c r="FM8" s="249"/>
      <c r="FN8" s="249"/>
      <c r="FU8" s="249"/>
      <c r="FV8" s="249"/>
      <c r="GC8" s="249"/>
      <c r="GD8" s="249"/>
      <c r="GK8" s="249"/>
      <c r="GL8" s="249"/>
      <c r="GS8" s="249"/>
      <c r="GT8" s="249"/>
      <c r="GU8" s="510"/>
      <c r="HA8" s="249"/>
      <c r="HB8" s="249"/>
      <c r="HC8" s="510"/>
      <c r="HI8" s="249"/>
      <c r="HJ8" s="249"/>
      <c r="HK8" s="510"/>
      <c r="HQ8" s="249"/>
      <c r="HR8" s="249"/>
      <c r="HS8" s="510"/>
      <c r="HY8" s="249"/>
      <c r="HZ8" s="249"/>
      <c r="IA8" s="510"/>
      <c r="IG8" s="249"/>
      <c r="IH8" s="249"/>
      <c r="II8" s="510"/>
    </row>
    <row r="9" spans="1:243" ht="15" customHeight="1">
      <c r="A9" s="1187"/>
      <c r="B9" s="1197"/>
      <c r="C9" s="51">
        <v>2</v>
      </c>
      <c r="D9" s="725" t="str">
        <f t="shared" ref="D9:D12" si="19">CONCATENATE("McGregor_",C9)</f>
        <v>McGregor_2</v>
      </c>
      <c r="E9" s="337">
        <v>533</v>
      </c>
      <c r="F9" s="435" t="s">
        <v>429</v>
      </c>
      <c r="G9" s="435">
        <v>18.27</v>
      </c>
      <c r="H9" s="525">
        <f t="shared" si="0"/>
        <v>15.34618064</v>
      </c>
      <c r="I9" s="354">
        <f t="shared" si="1"/>
        <v>69.081744640000011</v>
      </c>
      <c r="J9" s="4">
        <f t="shared" si="2"/>
        <v>0</v>
      </c>
      <c r="K9" s="716">
        <v>0</v>
      </c>
      <c r="L9" s="4">
        <f t="shared" si="3"/>
        <v>0</v>
      </c>
      <c r="M9" s="4">
        <f t="shared" si="4"/>
        <v>0</v>
      </c>
      <c r="N9" s="4">
        <f t="shared" si="5"/>
        <v>0</v>
      </c>
      <c r="O9" s="436">
        <f t="shared" si="6"/>
        <v>0</v>
      </c>
      <c r="P9" s="131">
        <f t="shared" si="7"/>
        <v>0</v>
      </c>
      <c r="Q9" s="131" t="str">
        <f t="shared" si="8"/>
        <v/>
      </c>
      <c r="R9" s="131"/>
      <c r="S9" s="437"/>
      <c r="T9" s="679"/>
      <c r="U9" s="438"/>
      <c r="V9" s="679" t="s">
        <v>417</v>
      </c>
      <c r="W9" s="525">
        <f t="shared" si="9"/>
        <v>2</v>
      </c>
      <c r="X9" s="439">
        <f t="shared" si="10"/>
        <v>2.1379999999999999</v>
      </c>
      <c r="Y9" s="928">
        <f t="shared" si="11"/>
        <v>4.3768272097212582E-2</v>
      </c>
      <c r="Z9" s="495">
        <f>5.6</f>
        <v>5.6</v>
      </c>
      <c r="AA9" s="495">
        <v>5.49</v>
      </c>
      <c r="AB9" s="489"/>
      <c r="AC9" s="489">
        <f t="shared" si="12"/>
        <v>357.74373629424451</v>
      </c>
      <c r="AD9" s="489"/>
      <c r="AE9" s="489"/>
      <c r="AF9" s="489"/>
      <c r="AG9" s="489"/>
      <c r="AH9" s="489"/>
      <c r="AI9" s="489"/>
      <c r="AJ9" s="489"/>
      <c r="AK9" s="440">
        <f>379/E9</f>
        <v>0.71106941838649151</v>
      </c>
      <c r="AL9" s="106"/>
      <c r="AM9" s="106">
        <v>60</v>
      </c>
      <c r="AN9" s="106"/>
      <c r="AO9" s="106"/>
      <c r="AP9" s="106"/>
      <c r="AQ9" s="106"/>
      <c r="AR9" s="425">
        <v>46.5</v>
      </c>
      <c r="AS9" s="425">
        <v>39.299999999999997</v>
      </c>
      <c r="AT9" s="806">
        <v>45.9</v>
      </c>
      <c r="AU9" s="806">
        <v>36.200000000000003</v>
      </c>
      <c r="AV9" s="265"/>
      <c r="AW9" s="441" t="s">
        <v>430</v>
      </c>
      <c r="AX9" s="726">
        <v>60</v>
      </c>
      <c r="AY9" s="590"/>
      <c r="AZ9" s="185"/>
      <c r="BA9" s="185"/>
      <c r="BB9" s="220"/>
      <c r="BC9" s="594"/>
      <c r="BD9" s="185"/>
      <c r="BE9" s="312"/>
      <c r="BF9" s="232"/>
      <c r="BG9" s="185"/>
      <c r="BH9" s="185"/>
      <c r="BI9" s="185"/>
      <c r="BJ9" s="540"/>
      <c r="BK9" s="541"/>
      <c r="BL9" s="541"/>
      <c r="BM9" s="541"/>
      <c r="BN9" s="540"/>
      <c r="BQ9" s="829"/>
      <c r="BR9" s="897"/>
      <c r="BS9" s="1050"/>
      <c r="BV9" s="829"/>
      <c r="BW9" s="1128"/>
      <c r="BX9" s="1113"/>
      <c r="BY9" s="1113"/>
      <c r="BZ9" s="1113"/>
      <c r="CA9" s="1122"/>
      <c r="CB9" s="244">
        <f>3.5-2*CS9/1000</f>
        <v>3.4491999999999998</v>
      </c>
      <c r="CC9" s="245">
        <f>4.5-2*CS9/1000</f>
        <v>4.4492000000000003</v>
      </c>
      <c r="CD9" s="245">
        <f>2.5-(DE9+DR9+DT9)/1000</f>
        <v>2.4302000000000001</v>
      </c>
      <c r="CE9"/>
      <c r="CF9" s="425"/>
      <c r="CJ9" s="427"/>
      <c r="CO9"/>
      <c r="CP9" s="506">
        <v>17.5</v>
      </c>
      <c r="CQ9" s="355">
        <f t="shared" si="13"/>
        <v>0</v>
      </c>
      <c r="CR9" s="426" t="s">
        <v>422</v>
      </c>
      <c r="CS9" s="119">
        <f>2*12.7</f>
        <v>25.4</v>
      </c>
      <c r="CT9" s="119" t="s">
        <v>423</v>
      </c>
      <c r="CU9" s="119">
        <f>3*35</f>
        <v>105</v>
      </c>
      <c r="CV9" s="119" t="s">
        <v>422</v>
      </c>
      <c r="CW9" s="518">
        <v>12.7</v>
      </c>
      <c r="CX9" s="506" t="s">
        <v>424</v>
      </c>
      <c r="CY9" s="506" t="s">
        <v>425</v>
      </c>
      <c r="CZ9" s="339"/>
      <c r="DA9"/>
      <c r="DB9" s="340">
        <f t="shared" si="14"/>
        <v>36.251383360000005</v>
      </c>
      <c r="DC9" s="506"/>
      <c r="DD9" s="426" t="s">
        <v>422</v>
      </c>
      <c r="DE9" s="119">
        <f>2*12.7</f>
        <v>25.4</v>
      </c>
      <c r="DF9" s="119" t="s">
        <v>423</v>
      </c>
      <c r="DG9" s="119">
        <f>3*35</f>
        <v>105</v>
      </c>
      <c r="DH9" s="506" t="s">
        <v>422</v>
      </c>
      <c r="DI9" s="427">
        <v>12.7</v>
      </c>
      <c r="DJ9" t="s">
        <v>424</v>
      </c>
      <c r="DK9" t="s">
        <v>425</v>
      </c>
      <c r="DL9" s="339"/>
      <c r="DO9" s="116">
        <f t="shared" si="15"/>
        <v>15.34618064</v>
      </c>
      <c r="DP9" s="430"/>
      <c r="DQ9" s="425" t="s">
        <v>431</v>
      </c>
      <c r="DR9" s="506">
        <v>19</v>
      </c>
      <c r="DS9" s="506" t="s">
        <v>426</v>
      </c>
      <c r="DT9" s="506">
        <f>2*12.7</f>
        <v>25.4</v>
      </c>
      <c r="DU9" s="506" t="s">
        <v>422</v>
      </c>
      <c r="DV9" s="427">
        <v>15.9</v>
      </c>
      <c r="DX9"/>
      <c r="DY9" s="341"/>
      <c r="DZ9"/>
      <c r="EA9" s="506">
        <f t="shared" si="16"/>
        <v>15.34618064</v>
      </c>
      <c r="EB9" s="427" t="s">
        <v>427</v>
      </c>
      <c r="EC9" s="506"/>
      <c r="ED9"/>
      <c r="EE9" s="506"/>
      <c r="EF9" s="341"/>
      <c r="EK9"/>
      <c r="EL9" s="698"/>
      <c r="EM9" s="518"/>
      <c r="EP9"/>
      <c r="EQ9" s="339"/>
      <c r="EV9"/>
      <c r="EW9" s="690"/>
      <c r="EX9"/>
      <c r="EY9" s="21">
        <v>1</v>
      </c>
      <c r="EZ9" s="425">
        <v>1.069</v>
      </c>
      <c r="FA9" s="506">
        <v>2</v>
      </c>
      <c r="FB9" s="506">
        <v>0</v>
      </c>
      <c r="FC9" s="116">
        <f t="shared" si="17"/>
        <v>1.1900999999999999</v>
      </c>
      <c r="FD9" s="116">
        <f t="shared" si="18"/>
        <v>2.1379999999999999</v>
      </c>
      <c r="FE9" s="116"/>
      <c r="FF9" s="116"/>
      <c r="FG9" s="427" t="s">
        <v>428</v>
      </c>
      <c r="FM9" s="116"/>
      <c r="FN9" s="116"/>
      <c r="FU9" s="116"/>
      <c r="FV9" s="116"/>
      <c r="GC9" s="116"/>
      <c r="GD9" s="116"/>
      <c r="GK9" s="116"/>
      <c r="GL9" s="116"/>
      <c r="GS9" s="116"/>
      <c r="GT9" s="116"/>
      <c r="GU9" s="510"/>
      <c r="HA9" s="116"/>
      <c r="HB9" s="116"/>
      <c r="HC9" s="510"/>
      <c r="HI9" s="116"/>
      <c r="HJ9" s="116"/>
      <c r="HK9" s="510"/>
      <c r="HQ9" s="116"/>
      <c r="HR9" s="116"/>
      <c r="HS9" s="510"/>
      <c r="HY9" s="116"/>
      <c r="HZ9" s="116"/>
      <c r="IA9" s="510"/>
      <c r="IG9" s="116"/>
      <c r="IH9" s="116"/>
      <c r="II9" s="510"/>
    </row>
    <row r="10" spans="1:243" ht="15" customHeight="1">
      <c r="A10" s="1187"/>
      <c r="B10" s="1197"/>
      <c r="C10" s="51">
        <v>3</v>
      </c>
      <c r="D10" s="725" t="str">
        <f t="shared" si="19"/>
        <v>McGregor_3</v>
      </c>
      <c r="E10" s="5">
        <v>182</v>
      </c>
      <c r="F10" s="435" t="s">
        <v>416</v>
      </c>
      <c r="G10" s="435">
        <v>43.7</v>
      </c>
      <c r="H10" s="525">
        <f t="shared" si="0"/>
        <v>15.75</v>
      </c>
      <c r="I10" s="354">
        <f t="shared" si="1"/>
        <v>71.5</v>
      </c>
      <c r="J10" s="4">
        <f t="shared" si="2"/>
        <v>0.74981818181818183</v>
      </c>
      <c r="K10" s="716" t="s">
        <v>432</v>
      </c>
      <c r="L10" s="4">
        <f t="shared" si="3"/>
        <v>1.3403</v>
      </c>
      <c r="M10" s="4">
        <f t="shared" si="4"/>
        <v>1.4159843642702445</v>
      </c>
      <c r="N10" s="4">
        <f t="shared" si="5"/>
        <v>3.4039365079365083</v>
      </c>
      <c r="O10" s="436">
        <f t="shared" si="6"/>
        <v>1</v>
      </c>
      <c r="P10" s="131">
        <f t="shared" si="7"/>
        <v>1</v>
      </c>
      <c r="Q10" s="131" t="str">
        <f t="shared" si="8"/>
        <v/>
      </c>
      <c r="R10" s="131"/>
      <c r="S10" s="437"/>
      <c r="T10" s="679"/>
      <c r="U10" s="438"/>
      <c r="V10" s="679" t="s">
        <v>417</v>
      </c>
      <c r="W10" s="525">
        <f t="shared" si="9"/>
        <v>2</v>
      </c>
      <c r="X10" s="439">
        <f t="shared" si="10"/>
        <v>2.1379999999999999</v>
      </c>
      <c r="Y10" s="928">
        <f t="shared" si="11"/>
        <v>4.2287952396554924E-2</v>
      </c>
      <c r="Z10" s="495">
        <v>8.75</v>
      </c>
      <c r="AA10" s="489">
        <v>3</v>
      </c>
      <c r="AB10" s="495">
        <f>Z10-AA10</f>
        <v>5.75</v>
      </c>
      <c r="AC10" s="495">
        <f t="shared" si="12"/>
        <v>190.47619047619045</v>
      </c>
      <c r="AD10" s="495"/>
      <c r="AE10" t="s">
        <v>418</v>
      </c>
      <c r="AF10" s="489"/>
      <c r="AG10" s="489"/>
      <c r="AH10" s="489"/>
      <c r="AI10" s="489"/>
      <c r="AJ10" s="489"/>
      <c r="AK10" s="435"/>
      <c r="AL10" s="106">
        <v>982</v>
      </c>
      <c r="AM10" s="106">
        <v>60</v>
      </c>
      <c r="AN10" s="106"/>
      <c r="AO10" s="106"/>
      <c r="AP10" s="106"/>
      <c r="AQ10" s="106"/>
      <c r="AR10" s="425"/>
      <c r="AS10" s="425"/>
      <c r="AT10" s="425"/>
      <c r="AU10" s="425"/>
      <c r="AV10" s="265"/>
      <c r="AW10" s="441" t="s">
        <v>430</v>
      </c>
      <c r="AX10" s="726">
        <v>58</v>
      </c>
      <c r="AY10" s="591">
        <f>ROUND('Char measurement'!U284,0)</f>
        <v>30</v>
      </c>
      <c r="AZ10" s="605">
        <f>AY10*0.75</f>
        <v>22.5</v>
      </c>
      <c r="BA10" s="54">
        <v>40</v>
      </c>
      <c r="BB10" s="117">
        <v>0.63</v>
      </c>
      <c r="BC10" s="595">
        <f>ROUND('Char measurement'!Q284,0)</f>
        <v>20</v>
      </c>
      <c r="BD10" s="605">
        <f>BC10*0.75</f>
        <v>15</v>
      </c>
      <c r="BE10" s="313">
        <v>40</v>
      </c>
      <c r="BF10" s="233">
        <f>13/(24-5)</f>
        <v>0.68421052631578949</v>
      </c>
      <c r="BG10" s="54"/>
      <c r="BH10" s="54"/>
      <c r="BI10" s="54"/>
      <c r="BJ10" s="49"/>
      <c r="BK10" s="54"/>
      <c r="BL10" s="54"/>
      <c r="BM10" s="54"/>
      <c r="BN10" s="49"/>
      <c r="BO10" s="54"/>
      <c r="BP10" s="54"/>
      <c r="BQ10" s="829"/>
      <c r="BR10" s="894"/>
      <c r="BS10" s="887"/>
      <c r="BT10" s="54"/>
      <c r="BU10" s="54"/>
      <c r="BV10" s="829"/>
      <c r="BW10" s="1128"/>
      <c r="BX10" s="1113"/>
      <c r="BY10" s="1113"/>
      <c r="BZ10" s="1113"/>
      <c r="CA10" s="1122"/>
      <c r="CB10" s="244">
        <v>3.5</v>
      </c>
      <c r="CC10" s="245">
        <v>4.5</v>
      </c>
      <c r="CD10" s="245">
        <v>2.5</v>
      </c>
      <c r="CE10"/>
      <c r="CF10" s="425"/>
      <c r="CJ10" s="427"/>
      <c r="CO10"/>
      <c r="CP10" s="506">
        <v>16</v>
      </c>
      <c r="CQ10" s="355">
        <f t="shared" si="13"/>
        <v>53.612000000000002</v>
      </c>
      <c r="CR10" s="426" t="s">
        <v>423</v>
      </c>
      <c r="CS10" s="119">
        <v>105</v>
      </c>
      <c r="CT10" s="119" t="s">
        <v>422</v>
      </c>
      <c r="CU10" s="119">
        <v>12.7</v>
      </c>
      <c r="CV10" s="506"/>
      <c r="CW10" s="518"/>
      <c r="CX10" s="506" t="s">
        <v>424</v>
      </c>
      <c r="CY10" s="506" t="s">
        <v>425</v>
      </c>
      <c r="CZ10" s="339"/>
      <c r="DA10"/>
      <c r="DB10" s="340">
        <f t="shared" si="14"/>
        <v>37.862000000000002</v>
      </c>
      <c r="DC10" s="506">
        <f>2*(CB10+CC10)*CD10-X10</f>
        <v>37.862000000000002</v>
      </c>
      <c r="DD10" s="426" t="s">
        <v>423</v>
      </c>
      <c r="DE10" s="119">
        <v>105</v>
      </c>
      <c r="DF10" s="119" t="s">
        <v>422</v>
      </c>
      <c r="DG10" s="119">
        <v>12.7</v>
      </c>
      <c r="DI10" s="427"/>
      <c r="DJ10" t="s">
        <v>424</v>
      </c>
      <c r="DK10" t="s">
        <v>425</v>
      </c>
      <c r="DL10" s="339"/>
      <c r="DO10" s="116">
        <f t="shared" si="15"/>
        <v>15.75</v>
      </c>
      <c r="DP10" s="430">
        <f>CB10*CC10</f>
        <v>15.75</v>
      </c>
      <c r="DQ10" s="425" t="s">
        <v>426</v>
      </c>
      <c r="DR10" s="506">
        <f>2*12.7</f>
        <v>25.4</v>
      </c>
      <c r="DS10" s="506" t="s">
        <v>422</v>
      </c>
      <c r="DT10" s="506">
        <v>15.9</v>
      </c>
      <c r="DU10" s="506" t="s">
        <v>423</v>
      </c>
      <c r="DV10" s="427">
        <v>105</v>
      </c>
      <c r="DX10"/>
      <c r="DY10" s="341"/>
      <c r="DZ10"/>
      <c r="EA10" s="506">
        <f t="shared" si="16"/>
        <v>15.75</v>
      </c>
      <c r="EB10" s="427" t="s">
        <v>427</v>
      </c>
      <c r="EC10" s="506"/>
      <c r="ED10"/>
      <c r="EE10" s="506"/>
      <c r="EF10" s="341"/>
      <c r="EK10"/>
      <c r="EL10" s="698"/>
      <c r="EM10" s="518"/>
      <c r="EP10"/>
      <c r="EQ10" s="339"/>
      <c r="EV10"/>
      <c r="EW10" s="690"/>
      <c r="EX10"/>
      <c r="EY10" s="21">
        <v>1</v>
      </c>
      <c r="EZ10" s="425">
        <v>1.069</v>
      </c>
      <c r="FA10" s="506">
        <v>2</v>
      </c>
      <c r="FB10" s="506">
        <v>0</v>
      </c>
      <c r="FC10" s="116">
        <f t="shared" si="17"/>
        <v>1.2155</v>
      </c>
      <c r="FD10" s="116">
        <f t="shared" si="18"/>
        <v>2.1379999999999999</v>
      </c>
      <c r="FE10" s="116"/>
      <c r="FF10" s="116"/>
      <c r="FG10" s="427" t="s">
        <v>428</v>
      </c>
      <c r="FM10" s="116"/>
      <c r="FN10" s="116"/>
      <c r="FU10" s="116"/>
      <c r="FV10" s="116"/>
      <c r="GC10" s="116"/>
      <c r="GD10" s="116"/>
      <c r="GK10" s="116"/>
      <c r="GL10" s="116"/>
      <c r="GS10" s="116"/>
      <c r="GT10" s="116"/>
      <c r="GU10" s="510"/>
      <c r="HA10" s="116"/>
      <c r="HB10" s="116"/>
      <c r="HC10" s="510"/>
      <c r="HI10" s="116"/>
      <c r="HJ10" s="116"/>
      <c r="HK10" s="510"/>
      <c r="HQ10" s="116"/>
      <c r="HR10" s="116"/>
      <c r="HS10" s="510"/>
      <c r="HY10" s="116"/>
      <c r="HZ10" s="116"/>
      <c r="IA10" s="510"/>
      <c r="IG10" s="116"/>
      <c r="IH10" s="116"/>
      <c r="II10" s="510"/>
    </row>
    <row r="11" spans="1:243" ht="15" customHeight="1">
      <c r="A11" s="1187"/>
      <c r="B11" s="1197"/>
      <c r="C11" s="51">
        <v>4</v>
      </c>
      <c r="D11" s="725" t="str">
        <f t="shared" si="19"/>
        <v>McGregor_4</v>
      </c>
      <c r="E11" s="337">
        <v>553</v>
      </c>
      <c r="F11" s="435" t="s">
        <v>429</v>
      </c>
      <c r="G11" s="435">
        <v>18.260000000000002</v>
      </c>
      <c r="H11" s="525">
        <f t="shared" si="0"/>
        <v>15.34618064</v>
      </c>
      <c r="I11" s="354">
        <f t="shared" si="1"/>
        <v>69.282364000000001</v>
      </c>
      <c r="J11" s="4">
        <f t="shared" si="2"/>
        <v>0</v>
      </c>
      <c r="K11" s="716" t="s">
        <v>433</v>
      </c>
      <c r="L11" s="4">
        <f t="shared" si="3"/>
        <v>0</v>
      </c>
      <c r="M11" s="4">
        <f t="shared" si="4"/>
        <v>0</v>
      </c>
      <c r="N11" s="4">
        <f t="shared" si="5"/>
        <v>0</v>
      </c>
      <c r="O11" s="436">
        <f t="shared" si="6"/>
        <v>0</v>
      </c>
      <c r="P11" s="131">
        <f t="shared" si="7"/>
        <v>0</v>
      </c>
      <c r="Q11" s="131" t="str">
        <f t="shared" si="8"/>
        <v/>
      </c>
      <c r="R11" s="131"/>
      <c r="S11" s="437"/>
      <c r="T11" s="679"/>
      <c r="U11" s="438"/>
      <c r="V11" s="679" t="s">
        <v>417</v>
      </c>
      <c r="W11" s="525">
        <f t="shared" si="9"/>
        <v>2</v>
      </c>
      <c r="X11" s="439">
        <f t="shared" si="10"/>
        <v>2.1379999999999999</v>
      </c>
      <c r="Y11" s="928">
        <f t="shared" si="11"/>
        <v>4.3641533310752462E-2</v>
      </c>
      <c r="Z11" s="495">
        <v>5.72</v>
      </c>
      <c r="AA11" s="495">
        <v>5.7</v>
      </c>
      <c r="AB11" s="489"/>
      <c r="AC11" s="489">
        <f t="shared" si="12"/>
        <v>371.42792292845058</v>
      </c>
      <c r="AD11" s="489"/>
      <c r="AE11" s="489"/>
      <c r="AF11" s="489"/>
      <c r="AG11" s="489"/>
      <c r="AH11" s="489"/>
      <c r="AI11" s="489"/>
      <c r="AJ11" s="489"/>
      <c r="AK11" s="442">
        <f>364/E11</f>
        <v>0.65822784810126578</v>
      </c>
      <c r="AL11" s="106">
        <v>1081</v>
      </c>
      <c r="AM11" s="106">
        <v>54</v>
      </c>
      <c r="AN11" s="106"/>
      <c r="AO11" s="106"/>
      <c r="AP11" s="106"/>
      <c r="AQ11" s="106"/>
      <c r="AR11" s="425">
        <v>46.5</v>
      </c>
      <c r="AS11" s="425">
        <v>39.299999999999997</v>
      </c>
      <c r="AT11" s="806">
        <v>45.9</v>
      </c>
      <c r="AU11" s="806">
        <v>36.200000000000003</v>
      </c>
      <c r="AV11" s="265"/>
      <c r="AW11" s="441" t="s">
        <v>430</v>
      </c>
      <c r="AX11" s="726">
        <v>53</v>
      </c>
      <c r="AY11" s="590"/>
      <c r="AZ11" s="185"/>
      <c r="BA11" s="185"/>
      <c r="BB11" s="220"/>
      <c r="BC11" s="594"/>
      <c r="BD11" s="185"/>
      <c r="BE11" s="312"/>
      <c r="BF11" s="232"/>
      <c r="BG11" s="185"/>
      <c r="BH11" s="185"/>
      <c r="BI11" s="185"/>
      <c r="BJ11" s="540"/>
      <c r="BK11" s="541"/>
      <c r="BL11" s="541"/>
      <c r="BM11" s="541"/>
      <c r="BN11" s="540"/>
      <c r="BO11" s="541"/>
      <c r="BP11" s="541"/>
      <c r="BQ11" s="829"/>
      <c r="BR11" s="897"/>
      <c r="BS11" s="1051"/>
      <c r="BT11" s="541"/>
      <c r="BU11" s="541"/>
      <c r="BV11" s="829"/>
      <c r="BW11" s="1128"/>
      <c r="BX11" s="1113"/>
      <c r="BY11" s="1113"/>
      <c r="BZ11" s="1113"/>
      <c r="CA11" s="1122"/>
      <c r="CB11" s="244">
        <f>3.5-2*CS11/1000</f>
        <v>3.4491999999999998</v>
      </c>
      <c r="CC11" s="245">
        <f>4.5-2*CS11/1000</f>
        <v>4.4492000000000003</v>
      </c>
      <c r="CD11" s="245">
        <f>2.5-(DE11+DR11+DT11)/1000</f>
        <v>2.4428999999999998</v>
      </c>
      <c r="CE11"/>
      <c r="CF11" s="425"/>
      <c r="CJ11" s="427"/>
      <c r="CO11"/>
      <c r="CP11" s="506">
        <v>27</v>
      </c>
      <c r="CQ11" s="355">
        <f t="shared" si="13"/>
        <v>0</v>
      </c>
      <c r="CR11" s="426" t="s">
        <v>422</v>
      </c>
      <c r="CS11" s="119">
        <f>2*12.7</f>
        <v>25.4</v>
      </c>
      <c r="CT11" s="119" t="s">
        <v>423</v>
      </c>
      <c r="CU11" s="119">
        <f>3*35</f>
        <v>105</v>
      </c>
      <c r="CV11" s="119" t="s">
        <v>422</v>
      </c>
      <c r="CW11" s="518">
        <v>12.7</v>
      </c>
      <c r="CX11" s="506" t="s">
        <v>424</v>
      </c>
      <c r="CY11" s="506" t="s">
        <v>425</v>
      </c>
      <c r="CZ11" s="339"/>
      <c r="DA11"/>
      <c r="DB11" s="340">
        <f t="shared" si="14"/>
        <v>36.452002720000003</v>
      </c>
      <c r="DC11" s="506"/>
      <c r="DD11" s="426" t="s">
        <v>422</v>
      </c>
      <c r="DE11" s="119">
        <f>2*12.7</f>
        <v>25.4</v>
      </c>
      <c r="DF11" s="119" t="s">
        <v>423</v>
      </c>
      <c r="DG11" s="119">
        <f>3*35</f>
        <v>105</v>
      </c>
      <c r="DH11" s="506" t="s">
        <v>422</v>
      </c>
      <c r="DI11" s="427">
        <v>12.7</v>
      </c>
      <c r="DJ11" t="s">
        <v>424</v>
      </c>
      <c r="DK11" t="s">
        <v>425</v>
      </c>
      <c r="DL11" s="339"/>
      <c r="DO11" s="116">
        <f t="shared" si="15"/>
        <v>15.34618064</v>
      </c>
      <c r="DP11" s="430"/>
      <c r="DQ11" s="425" t="s">
        <v>431</v>
      </c>
      <c r="DR11" s="506">
        <v>19</v>
      </c>
      <c r="DS11" s="506" t="s">
        <v>426</v>
      </c>
      <c r="DT11" s="506">
        <v>12.7</v>
      </c>
      <c r="DU11" s="506" t="s">
        <v>422</v>
      </c>
      <c r="DV11" s="427">
        <v>15.9</v>
      </c>
      <c r="DX11"/>
      <c r="DY11" s="341"/>
      <c r="DZ11"/>
      <c r="EA11" s="506">
        <f t="shared" si="16"/>
        <v>15.34618064</v>
      </c>
      <c r="EB11" s="443" t="s">
        <v>427</v>
      </c>
      <c r="EC11" s="506"/>
      <c r="ED11"/>
      <c r="EE11" s="506"/>
      <c r="EF11" s="341"/>
      <c r="EK11"/>
      <c r="EL11" s="698"/>
      <c r="EM11" s="518"/>
      <c r="EP11"/>
      <c r="EQ11" s="339"/>
      <c r="EV11"/>
      <c r="EW11" s="690"/>
      <c r="EX11"/>
      <c r="EY11" s="21">
        <v>1</v>
      </c>
      <c r="EZ11" s="425">
        <v>1.069</v>
      </c>
      <c r="FA11" s="506">
        <v>2</v>
      </c>
      <c r="FB11" s="506">
        <v>0</v>
      </c>
      <c r="FC11" s="116">
        <f t="shared" si="17"/>
        <v>1.1900999999999999</v>
      </c>
      <c r="FD11" s="116">
        <f t="shared" si="18"/>
        <v>2.1379999999999999</v>
      </c>
      <c r="FE11" s="116"/>
      <c r="FF11" s="116"/>
      <c r="FG11" s="427" t="s">
        <v>428</v>
      </c>
      <c r="FM11" s="116"/>
      <c r="FN11" s="116"/>
      <c r="FU11" s="116"/>
      <c r="FV11" s="116"/>
      <c r="GC11" s="116"/>
      <c r="GD11" s="116"/>
      <c r="GK11" s="116"/>
      <c r="GL11" s="116"/>
      <c r="GS11" s="116"/>
      <c r="GT11" s="116"/>
      <c r="GU11" s="510"/>
      <c r="HA11" s="116"/>
      <c r="HB11" s="116"/>
      <c r="HC11" s="510"/>
      <c r="HI11" s="116"/>
      <c r="HJ11" s="116"/>
      <c r="HK11" s="510"/>
      <c r="HQ11" s="116"/>
      <c r="HR11" s="116"/>
      <c r="HS11" s="510"/>
      <c r="HY11" s="116"/>
      <c r="HZ11" s="116"/>
      <c r="IA11" s="510"/>
      <c r="IG11" s="116"/>
      <c r="IH11" s="116"/>
      <c r="II11" s="510"/>
    </row>
    <row r="12" spans="1:243" ht="15" customHeight="1" thickBot="1">
      <c r="A12" s="1187"/>
      <c r="B12" s="1197"/>
      <c r="C12" s="6">
        <v>5</v>
      </c>
      <c r="D12" s="7" t="str">
        <f t="shared" si="19"/>
        <v>McGregor_5</v>
      </c>
      <c r="E12" s="516">
        <v>529</v>
      </c>
      <c r="F12" s="444" t="s">
        <v>429</v>
      </c>
      <c r="G12" s="444">
        <v>18.32</v>
      </c>
      <c r="H12" s="523">
        <f t="shared" si="0"/>
        <v>15.75</v>
      </c>
      <c r="I12" s="524">
        <f t="shared" si="1"/>
        <v>71.5</v>
      </c>
      <c r="J12" s="8">
        <f t="shared" si="2"/>
        <v>0.74981818181818183</v>
      </c>
      <c r="K12" s="32" t="s">
        <v>432</v>
      </c>
      <c r="L12" s="8">
        <f t="shared" si="3"/>
        <v>1.3403</v>
      </c>
      <c r="M12" s="8">
        <f t="shared" si="4"/>
        <v>1.4159843642702445</v>
      </c>
      <c r="N12" s="8">
        <f t="shared" si="5"/>
        <v>3.4039365079365083</v>
      </c>
      <c r="O12" s="133">
        <f t="shared" si="6"/>
        <v>1</v>
      </c>
      <c r="P12" s="132">
        <f t="shared" si="7"/>
        <v>1</v>
      </c>
      <c r="Q12" s="132" t="str">
        <f t="shared" si="8"/>
        <v/>
      </c>
      <c r="R12" s="132"/>
      <c r="S12" s="445"/>
      <c r="T12" s="680"/>
      <c r="U12" s="446"/>
      <c r="V12" s="680" t="s">
        <v>417</v>
      </c>
      <c r="W12" s="523">
        <f t="shared" si="9"/>
        <v>2</v>
      </c>
      <c r="X12" s="208">
        <f t="shared" si="10"/>
        <v>2.1379999999999999</v>
      </c>
      <c r="Y12" s="356">
        <f t="shared" si="11"/>
        <v>4.2287952396554924E-2</v>
      </c>
      <c r="Z12" s="357">
        <v>7.69</v>
      </c>
      <c r="AA12" s="357">
        <v>5.6</v>
      </c>
      <c r="AB12" s="357">
        <v>6</v>
      </c>
      <c r="AC12" s="357">
        <f t="shared" si="12"/>
        <v>355.55555555555549</v>
      </c>
      <c r="AD12" s="357"/>
      <c r="AE12" s="141"/>
      <c r="AF12" s="141"/>
      <c r="AG12" s="141"/>
      <c r="AH12" s="141"/>
      <c r="AI12" s="141"/>
      <c r="AJ12" s="141"/>
      <c r="AK12" s="447">
        <f>366/E12</f>
        <v>0.69187145557655949</v>
      </c>
      <c r="AL12" s="107">
        <v>1039</v>
      </c>
      <c r="AM12" s="107">
        <v>63</v>
      </c>
      <c r="AN12" s="107"/>
      <c r="AO12" s="107"/>
      <c r="AP12" s="107"/>
      <c r="AQ12" s="107"/>
      <c r="AR12" s="25"/>
      <c r="AS12" s="25"/>
      <c r="AT12" s="25"/>
      <c r="AU12" s="25"/>
      <c r="AV12" s="266">
        <v>39</v>
      </c>
      <c r="AW12" s="267" t="s">
        <v>417</v>
      </c>
      <c r="AX12" s="194">
        <v>63</v>
      </c>
      <c r="AY12" s="592">
        <f>ROUND('Char measurement'!U309,0)</f>
        <v>62</v>
      </c>
      <c r="AZ12" s="55">
        <v>40</v>
      </c>
      <c r="BA12" s="55">
        <v>70</v>
      </c>
      <c r="BB12" s="221">
        <f>24/(33-5)</f>
        <v>0.8571428571428571</v>
      </c>
      <c r="BC12" s="596">
        <f>ROUND('Char measurement'!Q309,0)</f>
        <v>67</v>
      </c>
      <c r="BD12" s="55">
        <v>40</v>
      </c>
      <c r="BE12" s="297">
        <v>80</v>
      </c>
      <c r="BF12" s="234">
        <f>24/(30-5)</f>
        <v>0.96</v>
      </c>
      <c r="BG12" s="55"/>
      <c r="BH12" s="55"/>
      <c r="BI12" s="55"/>
      <c r="BJ12" s="50"/>
      <c r="BK12" s="55"/>
      <c r="BL12" s="55"/>
      <c r="BM12" s="55"/>
      <c r="BN12" s="50"/>
      <c r="BO12" s="55"/>
      <c r="BP12" s="55"/>
      <c r="BQ12" s="830"/>
      <c r="BR12" s="884"/>
      <c r="BS12" s="892"/>
      <c r="BT12" s="55"/>
      <c r="BU12" s="55"/>
      <c r="BV12" s="830"/>
      <c r="BW12" s="1129"/>
      <c r="BX12" s="1130"/>
      <c r="BY12" s="1130"/>
      <c r="BZ12" s="1130"/>
      <c r="CA12" s="1131"/>
      <c r="CB12" s="246">
        <v>3.5</v>
      </c>
      <c r="CC12" s="247">
        <v>4.5</v>
      </c>
      <c r="CD12" s="247">
        <v>2.5</v>
      </c>
      <c r="CE12" s="512"/>
      <c r="CF12" s="25"/>
      <c r="CG12" s="109"/>
      <c r="CH12" s="109"/>
      <c r="CI12" s="109"/>
      <c r="CJ12" s="428"/>
      <c r="CK12" s="512"/>
      <c r="CL12" s="512"/>
      <c r="CM12" s="512"/>
      <c r="CN12" s="512"/>
      <c r="CO12" s="512"/>
      <c r="CP12" s="109">
        <v>21</v>
      </c>
      <c r="CQ12" s="358">
        <f t="shared" si="13"/>
        <v>53.612000000000002</v>
      </c>
      <c r="CR12" s="164" t="s">
        <v>423</v>
      </c>
      <c r="CS12" s="136">
        <v>105</v>
      </c>
      <c r="CT12" s="136" t="s">
        <v>422</v>
      </c>
      <c r="CU12" s="136">
        <v>12.7</v>
      </c>
      <c r="CV12" s="109"/>
      <c r="CW12" s="519"/>
      <c r="CX12" s="109" t="s">
        <v>424</v>
      </c>
      <c r="CY12" s="109" t="s">
        <v>425</v>
      </c>
      <c r="CZ12" s="359"/>
      <c r="DA12" s="512"/>
      <c r="DB12" s="360">
        <f t="shared" si="14"/>
        <v>37.862000000000002</v>
      </c>
      <c r="DC12" s="109">
        <f>2*(CB12+CC12)*CD12-X12</f>
        <v>37.862000000000002</v>
      </c>
      <c r="DD12" s="164" t="s">
        <v>423</v>
      </c>
      <c r="DE12" s="136">
        <v>105</v>
      </c>
      <c r="DF12" s="136" t="s">
        <v>422</v>
      </c>
      <c r="DG12" s="136">
        <v>12.7</v>
      </c>
      <c r="DH12" s="109"/>
      <c r="DI12" s="428"/>
      <c r="DJ12" s="512" t="s">
        <v>424</v>
      </c>
      <c r="DK12" s="512" t="s">
        <v>425</v>
      </c>
      <c r="DL12" s="359"/>
      <c r="DM12" s="512"/>
      <c r="DN12" s="512"/>
      <c r="DO12" s="29">
        <f t="shared" si="15"/>
        <v>15.75</v>
      </c>
      <c r="DP12" s="522">
        <f>CB12*CC12</f>
        <v>15.75</v>
      </c>
      <c r="DQ12" s="25" t="s">
        <v>431</v>
      </c>
      <c r="DR12" s="109">
        <v>19</v>
      </c>
      <c r="DS12" s="109" t="s">
        <v>426</v>
      </c>
      <c r="DT12" s="109">
        <v>12.7</v>
      </c>
      <c r="DU12" s="109" t="s">
        <v>422</v>
      </c>
      <c r="DV12" s="428">
        <v>15.9</v>
      </c>
      <c r="DW12" s="512"/>
      <c r="DX12" s="512"/>
      <c r="DY12" s="361"/>
      <c r="DZ12" s="512"/>
      <c r="EA12" s="109">
        <f t="shared" si="16"/>
        <v>15.75</v>
      </c>
      <c r="EB12" s="428" t="s">
        <v>427</v>
      </c>
      <c r="EC12" s="109"/>
      <c r="ED12" s="512"/>
      <c r="EE12" s="109"/>
      <c r="EF12" s="361"/>
      <c r="EG12" s="512"/>
      <c r="EH12" s="512"/>
      <c r="EI12" s="512"/>
      <c r="EJ12" s="512"/>
      <c r="EK12" s="512"/>
      <c r="EL12" s="699"/>
      <c r="EM12" s="519"/>
      <c r="EN12" s="512"/>
      <c r="EO12" s="512"/>
      <c r="EP12" s="512"/>
      <c r="EQ12" s="359"/>
      <c r="ER12" s="512"/>
      <c r="ES12" s="512"/>
      <c r="ET12" s="512"/>
      <c r="EU12" s="512"/>
      <c r="EV12" s="512"/>
      <c r="EW12" s="695"/>
      <c r="EX12" s="512"/>
      <c r="EY12" s="26">
        <v>1</v>
      </c>
      <c r="EZ12" s="25">
        <v>1.069</v>
      </c>
      <c r="FA12" s="109">
        <v>2</v>
      </c>
      <c r="FB12" s="109">
        <v>0</v>
      </c>
      <c r="FC12" s="29">
        <f t="shared" si="17"/>
        <v>1.2155</v>
      </c>
      <c r="FD12" s="29">
        <f t="shared" si="18"/>
        <v>2.1379999999999999</v>
      </c>
      <c r="FE12" s="29"/>
      <c r="FF12" s="29"/>
      <c r="FG12" s="428" t="s">
        <v>428</v>
      </c>
      <c r="FM12" s="116"/>
      <c r="FN12" s="116"/>
      <c r="FU12" s="116"/>
      <c r="FV12" s="116"/>
      <c r="GC12" s="116"/>
      <c r="GD12" s="116"/>
      <c r="GK12" s="116"/>
      <c r="GL12" s="116"/>
      <c r="GS12" s="116"/>
      <c r="GT12" s="116"/>
      <c r="GU12" s="510"/>
      <c r="HA12" s="116"/>
      <c r="HB12" s="116"/>
      <c r="HC12" s="510"/>
      <c r="HI12" s="116"/>
      <c r="HJ12" s="116"/>
      <c r="HK12" s="510"/>
      <c r="HQ12" s="116"/>
      <c r="HR12" s="116"/>
      <c r="HS12" s="510"/>
      <c r="HY12" s="116"/>
      <c r="HZ12" s="116"/>
      <c r="IA12" s="510"/>
      <c r="IG12" s="116"/>
      <c r="IH12" s="116"/>
      <c r="II12" s="510"/>
    </row>
    <row r="13" spans="1:243" ht="15" customHeight="1" thickBot="1">
      <c r="A13" s="1187"/>
      <c r="B13" s="1197" t="s">
        <v>434</v>
      </c>
      <c r="C13" s="51">
        <v>1</v>
      </c>
      <c r="D13" s="725" t="str">
        <f>CONCATENATE("Medina_",C13)</f>
        <v>Medina_1</v>
      </c>
      <c r="E13" s="211">
        <v>531.6</v>
      </c>
      <c r="F13" s="435" t="s">
        <v>429</v>
      </c>
      <c r="G13" s="1153">
        <v>18.32</v>
      </c>
      <c r="H13" s="335">
        <f t="shared" si="0"/>
        <v>15.547445159999999</v>
      </c>
      <c r="I13" s="335">
        <f t="shared" si="1"/>
        <v>70.0332516</v>
      </c>
      <c r="J13" s="10">
        <f t="shared" si="2"/>
        <v>0.27799909607509926</v>
      </c>
      <c r="K13" s="33" t="s">
        <v>435</v>
      </c>
      <c r="L13" s="10">
        <f t="shared" si="3"/>
        <v>0.5</v>
      </c>
      <c r="M13" s="10">
        <f t="shared" si="4"/>
        <v>0.52904862786173168</v>
      </c>
      <c r="N13" s="10">
        <f t="shared" si="5"/>
        <v>1.2522430817179997</v>
      </c>
      <c r="O13" s="158">
        <f t="shared" si="6"/>
        <v>0.52904862786173168</v>
      </c>
      <c r="P13" s="159">
        <f t="shared" si="7"/>
        <v>0</v>
      </c>
      <c r="Q13" s="159" t="str">
        <f t="shared" si="8"/>
        <v/>
      </c>
      <c r="R13" s="159"/>
      <c r="S13" s="160"/>
      <c r="T13" s="678"/>
      <c r="U13" s="285"/>
      <c r="V13" s="678" t="s">
        <v>417</v>
      </c>
      <c r="W13" s="335">
        <f t="shared" si="9"/>
        <v>2</v>
      </c>
      <c r="X13" s="210">
        <f t="shared" si="10"/>
        <v>2.1379999999999999</v>
      </c>
      <c r="Y13" s="348">
        <f t="shared" si="11"/>
        <v>4.3173614351410143E-2</v>
      </c>
      <c r="Z13" s="349">
        <v>4.8</v>
      </c>
      <c r="AA13" s="140"/>
      <c r="AB13" s="140"/>
      <c r="AC13" s="140">
        <f t="shared" si="12"/>
        <v>0</v>
      </c>
      <c r="AD13" s="140"/>
      <c r="AE13" s="140"/>
      <c r="AF13" s="140"/>
      <c r="AG13" s="489"/>
      <c r="AH13" s="489"/>
      <c r="AI13" s="489"/>
      <c r="AJ13" s="489"/>
      <c r="AK13" s="435"/>
      <c r="AL13" s="87">
        <v>1180</v>
      </c>
      <c r="AM13" s="88">
        <v>123</v>
      </c>
      <c r="AN13" s="88"/>
      <c r="AO13" s="88" t="s">
        <v>436</v>
      </c>
      <c r="AP13" s="88"/>
      <c r="AQ13" s="88">
        <v>87</v>
      </c>
      <c r="AR13" s="425">
        <v>50</v>
      </c>
      <c r="AS13" s="425">
        <v>50</v>
      </c>
      <c r="AT13" s="425">
        <v>67.900000000000006</v>
      </c>
      <c r="AU13" s="425">
        <v>63.7</v>
      </c>
      <c r="AV13" s="265">
        <v>70</v>
      </c>
      <c r="AW13" s="441" t="s">
        <v>417</v>
      </c>
      <c r="AX13" s="193">
        <v>123</v>
      </c>
      <c r="AY13" s="11">
        <f>AVERAGE(80,71,74,73)</f>
        <v>74.5</v>
      </c>
      <c r="AZ13" s="11">
        <v>71</v>
      </c>
      <c r="BA13" s="11">
        <v>80</v>
      </c>
      <c r="BB13" s="222">
        <f>AVERAGE(0.81914,0.729,0.68114,0.75386,0.426,0.73971,0.96157,0.46371)</f>
        <v>0.69676625000000003</v>
      </c>
      <c r="BC13" s="70">
        <f>AVERAGE(41,33)</f>
        <v>37</v>
      </c>
      <c r="BD13" s="11">
        <v>33</v>
      </c>
      <c r="BE13" s="314">
        <v>41</v>
      </c>
      <c r="BF13" s="235"/>
      <c r="BG13" s="11"/>
      <c r="BH13" s="11"/>
      <c r="BI13" s="11"/>
      <c r="BJ13" s="70"/>
      <c r="BK13" s="11"/>
      <c r="BL13" s="11"/>
      <c r="BM13" s="11"/>
      <c r="BN13" s="70"/>
      <c r="BO13" s="11"/>
      <c r="BP13" s="11"/>
      <c r="BQ13" s="831"/>
      <c r="BR13" s="898"/>
      <c r="BS13" s="1052"/>
      <c r="BT13" s="11"/>
      <c r="BU13" s="11"/>
      <c r="BV13" s="831"/>
      <c r="BW13" s="1125" t="s">
        <v>437</v>
      </c>
      <c r="BX13" s="1126"/>
      <c r="BY13" s="1126"/>
      <c r="BZ13" s="1126"/>
      <c r="CA13" s="1127"/>
      <c r="CB13" s="242">
        <f>3.5-CS13/1000</f>
        <v>3.4746000000000001</v>
      </c>
      <c r="CC13" s="243">
        <f>4.5-CS13/1000</f>
        <v>4.4745999999999997</v>
      </c>
      <c r="CD13" s="243">
        <f>2.5-(DE13+DR13+DT13)/1000</f>
        <v>2.4491999999999998</v>
      </c>
      <c r="CE13" s="507"/>
      <c r="CF13" s="149"/>
      <c r="CG13" s="504"/>
      <c r="CH13" s="504"/>
      <c r="CI13" s="504"/>
      <c r="CJ13" s="45"/>
      <c r="CK13" s="507"/>
      <c r="CL13" s="507"/>
      <c r="CM13" s="507"/>
      <c r="CN13" s="507"/>
      <c r="CO13" s="507"/>
      <c r="CP13" s="504">
        <v>-1</v>
      </c>
      <c r="CQ13" s="350">
        <f t="shared" si="13"/>
        <v>19.469180639999998</v>
      </c>
      <c r="CR13" s="163" t="s">
        <v>438</v>
      </c>
      <c r="CS13" s="118">
        <f>2*12.7</f>
        <v>25.4</v>
      </c>
      <c r="CT13" s="118" t="s">
        <v>423</v>
      </c>
      <c r="CU13" s="118">
        <v>105</v>
      </c>
      <c r="CV13" s="504"/>
      <c r="CW13" s="156"/>
      <c r="CX13" s="504" t="s">
        <v>439</v>
      </c>
      <c r="CY13" s="504" t="s">
        <v>440</v>
      </c>
      <c r="CZ13" s="351">
        <v>0.08</v>
      </c>
      <c r="DA13" s="507"/>
      <c r="DB13" s="352">
        <f t="shared" si="14"/>
        <v>36.800361279999997</v>
      </c>
      <c r="DC13" s="352">
        <f>(CB13+CC13)*CD13</f>
        <v>19.469180639999998</v>
      </c>
      <c r="DD13" s="155" t="s">
        <v>438</v>
      </c>
      <c r="DE13" s="504">
        <f t="shared" ref="DE13:DE15" si="20">2*12.7</f>
        <v>25.4</v>
      </c>
      <c r="DF13" s="504" t="s">
        <v>423</v>
      </c>
      <c r="DG13" s="504">
        <v>105</v>
      </c>
      <c r="DH13" s="504"/>
      <c r="DI13" s="45"/>
      <c r="DJ13" s="507" t="s">
        <v>439</v>
      </c>
      <c r="DK13" s="507" t="s">
        <v>440</v>
      </c>
      <c r="DL13" s="351">
        <v>0.08</v>
      </c>
      <c r="DM13" s="507"/>
      <c r="DN13" s="507"/>
      <c r="DO13" s="249">
        <f t="shared" si="15"/>
        <v>15.547445159999999</v>
      </c>
      <c r="DP13" s="135"/>
      <c r="DQ13" s="504" t="s">
        <v>431</v>
      </c>
      <c r="DR13" s="504">
        <v>12.7</v>
      </c>
      <c r="DS13" s="504" t="s">
        <v>426</v>
      </c>
      <c r="DT13" s="504">
        <v>12.7</v>
      </c>
      <c r="DU13" s="504" t="s">
        <v>423</v>
      </c>
      <c r="DV13" s="45">
        <v>105</v>
      </c>
      <c r="DW13" s="507"/>
      <c r="DX13" s="507"/>
      <c r="DY13" s="353"/>
      <c r="DZ13" s="507"/>
      <c r="EA13" s="504">
        <f t="shared" si="16"/>
        <v>15.547445159999999</v>
      </c>
      <c r="EB13" s="45" t="s">
        <v>427</v>
      </c>
      <c r="EC13" s="504"/>
      <c r="ED13" s="507"/>
      <c r="EE13" s="504"/>
      <c r="EF13" s="353"/>
      <c r="EG13" s="507"/>
      <c r="EH13" s="507"/>
      <c r="EI13" s="507"/>
      <c r="EJ13" s="507"/>
      <c r="EK13" s="507"/>
      <c r="EL13" s="697"/>
      <c r="EM13" s="156"/>
      <c r="EN13" s="507"/>
      <c r="EO13" s="507"/>
      <c r="EP13" s="507"/>
      <c r="EQ13" s="351"/>
      <c r="ER13" s="507"/>
      <c r="ES13" s="507"/>
      <c r="ET13" s="507"/>
      <c r="EU13" s="507"/>
      <c r="EV13" s="507"/>
      <c r="EW13" s="694"/>
      <c r="EX13" s="507"/>
      <c r="EY13" s="162">
        <v>1</v>
      </c>
      <c r="EZ13" s="506">
        <v>1.069</v>
      </c>
      <c r="FA13" s="506">
        <v>2</v>
      </c>
      <c r="FB13" s="506">
        <v>0</v>
      </c>
      <c r="FC13" s="506">
        <f t="shared" si="17"/>
        <v>1.2028000000000001</v>
      </c>
      <c r="FD13" s="506">
        <f t="shared" si="18"/>
        <v>2.1379999999999999</v>
      </c>
      <c r="FE13" s="506"/>
      <c r="FF13" s="506"/>
      <c r="FG13" s="45" t="s">
        <v>428</v>
      </c>
      <c r="FM13" s="506"/>
      <c r="FN13" s="506"/>
      <c r="FU13" s="506"/>
      <c r="FV13" s="506"/>
      <c r="GC13" s="506"/>
      <c r="GD13" s="506"/>
      <c r="GK13" s="506"/>
      <c r="GL13" s="506"/>
      <c r="GS13" s="506"/>
      <c r="GT13" s="506"/>
      <c r="GU13" s="510"/>
      <c r="HA13" s="506"/>
      <c r="HB13" s="506"/>
      <c r="HC13" s="510"/>
      <c r="HI13" s="506"/>
      <c r="HJ13" s="506"/>
      <c r="HK13" s="510"/>
      <c r="HQ13" s="506"/>
      <c r="HR13" s="506"/>
      <c r="HS13" s="510"/>
      <c r="HY13" s="506"/>
      <c r="HZ13" s="506"/>
      <c r="IA13" s="510"/>
      <c r="IG13" s="506"/>
      <c r="IH13" s="506"/>
      <c r="II13" s="510"/>
    </row>
    <row r="14" spans="1:243" ht="15" customHeight="1">
      <c r="A14" s="1187"/>
      <c r="B14" s="1197"/>
      <c r="C14" s="51">
        <v>2</v>
      </c>
      <c r="D14" s="725" t="str">
        <f t="shared" ref="D14:D15" si="21">CONCATENATE("Medina_",C14)</f>
        <v>Medina_2</v>
      </c>
      <c r="E14" s="212">
        <v>531.6</v>
      </c>
      <c r="F14" s="435" t="s">
        <v>429</v>
      </c>
      <c r="G14" s="1147"/>
      <c r="H14" s="525">
        <f t="shared" si="0"/>
        <v>15.5214</v>
      </c>
      <c r="I14" s="525">
        <f t="shared" si="1"/>
        <v>69.981161279999995</v>
      </c>
      <c r="J14" s="4">
        <f t="shared" si="2"/>
        <v>0.31498191222927935</v>
      </c>
      <c r="K14" s="716" t="s">
        <v>441</v>
      </c>
      <c r="L14" s="4">
        <f t="shared" si="3"/>
        <v>0.56609470135359541</v>
      </c>
      <c r="M14" s="4">
        <f t="shared" si="4"/>
        <v>0.59898324998183283</v>
      </c>
      <c r="N14" s="4">
        <f t="shared" si="5"/>
        <v>1.4201553983532413</v>
      </c>
      <c r="O14" s="436">
        <f t="shared" si="6"/>
        <v>0.59898324998183283</v>
      </c>
      <c r="P14" s="131">
        <f t="shared" si="7"/>
        <v>0</v>
      </c>
      <c r="Q14" s="131" t="str">
        <f t="shared" si="8"/>
        <v/>
      </c>
      <c r="R14" s="131"/>
      <c r="S14" s="437"/>
      <c r="T14" s="679"/>
      <c r="U14" s="438"/>
      <c r="V14" s="679" t="s">
        <v>417</v>
      </c>
      <c r="W14" s="525">
        <f t="shared" si="9"/>
        <v>2</v>
      </c>
      <c r="X14" s="439">
        <f t="shared" si="10"/>
        <v>2.1379999999999999</v>
      </c>
      <c r="Y14" s="928">
        <f t="shared" si="11"/>
        <v>4.3205750534148289E-2</v>
      </c>
      <c r="Z14" s="495">
        <v>6.3</v>
      </c>
      <c r="AA14" s="489"/>
      <c r="AB14" s="489"/>
      <c r="AC14" s="489">
        <f t="shared" si="12"/>
        <v>0</v>
      </c>
      <c r="AD14" s="489"/>
      <c r="AE14" s="489"/>
      <c r="AF14" s="489"/>
      <c r="AG14" s="489"/>
      <c r="AH14" s="489"/>
      <c r="AI14" s="489"/>
      <c r="AJ14" s="489"/>
      <c r="AK14" s="435"/>
      <c r="AL14" s="88">
        <v>1100</v>
      </c>
      <c r="AM14" s="88">
        <v>57</v>
      </c>
      <c r="AN14" s="88"/>
      <c r="AO14" s="88" t="s">
        <v>442</v>
      </c>
      <c r="AP14" s="88"/>
      <c r="AQ14" s="88">
        <v>45</v>
      </c>
      <c r="AR14" s="425">
        <v>50</v>
      </c>
      <c r="AS14" s="425">
        <v>50</v>
      </c>
      <c r="AT14" s="425">
        <v>67.900000000000006</v>
      </c>
      <c r="AU14" s="425">
        <v>63.7</v>
      </c>
      <c r="AV14" s="265">
        <v>40</v>
      </c>
      <c r="AW14" s="441" t="s">
        <v>417</v>
      </c>
      <c r="AX14" s="726">
        <v>57</v>
      </c>
      <c r="AY14" s="12">
        <f>AVERAGE(60,54,53,57)</f>
        <v>56</v>
      </c>
      <c r="AZ14" s="12">
        <v>54</v>
      </c>
      <c r="BA14" s="12">
        <v>60</v>
      </c>
      <c r="BB14" s="223">
        <v>0.9</v>
      </c>
      <c r="BC14" s="71">
        <f>11.5</f>
        <v>11.5</v>
      </c>
      <c r="BD14" s="12">
        <v>11</v>
      </c>
      <c r="BE14" s="315">
        <v>12</v>
      </c>
      <c r="BF14" s="236"/>
      <c r="BG14" s="12"/>
      <c r="BH14" s="12"/>
      <c r="BI14" s="12"/>
      <c r="BJ14" s="71"/>
      <c r="BK14" s="12"/>
      <c r="BL14" s="12"/>
      <c r="BM14" s="12"/>
      <c r="BN14" s="71"/>
      <c r="BO14" s="12"/>
      <c r="BP14" s="12"/>
      <c r="BQ14" s="227"/>
      <c r="BR14" s="899"/>
      <c r="BS14" s="1053"/>
      <c r="BT14" s="12"/>
      <c r="BU14" s="12"/>
      <c r="BV14" s="227"/>
      <c r="BW14" s="1128"/>
      <c r="BX14" s="1113"/>
      <c r="BY14" s="1113"/>
      <c r="BZ14" s="1113"/>
      <c r="CA14" s="1122"/>
      <c r="CB14" s="244">
        <f>3.5-2*CS14/1000</f>
        <v>3.4491999999999998</v>
      </c>
      <c r="CC14" s="245">
        <f>4.5</f>
        <v>4.5</v>
      </c>
      <c r="CD14" s="245">
        <f>2.5-(DE14+DR14+DT14)/1000</f>
        <v>2.4491999999999998</v>
      </c>
      <c r="CE14"/>
      <c r="CF14" s="425"/>
      <c r="CJ14" s="427"/>
      <c r="CO14"/>
      <c r="CP14" s="506">
        <v>19</v>
      </c>
      <c r="CQ14" s="355">
        <f t="shared" si="13"/>
        <v>22.0428</v>
      </c>
      <c r="CR14" s="426" t="s">
        <v>438</v>
      </c>
      <c r="CS14" s="119">
        <f>2*12.7</f>
        <v>25.4</v>
      </c>
      <c r="CT14" s="119" t="s">
        <v>423</v>
      </c>
      <c r="CU14" s="119">
        <v>105</v>
      </c>
      <c r="CV14" s="506"/>
      <c r="CW14" s="518"/>
      <c r="CX14" s="506" t="s">
        <v>439</v>
      </c>
      <c r="CY14" s="506" t="s">
        <v>440</v>
      </c>
      <c r="CZ14" s="339">
        <v>0.105</v>
      </c>
      <c r="DA14"/>
      <c r="DB14" s="340">
        <f t="shared" si="14"/>
        <v>36.800361279999997</v>
      </c>
      <c r="DC14" s="340">
        <f>2*(CC14)*CD14</f>
        <v>22.0428</v>
      </c>
      <c r="DD14" s="433" t="s">
        <v>438</v>
      </c>
      <c r="DE14" s="506">
        <f t="shared" si="20"/>
        <v>25.4</v>
      </c>
      <c r="DF14" s="506" t="s">
        <v>423</v>
      </c>
      <c r="DG14" s="506">
        <v>105</v>
      </c>
      <c r="DI14" s="427"/>
      <c r="DJ14" t="s">
        <v>439</v>
      </c>
      <c r="DK14" t="s">
        <v>440</v>
      </c>
      <c r="DL14" s="339">
        <v>0.105</v>
      </c>
      <c r="DO14" s="116">
        <f t="shared" si="15"/>
        <v>15.5214</v>
      </c>
      <c r="DP14" s="430"/>
      <c r="DQ14" s="506" t="s">
        <v>431</v>
      </c>
      <c r="DR14" s="506">
        <v>12.7</v>
      </c>
      <c r="DS14" s="506" t="s">
        <v>426</v>
      </c>
      <c r="DT14" s="506">
        <v>12.7</v>
      </c>
      <c r="DU14" s="506" t="s">
        <v>423</v>
      </c>
      <c r="DV14" s="427">
        <v>105</v>
      </c>
      <c r="DX14"/>
      <c r="DY14" s="341"/>
      <c r="DZ14"/>
      <c r="EA14" s="506">
        <f t="shared" si="16"/>
        <v>15.5214</v>
      </c>
      <c r="EB14" s="427" t="s">
        <v>427</v>
      </c>
      <c r="EC14" s="506"/>
      <c r="ED14"/>
      <c r="EE14" s="506"/>
      <c r="EF14" s="341"/>
      <c r="EK14"/>
      <c r="EL14" s="698"/>
      <c r="EM14" s="518"/>
      <c r="EP14"/>
      <c r="EQ14" s="339"/>
      <c r="EV14"/>
      <c r="EW14" s="690"/>
      <c r="EX14"/>
      <c r="EY14" s="21">
        <v>1</v>
      </c>
      <c r="EZ14" s="506">
        <v>1.069</v>
      </c>
      <c r="FA14" s="506">
        <v>2</v>
      </c>
      <c r="FB14" s="506">
        <v>0</v>
      </c>
      <c r="FC14" s="506">
        <f t="shared" si="17"/>
        <v>1.1900999999999999</v>
      </c>
      <c r="FD14" s="506">
        <f t="shared" si="18"/>
        <v>2.1379999999999999</v>
      </c>
      <c r="FE14" s="506"/>
      <c r="FF14" s="506"/>
      <c r="FG14" s="427" t="s">
        <v>428</v>
      </c>
      <c r="FM14" s="506"/>
      <c r="FN14" s="506"/>
      <c r="FU14" s="506"/>
      <c r="FV14" s="506"/>
      <c r="GC14" s="506"/>
      <c r="GD14" s="506"/>
      <c r="GK14" s="506"/>
      <c r="GL14" s="506"/>
      <c r="GS14" s="506"/>
      <c r="GT14" s="506"/>
      <c r="GU14" s="510"/>
      <c r="HA14" s="506"/>
      <c r="HB14" s="506"/>
      <c r="HC14" s="510"/>
      <c r="HI14" s="506"/>
      <c r="HJ14" s="506"/>
      <c r="HK14" s="510"/>
      <c r="HQ14" s="506"/>
      <c r="HR14" s="506"/>
      <c r="HS14" s="510"/>
      <c r="HY14" s="506"/>
      <c r="HZ14" s="506"/>
      <c r="IA14" s="510"/>
      <c r="IG14" s="506"/>
      <c r="IH14" s="506"/>
      <c r="II14" s="510"/>
    </row>
    <row r="15" spans="1:243" ht="15" customHeight="1" thickBot="1">
      <c r="A15" s="1171"/>
      <c r="B15" s="1197"/>
      <c r="C15" s="6">
        <v>3</v>
      </c>
      <c r="D15" s="7" t="str">
        <f t="shared" si="21"/>
        <v>Medina_3</v>
      </c>
      <c r="E15" s="213">
        <v>531.6</v>
      </c>
      <c r="F15" s="444" t="s">
        <v>429</v>
      </c>
      <c r="G15" s="1174"/>
      <c r="H15" s="523">
        <f t="shared" si="0"/>
        <v>15.6357</v>
      </c>
      <c r="I15" s="523">
        <f t="shared" si="1"/>
        <v>71.144400000000005</v>
      </c>
      <c r="J15" s="9">
        <f t="shared" si="2"/>
        <v>0.15812910081468112</v>
      </c>
      <c r="K15" s="32" t="s">
        <v>443</v>
      </c>
      <c r="L15" s="9">
        <f t="shared" si="3"/>
        <v>0.28214581295613572</v>
      </c>
      <c r="M15" s="9">
        <f t="shared" si="4"/>
        <v>0.29813170796342914</v>
      </c>
      <c r="N15" s="9">
        <f t="shared" si="5"/>
        <v>0.71950728141368792</v>
      </c>
      <c r="O15" s="133">
        <f t="shared" si="6"/>
        <v>0.29813170796342914</v>
      </c>
      <c r="P15" s="132">
        <f t="shared" si="7"/>
        <v>0</v>
      </c>
      <c r="Q15" s="132" t="str">
        <f t="shared" si="8"/>
        <v/>
      </c>
      <c r="R15" s="132"/>
      <c r="S15" s="445"/>
      <c r="T15" s="679"/>
      <c r="U15" s="438"/>
      <c r="V15" s="679" t="s">
        <v>417</v>
      </c>
      <c r="W15" s="525">
        <f t="shared" si="9"/>
        <v>2</v>
      </c>
      <c r="X15" s="208">
        <f t="shared" si="10"/>
        <v>2.1379999999999999</v>
      </c>
      <c r="Y15" s="356">
        <f t="shared" si="11"/>
        <v>4.2499319642216073E-2</v>
      </c>
      <c r="Z15" s="357">
        <v>4.3</v>
      </c>
      <c r="AA15" s="141"/>
      <c r="AB15" s="141"/>
      <c r="AC15" s="141">
        <f t="shared" si="12"/>
        <v>0</v>
      </c>
      <c r="AD15" s="141"/>
      <c r="AE15" s="141"/>
      <c r="AF15" s="141"/>
      <c r="AG15" s="141"/>
      <c r="AH15" s="141"/>
      <c r="AI15" s="141"/>
      <c r="AJ15" s="141"/>
      <c r="AK15" s="444"/>
      <c r="AL15" s="89">
        <v>1097</v>
      </c>
      <c r="AM15" s="88">
        <v>80</v>
      </c>
      <c r="AN15" s="88"/>
      <c r="AO15" s="88" t="s">
        <v>444</v>
      </c>
      <c r="AP15" s="88"/>
      <c r="AQ15" s="88"/>
      <c r="AR15" s="25">
        <v>50</v>
      </c>
      <c r="AS15" s="25">
        <v>50</v>
      </c>
      <c r="AT15" s="25">
        <v>67.900000000000006</v>
      </c>
      <c r="AU15" s="25">
        <v>63.7</v>
      </c>
      <c r="AV15" s="265"/>
      <c r="AW15" s="441" t="s">
        <v>430</v>
      </c>
      <c r="AX15" s="194">
        <v>80</v>
      </c>
      <c r="AY15" s="55">
        <f>AVERAGE(21,41,27,44)</f>
        <v>33.25</v>
      </c>
      <c r="AZ15" s="55">
        <v>21</v>
      </c>
      <c r="BA15" s="55">
        <v>44</v>
      </c>
      <c r="BB15" s="221">
        <f>AVERAGE(0.75778,0.80484,0.67452,0.74796,0.50722,0.77348)</f>
        <v>0.71096666666666675</v>
      </c>
      <c r="BC15" s="50"/>
      <c r="BD15" s="55"/>
      <c r="BE15" s="297"/>
      <c r="BF15" s="234"/>
      <c r="BG15" s="55"/>
      <c r="BH15" s="55"/>
      <c r="BI15" s="55"/>
      <c r="BJ15" s="50"/>
      <c r="BK15" s="55"/>
      <c r="BL15" s="55"/>
      <c r="BM15" s="55"/>
      <c r="BN15" s="50"/>
      <c r="BO15" s="55"/>
      <c r="BP15" s="55"/>
      <c r="BQ15" s="228"/>
      <c r="BR15" s="884"/>
      <c r="BS15" s="892"/>
      <c r="BT15" s="55"/>
      <c r="BU15" s="55"/>
      <c r="BV15" s="228"/>
      <c r="BW15" s="1129"/>
      <c r="BX15" s="1130"/>
      <c r="BY15" s="1130"/>
      <c r="BZ15" s="1130"/>
      <c r="CA15" s="1131"/>
      <c r="CB15" s="246">
        <f>3.5-CS15/1000</f>
        <v>3.4746000000000001</v>
      </c>
      <c r="CC15" s="247">
        <v>4.5</v>
      </c>
      <c r="CD15" s="247">
        <v>2.5</v>
      </c>
      <c r="CE15" s="512"/>
      <c r="CF15" s="25"/>
      <c r="CG15" s="109"/>
      <c r="CH15" s="109"/>
      <c r="CI15" s="109"/>
      <c r="CJ15" s="428"/>
      <c r="CK15" s="512"/>
      <c r="CL15" s="512"/>
      <c r="CM15" s="512"/>
      <c r="CN15" s="512"/>
      <c r="CO15" s="512"/>
      <c r="CP15" s="109">
        <v>23</v>
      </c>
      <c r="CQ15" s="358">
        <f t="shared" si="13"/>
        <v>11.25</v>
      </c>
      <c r="CR15" s="164" t="s">
        <v>438</v>
      </c>
      <c r="CS15" s="136">
        <f>2*12.7</f>
        <v>25.4</v>
      </c>
      <c r="CT15" s="136" t="s">
        <v>423</v>
      </c>
      <c r="CU15" s="136">
        <v>105</v>
      </c>
      <c r="CV15" s="109"/>
      <c r="CW15" s="519"/>
      <c r="CX15" s="109" t="s">
        <v>439</v>
      </c>
      <c r="CY15" s="250" t="s">
        <v>445</v>
      </c>
      <c r="CZ15" s="359">
        <v>0.13500000000000001</v>
      </c>
      <c r="DA15" s="512"/>
      <c r="DB15" s="360">
        <f t="shared" si="14"/>
        <v>37.735000000000007</v>
      </c>
      <c r="DC15" s="360">
        <f>CC15*CD15</f>
        <v>11.25</v>
      </c>
      <c r="DD15" s="79" t="s">
        <v>438</v>
      </c>
      <c r="DE15" s="109">
        <f t="shared" si="20"/>
        <v>25.4</v>
      </c>
      <c r="DF15" s="109" t="s">
        <v>423</v>
      </c>
      <c r="DG15" s="109">
        <v>105</v>
      </c>
      <c r="DH15" s="109"/>
      <c r="DI15" s="428"/>
      <c r="DJ15" s="512" t="s">
        <v>439</v>
      </c>
      <c r="DK15" s="512" t="s">
        <v>440</v>
      </c>
      <c r="DL15" s="359">
        <v>0.13500000000000001</v>
      </c>
      <c r="DM15" s="512"/>
      <c r="DN15" s="512"/>
      <c r="DO15" s="29">
        <f t="shared" si="15"/>
        <v>15.6357</v>
      </c>
      <c r="DP15" s="522"/>
      <c r="DQ15" s="109" t="s">
        <v>431</v>
      </c>
      <c r="DR15" s="109">
        <v>12.7</v>
      </c>
      <c r="DS15" s="109" t="s">
        <v>426</v>
      </c>
      <c r="DT15" s="109">
        <v>12.7</v>
      </c>
      <c r="DU15" s="109" t="s">
        <v>423</v>
      </c>
      <c r="DV15" s="428">
        <v>105</v>
      </c>
      <c r="DW15" s="512"/>
      <c r="DX15" s="512"/>
      <c r="DY15" s="361"/>
      <c r="DZ15" s="512"/>
      <c r="EA15" s="109">
        <f t="shared" si="16"/>
        <v>15.6357</v>
      </c>
      <c r="EB15" s="428" t="s">
        <v>427</v>
      </c>
      <c r="EC15" s="109"/>
      <c r="ED15" s="512"/>
      <c r="EE15" s="109"/>
      <c r="EF15" s="361"/>
      <c r="EG15" s="512"/>
      <c r="EH15" s="512"/>
      <c r="EI15" s="512"/>
      <c r="EJ15" s="512"/>
      <c r="EK15" s="512"/>
      <c r="EL15" s="699"/>
      <c r="EM15" s="519"/>
      <c r="EN15" s="512"/>
      <c r="EO15" s="512"/>
      <c r="EP15" s="512"/>
      <c r="EQ15" s="359"/>
      <c r="ER15" s="512"/>
      <c r="ES15" s="512"/>
      <c r="ET15" s="512"/>
      <c r="EU15" s="512"/>
      <c r="EV15" s="512"/>
      <c r="EW15" s="695"/>
      <c r="EX15" s="512"/>
      <c r="EY15" s="21">
        <v>1</v>
      </c>
      <c r="EZ15" s="506">
        <v>1.069</v>
      </c>
      <c r="FA15" s="506">
        <v>2</v>
      </c>
      <c r="FB15" s="506">
        <v>0</v>
      </c>
      <c r="FC15" s="506">
        <f t="shared" si="17"/>
        <v>1.2028000000000001</v>
      </c>
      <c r="FD15" s="506">
        <f t="shared" si="18"/>
        <v>2.1379999999999999</v>
      </c>
      <c r="FE15" s="506"/>
      <c r="FF15" s="506"/>
      <c r="FG15" s="428" t="s">
        <v>428</v>
      </c>
      <c r="FM15" s="109"/>
      <c r="FN15" s="109"/>
      <c r="FU15" s="109"/>
      <c r="FV15" s="109"/>
      <c r="GC15" s="109"/>
      <c r="GD15" s="109"/>
      <c r="GK15" s="109"/>
      <c r="GL15" s="109"/>
      <c r="GS15" s="109"/>
      <c r="GT15" s="109"/>
      <c r="GU15" s="510"/>
      <c r="HA15" s="109"/>
      <c r="HB15" s="109"/>
      <c r="HC15" s="510"/>
      <c r="HI15" s="109"/>
      <c r="HJ15" s="109"/>
      <c r="HK15" s="510"/>
      <c r="HQ15" s="109"/>
      <c r="HR15" s="109"/>
      <c r="HS15" s="510"/>
      <c r="HY15" s="109"/>
      <c r="HZ15" s="109"/>
      <c r="IA15" s="510"/>
      <c r="IG15" s="109"/>
      <c r="IH15" s="109"/>
      <c r="II15" s="510"/>
    </row>
    <row r="16" spans="1:243" ht="15.75" thickBot="1">
      <c r="A16" s="1194" t="s">
        <v>446</v>
      </c>
      <c r="B16" s="1150" t="s">
        <v>447</v>
      </c>
      <c r="C16" s="51">
        <v>1</v>
      </c>
      <c r="D16" s="725" t="str">
        <f>CONCATENATE($A$16,"_",C16)</f>
        <v>NRCC&amp;NIST_1</v>
      </c>
      <c r="E16" s="527">
        <v>549</v>
      </c>
      <c r="F16" s="1148" t="s">
        <v>429</v>
      </c>
      <c r="G16" s="1148">
        <v>19.739999999999998</v>
      </c>
      <c r="H16" s="335">
        <f t="shared" si="0"/>
        <v>41.859999999999992</v>
      </c>
      <c r="I16" s="347">
        <f t="shared" si="1"/>
        <v>157.69999999999999</v>
      </c>
      <c r="J16" s="10">
        <f t="shared" si="2"/>
        <v>1.1778376664552952E-3</v>
      </c>
      <c r="K16" s="33">
        <v>0</v>
      </c>
      <c r="L16" s="10">
        <f t="shared" si="3"/>
        <v>2.5107461476074617E-3</v>
      </c>
      <c r="M16" s="10">
        <f t="shared" si="4"/>
        <v>2.6404411325700607E-3</v>
      </c>
      <c r="N16" s="10">
        <f t="shared" si="5"/>
        <v>4.4372909698996666E-3</v>
      </c>
      <c r="O16" s="158">
        <f t="shared" si="6"/>
        <v>0</v>
      </c>
      <c r="P16" s="159">
        <f t="shared" si="7"/>
        <v>0</v>
      </c>
      <c r="Q16" s="351">
        <f t="shared" si="8"/>
        <v>4.4372909698996666E-3</v>
      </c>
      <c r="R16" s="159"/>
      <c r="S16" s="160"/>
      <c r="T16" s="678"/>
      <c r="U16" s="285"/>
      <c r="V16" s="678" t="s">
        <v>417</v>
      </c>
      <c r="W16" s="335">
        <f t="shared" si="9"/>
        <v>1.9826060872915403</v>
      </c>
      <c r="X16" s="116">
        <f t="shared" si="10"/>
        <v>3.6338000000000004</v>
      </c>
      <c r="Y16" s="362">
        <f t="shared" si="11"/>
        <v>3.2444982548200337E-2</v>
      </c>
      <c r="Z16" s="78">
        <v>9.5</v>
      </c>
      <c r="AA16" s="78"/>
      <c r="AB16" s="78"/>
      <c r="AC16" s="78">
        <f t="shared" si="12"/>
        <v>0</v>
      </c>
      <c r="AD16" s="78"/>
      <c r="AE16" s="78"/>
      <c r="AF16" s="78"/>
      <c r="AK16" s="440">
        <v>0.8</v>
      </c>
      <c r="AL16" s="87">
        <v>1200</v>
      </c>
      <c r="AM16" s="87">
        <v>134</v>
      </c>
      <c r="AN16" s="87"/>
      <c r="AO16" s="87" t="s">
        <v>448</v>
      </c>
      <c r="AP16" s="87"/>
      <c r="AQ16" s="87"/>
      <c r="AR16" s="425">
        <v>88.4</v>
      </c>
      <c r="AS16" s="425">
        <v>88.4</v>
      </c>
      <c r="AT16" s="807">
        <v>119.2</v>
      </c>
      <c r="AU16" s="808">
        <v>82.8</v>
      </c>
      <c r="AV16" s="263"/>
      <c r="AW16" s="263" t="s">
        <v>430</v>
      </c>
      <c r="AX16" s="193">
        <v>134</v>
      </c>
      <c r="AY16" s="70"/>
      <c r="AZ16" s="11"/>
      <c r="BA16" s="11"/>
      <c r="BB16" s="222"/>
      <c r="BC16" s="70"/>
      <c r="BD16" s="11"/>
      <c r="BE16" s="314"/>
      <c r="BF16" s="235"/>
      <c r="BG16" s="11">
        <f>AVERAGE(55,45,42)</f>
        <v>47.333333333333336</v>
      </c>
      <c r="BH16" s="11">
        <v>42</v>
      </c>
      <c r="BI16" s="11">
        <v>55</v>
      </c>
      <c r="BJ16" s="542"/>
      <c r="BK16" s="543"/>
      <c r="BL16" s="543"/>
      <c r="BM16" s="543"/>
      <c r="BN16" s="542"/>
      <c r="BO16" s="543"/>
      <c r="BP16" s="543"/>
      <c r="BQ16" s="832"/>
      <c r="BR16" s="898" t="s">
        <v>1006</v>
      </c>
      <c r="BS16" s="1052" t="s">
        <v>453</v>
      </c>
      <c r="BT16" s="879" t="s">
        <v>428</v>
      </c>
      <c r="BU16" s="543"/>
      <c r="BV16" s="885" t="s">
        <v>1007</v>
      </c>
      <c r="BW16" s="1132" t="s">
        <v>449</v>
      </c>
      <c r="BX16" s="1126"/>
      <c r="BY16" s="1126"/>
      <c r="BZ16" s="1126"/>
      <c r="CA16" s="1127"/>
      <c r="CB16" s="92">
        <v>4.5999999999999996</v>
      </c>
      <c r="CC16" s="507">
        <v>9.1</v>
      </c>
      <c r="CD16" s="507">
        <v>2.7</v>
      </c>
      <c r="CE16" s="507"/>
      <c r="CF16" s="149"/>
      <c r="CG16" s="504"/>
      <c r="CH16" s="504"/>
      <c r="CI16" s="504"/>
      <c r="CJ16" s="45">
        <v>175</v>
      </c>
      <c r="CK16" s="507"/>
      <c r="CL16" s="507"/>
      <c r="CM16" s="507"/>
      <c r="CN16" s="507"/>
      <c r="CO16" s="507"/>
      <c r="CP16" s="504"/>
      <c r="CQ16" s="350">
        <f t="shared" si="13"/>
        <v>0.18574500000000002</v>
      </c>
      <c r="CR16" s="163" t="s">
        <v>438</v>
      </c>
      <c r="CS16" s="118">
        <f>3*15.9</f>
        <v>47.7</v>
      </c>
      <c r="CT16" s="118" t="s">
        <v>423</v>
      </c>
      <c r="CU16" s="118">
        <v>175</v>
      </c>
      <c r="CV16" s="504"/>
      <c r="CW16" s="156"/>
      <c r="CX16" s="506" t="s">
        <v>450</v>
      </c>
      <c r="CY16" s="506" t="s">
        <v>451</v>
      </c>
      <c r="CZ16" s="351">
        <f>AVERAGE(7.2,8.2,7.9)/100</f>
        <v>7.7666666666666662E-2</v>
      </c>
      <c r="DA16" s="507"/>
      <c r="DB16" s="352">
        <f t="shared" si="14"/>
        <v>70.34620000000001</v>
      </c>
      <c r="DC16" s="504"/>
      <c r="DD16" s="163" t="s">
        <v>438</v>
      </c>
      <c r="DE16" s="118">
        <f>3*15.9</f>
        <v>47.7</v>
      </c>
      <c r="DF16" s="118" t="s">
        <v>423</v>
      </c>
      <c r="DG16" s="118">
        <v>175</v>
      </c>
      <c r="DH16" s="504"/>
      <c r="DI16" s="45"/>
      <c r="DJ16" s="506" t="s">
        <v>450</v>
      </c>
      <c r="DK16" s="506" t="s">
        <v>451</v>
      </c>
      <c r="DL16" s="351">
        <v>6.2E-2</v>
      </c>
      <c r="DM16" s="507"/>
      <c r="DN16" s="507"/>
      <c r="DO16" s="249">
        <f t="shared" si="15"/>
        <v>41.859999999999992</v>
      </c>
      <c r="DP16" s="135"/>
      <c r="DQ16" s="163" t="s">
        <v>452</v>
      </c>
      <c r="DR16" s="504">
        <v>7</v>
      </c>
      <c r="DS16" s="504" t="s">
        <v>426</v>
      </c>
      <c r="DT16" s="504">
        <f t="shared" ref="DT16:DT21" si="22">12.7*2</f>
        <v>25.4</v>
      </c>
      <c r="DU16" s="504" t="s">
        <v>438</v>
      </c>
      <c r="DV16" s="45">
        <f t="shared" ref="DV16:DV21" si="23">2*15.9</f>
        <v>31.8</v>
      </c>
      <c r="DW16" s="507"/>
      <c r="DX16" s="507"/>
      <c r="DY16" s="353"/>
      <c r="DZ16" s="507"/>
      <c r="EA16" s="506">
        <f t="shared" si="16"/>
        <v>41.859999999999992</v>
      </c>
      <c r="EB16" s="45">
        <f>3*0.305*0.203</f>
        <v>0.18574500000000002</v>
      </c>
      <c r="EC16" s="504"/>
      <c r="ED16" s="507"/>
      <c r="EE16" s="504"/>
      <c r="EF16" s="353"/>
      <c r="EG16" s="507"/>
      <c r="EH16" s="507"/>
      <c r="EI16" s="507"/>
      <c r="EJ16" s="507"/>
      <c r="EK16" s="507"/>
      <c r="EL16" s="697"/>
      <c r="EM16" s="156"/>
      <c r="EN16" s="507"/>
      <c r="EO16" s="507"/>
      <c r="EP16" s="507"/>
      <c r="EQ16" s="351"/>
      <c r="ER16" s="507"/>
      <c r="ES16" s="507"/>
      <c r="ET16" s="507"/>
      <c r="EU16" s="507"/>
      <c r="EV16" s="507"/>
      <c r="EW16" s="694"/>
      <c r="EX16" s="507"/>
      <c r="EY16" s="162">
        <v>3</v>
      </c>
      <c r="EZ16" s="504">
        <v>1.8</v>
      </c>
      <c r="FA16" s="504">
        <v>2</v>
      </c>
      <c r="FB16" s="504">
        <v>0</v>
      </c>
      <c r="FC16" s="504">
        <v>1.8</v>
      </c>
      <c r="FD16" s="504">
        <f t="shared" si="18"/>
        <v>3.6</v>
      </c>
      <c r="FE16" s="504"/>
      <c r="FF16" s="504"/>
      <c r="FG16" s="45" t="s">
        <v>453</v>
      </c>
      <c r="FH16" s="149">
        <v>0.13</v>
      </c>
      <c r="FI16" s="504">
        <v>0.13</v>
      </c>
      <c r="FJ16" s="504">
        <v>0.3</v>
      </c>
      <c r="FK16" s="504">
        <v>2.2999999999999998</v>
      </c>
      <c r="FL16" s="504">
        <f t="shared" ref="FL16:FL21" si="24">FH16*FI16</f>
        <v>1.6900000000000002E-2</v>
      </c>
      <c r="FM16" s="504"/>
      <c r="FN16" s="504"/>
      <c r="FO16" s="45" t="s">
        <v>428</v>
      </c>
      <c r="FP16" s="149">
        <v>0.13</v>
      </c>
      <c r="FQ16" s="504">
        <v>0.13</v>
      </c>
      <c r="FR16" s="504">
        <v>1.8</v>
      </c>
      <c r="FS16" s="504">
        <v>2.2999999999999998</v>
      </c>
      <c r="FT16" s="504">
        <f t="shared" ref="FT16:FT21" si="25">FP16*FQ16</f>
        <v>1.6900000000000002E-2</v>
      </c>
      <c r="FU16" s="504"/>
      <c r="FV16" s="504"/>
      <c r="FW16" s="45" t="s">
        <v>428</v>
      </c>
      <c r="FX16" s="507"/>
      <c r="FY16" s="507"/>
      <c r="FZ16" s="507"/>
      <c r="GA16" s="507"/>
      <c r="GB16" s="507"/>
      <c r="GC16" s="504"/>
      <c r="GD16" s="504"/>
      <c r="GE16" s="507"/>
      <c r="GF16" s="507"/>
      <c r="GG16" s="507"/>
      <c r="GH16" s="507"/>
      <c r="GI16" s="507"/>
      <c r="GJ16" s="507"/>
      <c r="GK16" s="504"/>
      <c r="GL16" s="504"/>
      <c r="GM16" s="507"/>
      <c r="GN16" s="507"/>
      <c r="GO16" s="507"/>
      <c r="GP16" s="507"/>
      <c r="GQ16" s="507"/>
      <c r="GR16" s="507"/>
      <c r="GS16" s="504"/>
      <c r="GT16" s="504"/>
      <c r="GU16" s="508"/>
      <c r="GV16" s="507"/>
      <c r="GW16" s="507"/>
      <c r="GX16" s="507"/>
      <c r="GY16" s="507"/>
      <c r="GZ16" s="507"/>
      <c r="HA16" s="504"/>
      <c r="HB16" s="504"/>
      <c r="HC16" s="508"/>
      <c r="HD16" s="507"/>
      <c r="HE16" s="507"/>
      <c r="HF16" s="507"/>
      <c r="HG16" s="507"/>
      <c r="HH16" s="507"/>
      <c r="HI16" s="504"/>
      <c r="HJ16" s="504"/>
      <c r="HK16" s="508"/>
      <c r="HL16" s="507"/>
      <c r="HM16" s="507"/>
      <c r="HN16" s="507"/>
      <c r="HO16" s="507"/>
      <c r="HP16" s="507"/>
      <c r="HQ16" s="504"/>
      <c r="HR16" s="504"/>
      <c r="HS16" s="508"/>
      <c r="HT16" s="507"/>
      <c r="HU16" s="507"/>
      <c r="HV16" s="507"/>
      <c r="HW16" s="507"/>
      <c r="HX16" s="507"/>
      <c r="HY16" s="504"/>
      <c r="HZ16" s="504"/>
      <c r="IA16" s="508"/>
      <c r="IB16" s="507"/>
      <c r="IC16" s="507"/>
      <c r="ID16" s="507"/>
      <c r="IE16" s="507"/>
      <c r="IF16" s="507"/>
      <c r="IG16" s="504"/>
      <c r="IH16" s="504"/>
      <c r="II16" s="508"/>
    </row>
    <row r="17" spans="1:243">
      <c r="A17" s="1195"/>
      <c r="B17" s="1142"/>
      <c r="C17" s="51">
        <v>2</v>
      </c>
      <c r="D17" s="725" t="str">
        <f t="shared" ref="D17:D21" si="26">CONCATENATE($A$16,"_",C17)</f>
        <v>NRCC&amp;NIST_2</v>
      </c>
      <c r="E17" s="337">
        <v>548</v>
      </c>
      <c r="F17" s="1139"/>
      <c r="G17" s="1139"/>
      <c r="H17" s="520">
        <f t="shared" si="0"/>
        <v>41.859999999999992</v>
      </c>
      <c r="I17" s="520">
        <f t="shared" si="1"/>
        <v>157.69999999999999</v>
      </c>
      <c r="J17" s="4">
        <f t="shared" si="2"/>
        <v>1.1778376664552952E-3</v>
      </c>
      <c r="K17" s="716">
        <v>0</v>
      </c>
      <c r="L17" s="4">
        <f t="shared" si="3"/>
        <v>2.5107461476074617E-3</v>
      </c>
      <c r="M17" s="4">
        <f t="shared" si="4"/>
        <v>2.7828550539206729E-3</v>
      </c>
      <c r="N17" s="4">
        <f t="shared" si="5"/>
        <v>4.4372909698996666E-3</v>
      </c>
      <c r="O17" s="436">
        <f t="shared" si="6"/>
        <v>0</v>
      </c>
      <c r="P17" s="131">
        <f t="shared" si="7"/>
        <v>0</v>
      </c>
      <c r="Q17" s="339">
        <f t="shared" si="8"/>
        <v>4.4372909698996666E-3</v>
      </c>
      <c r="R17" s="131"/>
      <c r="S17" s="437"/>
      <c r="T17" s="679"/>
      <c r="U17" s="438"/>
      <c r="V17" s="679" t="s">
        <v>417</v>
      </c>
      <c r="W17" s="525">
        <f t="shared" si="9"/>
        <v>1.991262407033648</v>
      </c>
      <c r="X17" s="727">
        <f t="shared" si="10"/>
        <v>7.2337999999999996</v>
      </c>
      <c r="Y17" s="728">
        <f t="shared" si="11"/>
        <v>6.4729022900359187E-2</v>
      </c>
      <c r="Z17" s="489">
        <v>12.4</v>
      </c>
      <c r="AA17" s="489"/>
      <c r="AB17" s="489"/>
      <c r="AC17" s="489">
        <f t="shared" si="12"/>
        <v>0</v>
      </c>
      <c r="AD17" s="489"/>
      <c r="AE17" s="489"/>
      <c r="AF17" s="489"/>
      <c r="AG17" s="489"/>
      <c r="AH17" s="489"/>
      <c r="AI17" s="489"/>
      <c r="AJ17" s="489"/>
      <c r="AK17" s="440">
        <v>0.8</v>
      </c>
      <c r="AL17" s="88">
        <v>1200</v>
      </c>
      <c r="AM17" s="88">
        <v>104</v>
      </c>
      <c r="AN17" s="88"/>
      <c r="AO17" s="88" t="s">
        <v>454</v>
      </c>
      <c r="AP17" s="88"/>
      <c r="AQ17" s="88"/>
      <c r="AR17" s="425">
        <v>66.099999999999994</v>
      </c>
      <c r="AS17" s="425">
        <v>66.099999999999994</v>
      </c>
      <c r="AT17" s="425">
        <v>98.9</v>
      </c>
      <c r="AU17" s="425">
        <v>75.2</v>
      </c>
      <c r="AV17" s="265"/>
      <c r="AW17" s="265" t="s">
        <v>430</v>
      </c>
      <c r="AX17" s="195">
        <v>104</v>
      </c>
      <c r="AY17" s="71"/>
      <c r="AZ17" s="12"/>
      <c r="BA17" s="12"/>
      <c r="BB17" s="223"/>
      <c r="BC17" s="71"/>
      <c r="BD17" s="12">
        <v>0.1</v>
      </c>
      <c r="BE17" s="315">
        <v>10</v>
      </c>
      <c r="BF17" s="236"/>
      <c r="BG17" s="12">
        <f>AVERAGE(46,35,35)</f>
        <v>38.666666666666664</v>
      </c>
      <c r="BH17" s="12">
        <v>35</v>
      </c>
      <c r="BI17" s="12">
        <v>46</v>
      </c>
      <c r="BJ17" s="544"/>
      <c r="BK17" s="545"/>
      <c r="BL17" s="545"/>
      <c r="BM17" s="545"/>
      <c r="BN17" s="544"/>
      <c r="BO17" s="545"/>
      <c r="BP17" s="545"/>
      <c r="BQ17" s="833"/>
      <c r="BR17" s="883" t="s">
        <v>1006</v>
      </c>
      <c r="BS17" s="1054" t="s">
        <v>453</v>
      </c>
      <c r="BT17" s="448" t="s">
        <v>428</v>
      </c>
      <c r="BU17" s="448"/>
      <c r="BV17" s="886" t="s">
        <v>1008</v>
      </c>
      <c r="BW17" s="1128"/>
      <c r="BX17" s="1113"/>
      <c r="BY17" s="1113"/>
      <c r="BZ17" s="1113"/>
      <c r="CA17" s="1122"/>
      <c r="CB17" s="509">
        <v>4.5999999999999996</v>
      </c>
      <c r="CC17">
        <v>9.1</v>
      </c>
      <c r="CD17">
        <v>2.7</v>
      </c>
      <c r="CE17"/>
      <c r="CF17" s="425"/>
      <c r="CJ17" s="427">
        <v>175</v>
      </c>
      <c r="CO17"/>
      <c r="CQ17" s="355">
        <f t="shared" si="13"/>
        <v>0.18574500000000002</v>
      </c>
      <c r="CR17" s="426" t="s">
        <v>438</v>
      </c>
      <c r="CS17" s="119">
        <f>2*15.9</f>
        <v>31.8</v>
      </c>
      <c r="CT17" s="119" t="s">
        <v>423</v>
      </c>
      <c r="CU17" s="119">
        <v>175</v>
      </c>
      <c r="CV17" s="506"/>
      <c r="CW17" s="518"/>
      <c r="CX17" s="506" t="s">
        <v>450</v>
      </c>
      <c r="CY17" s="506" t="s">
        <v>451</v>
      </c>
      <c r="CZ17" s="339">
        <f>AVERAGE(8,7.6,8.1)/100</f>
        <v>7.9000000000000001E-2</v>
      </c>
      <c r="DA17"/>
      <c r="DB17" s="340">
        <f t="shared" si="14"/>
        <v>66.746200000000002</v>
      </c>
      <c r="DC17" s="506"/>
      <c r="DD17" s="426" t="s">
        <v>438</v>
      </c>
      <c r="DE17" s="119">
        <f>2*15.9</f>
        <v>31.8</v>
      </c>
      <c r="DF17" s="119" t="s">
        <v>423</v>
      </c>
      <c r="DG17" s="119">
        <v>175</v>
      </c>
      <c r="DI17" s="427"/>
      <c r="DJ17" s="506" t="s">
        <v>450</v>
      </c>
      <c r="DK17" s="506" t="s">
        <v>451</v>
      </c>
      <c r="DL17" s="339">
        <v>6.9000000000000006E-2</v>
      </c>
      <c r="DO17" s="116">
        <f t="shared" si="15"/>
        <v>41.859999999999992</v>
      </c>
      <c r="DP17" s="430"/>
      <c r="DQ17" s="426" t="s">
        <v>452</v>
      </c>
      <c r="DR17" s="506">
        <v>7</v>
      </c>
      <c r="DS17" s="506" t="s">
        <v>426</v>
      </c>
      <c r="DT17" s="506">
        <f t="shared" si="22"/>
        <v>25.4</v>
      </c>
      <c r="DU17" s="506" t="s">
        <v>438</v>
      </c>
      <c r="DV17" s="427">
        <f t="shared" si="23"/>
        <v>31.8</v>
      </c>
      <c r="DX17"/>
      <c r="DY17" s="341"/>
      <c r="DZ17"/>
      <c r="EA17" s="506">
        <f t="shared" si="16"/>
        <v>41.859999999999992</v>
      </c>
      <c r="EB17" s="427">
        <f>3*0.305*0.203</f>
        <v>0.18574500000000002</v>
      </c>
      <c r="EC17" s="506"/>
      <c r="ED17"/>
      <c r="EE17" s="506"/>
      <c r="EF17" s="341"/>
      <c r="EK17"/>
      <c r="EL17" s="698"/>
      <c r="EM17" s="518"/>
      <c r="EP17"/>
      <c r="EQ17" s="339"/>
      <c r="EV17"/>
      <c r="EW17" s="690"/>
      <c r="EX17"/>
      <c r="EY17" s="21">
        <v>3</v>
      </c>
      <c r="EZ17" s="506">
        <v>3.6</v>
      </c>
      <c r="FA17" s="506">
        <v>2</v>
      </c>
      <c r="FB17" s="506">
        <v>0</v>
      </c>
      <c r="FC17" s="506">
        <v>0.2</v>
      </c>
      <c r="FD17" s="506">
        <f t="shared" si="18"/>
        <v>7.2</v>
      </c>
      <c r="FE17" s="506"/>
      <c r="FF17" s="506"/>
      <c r="FG17" s="427" t="s">
        <v>453</v>
      </c>
      <c r="FH17" s="425">
        <v>0.13</v>
      </c>
      <c r="FI17" s="506">
        <v>0.13</v>
      </c>
      <c r="FJ17" s="506">
        <v>0.3</v>
      </c>
      <c r="FK17" s="506">
        <v>2.2999999999999998</v>
      </c>
      <c r="FL17" s="506">
        <f t="shared" si="24"/>
        <v>1.6900000000000002E-2</v>
      </c>
      <c r="FM17" s="506"/>
      <c r="FN17" s="506"/>
      <c r="FO17" s="427" t="s">
        <v>428</v>
      </c>
      <c r="FP17" s="425">
        <v>0.13</v>
      </c>
      <c r="FQ17" s="506">
        <v>0.13</v>
      </c>
      <c r="FR17" s="506">
        <v>1.8</v>
      </c>
      <c r="FS17" s="506">
        <v>2.2999999999999998</v>
      </c>
      <c r="FT17" s="506">
        <f t="shared" si="25"/>
        <v>1.6900000000000002E-2</v>
      </c>
      <c r="FU17" s="506"/>
      <c r="FV17" s="506"/>
      <c r="FW17" s="427" t="s">
        <v>428</v>
      </c>
      <c r="GC17" s="506"/>
      <c r="GD17" s="506"/>
      <c r="GK17" s="506"/>
      <c r="GL17" s="506"/>
      <c r="GS17" s="506"/>
      <c r="GT17" s="506"/>
      <c r="GU17" s="510"/>
      <c r="HA17" s="506"/>
      <c r="HB17" s="506"/>
      <c r="HC17" s="510"/>
      <c r="HI17" s="506"/>
      <c r="HJ17" s="506"/>
      <c r="HK17" s="510"/>
      <c r="HQ17" s="506"/>
      <c r="HR17" s="506"/>
      <c r="HS17" s="510"/>
      <c r="HY17" s="506"/>
      <c r="HZ17" s="506"/>
      <c r="IA17" s="510"/>
      <c r="IG17" s="506"/>
      <c r="IH17" s="506"/>
      <c r="II17" s="510"/>
    </row>
    <row r="18" spans="1:243">
      <c r="A18" s="1195"/>
      <c r="B18" s="1142"/>
      <c r="C18" s="51">
        <v>3</v>
      </c>
      <c r="D18" s="725" t="str">
        <f t="shared" si="26"/>
        <v>NRCC&amp;NIST_3</v>
      </c>
      <c r="E18" s="337">
        <v>556</v>
      </c>
      <c r="F18" s="1139"/>
      <c r="G18" s="1139"/>
      <c r="H18" s="520">
        <f t="shared" si="0"/>
        <v>41.859999999999992</v>
      </c>
      <c r="I18" s="520">
        <f t="shared" si="1"/>
        <v>157.69999999999999</v>
      </c>
      <c r="J18" s="4">
        <f t="shared" si="2"/>
        <v>0.15580215599239064</v>
      </c>
      <c r="K18" s="716" t="s">
        <v>443</v>
      </c>
      <c r="L18" s="4">
        <f t="shared" si="3"/>
        <v>0.33211678832116787</v>
      </c>
      <c r="M18" s="4">
        <f t="shared" si="4"/>
        <v>0.36811084376339026</v>
      </c>
      <c r="N18" s="4">
        <f t="shared" si="5"/>
        <v>0.5869565217391306</v>
      </c>
      <c r="O18" s="436">
        <f t="shared" si="6"/>
        <v>0.36811084376339026</v>
      </c>
      <c r="P18" s="131">
        <f t="shared" si="7"/>
        <v>0</v>
      </c>
      <c r="Q18" s="131"/>
      <c r="R18" s="131"/>
      <c r="S18" s="437"/>
      <c r="T18" s="679"/>
      <c r="U18" s="438"/>
      <c r="V18" s="679" t="s">
        <v>417</v>
      </c>
      <c r="W18" s="525">
        <f t="shared" si="9"/>
        <v>1.991262407033648</v>
      </c>
      <c r="X18" s="167">
        <f t="shared" si="10"/>
        <v>7.2337999999999996</v>
      </c>
      <c r="Y18" s="363">
        <f t="shared" si="11"/>
        <v>6.4729022900359187E-2</v>
      </c>
      <c r="Z18" s="489">
        <v>14.2</v>
      </c>
      <c r="AA18" s="489">
        <f>Z17</f>
        <v>12.4</v>
      </c>
      <c r="AB18" s="489">
        <v>3.5</v>
      </c>
      <c r="AC18" s="489">
        <f t="shared" si="12"/>
        <v>296.22551361681803</v>
      </c>
      <c r="AD18" s="489"/>
      <c r="AE18" s="489"/>
      <c r="AF18" s="489"/>
      <c r="AG18" s="489"/>
      <c r="AH18" s="489"/>
      <c r="AI18" s="489"/>
      <c r="AJ18" s="489"/>
      <c r="AK18" s="435"/>
      <c r="AL18" s="88">
        <v>1200</v>
      </c>
      <c r="AM18" s="88">
        <v>242</v>
      </c>
      <c r="AN18" s="88"/>
      <c r="AO18" s="88" t="s">
        <v>455</v>
      </c>
      <c r="AP18" s="88"/>
      <c r="AQ18" s="88"/>
      <c r="AR18" s="425">
        <v>66.099999999999994</v>
      </c>
      <c r="AS18" s="425">
        <v>66.099999999999994</v>
      </c>
      <c r="AT18" s="425">
        <v>98.9</v>
      </c>
      <c r="AU18" s="425">
        <v>75.2</v>
      </c>
      <c r="AV18" s="265" t="s">
        <v>456</v>
      </c>
      <c r="AW18" s="265" t="s">
        <v>430</v>
      </c>
      <c r="AX18" s="196">
        <v>70</v>
      </c>
      <c r="AY18" s="68">
        <f>AVERAGE(BA18,AZ18)</f>
        <v>27.5</v>
      </c>
      <c r="AZ18" s="56">
        <v>20</v>
      </c>
      <c r="BA18" s="56">
        <v>35</v>
      </c>
      <c r="BB18" s="224"/>
      <c r="BC18" s="68"/>
      <c r="BD18" s="56"/>
      <c r="BE18" s="316"/>
      <c r="BF18" s="237"/>
      <c r="BG18" s="56"/>
      <c r="BH18" s="56"/>
      <c r="BI18" s="56"/>
      <c r="BJ18" s="68"/>
      <c r="BK18" s="56"/>
      <c r="BL18" s="56"/>
      <c r="BM18" s="56"/>
      <c r="BN18" s="68"/>
      <c r="BO18" s="56"/>
      <c r="BP18" s="56"/>
      <c r="BQ18" s="833"/>
      <c r="BR18" s="883" t="s">
        <v>1006</v>
      </c>
      <c r="BS18" s="1054" t="s">
        <v>453</v>
      </c>
      <c r="BT18" s="448" t="s">
        <v>428</v>
      </c>
      <c r="BU18" s="448"/>
      <c r="BV18" s="887" t="s">
        <v>1009</v>
      </c>
      <c r="BW18" s="1128"/>
      <c r="BX18" s="1113"/>
      <c r="BY18" s="1113"/>
      <c r="BZ18" s="1113"/>
      <c r="CA18" s="1122"/>
      <c r="CB18" s="509">
        <v>4.5999999999999996</v>
      </c>
      <c r="CC18">
        <v>9.1</v>
      </c>
      <c r="CD18">
        <v>2.7</v>
      </c>
      <c r="CE18"/>
      <c r="CF18" s="425"/>
      <c r="CJ18" s="427"/>
      <c r="CO18"/>
      <c r="CQ18" s="355">
        <f t="shared" si="13"/>
        <v>24.57</v>
      </c>
      <c r="CR18" s="426" t="s">
        <v>438</v>
      </c>
      <c r="CS18" s="119">
        <f>2*15.9</f>
        <v>31.8</v>
      </c>
      <c r="CT18" s="119" t="s">
        <v>423</v>
      </c>
      <c r="CU18" s="119">
        <v>175</v>
      </c>
      <c r="CV18" s="506"/>
      <c r="CW18" s="518"/>
      <c r="CX18" s="506" t="s">
        <v>450</v>
      </c>
      <c r="CY18" s="506" t="s">
        <v>451</v>
      </c>
      <c r="CZ18" s="339">
        <f>AVERAGE(8.2,7.5,8.6,6.8)/100</f>
        <v>7.775E-2</v>
      </c>
      <c r="DA18"/>
      <c r="DB18" s="340">
        <f t="shared" si="14"/>
        <v>66.746200000000002</v>
      </c>
      <c r="DC18" s="506">
        <f>CC18*CD18</f>
        <v>24.57</v>
      </c>
      <c r="DD18" s="426" t="s">
        <v>438</v>
      </c>
      <c r="DE18" s="119">
        <f>2*15.9</f>
        <v>31.8</v>
      </c>
      <c r="DF18" s="119" t="s">
        <v>423</v>
      </c>
      <c r="DG18" s="119">
        <v>175</v>
      </c>
      <c r="DI18" s="427"/>
      <c r="DJ18" s="506" t="s">
        <v>450</v>
      </c>
      <c r="DK18" s="506" t="s">
        <v>451</v>
      </c>
      <c r="DL18" s="339">
        <v>6.4000000000000001E-2</v>
      </c>
      <c r="DO18" s="116">
        <f t="shared" si="15"/>
        <v>41.859999999999992</v>
      </c>
      <c r="DP18" s="430"/>
      <c r="DQ18" s="426" t="s">
        <v>452</v>
      </c>
      <c r="DR18" s="506">
        <v>7</v>
      </c>
      <c r="DS18" s="506" t="s">
        <v>426</v>
      </c>
      <c r="DT18" s="506">
        <f t="shared" si="22"/>
        <v>25.4</v>
      </c>
      <c r="DU18" s="506" t="s">
        <v>438</v>
      </c>
      <c r="DV18" s="427">
        <f t="shared" si="23"/>
        <v>31.8</v>
      </c>
      <c r="DX18"/>
      <c r="DY18" s="341"/>
      <c r="DZ18"/>
      <c r="EA18" s="506">
        <f t="shared" si="16"/>
        <v>41.859999999999992</v>
      </c>
      <c r="EB18" s="427" t="s">
        <v>427</v>
      </c>
      <c r="EC18" s="506"/>
      <c r="ED18"/>
      <c r="EE18" s="506"/>
      <c r="EF18" s="341"/>
      <c r="EK18"/>
      <c r="EL18" s="698"/>
      <c r="EM18" s="518"/>
      <c r="EP18"/>
      <c r="EQ18" s="339"/>
      <c r="EV18"/>
      <c r="EW18" s="690"/>
      <c r="EX18"/>
      <c r="EY18" s="21">
        <v>3</v>
      </c>
      <c r="EZ18" s="506">
        <v>3.6</v>
      </c>
      <c r="FA18" s="506">
        <v>2</v>
      </c>
      <c r="FB18" s="506">
        <v>0</v>
      </c>
      <c r="FC18" s="506">
        <v>0.2</v>
      </c>
      <c r="FD18" s="506">
        <f t="shared" si="18"/>
        <v>7.2</v>
      </c>
      <c r="FE18" s="506"/>
      <c r="FF18" s="506"/>
      <c r="FG18" s="427" t="s">
        <v>453</v>
      </c>
      <c r="FH18" s="425">
        <v>0.13</v>
      </c>
      <c r="FI18" s="506">
        <v>0.13</v>
      </c>
      <c r="FJ18" s="506">
        <v>0.3</v>
      </c>
      <c r="FK18" s="506">
        <v>2.2999999999999998</v>
      </c>
      <c r="FL18" s="506">
        <f t="shared" si="24"/>
        <v>1.6900000000000002E-2</v>
      </c>
      <c r="FM18" s="506"/>
      <c r="FN18" s="506"/>
      <c r="FO18" s="427" t="s">
        <v>428</v>
      </c>
      <c r="FP18" s="425">
        <v>0.13</v>
      </c>
      <c r="FQ18" s="506">
        <v>0.13</v>
      </c>
      <c r="FR18" s="506">
        <v>1.8</v>
      </c>
      <c r="FS18" s="506">
        <v>2.2999999999999998</v>
      </c>
      <c r="FT18" s="506">
        <f t="shared" si="25"/>
        <v>1.6900000000000002E-2</v>
      </c>
      <c r="FU18" s="506"/>
      <c r="FV18" s="506"/>
      <c r="FW18" s="427" t="s">
        <v>428</v>
      </c>
      <c r="GC18" s="506"/>
      <c r="GD18" s="506"/>
      <c r="GK18" s="506"/>
      <c r="GL18" s="506"/>
      <c r="GS18" s="506"/>
      <c r="GT18" s="506"/>
      <c r="GU18" s="510"/>
      <c r="HA18" s="506"/>
      <c r="HB18" s="506"/>
      <c r="HC18" s="510"/>
      <c r="HI18" s="506"/>
      <c r="HJ18" s="506"/>
      <c r="HK18" s="510"/>
      <c r="HQ18" s="506"/>
      <c r="HR18" s="506"/>
      <c r="HS18" s="510"/>
      <c r="HY18" s="506"/>
      <c r="HZ18" s="506"/>
      <c r="IA18" s="510"/>
      <c r="IG18" s="506"/>
      <c r="IH18" s="506"/>
      <c r="II18" s="510"/>
    </row>
    <row r="19" spans="1:243">
      <c r="A19" s="1195"/>
      <c r="B19" s="1142"/>
      <c r="C19" s="51">
        <v>4</v>
      </c>
      <c r="D19" s="725" t="str">
        <f t="shared" si="26"/>
        <v>NRCC&amp;NIST_4</v>
      </c>
      <c r="E19" s="337">
        <v>548</v>
      </c>
      <c r="F19" s="1139"/>
      <c r="G19" s="1139"/>
      <c r="H19" s="520">
        <f t="shared" si="0"/>
        <v>41.859999999999992</v>
      </c>
      <c r="I19" s="520">
        <f t="shared" si="1"/>
        <v>157.69999999999999</v>
      </c>
      <c r="J19" s="4">
        <f t="shared" si="2"/>
        <v>0.26544071020925808</v>
      </c>
      <c r="K19" s="716" t="s">
        <v>457</v>
      </c>
      <c r="L19" s="4">
        <f t="shared" si="3"/>
        <v>0.56582860232495258</v>
      </c>
      <c r="M19" s="4">
        <f t="shared" si="4"/>
        <v>0.5950570180052368</v>
      </c>
      <c r="N19" s="4">
        <f t="shared" si="5"/>
        <v>1</v>
      </c>
      <c r="O19" s="436">
        <f t="shared" si="6"/>
        <v>0</v>
      </c>
      <c r="P19" s="131">
        <f t="shared" si="7"/>
        <v>1</v>
      </c>
      <c r="Q19" s="131"/>
      <c r="R19" s="131"/>
      <c r="S19" s="437"/>
      <c r="T19" s="679"/>
      <c r="U19" s="438"/>
      <c r="V19" s="679" t="s">
        <v>417</v>
      </c>
      <c r="W19" s="525">
        <f t="shared" si="9"/>
        <v>1.9826060872915403</v>
      </c>
      <c r="X19" s="729">
        <f t="shared" si="10"/>
        <v>3.6338000000000004</v>
      </c>
      <c r="Y19" s="730">
        <f t="shared" si="11"/>
        <v>3.2444982548200337E-2</v>
      </c>
      <c r="Z19" s="489">
        <v>13.1</v>
      </c>
      <c r="AA19" s="489">
        <f>Z16</f>
        <v>9.5</v>
      </c>
      <c r="AB19" s="489">
        <v>5.5</v>
      </c>
      <c r="AC19" s="489">
        <f t="shared" si="12"/>
        <v>226.9469660774009</v>
      </c>
      <c r="AD19" s="489"/>
      <c r="AE19" s="489"/>
      <c r="AF19" s="489"/>
      <c r="AG19" s="489"/>
      <c r="AH19" s="489"/>
      <c r="AI19" s="489"/>
      <c r="AJ19" s="489"/>
      <c r="AK19" s="435"/>
      <c r="AL19" s="88">
        <v>1200</v>
      </c>
      <c r="AM19" s="88">
        <v>159</v>
      </c>
      <c r="AN19" s="88"/>
      <c r="AO19" s="88" t="s">
        <v>458</v>
      </c>
      <c r="AP19" s="88"/>
      <c r="AQ19" s="88"/>
      <c r="AR19" s="425">
        <v>88.4</v>
      </c>
      <c r="AS19" s="425">
        <v>88.4</v>
      </c>
      <c r="AT19" s="808">
        <v>119.2</v>
      </c>
      <c r="AU19" s="808"/>
      <c r="AV19" s="265">
        <v>150</v>
      </c>
      <c r="AW19" s="265" t="s">
        <v>417</v>
      </c>
      <c r="AX19" s="195">
        <v>159</v>
      </c>
      <c r="AY19" s="71"/>
      <c r="AZ19" s="12"/>
      <c r="BA19" s="12"/>
      <c r="BB19" s="223"/>
      <c r="BC19" s="71">
        <f>AVERAGE('Char measurement'!B122:E129)</f>
        <v>78.625</v>
      </c>
      <c r="BD19" s="12">
        <f>MIN('Char measurement'!B122:E129)</f>
        <v>68</v>
      </c>
      <c r="BE19" s="315">
        <f>MAX('Char measurement'!B122:E129)</f>
        <v>90</v>
      </c>
      <c r="BF19" s="236">
        <f>BC19/AX19</f>
        <v>0.49449685534591192</v>
      </c>
      <c r="BG19" s="12"/>
      <c r="BH19" s="12"/>
      <c r="BI19" s="12"/>
      <c r="BJ19" s="546"/>
      <c r="BK19" s="547"/>
      <c r="BL19" s="547"/>
      <c r="BM19" s="547"/>
      <c r="BN19" s="546"/>
      <c r="BO19" s="547"/>
      <c r="BP19" s="547"/>
      <c r="BQ19" s="829"/>
      <c r="BR19" s="883" t="s">
        <v>1006</v>
      </c>
      <c r="BS19" s="1054" t="s">
        <v>453</v>
      </c>
      <c r="BT19" s="448" t="s">
        <v>428</v>
      </c>
      <c r="BU19" s="448"/>
      <c r="BV19" s="886" t="s">
        <v>1010</v>
      </c>
      <c r="BW19" s="1128"/>
      <c r="BX19" s="1113"/>
      <c r="BY19" s="1113"/>
      <c r="BZ19" s="1113"/>
      <c r="CA19" s="1122"/>
      <c r="CB19" s="509">
        <v>4.5999999999999996</v>
      </c>
      <c r="CC19">
        <v>9.1</v>
      </c>
      <c r="CD19">
        <v>2.7</v>
      </c>
      <c r="CE19"/>
      <c r="CF19" s="425"/>
      <c r="CJ19" s="427"/>
      <c r="CO19"/>
      <c r="CQ19" s="355">
        <f t="shared" si="13"/>
        <v>41.859999999999992</v>
      </c>
      <c r="CR19" s="426" t="s">
        <v>438</v>
      </c>
      <c r="CS19" s="119">
        <f>3*15.9</f>
        <v>47.7</v>
      </c>
      <c r="CT19" s="119" t="s">
        <v>423</v>
      </c>
      <c r="CU19" s="119">
        <v>175</v>
      </c>
      <c r="CV19" s="506"/>
      <c r="CW19" s="518"/>
      <c r="CX19" s="506" t="s">
        <v>450</v>
      </c>
      <c r="CY19" s="506" t="s">
        <v>451</v>
      </c>
      <c r="CZ19" s="339">
        <f>AVERAGE(9.9,8.7,8.8,8.8)/100</f>
        <v>9.0500000000000011E-2</v>
      </c>
      <c r="DA19"/>
      <c r="DB19" s="340">
        <f t="shared" si="14"/>
        <v>70.34620000000001</v>
      </c>
      <c r="DC19" s="506"/>
      <c r="DD19" s="426" t="s">
        <v>423</v>
      </c>
      <c r="DE19" s="119">
        <v>175</v>
      </c>
      <c r="DF19" s="119"/>
      <c r="DG19" s="119"/>
      <c r="DI19" s="427"/>
      <c r="DJ19" s="506" t="s">
        <v>450</v>
      </c>
      <c r="DK19" s="506" t="s">
        <v>451</v>
      </c>
      <c r="DL19" s="339">
        <v>7.1999999999999995E-2</v>
      </c>
      <c r="DO19" s="116">
        <f t="shared" si="15"/>
        <v>41.859999999999992</v>
      </c>
      <c r="DP19" s="430">
        <f>CB19*CC19</f>
        <v>41.859999999999992</v>
      </c>
      <c r="DQ19" s="426" t="s">
        <v>452</v>
      </c>
      <c r="DR19" s="506">
        <v>7</v>
      </c>
      <c r="DS19" s="506" t="s">
        <v>426</v>
      </c>
      <c r="DT19" s="506">
        <f t="shared" si="22"/>
        <v>25.4</v>
      </c>
      <c r="DU19" s="506" t="s">
        <v>438</v>
      </c>
      <c r="DV19" s="427">
        <f t="shared" si="23"/>
        <v>31.8</v>
      </c>
      <c r="DX19"/>
      <c r="DY19" s="341"/>
      <c r="DZ19"/>
      <c r="EA19" s="506">
        <f t="shared" si="16"/>
        <v>41.859999999999992</v>
      </c>
      <c r="EB19" s="427" t="s">
        <v>427</v>
      </c>
      <c r="EC19" s="506"/>
      <c r="ED19"/>
      <c r="EE19" s="506"/>
      <c r="EF19" s="341"/>
      <c r="EK19"/>
      <c r="EL19" s="698"/>
      <c r="EM19" s="518"/>
      <c r="EP19"/>
      <c r="EQ19" s="339"/>
      <c r="EV19"/>
      <c r="EW19" s="690"/>
      <c r="EX19"/>
      <c r="EY19" s="21">
        <v>3</v>
      </c>
      <c r="EZ19" s="506">
        <v>1.8</v>
      </c>
      <c r="FA19" s="506">
        <v>2</v>
      </c>
      <c r="FB19" s="506">
        <v>0</v>
      </c>
      <c r="FC19" s="506">
        <v>1.8</v>
      </c>
      <c r="FD19" s="506">
        <f t="shared" si="18"/>
        <v>3.6</v>
      </c>
      <c r="FE19" s="506"/>
      <c r="FF19" s="506"/>
      <c r="FG19" s="427" t="s">
        <v>453</v>
      </c>
      <c r="FH19" s="425">
        <v>0.13</v>
      </c>
      <c r="FI19" s="506">
        <v>0.13</v>
      </c>
      <c r="FJ19" s="506">
        <v>0.3</v>
      </c>
      <c r="FK19" s="506">
        <v>2.2999999999999998</v>
      </c>
      <c r="FL19" s="506">
        <f t="shared" si="24"/>
        <v>1.6900000000000002E-2</v>
      </c>
      <c r="FM19" s="506"/>
      <c r="FN19" s="506"/>
      <c r="FO19" s="427" t="s">
        <v>428</v>
      </c>
      <c r="FP19" s="425">
        <v>0.13</v>
      </c>
      <c r="FQ19" s="506">
        <v>0.13</v>
      </c>
      <c r="FR19" s="506">
        <v>1.8</v>
      </c>
      <c r="FS19" s="506">
        <v>2.2999999999999998</v>
      </c>
      <c r="FT19" s="506">
        <f t="shared" si="25"/>
        <v>1.6900000000000002E-2</v>
      </c>
      <c r="FU19" s="506"/>
      <c r="FV19" s="506"/>
      <c r="FW19" s="427" t="s">
        <v>428</v>
      </c>
      <c r="GC19" s="506"/>
      <c r="GD19" s="506"/>
      <c r="GK19" s="506"/>
      <c r="GL19" s="506"/>
      <c r="GS19" s="506"/>
      <c r="GT19" s="506"/>
      <c r="GU19" s="510"/>
      <c r="HA19" s="506"/>
      <c r="HB19" s="506"/>
      <c r="HC19" s="510"/>
      <c r="HI19" s="506"/>
      <c r="HJ19" s="506"/>
      <c r="HK19" s="510"/>
      <c r="HQ19" s="506"/>
      <c r="HR19" s="506"/>
      <c r="HS19" s="510"/>
      <c r="HY19" s="506"/>
      <c r="HZ19" s="506"/>
      <c r="IA19" s="510"/>
      <c r="IG19" s="506"/>
      <c r="IH19" s="506"/>
      <c r="II19" s="510"/>
    </row>
    <row r="20" spans="1:243">
      <c r="A20" s="1195"/>
      <c r="B20" s="1142"/>
      <c r="C20" s="51">
        <v>5</v>
      </c>
      <c r="D20" s="725" t="str">
        <f t="shared" si="26"/>
        <v>NRCC&amp;NIST_5</v>
      </c>
      <c r="E20" s="337">
        <v>556</v>
      </c>
      <c r="F20" s="1139"/>
      <c r="G20" s="1139"/>
      <c r="H20" s="520">
        <f t="shared" si="0"/>
        <v>41.859999999999992</v>
      </c>
      <c r="I20" s="520">
        <f t="shared" si="1"/>
        <v>157.69999999999999</v>
      </c>
      <c r="J20" s="4">
        <f t="shared" si="2"/>
        <v>0.15580215599239064</v>
      </c>
      <c r="K20" s="716" t="s">
        <v>443</v>
      </c>
      <c r="L20" s="4">
        <f t="shared" si="3"/>
        <v>0.33211678832116787</v>
      </c>
      <c r="M20" s="4">
        <f t="shared" si="4"/>
        <v>0.34927259752481293</v>
      </c>
      <c r="N20" s="4">
        <f t="shared" si="5"/>
        <v>0.5869565217391306</v>
      </c>
      <c r="O20" s="436">
        <f t="shared" si="6"/>
        <v>0.34927259752481293</v>
      </c>
      <c r="P20" s="131">
        <f t="shared" si="7"/>
        <v>0</v>
      </c>
      <c r="Q20" s="131"/>
      <c r="R20" s="131"/>
      <c r="S20" s="437"/>
      <c r="T20" s="679"/>
      <c r="U20" s="438"/>
      <c r="V20" s="679" t="s">
        <v>417</v>
      </c>
      <c r="W20" s="525">
        <f t="shared" si="9"/>
        <v>1.9826060872915403</v>
      </c>
      <c r="X20" s="439">
        <f t="shared" si="10"/>
        <v>3.6338000000000004</v>
      </c>
      <c r="Y20" s="928">
        <f t="shared" si="11"/>
        <v>3.2444982548200337E-2</v>
      </c>
      <c r="Z20" s="489">
        <v>9.6</v>
      </c>
      <c r="AA20" s="489">
        <f>Z16</f>
        <v>9.5</v>
      </c>
      <c r="AB20" s="489">
        <v>9.5</v>
      </c>
      <c r="AC20" s="489">
        <f t="shared" si="12"/>
        <v>226.9469660774009</v>
      </c>
      <c r="AD20" s="489"/>
      <c r="AE20" s="489"/>
      <c r="AF20" s="489"/>
      <c r="AG20" s="489"/>
      <c r="AH20" s="489"/>
      <c r="AI20" s="489"/>
      <c r="AJ20" s="489"/>
      <c r="AK20" s="435"/>
      <c r="AL20" s="88">
        <v>1200</v>
      </c>
      <c r="AM20" s="88">
        <v>202</v>
      </c>
      <c r="AN20" s="88"/>
      <c r="AO20" s="88" t="s">
        <v>459</v>
      </c>
      <c r="AP20" s="88">
        <v>185</v>
      </c>
      <c r="AQ20" s="88">
        <v>144</v>
      </c>
      <c r="AR20" s="425">
        <v>88.4</v>
      </c>
      <c r="AS20" s="425">
        <v>88.4</v>
      </c>
      <c r="AT20" s="808">
        <v>119.2</v>
      </c>
      <c r="AU20" s="808">
        <v>82.8</v>
      </c>
      <c r="AV20" s="265">
        <v>140</v>
      </c>
      <c r="AW20" s="265" t="s">
        <v>417</v>
      </c>
      <c r="AX20" s="197">
        <v>202</v>
      </c>
      <c r="AY20" s="71">
        <f>AVERAGE('Char measurement'!G134:N137)</f>
        <v>131.28125</v>
      </c>
      <c r="AZ20" s="12">
        <f>MIN('Char measurement'!G134:N137)</f>
        <v>102</v>
      </c>
      <c r="BA20" s="12">
        <f>MAX('Char measurement'!G134:N137)</f>
        <v>141</v>
      </c>
      <c r="BB20" s="223">
        <f>AY20/AX20</f>
        <v>0.64990717821782173</v>
      </c>
      <c r="BC20" s="71">
        <f>AVERAGE('Char measurement'!B134:E141)</f>
        <v>61.28125</v>
      </c>
      <c r="BD20" s="12">
        <f>MIN('Char measurement'!B134:E141)</f>
        <v>25</v>
      </c>
      <c r="BE20" s="315">
        <f>MAX('Char measurement'!B134:E141)</f>
        <v>79</v>
      </c>
      <c r="BF20" s="236">
        <f>BC20/AX20</f>
        <v>0.30337252475247523</v>
      </c>
      <c r="BG20" s="12"/>
      <c r="BH20" s="12"/>
      <c r="BI20" s="12"/>
      <c r="BJ20" s="546"/>
      <c r="BK20" s="547"/>
      <c r="BL20" s="547"/>
      <c r="BM20" s="547"/>
      <c r="BN20" s="546"/>
      <c r="BO20" s="547"/>
      <c r="BP20" s="547"/>
      <c r="BQ20" s="829"/>
      <c r="BR20" s="883" t="s">
        <v>1006</v>
      </c>
      <c r="BS20" s="1054" t="s">
        <v>453</v>
      </c>
      <c r="BT20" s="448" t="s">
        <v>428</v>
      </c>
      <c r="BU20" s="448"/>
      <c r="BV20" s="893" t="s">
        <v>1011</v>
      </c>
      <c r="BW20" s="1128"/>
      <c r="BX20" s="1113"/>
      <c r="BY20" s="1113"/>
      <c r="BZ20" s="1113"/>
      <c r="CA20" s="1122"/>
      <c r="CB20" s="509">
        <v>4.5999999999999996</v>
      </c>
      <c r="CC20">
        <v>9.1</v>
      </c>
      <c r="CD20">
        <v>2.7</v>
      </c>
      <c r="CE20"/>
      <c r="CF20" s="425"/>
      <c r="CJ20" s="427"/>
      <c r="CO20"/>
      <c r="CQ20" s="355">
        <f t="shared" si="13"/>
        <v>24.57</v>
      </c>
      <c r="CR20" s="426" t="s">
        <v>438</v>
      </c>
      <c r="CS20" s="119">
        <f>3*15.9</f>
        <v>47.7</v>
      </c>
      <c r="CT20" s="119" t="s">
        <v>423</v>
      </c>
      <c r="CU20" s="119">
        <v>175</v>
      </c>
      <c r="CV20" s="506"/>
      <c r="CW20" s="518"/>
      <c r="CX20" s="506" t="s">
        <v>450</v>
      </c>
      <c r="CY20" s="506" t="s">
        <v>451</v>
      </c>
      <c r="CZ20" s="339">
        <f>AVERAGE(7.8,7.7,7.6,7.9)/100</f>
        <v>7.7499999999999999E-2</v>
      </c>
      <c r="DA20"/>
      <c r="DB20" s="340">
        <f t="shared" si="14"/>
        <v>70.34620000000001</v>
      </c>
      <c r="DC20" s="506">
        <f>CC20*CD20</f>
        <v>24.57</v>
      </c>
      <c r="DD20" s="426" t="s">
        <v>438</v>
      </c>
      <c r="DE20" s="119">
        <f>3*15.9</f>
        <v>47.7</v>
      </c>
      <c r="DF20" s="119" t="s">
        <v>423</v>
      </c>
      <c r="DG20" s="119">
        <v>175</v>
      </c>
      <c r="DI20" s="427"/>
      <c r="DJ20" s="506" t="s">
        <v>450</v>
      </c>
      <c r="DK20" s="506" t="s">
        <v>451</v>
      </c>
      <c r="DL20" s="339">
        <v>7.9000000000000001E-2</v>
      </c>
      <c r="DO20" s="116">
        <f t="shared" si="15"/>
        <v>41.859999999999992</v>
      </c>
      <c r="DP20" s="430"/>
      <c r="DQ20" s="426" t="s">
        <v>452</v>
      </c>
      <c r="DR20" s="506">
        <v>7</v>
      </c>
      <c r="DS20" s="506" t="s">
        <v>426</v>
      </c>
      <c r="DT20" s="506">
        <f t="shared" si="22"/>
        <v>25.4</v>
      </c>
      <c r="DU20" s="506" t="s">
        <v>438</v>
      </c>
      <c r="DV20" s="427">
        <f t="shared" si="23"/>
        <v>31.8</v>
      </c>
      <c r="DX20"/>
      <c r="DY20" s="341"/>
      <c r="DZ20"/>
      <c r="EA20" s="506">
        <f t="shared" si="16"/>
        <v>41.859999999999992</v>
      </c>
      <c r="EB20" s="427" t="s">
        <v>427</v>
      </c>
      <c r="EC20" s="506"/>
      <c r="ED20"/>
      <c r="EE20" s="506"/>
      <c r="EF20" s="341"/>
      <c r="EK20"/>
      <c r="EL20" s="698"/>
      <c r="EM20" s="518"/>
      <c r="EP20"/>
      <c r="EQ20" s="339"/>
      <c r="EV20"/>
      <c r="EW20" s="690"/>
      <c r="EX20"/>
      <c r="EY20" s="21">
        <v>3</v>
      </c>
      <c r="EZ20" s="506">
        <v>1.8</v>
      </c>
      <c r="FA20" s="506">
        <v>2</v>
      </c>
      <c r="FB20" s="506">
        <v>0</v>
      </c>
      <c r="FC20" s="506">
        <v>1.8</v>
      </c>
      <c r="FD20" s="506">
        <f t="shared" si="18"/>
        <v>3.6</v>
      </c>
      <c r="FE20" s="506"/>
      <c r="FF20" s="506"/>
      <c r="FG20" s="427" t="s">
        <v>453</v>
      </c>
      <c r="FH20" s="425">
        <v>0.13</v>
      </c>
      <c r="FI20" s="506">
        <v>0.13</v>
      </c>
      <c r="FJ20" s="506">
        <v>0.3</v>
      </c>
      <c r="FK20" s="506">
        <v>2.2999999999999998</v>
      </c>
      <c r="FL20" s="506">
        <f t="shared" si="24"/>
        <v>1.6900000000000002E-2</v>
      </c>
      <c r="FM20" s="506"/>
      <c r="FN20" s="506"/>
      <c r="FO20" s="427" t="s">
        <v>428</v>
      </c>
      <c r="FP20" s="425">
        <v>0.13</v>
      </c>
      <c r="FQ20" s="506">
        <v>0.13</v>
      </c>
      <c r="FR20" s="506">
        <v>1.8</v>
      </c>
      <c r="FS20" s="506">
        <v>2.2999999999999998</v>
      </c>
      <c r="FT20" s="506">
        <f t="shared" si="25"/>
        <v>1.6900000000000002E-2</v>
      </c>
      <c r="FU20" s="506"/>
      <c r="FV20" s="506"/>
      <c r="FW20" s="427" t="s">
        <v>428</v>
      </c>
      <c r="GC20" s="506"/>
      <c r="GD20" s="506"/>
      <c r="GK20" s="506"/>
      <c r="GL20" s="506"/>
      <c r="GS20" s="506"/>
      <c r="GT20" s="506"/>
      <c r="GU20" s="510"/>
      <c r="HA20" s="506"/>
      <c r="HB20" s="506"/>
      <c r="HC20" s="510"/>
      <c r="HI20" s="506"/>
      <c r="HJ20" s="506"/>
      <c r="HK20" s="510"/>
      <c r="HQ20" s="506"/>
      <c r="HR20" s="506"/>
      <c r="HS20" s="510"/>
      <c r="HY20" s="506"/>
      <c r="HZ20" s="506"/>
      <c r="IA20" s="510"/>
      <c r="IG20" s="506"/>
      <c r="IH20" s="506"/>
      <c r="II20" s="510"/>
    </row>
    <row r="21" spans="1:243" ht="15" customHeight="1" thickBot="1">
      <c r="A21" s="1196"/>
      <c r="B21" s="1143"/>
      <c r="C21" s="6">
        <v>6</v>
      </c>
      <c r="D21" s="7" t="str">
        <f t="shared" si="26"/>
        <v>NRCC&amp;NIST_6</v>
      </c>
      <c r="E21" s="516">
        <v>550</v>
      </c>
      <c r="F21" s="1140"/>
      <c r="G21" s="1140"/>
      <c r="H21" s="336">
        <f t="shared" si="0"/>
        <v>41.859999999999992</v>
      </c>
      <c r="I21" s="336">
        <f t="shared" si="1"/>
        <v>157.69999999999999</v>
      </c>
      <c r="J21" s="9">
        <f t="shared" si="2"/>
        <v>0.42124286620164869</v>
      </c>
      <c r="K21" s="32" t="s">
        <v>460</v>
      </c>
      <c r="L21" s="9">
        <f t="shared" si="3"/>
        <v>0.89794539064612044</v>
      </c>
      <c r="M21" s="9">
        <f t="shared" si="4"/>
        <v>0.94432961553004968</v>
      </c>
      <c r="N21" s="9">
        <f t="shared" si="5"/>
        <v>1.5869565217391306</v>
      </c>
      <c r="O21" s="133">
        <f t="shared" si="6"/>
        <v>0.34927259752481293</v>
      </c>
      <c r="P21" s="132">
        <f t="shared" si="7"/>
        <v>1</v>
      </c>
      <c r="Q21" s="132"/>
      <c r="R21" s="132"/>
      <c r="S21" s="445"/>
      <c r="T21" s="680"/>
      <c r="U21" s="286"/>
      <c r="V21" s="687" t="s">
        <v>417</v>
      </c>
      <c r="W21" s="525">
        <f t="shared" si="9"/>
        <v>1.9826060872915403</v>
      </c>
      <c r="X21" s="981">
        <f t="shared" si="10"/>
        <v>3.6338000000000004</v>
      </c>
      <c r="Y21" s="356">
        <f t="shared" si="11"/>
        <v>3.2444982548200337E-2</v>
      </c>
      <c r="Z21" s="141">
        <v>12.9</v>
      </c>
      <c r="AA21" s="141">
        <f>Z16</f>
        <v>9.5</v>
      </c>
      <c r="AB21" s="141">
        <v>10</v>
      </c>
      <c r="AC21" s="141">
        <f t="shared" si="12"/>
        <v>226.9469660774009</v>
      </c>
      <c r="AD21" s="141"/>
      <c r="AE21" s="141"/>
      <c r="AF21" s="141"/>
      <c r="AG21" s="141"/>
      <c r="AH21" s="141"/>
      <c r="AI21" s="141"/>
      <c r="AJ21" s="141"/>
      <c r="AK21" s="444"/>
      <c r="AL21" s="89">
        <v>1200</v>
      </c>
      <c r="AM21" s="89">
        <v>160</v>
      </c>
      <c r="AN21" s="89"/>
      <c r="AO21" s="89" t="s">
        <v>461</v>
      </c>
      <c r="AP21" s="89">
        <v>125</v>
      </c>
      <c r="AQ21" s="89"/>
      <c r="AR21" s="25">
        <v>88.4</v>
      </c>
      <c r="AS21" s="25">
        <v>88.4</v>
      </c>
      <c r="AT21" s="809">
        <v>119.2</v>
      </c>
      <c r="AU21" s="809"/>
      <c r="AV21" s="266"/>
      <c r="AW21" s="266" t="s">
        <v>417</v>
      </c>
      <c r="AX21" s="194">
        <v>160</v>
      </c>
      <c r="AY21" s="50">
        <f>AVERAGE('Char measurement'!G146:N149)</f>
        <v>122.53125</v>
      </c>
      <c r="AZ21" s="55">
        <f>MIN('Char measurement'!G146:N149)</f>
        <v>88</v>
      </c>
      <c r="BA21" s="55">
        <f>MAX('Char measurement'!G146:N149)</f>
        <v>143</v>
      </c>
      <c r="BB21" s="223">
        <f>AY21/AX21</f>
        <v>0.76582031250000004</v>
      </c>
      <c r="BC21" s="50">
        <f>AVERAGE('Char measurement'!B146:E153)</f>
        <v>127.51612903225806</v>
      </c>
      <c r="BD21" s="55">
        <f>MIN('Char measurement'!B146:E153)</f>
        <v>13</v>
      </c>
      <c r="BE21" s="297">
        <f>MAX('Char measurement'!B146:E153)</f>
        <v>154</v>
      </c>
      <c r="BF21" s="236">
        <f>BC21/AX21</f>
        <v>0.79697580645161292</v>
      </c>
      <c r="BG21" s="57"/>
      <c r="BH21" s="57"/>
      <c r="BI21" s="57"/>
      <c r="BJ21" s="69"/>
      <c r="BK21" s="57"/>
      <c r="BL21" s="57"/>
      <c r="BM21" s="57"/>
      <c r="BN21" s="69"/>
      <c r="BO21" s="57"/>
      <c r="BP21" s="57"/>
      <c r="BQ21" s="830"/>
      <c r="BR21" s="884" t="s">
        <v>1006</v>
      </c>
      <c r="BS21" s="892" t="s">
        <v>453</v>
      </c>
      <c r="BT21" s="55" t="s">
        <v>428</v>
      </c>
      <c r="BU21" s="57"/>
      <c r="BV21" s="1044" t="s">
        <v>1012</v>
      </c>
      <c r="BW21" s="1129"/>
      <c r="BX21" s="1130"/>
      <c r="BY21" s="1130"/>
      <c r="BZ21" s="1130"/>
      <c r="CA21" s="1131"/>
      <c r="CB21" s="511">
        <v>4.5999999999999996</v>
      </c>
      <c r="CC21" s="512">
        <v>9.1</v>
      </c>
      <c r="CD21" s="512">
        <v>2.7</v>
      </c>
      <c r="CE21" s="512"/>
      <c r="CF21" s="25"/>
      <c r="CG21" s="109"/>
      <c r="CH21" s="109"/>
      <c r="CI21" s="109"/>
      <c r="CJ21" s="428"/>
      <c r="CK21" s="512"/>
      <c r="CL21" s="512"/>
      <c r="CM21" s="512"/>
      <c r="CN21" s="512"/>
      <c r="CO21" s="512"/>
      <c r="CP21" s="109"/>
      <c r="CQ21" s="358">
        <f t="shared" si="13"/>
        <v>66.429999999999993</v>
      </c>
      <c r="CR21" s="164" t="s">
        <v>438</v>
      </c>
      <c r="CS21" s="136">
        <f>3*15.9</f>
        <v>47.7</v>
      </c>
      <c r="CT21" s="136" t="s">
        <v>423</v>
      </c>
      <c r="CU21" s="136">
        <v>175</v>
      </c>
      <c r="CV21" s="109"/>
      <c r="CW21" s="519"/>
      <c r="CX21" s="109" t="s">
        <v>450</v>
      </c>
      <c r="CY21" s="109" t="s">
        <v>451</v>
      </c>
      <c r="CZ21" s="359">
        <f>AVERAGE(7.2,7.7,6.4,6.7)/100</f>
        <v>7.0000000000000007E-2</v>
      </c>
      <c r="DA21" s="512"/>
      <c r="DB21" s="360">
        <f t="shared" si="14"/>
        <v>70.34620000000001</v>
      </c>
      <c r="DC21" s="109">
        <f>CC21*CD21</f>
        <v>24.57</v>
      </c>
      <c r="DD21" s="164" t="s">
        <v>423</v>
      </c>
      <c r="DE21" s="136">
        <v>175</v>
      </c>
      <c r="DF21" s="136"/>
      <c r="DG21" s="136"/>
      <c r="DH21" s="109"/>
      <c r="DI21" s="428"/>
      <c r="DJ21" s="109" t="s">
        <v>450</v>
      </c>
      <c r="DK21" s="109" t="s">
        <v>451</v>
      </c>
      <c r="DL21" s="359">
        <v>7.9000000000000001E-2</v>
      </c>
      <c r="DM21" s="512"/>
      <c r="DN21" s="512"/>
      <c r="DO21" s="29">
        <f t="shared" si="15"/>
        <v>41.859999999999992</v>
      </c>
      <c r="DP21" s="522">
        <f>CB21*CC21</f>
        <v>41.859999999999992</v>
      </c>
      <c r="DQ21" s="164" t="s">
        <v>452</v>
      </c>
      <c r="DR21" s="109">
        <v>7</v>
      </c>
      <c r="DS21" s="109" t="s">
        <v>426</v>
      </c>
      <c r="DT21" s="109">
        <f t="shared" si="22"/>
        <v>25.4</v>
      </c>
      <c r="DU21" s="109" t="s">
        <v>438</v>
      </c>
      <c r="DV21" s="428">
        <f t="shared" si="23"/>
        <v>31.8</v>
      </c>
      <c r="DW21" s="512"/>
      <c r="DX21" s="512"/>
      <c r="DY21" s="361"/>
      <c r="DZ21" s="512"/>
      <c r="EA21" s="109">
        <f t="shared" si="16"/>
        <v>41.859999999999992</v>
      </c>
      <c r="EB21" s="428" t="s">
        <v>427</v>
      </c>
      <c r="EC21" s="109"/>
      <c r="ED21" s="512"/>
      <c r="EE21" s="109"/>
      <c r="EF21" s="361"/>
      <c r="EG21" s="512"/>
      <c r="EH21" s="512"/>
      <c r="EI21" s="512"/>
      <c r="EJ21" s="512"/>
      <c r="EK21" s="512"/>
      <c r="EL21" s="699"/>
      <c r="EM21" s="519"/>
      <c r="EN21" s="512"/>
      <c r="EO21" s="512"/>
      <c r="EP21" s="512"/>
      <c r="EQ21" s="359"/>
      <c r="ER21" s="512"/>
      <c r="ES21" s="512"/>
      <c r="ET21" s="512"/>
      <c r="EU21" s="512"/>
      <c r="EV21" s="512"/>
      <c r="EW21" s="695"/>
      <c r="EX21" s="512"/>
      <c r="EY21" s="26">
        <v>3</v>
      </c>
      <c r="EZ21" s="109">
        <v>1.8</v>
      </c>
      <c r="FA21" s="109">
        <v>2</v>
      </c>
      <c r="FB21" s="109">
        <v>0</v>
      </c>
      <c r="FC21" s="109">
        <v>1.8</v>
      </c>
      <c r="FD21" s="109">
        <f t="shared" si="18"/>
        <v>3.6</v>
      </c>
      <c r="FE21" s="109"/>
      <c r="FF21" s="109"/>
      <c r="FG21" s="428" t="s">
        <v>453</v>
      </c>
      <c r="FH21" s="25">
        <v>0.13</v>
      </c>
      <c r="FI21" s="109">
        <v>0.13</v>
      </c>
      <c r="FJ21" s="109">
        <v>0.3</v>
      </c>
      <c r="FK21" s="109">
        <v>2.2999999999999998</v>
      </c>
      <c r="FL21" s="109">
        <f t="shared" si="24"/>
        <v>1.6900000000000002E-2</v>
      </c>
      <c r="FM21" s="109"/>
      <c r="FN21" s="109"/>
      <c r="FO21" s="428" t="s">
        <v>428</v>
      </c>
      <c r="FP21" s="25">
        <v>0.13</v>
      </c>
      <c r="FQ21" s="109">
        <v>0.13</v>
      </c>
      <c r="FR21" s="109">
        <v>1.8</v>
      </c>
      <c r="FS21" s="109">
        <v>2.2999999999999998</v>
      </c>
      <c r="FT21" s="109">
        <f t="shared" si="25"/>
        <v>1.6900000000000002E-2</v>
      </c>
      <c r="FU21" s="109"/>
      <c r="FV21" s="109"/>
      <c r="FW21" s="428" t="s">
        <v>428</v>
      </c>
      <c r="FX21" s="512"/>
      <c r="FY21" s="512"/>
      <c r="FZ21" s="512"/>
      <c r="GA21" s="512"/>
      <c r="GB21" s="512"/>
      <c r="GC21" s="109"/>
      <c r="GD21" s="109"/>
      <c r="GE21" s="512"/>
      <c r="GF21" s="512"/>
      <c r="GG21" s="512"/>
      <c r="GH21" s="512"/>
      <c r="GI21" s="512"/>
      <c r="GJ21" s="512"/>
      <c r="GK21" s="109"/>
      <c r="GL21" s="109"/>
      <c r="GM21" s="512"/>
      <c r="GN21" s="512"/>
      <c r="GO21" s="512"/>
      <c r="GP21" s="512"/>
      <c r="GQ21" s="512"/>
      <c r="GR21" s="512"/>
      <c r="GS21" s="109"/>
      <c r="GT21" s="109"/>
      <c r="GU21" s="513"/>
      <c r="GV21" s="512"/>
      <c r="GW21" s="512"/>
      <c r="GX21" s="512"/>
      <c r="GY21" s="512"/>
      <c r="GZ21" s="512"/>
      <c r="HA21" s="109"/>
      <c r="HB21" s="109"/>
      <c r="HC21" s="513"/>
      <c r="HD21" s="512"/>
      <c r="HE21" s="512"/>
      <c r="HF21" s="512"/>
      <c r="HG21" s="512"/>
      <c r="HH21" s="512"/>
      <c r="HI21" s="109"/>
      <c r="HJ21" s="109"/>
      <c r="HK21" s="513"/>
      <c r="HL21" s="512"/>
      <c r="HM21" s="512"/>
      <c r="HN21" s="512"/>
      <c r="HO21" s="512"/>
      <c r="HP21" s="512"/>
      <c r="HQ21" s="109"/>
      <c r="HR21" s="109"/>
      <c r="HS21" s="513"/>
      <c r="HT21" s="512"/>
      <c r="HU21" s="512"/>
      <c r="HV21" s="512"/>
      <c r="HW21" s="512"/>
      <c r="HX21" s="512"/>
      <c r="HY21" s="109"/>
      <c r="HZ21" s="109"/>
      <c r="IA21" s="513"/>
      <c r="IB21" s="512"/>
      <c r="IC21" s="512"/>
      <c r="ID21" s="512"/>
      <c r="IE21" s="512"/>
      <c r="IF21" s="512"/>
      <c r="IG21" s="109"/>
      <c r="IH21" s="109"/>
      <c r="II21" s="513"/>
    </row>
    <row r="22" spans="1:243" ht="15" customHeight="1" thickBot="1">
      <c r="A22" s="1161" t="s">
        <v>462</v>
      </c>
      <c r="B22" s="1150" t="s">
        <v>463</v>
      </c>
      <c r="C22" s="51">
        <v>1</v>
      </c>
      <c r="D22" s="425" t="str">
        <f>CONCATENATE($A$22,"_",C22)</f>
        <v>NRCC_Room_1</v>
      </c>
      <c r="E22" s="1151">
        <v>550</v>
      </c>
      <c r="F22" s="1153" t="s">
        <v>464</v>
      </c>
      <c r="G22" s="633">
        <v>17.5</v>
      </c>
      <c r="H22" s="335">
        <f t="shared" si="0"/>
        <v>10.48430076</v>
      </c>
      <c r="I22" s="347">
        <f t="shared" si="1"/>
        <v>57.722687279999995</v>
      </c>
      <c r="J22" s="2">
        <f t="shared" si="2"/>
        <v>0</v>
      </c>
      <c r="K22" s="33">
        <v>0</v>
      </c>
      <c r="L22" s="2">
        <f t="shared" si="3"/>
        <v>0</v>
      </c>
      <c r="M22" s="2">
        <f t="shared" si="4"/>
        <v>0</v>
      </c>
      <c r="N22" s="2">
        <f t="shared" si="5"/>
        <v>0</v>
      </c>
      <c r="O22" s="436">
        <f t="shared" si="6"/>
        <v>0</v>
      </c>
      <c r="P22" s="131">
        <f t="shared" si="7"/>
        <v>0</v>
      </c>
      <c r="Q22" s="131"/>
      <c r="R22" s="131"/>
      <c r="S22" s="437"/>
      <c r="T22" s="679"/>
      <c r="U22" s="438"/>
      <c r="V22" s="679" t="s">
        <v>417</v>
      </c>
      <c r="W22" s="335">
        <f t="shared" si="9"/>
        <v>2</v>
      </c>
      <c r="X22" s="439">
        <f t="shared" si="10"/>
        <v>1.52</v>
      </c>
      <c r="Y22" s="928">
        <f t="shared" si="11"/>
        <v>3.7240203394894769E-2</v>
      </c>
      <c r="Z22" s="140"/>
      <c r="AA22" s="140"/>
      <c r="AB22" s="140"/>
      <c r="AC22" s="140">
        <f t="shared" si="12"/>
        <v>0</v>
      </c>
      <c r="AD22" s="140"/>
      <c r="AE22" s="489" t="s">
        <v>418</v>
      </c>
      <c r="AF22" s="140"/>
      <c r="AG22" s="489"/>
      <c r="AH22" s="492">
        <f>(CC22-0.1-0.45)-CC22/2</f>
        <v>0.62870000000000004</v>
      </c>
      <c r="AI22" s="489"/>
      <c r="AJ22" s="489"/>
      <c r="AK22" s="435"/>
      <c r="AL22" s="105">
        <v>1200</v>
      </c>
      <c r="AM22" s="106">
        <v>167</v>
      </c>
      <c r="AN22" s="106"/>
      <c r="AO22" s="106"/>
      <c r="AP22" s="106"/>
      <c r="AQ22" s="106"/>
      <c r="AR22" s="425">
        <v>72.3</v>
      </c>
      <c r="AS22" s="425">
        <v>72.3</v>
      </c>
      <c r="AT22" s="808">
        <v>119.2</v>
      </c>
      <c r="AU22" s="808">
        <v>82.8</v>
      </c>
      <c r="AV22" s="265"/>
      <c r="AW22" s="441" t="s">
        <v>430</v>
      </c>
      <c r="AX22" s="193">
        <v>167</v>
      </c>
      <c r="AY22" s="11"/>
      <c r="AZ22" s="11"/>
      <c r="BA22" s="11"/>
      <c r="BB22" s="222"/>
      <c r="BC22" s="70"/>
      <c r="BD22" s="11"/>
      <c r="BE22" s="314"/>
      <c r="BF22" s="235"/>
      <c r="BG22" s="11"/>
      <c r="BH22" s="11"/>
      <c r="BI22" s="11"/>
      <c r="BJ22" s="542"/>
      <c r="BK22" s="543"/>
      <c r="BL22" s="543"/>
      <c r="BM22" s="543"/>
      <c r="BN22" s="542"/>
      <c r="BO22" s="543"/>
      <c r="BP22" s="543"/>
      <c r="BQ22" s="828"/>
      <c r="BR22" s="896"/>
      <c r="BS22" s="1049"/>
      <c r="BT22" s="53"/>
      <c r="BU22" s="53"/>
      <c r="BV22" s="1045"/>
      <c r="BW22" s="1132" t="s">
        <v>465</v>
      </c>
      <c r="BX22" s="1126"/>
      <c r="BY22" s="1126"/>
      <c r="BZ22" s="1126"/>
      <c r="CA22" s="1127"/>
      <c r="CB22" s="242">
        <f>4.53-2*CS22/1000</f>
        <v>4.4474</v>
      </c>
      <c r="CC22" s="243">
        <f>2.44-2*CS22/1000</f>
        <v>2.3574000000000002</v>
      </c>
      <c r="CD22" s="243">
        <f>2.78-(DE22+DR22)/1000</f>
        <v>2.7005999999999997</v>
      </c>
      <c r="CE22" s="507"/>
      <c r="CF22" s="149"/>
      <c r="CG22" s="504"/>
      <c r="CH22" s="504"/>
      <c r="CI22" s="504"/>
      <c r="CJ22" s="45"/>
      <c r="CK22" s="507"/>
      <c r="CL22" s="507"/>
      <c r="CM22" s="507"/>
      <c r="CN22" s="507"/>
      <c r="CO22" s="507"/>
      <c r="CP22" s="504"/>
      <c r="CQ22" s="350">
        <f t="shared" si="13"/>
        <v>0</v>
      </c>
      <c r="CR22" s="163" t="s">
        <v>438</v>
      </c>
      <c r="CS22" s="118">
        <f>15.9+2*12.7</f>
        <v>41.3</v>
      </c>
      <c r="CT22" s="118" t="s">
        <v>423</v>
      </c>
      <c r="CU22" s="118">
        <v>175</v>
      </c>
      <c r="CV22" s="504"/>
      <c r="CW22" s="156"/>
      <c r="CX22" s="506" t="s">
        <v>466</v>
      </c>
      <c r="CY22" s="504" t="s">
        <v>451</v>
      </c>
      <c r="CZ22" s="351">
        <v>8.8999999999999996E-2</v>
      </c>
      <c r="DA22" s="507"/>
      <c r="DB22" s="352">
        <f t="shared" si="14"/>
        <v>35.234085759999992</v>
      </c>
      <c r="DC22" s="504"/>
      <c r="DD22" s="163" t="s">
        <v>438</v>
      </c>
      <c r="DE22" s="118">
        <f>15.9+2*12.7</f>
        <v>41.3</v>
      </c>
      <c r="DF22" s="118" t="s">
        <v>423</v>
      </c>
      <c r="DG22" s="118">
        <v>175</v>
      </c>
      <c r="DH22" s="504"/>
      <c r="DI22" s="45"/>
      <c r="DJ22" s="506" t="s">
        <v>466</v>
      </c>
      <c r="DK22" s="504" t="s">
        <v>451</v>
      </c>
      <c r="DL22" s="351">
        <v>8.8999999999999996E-2</v>
      </c>
      <c r="DM22" s="507"/>
      <c r="DN22" s="507"/>
      <c r="DO22" s="249">
        <f t="shared" si="15"/>
        <v>10.48430076</v>
      </c>
      <c r="DP22" s="135"/>
      <c r="DQ22" s="504" t="s">
        <v>438</v>
      </c>
      <c r="DR22" s="504">
        <f>3*12.7</f>
        <v>38.099999999999994</v>
      </c>
      <c r="DS22" s="504" t="s">
        <v>423</v>
      </c>
      <c r="DT22" s="504">
        <v>175</v>
      </c>
      <c r="DU22" s="504"/>
      <c r="DV22" s="45"/>
      <c r="DW22" s="507"/>
      <c r="DX22" s="507"/>
      <c r="DY22" s="353"/>
      <c r="DZ22" s="507"/>
      <c r="EA22" s="504">
        <f t="shared" si="16"/>
        <v>10.48430076</v>
      </c>
      <c r="EB22" s="45"/>
      <c r="EC22" s="504"/>
      <c r="ED22" s="507"/>
      <c r="EE22" s="504"/>
      <c r="EF22" s="353"/>
      <c r="EG22" s="351"/>
      <c r="EH22" s="243"/>
      <c r="EI22" s="507"/>
      <c r="EJ22" s="507"/>
      <c r="EK22" s="507"/>
      <c r="EL22" s="697"/>
      <c r="EM22" s="156"/>
      <c r="EN22" s="507"/>
      <c r="EO22" s="507"/>
      <c r="EP22" s="507"/>
      <c r="EQ22" s="351"/>
      <c r="ER22" s="507"/>
      <c r="ES22" s="507"/>
      <c r="ET22" s="507"/>
      <c r="EU22" s="507"/>
      <c r="EV22" s="507"/>
      <c r="EW22" s="694"/>
      <c r="EX22" s="507"/>
      <c r="EY22" s="21">
        <v>1</v>
      </c>
      <c r="EZ22" s="149">
        <f>0.76</f>
        <v>0.76</v>
      </c>
      <c r="FA22" s="504">
        <f>2</f>
        <v>2</v>
      </c>
      <c r="FB22" s="504">
        <v>0</v>
      </c>
      <c r="FC22" s="504">
        <f t="shared" ref="FC22:FC27" si="27">(CB22-EZ22)/2</f>
        <v>1.8437000000000001</v>
      </c>
      <c r="FD22" s="504">
        <f t="shared" si="18"/>
        <v>1.52</v>
      </c>
      <c r="FE22" s="504"/>
      <c r="FF22" s="504"/>
      <c r="FG22" s="45" t="s">
        <v>428</v>
      </c>
      <c r="FM22" s="504"/>
      <c r="FN22" s="504"/>
      <c r="FU22" s="504"/>
      <c r="FV22" s="504"/>
      <c r="GC22" s="504"/>
      <c r="GD22" s="504"/>
      <c r="GK22" s="504"/>
      <c r="GL22" s="504"/>
      <c r="GS22" s="504"/>
      <c r="GT22" s="504"/>
      <c r="GU22" s="510"/>
      <c r="HA22" s="504"/>
      <c r="HB22" s="504"/>
      <c r="HC22" s="510"/>
      <c r="HI22" s="504"/>
      <c r="HJ22" s="504"/>
      <c r="HK22" s="510"/>
      <c r="HQ22" s="504"/>
      <c r="HR22" s="504"/>
      <c r="HS22" s="510"/>
      <c r="HY22" s="504"/>
      <c r="HZ22" s="504"/>
      <c r="IA22" s="510"/>
      <c r="IG22" s="504"/>
      <c r="IH22" s="504"/>
      <c r="II22" s="510"/>
    </row>
    <row r="23" spans="1:243" ht="15" customHeight="1">
      <c r="A23" s="1162"/>
      <c r="B23" s="1142"/>
      <c r="C23" s="51">
        <v>2</v>
      </c>
      <c r="D23" s="725" t="str">
        <f t="shared" ref="D23:D26" si="28">CONCATENATE($A$22,"_",C23)</f>
        <v>NRCC_Room_2</v>
      </c>
      <c r="E23" s="1136"/>
      <c r="F23" s="1147"/>
      <c r="G23" s="633">
        <v>17.5</v>
      </c>
      <c r="H23" s="525">
        <f t="shared" si="0"/>
        <v>10.815476320000002</v>
      </c>
      <c r="I23" s="354">
        <f t="shared" si="1"/>
        <v>59.084968040000007</v>
      </c>
      <c r="J23" s="4">
        <f t="shared" si="2"/>
        <v>0.22424137427019245</v>
      </c>
      <c r="K23" s="716" t="s">
        <v>460</v>
      </c>
      <c r="L23" s="4">
        <f t="shared" si="3"/>
        <v>0.35374830416714143</v>
      </c>
      <c r="M23" s="4">
        <f t="shared" si="4"/>
        <v>0.36871177029661989</v>
      </c>
      <c r="N23" s="4">
        <f t="shared" si="5"/>
        <v>1.2250310610453077</v>
      </c>
      <c r="O23" s="436">
        <f t="shared" si="6"/>
        <v>0.33861361343992752</v>
      </c>
      <c r="P23" s="131">
        <f t="shared" si="7"/>
        <v>9.9999999999999992E-2</v>
      </c>
      <c r="Q23" s="131"/>
      <c r="R23" s="131"/>
      <c r="S23" s="437"/>
      <c r="T23" s="679"/>
      <c r="U23" s="438"/>
      <c r="V23" s="679" t="s">
        <v>417</v>
      </c>
      <c r="W23" s="525">
        <f t="shared" si="9"/>
        <v>2</v>
      </c>
      <c r="X23" s="439">
        <f t="shared" si="10"/>
        <v>1.52</v>
      </c>
      <c r="Y23" s="928">
        <f t="shared" si="11"/>
        <v>3.638158208618885E-2</v>
      </c>
      <c r="Z23" s="489"/>
      <c r="AA23" s="489"/>
      <c r="AB23" s="489"/>
      <c r="AC23" s="489">
        <f t="shared" si="12"/>
        <v>0</v>
      </c>
      <c r="AD23" s="489"/>
      <c r="AE23" s="489" t="s">
        <v>418</v>
      </c>
      <c r="AF23" s="489"/>
      <c r="AG23" s="489"/>
      <c r="AH23" s="492">
        <f>(CC23-0.1-0.45)-CC23/2</f>
        <v>0.6573</v>
      </c>
      <c r="AI23" s="489"/>
      <c r="AJ23" s="489"/>
      <c r="AK23" s="435"/>
      <c r="AL23" s="106">
        <v>1200</v>
      </c>
      <c r="AM23" s="106">
        <v>247</v>
      </c>
      <c r="AN23" s="106"/>
      <c r="AO23" s="106" t="s">
        <v>467</v>
      </c>
      <c r="AP23" s="106">
        <f>(40+53)/2</f>
        <v>46.5</v>
      </c>
      <c r="AQ23" s="106">
        <f>(48+56)/2</f>
        <v>52</v>
      </c>
      <c r="AR23" s="425">
        <v>50</v>
      </c>
      <c r="AS23" s="425">
        <v>50</v>
      </c>
      <c r="AT23" s="425">
        <v>67.900000000000006</v>
      </c>
      <c r="AU23" s="425">
        <v>63.7</v>
      </c>
      <c r="AV23" s="265"/>
      <c r="AW23" s="441" t="s">
        <v>430</v>
      </c>
      <c r="AX23" s="726">
        <v>247</v>
      </c>
      <c r="AY23" s="448">
        <f>AVERAGE('Char measurement'!F163:I166)</f>
        <v>68.3125</v>
      </c>
      <c r="AZ23" s="448">
        <f>MIN('Char measurement'!F163:I166)</f>
        <v>50</v>
      </c>
      <c r="BA23" s="448">
        <f>MAX('Char measurement'!F163:I166)</f>
        <v>95</v>
      </c>
      <c r="BB23" s="449">
        <f>55/160</f>
        <v>0.34375</v>
      </c>
      <c r="BC23" s="731">
        <f>AVERAGE('Char measurement'!F162:I162)</f>
        <v>52.5</v>
      </c>
      <c r="BD23" s="448">
        <f>MIN('Char measurement'!F162:I162)</f>
        <v>45</v>
      </c>
      <c r="BE23" s="323">
        <f>MAX('Char measurement'!F162:I162)</f>
        <v>63</v>
      </c>
      <c r="BF23" s="324"/>
      <c r="BG23" s="448"/>
      <c r="BH23" s="448"/>
      <c r="BI23" s="448"/>
      <c r="BJ23" s="731"/>
      <c r="BK23" s="448"/>
      <c r="BL23" s="448"/>
      <c r="BM23" s="448"/>
      <c r="BN23" s="731"/>
      <c r="BO23" s="448"/>
      <c r="BP23" s="448"/>
      <c r="BQ23" s="829"/>
      <c r="BR23" s="897"/>
      <c r="BS23" s="1050"/>
      <c r="BT23" s="28"/>
      <c r="BV23" s="829"/>
      <c r="BW23" s="1128"/>
      <c r="BX23" s="1113"/>
      <c r="BY23" s="1113"/>
      <c r="BZ23" s="1113"/>
      <c r="CA23" s="1122"/>
      <c r="CB23" s="244">
        <f>4.53-2*CS23/1000</f>
        <v>4.4792000000000005</v>
      </c>
      <c r="CC23" s="245">
        <f>2.44-CS23/1000</f>
        <v>2.4146000000000001</v>
      </c>
      <c r="CD23" s="245">
        <f>2.78-(DE23+DR23)/1000</f>
        <v>2.7164999999999999</v>
      </c>
      <c r="CE23"/>
      <c r="CF23" s="425"/>
      <c r="CJ23" s="427"/>
      <c r="CO23"/>
      <c r="CQ23" s="355">
        <f t="shared" si="13"/>
        <v>13.249294432000001</v>
      </c>
      <c r="CR23" s="426" t="s">
        <v>438</v>
      </c>
      <c r="CS23" s="119">
        <f>2*12.7</f>
        <v>25.4</v>
      </c>
      <c r="CT23" s="119" t="s">
        <v>423</v>
      </c>
      <c r="CU23" s="119">
        <v>175</v>
      </c>
      <c r="CV23" s="506"/>
      <c r="CW23" s="518"/>
      <c r="CX23" s="506" t="s">
        <v>466</v>
      </c>
      <c r="CY23" s="506" t="s">
        <v>451</v>
      </c>
      <c r="CZ23" s="339">
        <v>7.0000000000000007E-2</v>
      </c>
      <c r="DA23"/>
      <c r="DB23" s="340">
        <f t="shared" si="14"/>
        <v>35.9340154</v>
      </c>
      <c r="DC23" s="340">
        <f>CB23*CD23</f>
        <v>12.167746800000002</v>
      </c>
      <c r="DD23" s="426" t="s">
        <v>438</v>
      </c>
      <c r="DE23" s="119">
        <f>2*12.7</f>
        <v>25.4</v>
      </c>
      <c r="DF23" s="119" t="s">
        <v>423</v>
      </c>
      <c r="DG23" s="119">
        <v>175</v>
      </c>
      <c r="DI23" s="427"/>
      <c r="DJ23" s="506" t="s">
        <v>466</v>
      </c>
      <c r="DK23" s="506" t="s">
        <v>451</v>
      </c>
      <c r="DL23" s="339">
        <v>7.0000000000000007E-2</v>
      </c>
      <c r="DO23" s="116">
        <f t="shared" si="15"/>
        <v>10.815476320000002</v>
      </c>
      <c r="DP23" s="430">
        <f>CB23*CC23*10%</f>
        <v>1.0815476320000001</v>
      </c>
      <c r="DQ23" s="506" t="s">
        <v>438</v>
      </c>
      <c r="DR23" s="506">
        <f>3*12.7</f>
        <v>38.099999999999994</v>
      </c>
      <c r="DS23" s="506" t="s">
        <v>423</v>
      </c>
      <c r="DT23" s="506">
        <v>175</v>
      </c>
      <c r="DV23" s="427"/>
      <c r="DX23"/>
      <c r="DY23" s="341"/>
      <c r="DZ23"/>
      <c r="EA23" s="506">
        <f t="shared" si="16"/>
        <v>10.815476320000002</v>
      </c>
      <c r="EB23" s="427"/>
      <c r="EC23" s="506"/>
      <c r="ED23"/>
      <c r="EE23" s="506"/>
      <c r="EF23" s="341"/>
      <c r="EG23" s="339"/>
      <c r="EK23"/>
      <c r="EL23" s="698"/>
      <c r="EM23" s="518"/>
      <c r="EP23"/>
      <c r="EQ23" s="339"/>
      <c r="EV23"/>
      <c r="EW23" s="690"/>
      <c r="EX23"/>
      <c r="EY23" s="21">
        <v>1</v>
      </c>
      <c r="EZ23" s="425">
        <v>0.76</v>
      </c>
      <c r="FA23" s="506">
        <v>2</v>
      </c>
      <c r="FB23" s="506">
        <v>0</v>
      </c>
      <c r="FC23" s="506">
        <f t="shared" si="27"/>
        <v>1.8596000000000004</v>
      </c>
      <c r="FD23" s="506">
        <f t="shared" si="18"/>
        <v>1.52</v>
      </c>
      <c r="FE23" s="506"/>
      <c r="FF23" s="506"/>
      <c r="FG23" s="427" t="s">
        <v>428</v>
      </c>
      <c r="FM23" s="506"/>
      <c r="FN23" s="506"/>
      <c r="FU23" s="506"/>
      <c r="FV23" s="506"/>
      <c r="GC23" s="506"/>
      <c r="GD23" s="506"/>
      <c r="GK23" s="506"/>
      <c r="GL23" s="506"/>
      <c r="GS23" s="506"/>
      <c r="GT23" s="506"/>
      <c r="GU23" s="510"/>
      <c r="HA23" s="506"/>
      <c r="HB23" s="506"/>
      <c r="HC23" s="510"/>
      <c r="HI23" s="506"/>
      <c r="HJ23" s="506"/>
      <c r="HK23" s="510"/>
      <c r="HQ23" s="506"/>
      <c r="HR23" s="506"/>
      <c r="HS23" s="510"/>
      <c r="HY23" s="506"/>
      <c r="HZ23" s="506"/>
      <c r="IA23" s="510"/>
      <c r="IG23" s="506"/>
      <c r="IH23" s="506"/>
      <c r="II23" s="510"/>
    </row>
    <row r="24" spans="1:243" ht="15" customHeight="1">
      <c r="A24" s="1162"/>
      <c r="B24" s="1142"/>
      <c r="C24" s="51">
        <v>3</v>
      </c>
      <c r="D24" s="725" t="str">
        <f t="shared" si="28"/>
        <v>NRCC_Room_3</v>
      </c>
      <c r="E24" s="1136"/>
      <c r="F24" s="1147"/>
      <c r="G24" s="633">
        <v>17.5</v>
      </c>
      <c r="H24" s="525">
        <f t="shared" si="0"/>
        <v>10.701704640000001</v>
      </c>
      <c r="I24" s="354">
        <f t="shared" si="1"/>
        <v>58.719426479999996</v>
      </c>
      <c r="J24" s="4">
        <f t="shared" si="2"/>
        <v>0.23025669715294539</v>
      </c>
      <c r="K24" s="716" t="s">
        <v>468</v>
      </c>
      <c r="L24" s="4">
        <f t="shared" si="3"/>
        <v>0.36232540915432959</v>
      </c>
      <c r="M24" s="4">
        <f t="shared" si="4"/>
        <v>0.3777107694539828</v>
      </c>
      <c r="N24" s="4">
        <f t="shared" si="5"/>
        <v>1.2634007062261812</v>
      </c>
      <c r="O24" s="436">
        <f t="shared" si="6"/>
        <v>0</v>
      </c>
      <c r="P24" s="131">
        <f t="shared" si="7"/>
        <v>0</v>
      </c>
      <c r="Q24" s="131"/>
      <c r="R24" s="131">
        <f>EM24/(EH24*2*(EI24+EJ24))</f>
        <v>0.62995447665581683</v>
      </c>
      <c r="S24" s="437">
        <f>EX24/(ES24*2*(ET24+EU24))</f>
        <v>1</v>
      </c>
      <c r="T24" s="679"/>
      <c r="U24" s="438"/>
      <c r="V24" s="679" t="s">
        <v>417</v>
      </c>
      <c r="W24" s="525">
        <f t="shared" si="9"/>
        <v>2</v>
      </c>
      <c r="X24" s="439">
        <f t="shared" si="10"/>
        <v>1.52</v>
      </c>
      <c r="Y24" s="928">
        <f t="shared" si="11"/>
        <v>3.6608065569905833E-2</v>
      </c>
      <c r="Z24" s="489"/>
      <c r="AA24" s="489"/>
      <c r="AB24" s="489"/>
      <c r="AC24" s="489">
        <f t="shared" si="12"/>
        <v>0</v>
      </c>
      <c r="AD24" s="489"/>
      <c r="AE24" s="489" t="s">
        <v>418</v>
      </c>
      <c r="AF24" s="489"/>
      <c r="AG24" s="489"/>
      <c r="AH24" s="492">
        <f>(CC24-0.1-0.45)-CC24/2</f>
        <v>0.64459999999999984</v>
      </c>
      <c r="AI24" s="489"/>
      <c r="AJ24" s="489"/>
      <c r="AK24" s="435"/>
      <c r="AL24" s="106">
        <v>1200</v>
      </c>
      <c r="AM24" s="106">
        <v>245</v>
      </c>
      <c r="AN24" s="106"/>
      <c r="AO24" s="106" t="s">
        <v>469</v>
      </c>
      <c r="AP24" s="106">
        <f>(43+68)/2</f>
        <v>55.5</v>
      </c>
      <c r="AQ24" s="106">
        <f>(51+60)/2</f>
        <v>55.5</v>
      </c>
      <c r="AR24" s="425">
        <v>50</v>
      </c>
      <c r="AS24" s="425">
        <v>50</v>
      </c>
      <c r="AT24" s="425">
        <v>67.900000000000006</v>
      </c>
      <c r="AU24" s="425">
        <v>63.7</v>
      </c>
      <c r="AV24" s="265"/>
      <c r="AW24" s="441" t="s">
        <v>417</v>
      </c>
      <c r="AX24" s="726">
        <v>245</v>
      </c>
      <c r="AY24" s="611">
        <f>AVERAGE('Char measurement'!$B$176:$M$179)</f>
        <v>46.615384615384613</v>
      </c>
      <c r="AZ24" s="611">
        <f>MIN('Char measurement'!$B$176:$M$179)</f>
        <v>0</v>
      </c>
      <c r="BA24" s="611">
        <f>MAX('Char measurement'!$B$176:$M$179)</f>
        <v>83</v>
      </c>
      <c r="BB24" s="903"/>
      <c r="BC24" s="904">
        <f>AVERAGE('Char measurement'!$F$172:$I$175)</f>
        <v>32.75</v>
      </c>
      <c r="BD24" s="611">
        <f>MIN('Char measurement'!$F$172:$I$175)</f>
        <v>0</v>
      </c>
      <c r="BE24" s="905">
        <f>MAX('Char measurement'!$F$172:$I$175)</f>
        <v>66</v>
      </c>
      <c r="BF24" s="324"/>
      <c r="BG24" s="448"/>
      <c r="BH24" s="448"/>
      <c r="BI24" s="448"/>
      <c r="BJ24" s="731">
        <f>AVERAGE('Char measurement'!O182:X183)</f>
        <v>121.95833333333333</v>
      </c>
      <c r="BK24" s="448">
        <f>MIN('Char measurement'!O182:X183)</f>
        <v>103.5</v>
      </c>
      <c r="BL24" s="448">
        <f>MAX('Char measurement'!O182:X183)</f>
        <v>161</v>
      </c>
      <c r="BM24" s="449">
        <v>0.46</v>
      </c>
      <c r="BN24" s="731">
        <f>AVERAGE('Char measurement'!P184:W187)</f>
        <v>108.375</v>
      </c>
      <c r="BO24" s="448">
        <f>MIN('Char measurement'!P184:W187)</f>
        <v>92</v>
      </c>
      <c r="BP24" s="448">
        <f>MAX('Char measurement'!P184:W187)</f>
        <v>162.5</v>
      </c>
      <c r="BQ24" s="117">
        <v>0.46</v>
      </c>
      <c r="BR24" s="894"/>
      <c r="BS24" s="887"/>
      <c r="BT24" s="54"/>
      <c r="BU24" s="54"/>
      <c r="BV24" s="829"/>
      <c r="BW24" s="1128"/>
      <c r="BX24" s="1113"/>
      <c r="BY24" s="1113"/>
      <c r="BZ24" s="1113"/>
      <c r="CA24" s="1122"/>
      <c r="CB24" s="244">
        <f>4.53-2*CS24/1000</f>
        <v>4.4792000000000005</v>
      </c>
      <c r="CC24" s="245">
        <f>2.44-2*CS24/1000</f>
        <v>2.3891999999999998</v>
      </c>
      <c r="CD24" s="245">
        <f>2.78-(DE24+DR24)/1000</f>
        <v>2.7164999999999999</v>
      </c>
      <c r="CE24"/>
      <c r="CF24" s="425">
        <v>0.5</v>
      </c>
      <c r="CJ24" s="427"/>
      <c r="CO24"/>
      <c r="CQ24" s="355">
        <f t="shared" si="13"/>
        <v>13.5205412</v>
      </c>
      <c r="CR24" s="426" t="s">
        <v>438</v>
      </c>
      <c r="CS24" s="119">
        <f>2*12.7</f>
        <v>25.4</v>
      </c>
      <c r="CT24" s="119" t="s">
        <v>423</v>
      </c>
      <c r="CU24" s="119">
        <v>175</v>
      </c>
      <c r="CV24" s="506"/>
      <c r="CW24" s="518"/>
      <c r="CX24" s="506" t="s">
        <v>466</v>
      </c>
      <c r="CY24" s="506" t="s">
        <v>451</v>
      </c>
      <c r="CZ24" s="339">
        <v>7.4999999999999997E-2</v>
      </c>
      <c r="DA24"/>
      <c r="DB24" s="340">
        <f t="shared" si="14"/>
        <v>35.796017199999994</v>
      </c>
      <c r="DC24" s="506"/>
      <c r="DD24" s="426" t="s">
        <v>438</v>
      </c>
      <c r="DE24" s="506">
        <f>2*12.7</f>
        <v>25.4</v>
      </c>
      <c r="DF24" s="506" t="s">
        <v>423</v>
      </c>
      <c r="DG24" s="506">
        <v>175</v>
      </c>
      <c r="DI24" s="427"/>
      <c r="DJ24" s="506" t="s">
        <v>466</v>
      </c>
      <c r="DK24" s="506" t="s">
        <v>451</v>
      </c>
      <c r="DL24" s="339">
        <v>7.4999999999999997E-2</v>
      </c>
      <c r="DO24" s="116">
        <f t="shared" si="15"/>
        <v>10.701704640000001</v>
      </c>
      <c r="DP24" s="430"/>
      <c r="DQ24" s="506" t="s">
        <v>438</v>
      </c>
      <c r="DR24" s="506">
        <f>3*12.7</f>
        <v>38.099999999999994</v>
      </c>
      <c r="DS24" s="506" t="s">
        <v>423</v>
      </c>
      <c r="DT24" s="506">
        <v>175</v>
      </c>
      <c r="DV24" s="427"/>
      <c r="DX24"/>
      <c r="DY24" s="341"/>
      <c r="DZ24"/>
      <c r="EA24" s="506">
        <f t="shared" si="16"/>
        <v>10.701704640000001</v>
      </c>
      <c r="EB24" s="427"/>
      <c r="EC24" s="506">
        <v>1</v>
      </c>
      <c r="ED24" s="506" t="s">
        <v>470</v>
      </c>
      <c r="EE24" s="506"/>
      <c r="EF24" s="341"/>
      <c r="EG24" s="548"/>
      <c r="EH24" s="708">
        <f>CB24*EC24</f>
        <v>4.4792000000000005</v>
      </c>
      <c r="EI24" s="708">
        <v>0.32700000000000001</v>
      </c>
      <c r="EJ24" s="708">
        <v>0.45700000000000002</v>
      </c>
      <c r="EK24"/>
      <c r="EL24" s="698" t="s">
        <v>471</v>
      </c>
      <c r="EM24" s="710">
        <f>EC24*((EH24-EN24*ET24)*(2*EJ24+EI24))</f>
        <v>4.4244132000000009</v>
      </c>
      <c r="EN24">
        <v>2</v>
      </c>
      <c r="EO24" s="506" t="s">
        <v>470</v>
      </c>
      <c r="EP24"/>
      <c r="EQ24" s="339">
        <f>AVERAGE(9.23,7.43)%</f>
        <v>8.3299999999999999E-2</v>
      </c>
      <c r="ES24">
        <f>EX24/(2*(EU24+ET24))</f>
        <v>4.976</v>
      </c>
      <c r="ET24">
        <v>0.45700000000000002</v>
      </c>
      <c r="EU24">
        <v>0.45700000000000002</v>
      </c>
      <c r="EV24"/>
      <c r="EW24" s="690">
        <v>4</v>
      </c>
      <c r="EX24" s="708">
        <f>EN24*(2*(CD24*ET24+(CD24-EJ24)*EU24))</f>
        <v>9.0961280000000002</v>
      </c>
      <c r="EY24" s="21">
        <v>1</v>
      </c>
      <c r="EZ24" s="425">
        <v>0.76</v>
      </c>
      <c r="FA24" s="506">
        <v>2</v>
      </c>
      <c r="FB24" s="506">
        <v>0</v>
      </c>
      <c r="FC24" s="506">
        <f t="shared" si="27"/>
        <v>1.8596000000000004</v>
      </c>
      <c r="FD24" s="506">
        <f t="shared" si="18"/>
        <v>1.52</v>
      </c>
      <c r="FE24" s="506"/>
      <c r="FF24" s="506"/>
      <c r="FG24" s="427" t="s">
        <v>428</v>
      </c>
      <c r="FM24" s="506"/>
      <c r="FN24" s="506"/>
      <c r="FU24" s="506"/>
      <c r="FV24" s="506"/>
      <c r="GC24" s="506"/>
      <c r="GD24" s="506"/>
      <c r="GK24" s="506"/>
      <c r="GL24" s="506"/>
      <c r="GS24" s="506"/>
      <c r="GT24" s="506"/>
      <c r="GU24" s="510"/>
      <c r="HA24" s="506"/>
      <c r="HB24" s="506"/>
      <c r="HC24" s="510"/>
      <c r="HI24" s="506"/>
      <c r="HJ24" s="506"/>
      <c r="HK24" s="510"/>
      <c r="HQ24" s="506"/>
      <c r="HR24" s="506"/>
      <c r="HS24" s="510"/>
      <c r="HY24" s="506"/>
      <c r="HZ24" s="506"/>
      <c r="IA24" s="510"/>
      <c r="IG24" s="506"/>
      <c r="IH24" s="506"/>
      <c r="II24" s="510"/>
    </row>
    <row r="25" spans="1:243" ht="15" customHeight="1">
      <c r="A25" s="1162"/>
      <c r="B25" s="1142"/>
      <c r="C25" s="51">
        <v>4</v>
      </c>
      <c r="D25" s="725" t="str">
        <f t="shared" si="28"/>
        <v>NRCC_Room_4</v>
      </c>
      <c r="E25" s="1136"/>
      <c r="F25" s="1147"/>
      <c r="G25" s="633">
        <v>17.5</v>
      </c>
      <c r="H25" s="525">
        <f t="shared" si="0"/>
        <v>10.701704640000001</v>
      </c>
      <c r="I25" s="354">
        <f t="shared" si="1"/>
        <v>59.068341200000006</v>
      </c>
      <c r="J25" s="4">
        <f t="shared" si="2"/>
        <v>0.28632582693891528</v>
      </c>
      <c r="K25" s="716" t="s">
        <v>472</v>
      </c>
      <c r="L25" s="4">
        <f t="shared" si="3"/>
        <v>0.44903284774077462</v>
      </c>
      <c r="M25" s="4">
        <f t="shared" si="4"/>
        <v>0.46791599102837661</v>
      </c>
      <c r="N25" s="4">
        <f t="shared" si="5"/>
        <v>1.5803829585040763</v>
      </c>
      <c r="O25" s="436">
        <f t="shared" si="6"/>
        <v>0</v>
      </c>
      <c r="P25" s="131">
        <f t="shared" si="7"/>
        <v>0.92699589212359346</v>
      </c>
      <c r="Q25" s="131"/>
      <c r="R25" s="131">
        <f>EM25/(EH25*2*(EI25+EJ25))</f>
        <v>0.64006679077959661</v>
      </c>
      <c r="S25" s="437">
        <f>EX25/(ES25*2*(ET25+EU25))</f>
        <v>1</v>
      </c>
      <c r="T25" s="679"/>
      <c r="U25" s="438"/>
      <c r="V25" s="679" t="s">
        <v>417</v>
      </c>
      <c r="W25" s="525">
        <f t="shared" si="9"/>
        <v>2</v>
      </c>
      <c r="X25" s="439">
        <f t="shared" si="10"/>
        <v>1.52</v>
      </c>
      <c r="Y25" s="928">
        <f t="shared" si="11"/>
        <v>3.6391822948417328E-2</v>
      </c>
      <c r="Z25" s="489"/>
      <c r="AA25" s="489"/>
      <c r="AB25" s="489"/>
      <c r="AC25" s="489">
        <f t="shared" si="12"/>
        <v>0</v>
      </c>
      <c r="AD25" s="489"/>
      <c r="AE25" s="489" t="s">
        <v>418</v>
      </c>
      <c r="AF25" s="489"/>
      <c r="AG25" s="489"/>
      <c r="AH25" s="492">
        <f>(CC25-0.1-0.45)-CC25/2</f>
        <v>0.64459999999999984</v>
      </c>
      <c r="AI25" s="489"/>
      <c r="AJ25" s="489"/>
      <c r="AK25" s="435"/>
      <c r="AL25" s="106">
        <v>1170</v>
      </c>
      <c r="AM25" s="106">
        <v>170</v>
      </c>
      <c r="AN25" s="106"/>
      <c r="AO25" s="106"/>
      <c r="AP25" s="106">
        <f>(44+66)/2</f>
        <v>55</v>
      </c>
      <c r="AQ25" s="106"/>
      <c r="AR25" s="425">
        <v>50</v>
      </c>
      <c r="AS25" s="425"/>
      <c r="AT25" s="425">
        <v>67.900000000000006</v>
      </c>
      <c r="AU25" s="425"/>
      <c r="AV25" s="265"/>
      <c r="AW25" s="441" t="s">
        <v>430</v>
      </c>
      <c r="AX25" s="726">
        <v>240</v>
      </c>
      <c r="AY25" s="611">
        <f>AVERAGE('Char measurement'!$B$196:$M$199)</f>
        <v>25.725000000000001</v>
      </c>
      <c r="AZ25" s="611">
        <f>MIN('Char measurement'!$B$196:$M$199)</f>
        <v>0</v>
      </c>
      <c r="BA25" s="611">
        <f>MAX('Char measurement'!$B$196:$M$199)</f>
        <v>45</v>
      </c>
      <c r="BB25" s="449"/>
      <c r="BC25" s="731">
        <f>AVERAGE('Char measurement'!F192:I195)</f>
        <v>54.0625</v>
      </c>
      <c r="BD25" s="448">
        <f>MIN('Char measurement'!F192:I195)</f>
        <v>47</v>
      </c>
      <c r="BE25" s="323">
        <f>MAX('Char measurement'!F192:I195)</f>
        <v>66</v>
      </c>
      <c r="BF25" s="324">
        <f>35/60</f>
        <v>0.58333333333333337</v>
      </c>
      <c r="BG25" s="448"/>
      <c r="BH25" s="448"/>
      <c r="BI25" s="448"/>
      <c r="BJ25" s="731">
        <f>AVERAGE('Char measurement'!O202:U203)</f>
        <v>78.150000000000006</v>
      </c>
      <c r="BK25" s="448">
        <f>MIN('Char measurement'!O202:U203)</f>
        <v>69</v>
      </c>
      <c r="BL25" s="448">
        <f>MAX('Char measurement'!O202:U203)</f>
        <v>82</v>
      </c>
      <c r="BM25" s="449">
        <v>0.3</v>
      </c>
      <c r="BN25" s="731">
        <f>AVERAGE('Char measurement'!P204:Q207)</f>
        <v>74.5625</v>
      </c>
      <c r="BO25" s="448">
        <f>MIN('Char measurement'!P204:Q207)</f>
        <v>62.5</v>
      </c>
      <c r="BP25" s="448">
        <f>MAX('Char measurement'!P204:Q207)</f>
        <v>93.5</v>
      </c>
      <c r="BQ25" s="227">
        <v>0.3</v>
      </c>
      <c r="BR25" s="897"/>
      <c r="BS25" s="1051"/>
      <c r="BT25" s="541"/>
      <c r="BU25" s="541"/>
      <c r="BV25" s="829"/>
      <c r="BW25" s="1128"/>
      <c r="BX25" s="1113"/>
      <c r="BY25" s="1113"/>
      <c r="BZ25" s="1113"/>
      <c r="CA25" s="1122"/>
      <c r="CB25" s="244">
        <f>4.53-2*CS25/1000</f>
        <v>4.4792000000000005</v>
      </c>
      <c r="CC25" s="245">
        <f>2.44-2*CS25/1000</f>
        <v>2.3891999999999998</v>
      </c>
      <c r="CD25" s="245">
        <f>2.78-(DR25)/1000</f>
        <v>2.7418999999999998</v>
      </c>
      <c r="CE25"/>
      <c r="CF25" s="425"/>
      <c r="CJ25" s="427"/>
      <c r="CO25"/>
      <c r="CQ25" s="355">
        <f t="shared" si="13"/>
        <v>16.912791640000002</v>
      </c>
      <c r="CR25" s="426" t="s">
        <v>438</v>
      </c>
      <c r="CS25" s="119">
        <f>2*12.7</f>
        <v>25.4</v>
      </c>
      <c r="CT25" s="119" t="s">
        <v>423</v>
      </c>
      <c r="CU25" s="119">
        <v>175</v>
      </c>
      <c r="CV25" s="506"/>
      <c r="CW25" s="518"/>
      <c r="CX25" s="506" t="s">
        <v>466</v>
      </c>
      <c r="CY25" s="506" t="s">
        <v>451</v>
      </c>
      <c r="CZ25" s="339">
        <v>8.1000000000000003E-2</v>
      </c>
      <c r="DA25"/>
      <c r="DB25" s="340">
        <f t="shared" si="14"/>
        <v>36.144931919999998</v>
      </c>
      <c r="DC25" s="506"/>
      <c r="DD25" s="426" t="s">
        <v>423</v>
      </c>
      <c r="DE25" s="506">
        <v>175</v>
      </c>
      <c r="DI25" s="427"/>
      <c r="DJ25" s="506" t="s">
        <v>466</v>
      </c>
      <c r="DK25" s="506" t="s">
        <v>451</v>
      </c>
      <c r="DL25" s="339">
        <v>8.1000000000000003E-2</v>
      </c>
      <c r="DO25" s="116">
        <f t="shared" si="15"/>
        <v>10.701704640000001</v>
      </c>
      <c r="DP25" s="430">
        <f>CB25*CC25-CC25*EC25*EI25</f>
        <v>9.9204362400000008</v>
      </c>
      <c r="DQ25" s="506" t="s">
        <v>438</v>
      </c>
      <c r="DR25" s="506">
        <f>3*12.7</f>
        <v>38.099999999999994</v>
      </c>
      <c r="DS25" s="506" t="s">
        <v>423</v>
      </c>
      <c r="DT25" s="506">
        <v>175</v>
      </c>
      <c r="DV25" s="427"/>
      <c r="DX25"/>
      <c r="DY25" s="341"/>
      <c r="DZ25"/>
      <c r="EA25" s="506">
        <f t="shared" si="16"/>
        <v>10.701704640000001</v>
      </c>
      <c r="EB25" s="427"/>
      <c r="EC25" s="506">
        <v>1</v>
      </c>
      <c r="ED25" s="506" t="s">
        <v>470</v>
      </c>
      <c r="EE25" s="506"/>
      <c r="EF25" s="341"/>
      <c r="EG25" s="548"/>
      <c r="EH25" s="709">
        <f>CC25*EC25</f>
        <v>2.3891999999999998</v>
      </c>
      <c r="EI25" s="708">
        <v>0.32700000000000001</v>
      </c>
      <c r="EJ25" s="708">
        <v>0.45700000000000002</v>
      </c>
      <c r="EK25"/>
      <c r="EL25" s="698" t="s">
        <v>471</v>
      </c>
      <c r="EM25" s="710">
        <f>EC25*((EH25-EN25*ET25)*(2*EJ25+EI25))</f>
        <v>2.3978601999999998</v>
      </c>
      <c r="EN25">
        <v>1</v>
      </c>
      <c r="EO25" s="506" t="s">
        <v>470</v>
      </c>
      <c r="EP25"/>
      <c r="EQ25" s="339">
        <v>0.08</v>
      </c>
      <c r="ES25" s="707">
        <f>EX25/(2*(EU25+ET25))</f>
        <v>2.5133999999999999</v>
      </c>
      <c r="ET25">
        <v>0.45700000000000002</v>
      </c>
      <c r="EU25">
        <v>0.45700000000000002</v>
      </c>
      <c r="EV25"/>
      <c r="EW25" s="690">
        <v>4</v>
      </c>
      <c r="EX25" s="708">
        <f>EN25*(2*(CD25*ET25+(CD25-EJ25)*EU25))</f>
        <v>4.5944951999999999</v>
      </c>
      <c r="EY25" s="21">
        <v>1</v>
      </c>
      <c r="EZ25" s="425">
        <v>0.76</v>
      </c>
      <c r="FA25" s="506">
        <v>2</v>
      </c>
      <c r="FB25" s="506">
        <v>0</v>
      </c>
      <c r="FC25" s="506">
        <f t="shared" si="27"/>
        <v>1.8596000000000004</v>
      </c>
      <c r="FD25" s="506">
        <f t="shared" si="18"/>
        <v>1.52</v>
      </c>
      <c r="FE25" s="506"/>
      <c r="FF25" s="506"/>
      <c r="FG25" s="427" t="s">
        <v>428</v>
      </c>
      <c r="FM25" s="506"/>
      <c r="FN25" s="506"/>
      <c r="FU25" s="506"/>
      <c r="FV25" s="506"/>
      <c r="GC25" s="506"/>
      <c r="GD25" s="506"/>
      <c r="GK25" s="506"/>
      <c r="GL25" s="506"/>
      <c r="GS25" s="506"/>
      <c r="GT25" s="506"/>
      <c r="GU25" s="510"/>
      <c r="HA25" s="506"/>
      <c r="HB25" s="506"/>
      <c r="HC25" s="510"/>
      <c r="HI25" s="506"/>
      <c r="HJ25" s="506"/>
      <c r="HK25" s="510"/>
      <c r="HQ25" s="506"/>
      <c r="HR25" s="506"/>
      <c r="HS25" s="510"/>
      <c r="HY25" s="506"/>
      <c r="HZ25" s="506"/>
      <c r="IA25" s="510"/>
      <c r="IG25" s="506"/>
      <c r="IH25" s="506"/>
      <c r="II25" s="510"/>
    </row>
    <row r="26" spans="1:243" ht="15" customHeight="1" thickBot="1">
      <c r="A26" s="1163"/>
      <c r="B26" s="1143"/>
      <c r="C26" s="6">
        <v>5</v>
      </c>
      <c r="D26" s="7" t="str">
        <f t="shared" si="28"/>
        <v>NRCC_Room_5</v>
      </c>
      <c r="E26" s="1137"/>
      <c r="F26" s="1174"/>
      <c r="G26" s="633">
        <v>17.5</v>
      </c>
      <c r="H26" s="523">
        <f t="shared" si="0"/>
        <v>10.823076</v>
      </c>
      <c r="I26" s="524">
        <f t="shared" si="1"/>
        <v>59.589660959999996</v>
      </c>
      <c r="J26" s="8">
        <f t="shared" si="2"/>
        <v>0.40149533618021105</v>
      </c>
      <c r="K26" s="32" t="s">
        <v>473</v>
      </c>
      <c r="L26" s="8">
        <f t="shared" si="3"/>
        <v>0.63054186646843002</v>
      </c>
      <c r="M26" s="8">
        <f t="shared" si="4"/>
        <v>0.65685519169155859</v>
      </c>
      <c r="N26" s="8">
        <f t="shared" si="5"/>
        <v>2.2105518763796903</v>
      </c>
      <c r="O26" s="133">
        <f t="shared" si="6"/>
        <v>0.35970985042622866</v>
      </c>
      <c r="P26" s="132">
        <f t="shared" si="7"/>
        <v>1</v>
      </c>
      <c r="Q26" s="132"/>
      <c r="R26" s="132"/>
      <c r="S26" s="445"/>
      <c r="T26" s="680"/>
      <c r="U26" s="446"/>
      <c r="V26" s="680" t="s">
        <v>417</v>
      </c>
      <c r="W26" s="523">
        <f t="shared" si="9"/>
        <v>2</v>
      </c>
      <c r="X26" s="208">
        <f t="shared" si="10"/>
        <v>1.52</v>
      </c>
      <c r="Y26" s="356">
        <f t="shared" si="11"/>
        <v>3.6073449322862279E-2</v>
      </c>
      <c r="Z26" s="141"/>
      <c r="AA26" s="141"/>
      <c r="AB26" s="141"/>
      <c r="AC26" s="141">
        <f t="shared" si="12"/>
        <v>0</v>
      </c>
      <c r="AD26" s="141"/>
      <c r="AE26" s="141" t="s">
        <v>418</v>
      </c>
      <c r="AF26" s="141"/>
      <c r="AG26" s="141"/>
      <c r="AH26" s="672">
        <f>(CC26-0.1-0.45)-CC26/2</f>
        <v>0.64459999999999984</v>
      </c>
      <c r="AI26" s="141"/>
      <c r="AJ26" s="141"/>
      <c r="AK26" s="444"/>
      <c r="AL26" s="107">
        <v>1190</v>
      </c>
      <c r="AM26" s="107">
        <v>250</v>
      </c>
      <c r="AN26" s="107"/>
      <c r="AO26" s="107" t="s">
        <v>474</v>
      </c>
      <c r="AP26" s="107">
        <f>(44+48)/2</f>
        <v>46</v>
      </c>
      <c r="AQ26" s="107"/>
      <c r="AR26" s="25">
        <v>50</v>
      </c>
      <c r="AS26" s="25"/>
      <c r="AT26" s="25">
        <v>67.900000000000006</v>
      </c>
      <c r="AU26" s="25"/>
      <c r="AV26" s="266"/>
      <c r="AW26" s="267" t="s">
        <v>417</v>
      </c>
      <c r="AX26" s="194">
        <v>250</v>
      </c>
      <c r="AY26" s="55">
        <f>AVERAGE('Char measurement'!D214:E217,'Char measurement'!J214:K217)</f>
        <v>88.625</v>
      </c>
      <c r="AZ26" s="55">
        <f>MIN('Char measurement'!D214:E217,'Char measurement'!J214:K217)</f>
        <v>81</v>
      </c>
      <c r="BA26" s="55">
        <f>MAX('Char measurement'!D214:E217,'Char measurement'!J214:K217)</f>
        <v>109</v>
      </c>
      <c r="BB26" s="221">
        <f>50/170</f>
        <v>0.29411764705882354</v>
      </c>
      <c r="BC26" s="50">
        <f>AVERAGE('Char measurement'!F210:I213)</f>
        <v>77.5</v>
      </c>
      <c r="BD26" s="55">
        <f>MIN('Char measurement'!F210:I213)</f>
        <v>70</v>
      </c>
      <c r="BE26" s="297">
        <f>MAX('Char measurement'!F210:I213)</f>
        <v>90</v>
      </c>
      <c r="BF26" s="234">
        <f>50/230</f>
        <v>0.21739130434782608</v>
      </c>
      <c r="BG26" s="55"/>
      <c r="BH26" s="55"/>
      <c r="BI26" s="55"/>
      <c r="BJ26" s="50"/>
      <c r="BK26" s="55"/>
      <c r="BL26" s="55"/>
      <c r="BM26" s="55"/>
      <c r="BN26" s="50"/>
      <c r="BO26" s="55"/>
      <c r="BP26" s="55"/>
      <c r="BQ26" s="830"/>
      <c r="BR26" s="884"/>
      <c r="BS26" s="892"/>
      <c r="BT26" s="55"/>
      <c r="BU26" s="55"/>
      <c r="BV26" s="830"/>
      <c r="BW26" s="1129"/>
      <c r="BX26" s="1130"/>
      <c r="BY26" s="1130"/>
      <c r="BZ26" s="1130"/>
      <c r="CA26" s="1131"/>
      <c r="CB26" s="246">
        <f>4.53</f>
        <v>4.53</v>
      </c>
      <c r="CC26" s="247">
        <f>2.44-2*CS26/1000</f>
        <v>2.3891999999999998</v>
      </c>
      <c r="CD26" s="247">
        <f>2.78-(DR26)/1000</f>
        <v>2.7418999999999998</v>
      </c>
      <c r="CE26" s="512"/>
      <c r="CF26" s="25">
        <v>0.5</v>
      </c>
      <c r="CG26" s="109"/>
      <c r="CH26" s="109"/>
      <c r="CI26" s="109"/>
      <c r="CJ26" s="428"/>
      <c r="CK26" s="512"/>
      <c r="CL26" s="512"/>
      <c r="CM26" s="512"/>
      <c r="CN26" s="512"/>
      <c r="CO26" s="512"/>
      <c r="CP26" s="109"/>
      <c r="CQ26" s="358">
        <f t="shared" si="13"/>
        <v>23.924970959999996</v>
      </c>
      <c r="CR26" s="164" t="s">
        <v>438</v>
      </c>
      <c r="CS26" s="136">
        <f>2*12.7</f>
        <v>25.4</v>
      </c>
      <c r="CT26" s="136" t="s">
        <v>423</v>
      </c>
      <c r="CU26" s="136">
        <v>175</v>
      </c>
      <c r="CV26" s="109"/>
      <c r="CW26" s="519"/>
      <c r="CX26" s="109" t="s">
        <v>466</v>
      </c>
      <c r="CY26" s="109" t="s">
        <v>451</v>
      </c>
      <c r="CZ26" s="359">
        <v>7.0999999999999994E-2</v>
      </c>
      <c r="DA26" s="512"/>
      <c r="DB26" s="360">
        <f t="shared" si="14"/>
        <v>36.423508959999992</v>
      </c>
      <c r="DC26" s="360">
        <f>2*CC26*CD26</f>
        <v>13.101894959999997</v>
      </c>
      <c r="DD26" s="164" t="s">
        <v>423</v>
      </c>
      <c r="DE26" s="109">
        <v>175</v>
      </c>
      <c r="DF26" s="109"/>
      <c r="DG26" s="109"/>
      <c r="DH26" s="109"/>
      <c r="DI26" s="428"/>
      <c r="DJ26" s="109" t="s">
        <v>466</v>
      </c>
      <c r="DK26" s="109" t="s">
        <v>451</v>
      </c>
      <c r="DL26" s="359">
        <v>7.0999999999999994E-2</v>
      </c>
      <c r="DM26" s="512"/>
      <c r="DN26" s="512"/>
      <c r="DO26" s="29">
        <f t="shared" si="15"/>
        <v>10.823076</v>
      </c>
      <c r="DP26" s="522">
        <f>CB26*CC26</f>
        <v>10.823076</v>
      </c>
      <c r="DQ26" s="109" t="s">
        <v>438</v>
      </c>
      <c r="DR26" s="109">
        <f>3*12.7</f>
        <v>38.099999999999994</v>
      </c>
      <c r="DS26" s="109" t="s">
        <v>423</v>
      </c>
      <c r="DT26" s="109">
        <v>175</v>
      </c>
      <c r="DU26" s="109"/>
      <c r="DV26" s="428"/>
      <c r="DW26" s="512"/>
      <c r="DX26" s="512"/>
      <c r="DY26" s="361"/>
      <c r="DZ26" s="512"/>
      <c r="EA26" s="109">
        <f t="shared" si="16"/>
        <v>10.823076</v>
      </c>
      <c r="EB26" s="428"/>
      <c r="EC26" s="109"/>
      <c r="ED26" s="512"/>
      <c r="EE26" s="109"/>
      <c r="EF26" s="361"/>
      <c r="EG26" s="359"/>
      <c r="EH26" s="512"/>
      <c r="EI26" s="512"/>
      <c r="EJ26" s="512"/>
      <c r="EK26" s="512"/>
      <c r="EL26" s="699"/>
      <c r="EM26" s="519"/>
      <c r="EN26" s="512"/>
      <c r="EO26" s="512"/>
      <c r="EP26" s="512"/>
      <c r="EQ26" s="359"/>
      <c r="ER26" s="512"/>
      <c r="ES26" s="512"/>
      <c r="ET26" s="512"/>
      <c r="EU26" s="512"/>
      <c r="EV26" s="512"/>
      <c r="EW26" s="695"/>
      <c r="EX26" s="512"/>
      <c r="EY26" s="26">
        <v>1</v>
      </c>
      <c r="EZ26" s="25">
        <v>0.76</v>
      </c>
      <c r="FA26" s="109">
        <v>2</v>
      </c>
      <c r="FB26" s="109">
        <v>0</v>
      </c>
      <c r="FC26" s="109">
        <f t="shared" si="27"/>
        <v>1.8850000000000002</v>
      </c>
      <c r="FD26" s="109">
        <f t="shared" si="18"/>
        <v>1.52</v>
      </c>
      <c r="FE26" s="109"/>
      <c r="FF26" s="109"/>
      <c r="FG26" s="428" t="s">
        <v>428</v>
      </c>
      <c r="FM26" s="506"/>
      <c r="FN26" s="506"/>
      <c r="FU26" s="506"/>
      <c r="FV26" s="506"/>
      <c r="GC26" s="506"/>
      <c r="GD26" s="506"/>
      <c r="GK26" s="506"/>
      <c r="GL26" s="506"/>
      <c r="GS26" s="506"/>
      <c r="GT26" s="506"/>
      <c r="GU26" s="510"/>
      <c r="HA26" s="506"/>
      <c r="HB26" s="506"/>
      <c r="HC26" s="510"/>
      <c r="HI26" s="506"/>
      <c r="HJ26" s="506"/>
      <c r="HK26" s="510"/>
      <c r="HQ26" s="506"/>
      <c r="HR26" s="506"/>
      <c r="HS26" s="510"/>
      <c r="HY26" s="506"/>
      <c r="HZ26" s="506"/>
      <c r="IA26" s="510"/>
      <c r="IG26" s="506"/>
      <c r="IH26" s="506"/>
      <c r="II26" s="510"/>
    </row>
    <row r="27" spans="1:243" ht="14.45" customHeight="1" thickBot="1">
      <c r="A27" s="1186" t="s">
        <v>475</v>
      </c>
      <c r="B27" s="526" t="s">
        <v>476</v>
      </c>
      <c r="C27" s="38">
        <v>1</v>
      </c>
      <c r="D27" s="501" t="str">
        <f>CONCATENATE("NRCC_Elevator_",C27)</f>
        <v>NRCC_Elevator_1</v>
      </c>
      <c r="E27" s="521">
        <v>790</v>
      </c>
      <c r="F27" s="450" t="s">
        <v>429</v>
      </c>
      <c r="G27" s="1083">
        <v>16.5</v>
      </c>
      <c r="H27" s="531">
        <f t="shared" si="0"/>
        <v>23.694527999999998</v>
      </c>
      <c r="I27" s="536">
        <f t="shared" si="1"/>
        <v>100.11918</v>
      </c>
      <c r="J27" s="39">
        <f t="shared" si="2"/>
        <v>0</v>
      </c>
      <c r="K27" s="40">
        <v>0</v>
      </c>
      <c r="L27" s="39">
        <f t="shared" si="3"/>
        <v>0</v>
      </c>
      <c r="M27" s="39">
        <f t="shared" si="4"/>
        <v>0</v>
      </c>
      <c r="N27" s="39">
        <f t="shared" si="5"/>
        <v>0</v>
      </c>
      <c r="O27" s="173"/>
      <c r="P27" s="174"/>
      <c r="Q27" s="174"/>
      <c r="R27" s="174"/>
      <c r="S27" s="451"/>
      <c r="T27" s="682"/>
      <c r="U27" s="452"/>
      <c r="V27" s="682" t="s">
        <v>417</v>
      </c>
      <c r="W27" s="531">
        <f t="shared" si="9"/>
        <v>1.88</v>
      </c>
      <c r="X27" s="112">
        <f t="shared" si="10"/>
        <v>4.6999999999999993</v>
      </c>
      <c r="Y27" s="927">
        <f t="shared" si="11"/>
        <v>6.4366441319005818E-2</v>
      </c>
      <c r="Z27" s="274"/>
      <c r="AA27" s="274"/>
      <c r="AB27" s="420"/>
      <c r="AC27" s="420">
        <f t="shared" si="12"/>
        <v>0</v>
      </c>
      <c r="AD27" s="420"/>
      <c r="AE27" s="274"/>
      <c r="AF27" s="274"/>
      <c r="AG27" s="274"/>
      <c r="AH27" s="274"/>
      <c r="AI27" s="274"/>
      <c r="AJ27" s="274"/>
      <c r="AK27" s="450"/>
      <c r="AL27" s="90">
        <v>1090</v>
      </c>
      <c r="AM27" s="90">
        <v>120</v>
      </c>
      <c r="AN27" s="90"/>
      <c r="AO27" s="90" t="s">
        <v>477</v>
      </c>
      <c r="AP27" s="90">
        <v>60.9</v>
      </c>
      <c r="AQ27" s="90">
        <v>15.7</v>
      </c>
      <c r="AR27" s="425">
        <v>66.099999999999994</v>
      </c>
      <c r="AS27" s="425"/>
      <c r="AT27" s="425">
        <v>98.9</v>
      </c>
      <c r="AU27" s="823">
        <v>30.5</v>
      </c>
      <c r="AV27" s="268"/>
      <c r="AW27" s="269" t="s">
        <v>417</v>
      </c>
      <c r="AX27" s="199">
        <v>120</v>
      </c>
      <c r="AY27" s="187">
        <v>5</v>
      </c>
      <c r="AZ27" s="187">
        <v>0.1</v>
      </c>
      <c r="BA27" s="187">
        <v>25</v>
      </c>
      <c r="BB27" s="225"/>
      <c r="BC27" s="192">
        <v>70</v>
      </c>
      <c r="BD27" s="187">
        <v>35</v>
      </c>
      <c r="BE27" s="453">
        <v>80</v>
      </c>
      <c r="BF27" s="454"/>
      <c r="BG27" s="187"/>
      <c r="BH27" s="187"/>
      <c r="BI27" s="187"/>
      <c r="BJ27" s="549"/>
      <c r="BK27" s="550"/>
      <c r="BL27" s="550"/>
      <c r="BM27" s="550"/>
      <c r="BN27" s="549"/>
      <c r="BO27" s="550"/>
      <c r="BP27" s="550"/>
      <c r="BQ27" s="834"/>
      <c r="BR27" s="549"/>
      <c r="BS27" s="550"/>
      <c r="BT27" s="550"/>
      <c r="BU27" s="550"/>
      <c r="BV27" s="888"/>
      <c r="BW27" s="1132" t="s">
        <v>478</v>
      </c>
      <c r="BX27" s="1133"/>
      <c r="BY27" s="1133"/>
      <c r="BZ27" s="1133"/>
      <c r="CA27" s="1134"/>
      <c r="CB27" s="100">
        <v>4.5759999999999996</v>
      </c>
      <c r="CC27" s="514">
        <v>5.1779999999999999</v>
      </c>
      <c r="CD27" s="514">
        <v>2.7029999999999998</v>
      </c>
      <c r="CE27" s="514"/>
      <c r="CF27" s="275"/>
      <c r="CG27" s="338"/>
      <c r="CH27" s="338"/>
      <c r="CI27" s="338"/>
      <c r="CJ27" s="429"/>
      <c r="CK27" s="514"/>
      <c r="CL27" s="514"/>
      <c r="CM27" s="514"/>
      <c r="CN27" s="514"/>
      <c r="CO27" s="514"/>
      <c r="CP27" s="338"/>
      <c r="CQ27" s="364">
        <f t="shared" si="13"/>
        <v>0</v>
      </c>
      <c r="CR27" s="165" t="s">
        <v>438</v>
      </c>
      <c r="CS27" s="166">
        <f>2*15.9</f>
        <v>31.8</v>
      </c>
      <c r="CT27" s="166" t="s">
        <v>423</v>
      </c>
      <c r="CU27" s="166">
        <f>35*5</f>
        <v>175</v>
      </c>
      <c r="CV27" s="338"/>
      <c r="CW27" s="455"/>
      <c r="CX27" s="338" t="s">
        <v>450</v>
      </c>
      <c r="CY27" s="338" t="s">
        <v>451</v>
      </c>
      <c r="CZ27" s="365"/>
      <c r="DA27" s="514"/>
      <c r="DB27" s="366">
        <f t="shared" si="14"/>
        <v>48.030124000000001</v>
      </c>
      <c r="DC27" s="338"/>
      <c r="DD27" s="215" t="s">
        <v>438</v>
      </c>
      <c r="DE27" s="822">
        <v>15.9</v>
      </c>
      <c r="DF27" s="822" t="s">
        <v>423</v>
      </c>
      <c r="DG27" s="822">
        <v>175</v>
      </c>
      <c r="DH27" s="822" t="s">
        <v>479</v>
      </c>
      <c r="DI27" s="822">
        <v>90</v>
      </c>
      <c r="DJ27" s="514" t="s">
        <v>450</v>
      </c>
      <c r="DK27" s="514" t="s">
        <v>451</v>
      </c>
      <c r="DL27" s="365"/>
      <c r="DM27" s="514"/>
      <c r="DN27" s="514"/>
      <c r="DO27" s="281">
        <f t="shared" si="15"/>
        <v>23.694527999999998</v>
      </c>
      <c r="DP27" s="456"/>
      <c r="DQ27" s="338" t="s">
        <v>452</v>
      </c>
      <c r="DR27" s="338">
        <v>7</v>
      </c>
      <c r="DS27" s="338" t="s">
        <v>480</v>
      </c>
      <c r="DT27" s="338">
        <v>200</v>
      </c>
      <c r="DU27" s="338"/>
      <c r="DV27" s="429"/>
      <c r="DW27" s="514"/>
      <c r="DX27" s="514"/>
      <c r="DY27" s="367"/>
      <c r="DZ27" s="514"/>
      <c r="EA27" s="338"/>
      <c r="EB27" s="429"/>
      <c r="EC27" s="338"/>
      <c r="ED27" s="514"/>
      <c r="EE27" s="338"/>
      <c r="EF27" s="367"/>
      <c r="EG27" s="514"/>
      <c r="EH27" s="514"/>
      <c r="EI27" s="514"/>
      <c r="EJ27" s="514"/>
      <c r="EK27" s="514"/>
      <c r="EL27" s="711"/>
      <c r="EM27" s="455"/>
      <c r="EN27" s="514"/>
      <c r="EO27" s="514"/>
      <c r="EP27" s="514"/>
      <c r="EQ27" s="365"/>
      <c r="ER27" s="514"/>
      <c r="ES27" s="514"/>
      <c r="ET27" s="514"/>
      <c r="EU27" s="514"/>
      <c r="EV27" s="514"/>
      <c r="EW27" s="696"/>
      <c r="EX27" s="514"/>
      <c r="EY27" s="248">
        <v>1</v>
      </c>
      <c r="EZ27" s="275">
        <v>2.5</v>
      </c>
      <c r="FA27" s="338">
        <v>1.88</v>
      </c>
      <c r="FB27" s="338">
        <v>0</v>
      </c>
      <c r="FC27" s="109">
        <f t="shared" si="27"/>
        <v>1.0379999999999998</v>
      </c>
      <c r="FD27" s="338">
        <f t="shared" si="18"/>
        <v>4.6999999999999993</v>
      </c>
      <c r="FE27" s="338"/>
      <c r="FF27" s="338"/>
      <c r="FG27" s="429" t="s">
        <v>428</v>
      </c>
      <c r="FM27" s="506"/>
      <c r="FN27" s="506"/>
      <c r="FU27" s="506"/>
      <c r="FV27" s="506"/>
      <c r="GC27" s="506"/>
      <c r="GD27" s="506"/>
      <c r="GK27" s="506"/>
      <c r="GL27" s="506"/>
      <c r="GS27" s="506"/>
      <c r="GT27" s="506"/>
      <c r="GU27" s="510"/>
      <c r="HA27" s="506"/>
      <c r="HB27" s="506"/>
      <c r="HC27" s="510"/>
      <c r="HI27" s="506"/>
      <c r="HJ27" s="506"/>
      <c r="HK27" s="510"/>
      <c r="HQ27" s="506"/>
      <c r="HR27" s="506"/>
      <c r="HS27" s="510"/>
      <c r="HY27" s="506"/>
      <c r="HZ27" s="506"/>
      <c r="IA27" s="510"/>
      <c r="IG27" s="506"/>
      <c r="IH27" s="506"/>
      <c r="II27" s="510"/>
    </row>
    <row r="28" spans="1:243" ht="14.45" customHeight="1" thickBot="1">
      <c r="A28" s="1187"/>
      <c r="B28" s="1200" t="s">
        <v>481</v>
      </c>
      <c r="C28" s="51">
        <v>1</v>
      </c>
      <c r="D28" s="723" t="s">
        <v>482</v>
      </c>
      <c r="E28" s="1151" t="s">
        <v>483</v>
      </c>
      <c r="F28" s="1176" t="s">
        <v>429</v>
      </c>
      <c r="G28" s="1176">
        <v>17.5</v>
      </c>
      <c r="H28" s="1198">
        <f>8.5*6.5</f>
        <v>55.25</v>
      </c>
      <c r="I28" s="1227">
        <f>2*H28+2*(8.5+6.5)*2.4</f>
        <v>182.5</v>
      </c>
      <c r="J28" s="1199">
        <v>0</v>
      </c>
      <c r="K28" s="292">
        <v>0</v>
      </c>
      <c r="L28" s="1199">
        <v>0</v>
      </c>
      <c r="M28" s="1199">
        <f t="shared" si="4"/>
        <v>0</v>
      </c>
      <c r="N28" s="1199">
        <f t="shared" si="5"/>
        <v>0</v>
      </c>
      <c r="O28" s="158"/>
      <c r="P28" s="159"/>
      <c r="Q28" s="159"/>
      <c r="R28" s="159"/>
      <c r="S28" s="160"/>
      <c r="T28" s="678"/>
      <c r="U28" s="285"/>
      <c r="V28" s="678" t="s">
        <v>417</v>
      </c>
      <c r="W28" s="1198">
        <v>1.5</v>
      </c>
      <c r="X28" s="1236">
        <f>2*1.5*1.5</f>
        <v>4.5</v>
      </c>
      <c r="Y28" s="1238">
        <f t="shared" si="11"/>
        <v>3.0199188609655619E-2</v>
      </c>
      <c r="Z28" s="140">
        <v>8</v>
      </c>
      <c r="AA28" s="142"/>
      <c r="AB28" s="140"/>
      <c r="AC28" s="140">
        <f t="shared" si="12"/>
        <v>0</v>
      </c>
      <c r="AD28" s="140"/>
      <c r="AE28" s="142"/>
      <c r="AF28" s="142"/>
      <c r="AG28" s="142"/>
      <c r="AH28" s="142"/>
      <c r="AI28" s="142"/>
      <c r="AJ28" s="142"/>
      <c r="AK28" s="42"/>
      <c r="AL28" s="87">
        <v>1200</v>
      </c>
      <c r="AM28" s="87"/>
      <c r="AN28" s="87"/>
      <c r="AO28" s="87"/>
      <c r="AP28" s="87"/>
      <c r="AQ28" s="87"/>
      <c r="AR28" s="810"/>
      <c r="AS28" s="810"/>
      <c r="AT28" s="810"/>
      <c r="AU28" s="810"/>
      <c r="AV28" s="263"/>
      <c r="AW28" s="627" t="s">
        <v>484</v>
      </c>
      <c r="AX28" s="193">
        <v>78</v>
      </c>
      <c r="AY28" s="276"/>
      <c r="AZ28" s="276"/>
      <c r="BA28" s="276"/>
      <c r="BB28" s="277"/>
      <c r="BC28" s="278"/>
      <c r="BD28" s="276"/>
      <c r="BE28" s="317"/>
      <c r="BF28" s="279"/>
      <c r="BG28" s="276"/>
      <c r="BH28" s="276"/>
      <c r="BI28" s="276"/>
      <c r="BJ28" s="551"/>
      <c r="BK28" s="552"/>
      <c r="BL28" s="552"/>
      <c r="BM28" s="552"/>
      <c r="BN28" s="551"/>
      <c r="BO28" s="552"/>
      <c r="BP28" s="552"/>
      <c r="BQ28" s="835"/>
      <c r="BR28" s="900">
        <v>2.4</v>
      </c>
      <c r="BS28" s="1055"/>
      <c r="BT28" s="880" t="s">
        <v>428</v>
      </c>
      <c r="BU28" s="552"/>
      <c r="BV28" s="889">
        <v>25</v>
      </c>
      <c r="BW28" s="1132" t="s">
        <v>485</v>
      </c>
      <c r="BX28" s="1126"/>
      <c r="BY28" s="1126"/>
      <c r="BZ28" s="1126"/>
      <c r="CA28" s="1127"/>
      <c r="CB28" s="92"/>
      <c r="CC28" s="507"/>
      <c r="CD28" s="507"/>
      <c r="CE28" s="507"/>
      <c r="CF28" s="149"/>
      <c r="CG28" s="504"/>
      <c r="CH28" s="504"/>
      <c r="CI28" s="504"/>
      <c r="CJ28" s="45"/>
      <c r="CK28" s="507"/>
      <c r="CL28" s="507"/>
      <c r="CM28" s="507"/>
      <c r="CN28" s="507"/>
      <c r="CO28" s="507"/>
      <c r="CP28" s="504"/>
      <c r="CQ28" s="350"/>
      <c r="CR28" s="163"/>
      <c r="CS28" s="118"/>
      <c r="CT28" s="118"/>
      <c r="CU28" s="118"/>
      <c r="CV28" s="504"/>
      <c r="CW28" s="156"/>
      <c r="CX28" s="504"/>
      <c r="CY28" s="504"/>
      <c r="CZ28" s="351"/>
      <c r="DA28" s="507"/>
      <c r="DB28" s="352"/>
      <c r="DC28" s="504"/>
      <c r="DD28" s="155"/>
      <c r="DE28" s="504"/>
      <c r="DF28" s="504"/>
      <c r="DG28" s="504"/>
      <c r="DH28" s="504"/>
      <c r="DI28" s="45"/>
      <c r="DK28"/>
      <c r="DL28" s="339"/>
      <c r="DO28"/>
      <c r="DP28" s="430"/>
      <c r="DV28" s="427"/>
      <c r="DX28"/>
      <c r="DY28" s="341"/>
      <c r="DZ28"/>
      <c r="EB28" s="427"/>
      <c r="EC28" s="506"/>
      <c r="ED28"/>
      <c r="EE28" s="506"/>
      <c r="EF28" s="341"/>
      <c r="EK28"/>
      <c r="EL28" s="698"/>
      <c r="EM28" s="518"/>
      <c r="EP28"/>
      <c r="EQ28" s="339"/>
      <c r="EV28"/>
      <c r="EW28" s="690"/>
      <c r="EX28"/>
      <c r="EY28" s="21"/>
      <c r="EZ28" s="425"/>
      <c r="FA28" s="506"/>
      <c r="FB28" s="506"/>
      <c r="FC28" s="506"/>
      <c r="FD28" s="506"/>
      <c r="FE28" s="506"/>
      <c r="FF28" s="506"/>
      <c r="FG28" s="427"/>
      <c r="FM28" s="506"/>
      <c r="FN28" s="506"/>
      <c r="FU28" s="506"/>
      <c r="FV28" s="506"/>
      <c r="GC28" s="506"/>
      <c r="GD28" s="506"/>
      <c r="GK28" s="506"/>
      <c r="GL28" s="506"/>
      <c r="GS28" s="506"/>
      <c r="GT28" s="506"/>
      <c r="GU28" s="510"/>
      <c r="HA28" s="506"/>
      <c r="HB28" s="506"/>
      <c r="HC28" s="510"/>
      <c r="HI28" s="506"/>
      <c r="HJ28" s="506"/>
      <c r="HK28" s="510"/>
      <c r="HQ28" s="506"/>
      <c r="HR28" s="506"/>
      <c r="HS28" s="510"/>
      <c r="HY28" s="506"/>
      <c r="HZ28" s="506"/>
      <c r="IA28" s="510"/>
      <c r="IG28" s="506"/>
      <c r="IH28" s="506"/>
      <c r="II28" s="510"/>
    </row>
    <row r="29" spans="1:243" ht="14.45" customHeight="1">
      <c r="A29" s="1187"/>
      <c r="B29" s="1201"/>
      <c r="C29" s="51">
        <v>2</v>
      </c>
      <c r="D29" s="721" t="s">
        <v>486</v>
      </c>
      <c r="E29" s="1136"/>
      <c r="F29" s="1139"/>
      <c r="G29" s="1139"/>
      <c r="H29" s="1139"/>
      <c r="I29" s="1139"/>
      <c r="J29" s="1139"/>
      <c r="K29" s="293">
        <v>0</v>
      </c>
      <c r="L29" s="1139" t="e">
        <f t="shared" ref="L29:L49" si="29">CQ29/(2*(CB29+CC29)*CD29)</f>
        <v>#DIV/0!</v>
      </c>
      <c r="M29" s="1139" t="e">
        <f t="shared" si="4"/>
        <v>#DIV/0!</v>
      </c>
      <c r="N29" s="1139" t="e">
        <f t="shared" si="5"/>
        <v>#DIV/0!</v>
      </c>
      <c r="O29" s="436"/>
      <c r="P29" s="131"/>
      <c r="Q29" s="131"/>
      <c r="R29" s="131"/>
      <c r="S29" s="437"/>
      <c r="T29" s="679"/>
      <c r="U29" s="438"/>
      <c r="V29" s="679" t="s">
        <v>417</v>
      </c>
      <c r="W29" s="1139"/>
      <c r="X29" s="1231"/>
      <c r="Y29" s="1158"/>
      <c r="Z29" s="489">
        <v>8.1999999999999993</v>
      </c>
      <c r="AA29" s="490"/>
      <c r="AB29" s="489"/>
      <c r="AC29" s="489">
        <f>AA29/H28*1000</f>
        <v>0</v>
      </c>
      <c r="AD29" s="489"/>
      <c r="AE29" s="490"/>
      <c r="AF29" s="490"/>
      <c r="AG29" s="490"/>
      <c r="AH29" s="490"/>
      <c r="AI29" s="490"/>
      <c r="AJ29" s="490"/>
      <c r="AK29" s="435"/>
      <c r="AL29" s="88">
        <v>1200</v>
      </c>
      <c r="AM29" s="88"/>
      <c r="AN29" s="88"/>
      <c r="AO29" s="88"/>
      <c r="AP29" s="88"/>
      <c r="AQ29" s="88"/>
      <c r="AR29" s="811"/>
      <c r="AS29" s="811"/>
      <c r="AT29" s="811"/>
      <c r="AU29" s="811"/>
      <c r="AV29" s="265"/>
      <c r="AW29" s="628" t="s">
        <v>484</v>
      </c>
      <c r="AX29" s="195">
        <v>185</v>
      </c>
      <c r="AY29" s="186"/>
      <c r="AZ29" s="186"/>
      <c r="BA29" s="186"/>
      <c r="BB29" s="273"/>
      <c r="BC29" s="457"/>
      <c r="BD29" s="186"/>
      <c r="BE29" s="458"/>
      <c r="BF29" s="459"/>
      <c r="BG29" s="186"/>
      <c r="BH29" s="186"/>
      <c r="BI29" s="186"/>
      <c r="BJ29" s="553"/>
      <c r="BK29" s="554"/>
      <c r="BL29" s="554"/>
      <c r="BM29" s="554"/>
      <c r="BN29" s="553"/>
      <c r="BO29" s="554"/>
      <c r="BP29" s="554"/>
      <c r="BQ29" s="824"/>
      <c r="BR29" s="901">
        <v>2.4</v>
      </c>
      <c r="BS29" s="1056"/>
      <c r="BT29" s="881" t="s">
        <v>428</v>
      </c>
      <c r="BU29" s="554"/>
      <c r="BV29" s="890">
        <v>25</v>
      </c>
      <c r="BW29" s="1128"/>
      <c r="BX29" s="1113"/>
      <c r="BY29" s="1113"/>
      <c r="BZ29" s="1113"/>
      <c r="CA29" s="1122"/>
      <c r="CB29" s="509"/>
      <c r="CE29"/>
      <c r="CF29" s="425"/>
      <c r="CJ29" s="427"/>
      <c r="CO29"/>
      <c r="CQ29" s="355"/>
      <c r="CR29" s="426"/>
      <c r="CU29" s="119"/>
      <c r="CV29" s="506"/>
      <c r="CW29" s="518"/>
      <c r="CY29" s="506"/>
      <c r="CZ29" s="339"/>
      <c r="DA29"/>
      <c r="DB29" s="340"/>
      <c r="DC29" s="506"/>
      <c r="DD29" s="433"/>
      <c r="DI29" s="427"/>
      <c r="DK29"/>
      <c r="DL29" s="339"/>
      <c r="DO29"/>
      <c r="DP29" s="430"/>
      <c r="DV29" s="427"/>
      <c r="DX29"/>
      <c r="DY29" s="341"/>
      <c r="DZ29"/>
      <c r="EB29" s="427"/>
      <c r="EC29" s="506"/>
      <c r="ED29"/>
      <c r="EE29" s="506"/>
      <c r="EF29" s="341"/>
      <c r="EK29"/>
      <c r="EL29" s="698"/>
      <c r="EM29" s="518"/>
      <c r="EP29"/>
      <c r="EQ29" s="339"/>
      <c r="EV29"/>
      <c r="EW29" s="690"/>
      <c r="EX29"/>
      <c r="EY29" s="21"/>
      <c r="EZ29" s="425"/>
      <c r="FA29" s="506"/>
      <c r="FB29" s="506"/>
      <c r="FC29" s="506"/>
      <c r="FD29" s="506"/>
      <c r="FE29" s="506"/>
      <c r="FF29" s="506"/>
      <c r="FG29" s="427"/>
      <c r="FM29" s="506"/>
      <c r="FN29" s="506"/>
      <c r="FU29" s="506"/>
      <c r="FV29" s="506"/>
      <c r="GC29" s="506"/>
      <c r="GD29" s="506"/>
      <c r="GK29" s="506"/>
      <c r="GL29" s="506"/>
      <c r="GS29" s="506"/>
      <c r="GT29" s="506"/>
      <c r="GU29" s="510"/>
      <c r="HA29" s="506"/>
      <c r="HB29" s="506"/>
      <c r="HC29" s="510"/>
      <c r="HI29" s="506"/>
      <c r="HJ29" s="506"/>
      <c r="HK29" s="510"/>
      <c r="HQ29" s="506"/>
      <c r="HR29" s="506"/>
      <c r="HS29" s="510"/>
      <c r="HY29" s="506"/>
      <c r="HZ29" s="506"/>
      <c r="IA29" s="510"/>
      <c r="IG29" s="506"/>
      <c r="IH29" s="506"/>
      <c r="II29" s="510"/>
    </row>
    <row r="30" spans="1:243" ht="14.45" customHeight="1">
      <c r="A30" s="1187"/>
      <c r="B30" s="1201"/>
      <c r="C30" s="51">
        <v>3</v>
      </c>
      <c r="D30" s="722" t="s">
        <v>487</v>
      </c>
      <c r="E30" s="1136"/>
      <c r="F30" s="1139"/>
      <c r="G30" s="1139"/>
      <c r="H30" s="1139"/>
      <c r="I30" s="1139"/>
      <c r="J30" s="1139"/>
      <c r="K30" s="293">
        <v>0</v>
      </c>
      <c r="L30" s="1139" t="e">
        <f t="shared" si="29"/>
        <v>#DIV/0!</v>
      </c>
      <c r="M30" s="1139" t="e">
        <f t="shared" si="4"/>
        <v>#DIV/0!</v>
      </c>
      <c r="N30" s="1139" t="e">
        <f t="shared" si="5"/>
        <v>#DIV/0!</v>
      </c>
      <c r="O30" s="436"/>
      <c r="P30" s="131"/>
      <c r="Q30" s="131"/>
      <c r="R30" s="131"/>
      <c r="S30" s="437"/>
      <c r="T30" s="679"/>
      <c r="U30" s="438"/>
      <c r="V30" s="679" t="s">
        <v>417</v>
      </c>
      <c r="W30" s="1139"/>
      <c r="X30" s="1231"/>
      <c r="Y30" s="1158"/>
      <c r="Z30" s="489">
        <v>10.4</v>
      </c>
      <c r="AA30" s="490"/>
      <c r="AB30" s="489"/>
      <c r="AC30" s="489">
        <f>AA30/H28*1000</f>
        <v>0</v>
      </c>
      <c r="AD30" s="489"/>
      <c r="AE30" s="490"/>
      <c r="AF30" s="490"/>
      <c r="AG30" s="490"/>
      <c r="AH30" s="490"/>
      <c r="AI30" s="490"/>
      <c r="AJ30" s="490"/>
      <c r="AK30" s="435"/>
      <c r="AL30" s="88">
        <v>1200</v>
      </c>
      <c r="AM30" s="88"/>
      <c r="AN30" s="88"/>
      <c r="AO30" s="88"/>
      <c r="AP30" s="88"/>
      <c r="AQ30" s="88"/>
      <c r="AR30" s="812"/>
      <c r="AS30" s="812"/>
      <c r="AT30" s="812"/>
      <c r="AU30" s="812"/>
      <c r="AV30" s="265"/>
      <c r="AW30" s="628" t="s">
        <v>484</v>
      </c>
      <c r="AX30" s="195">
        <v>74</v>
      </c>
      <c r="AY30" s="186"/>
      <c r="AZ30" s="186"/>
      <c r="BA30" s="186"/>
      <c r="BB30" s="273"/>
      <c r="BC30" s="457"/>
      <c r="BD30" s="186"/>
      <c r="BE30" s="458"/>
      <c r="BF30" s="459"/>
      <c r="BG30" s="186"/>
      <c r="BH30" s="186"/>
      <c r="BI30" s="186"/>
      <c r="BJ30" s="553"/>
      <c r="BK30" s="554"/>
      <c r="BL30" s="554"/>
      <c r="BM30" s="554"/>
      <c r="BN30" s="553"/>
      <c r="BO30" s="554"/>
      <c r="BP30" s="554"/>
      <c r="BQ30" s="824"/>
      <c r="BR30" s="901">
        <v>2.4</v>
      </c>
      <c r="BS30" s="1056"/>
      <c r="BT30" s="881" t="s">
        <v>428</v>
      </c>
      <c r="BU30" s="554"/>
      <c r="BV30" s="890">
        <v>34</v>
      </c>
      <c r="BW30" s="1128"/>
      <c r="BX30" s="1113"/>
      <c r="BY30" s="1113"/>
      <c r="BZ30" s="1113"/>
      <c r="CA30" s="1122"/>
      <c r="CB30" s="509"/>
      <c r="CE30"/>
      <c r="CF30" s="425"/>
      <c r="CJ30" s="427"/>
      <c r="CO30"/>
      <c r="CQ30" s="355"/>
      <c r="CR30" s="426"/>
      <c r="CU30" s="119"/>
      <c r="CV30" s="506"/>
      <c r="CW30" s="518"/>
      <c r="CY30" s="506"/>
      <c r="CZ30" s="339"/>
      <c r="DA30"/>
      <c r="DB30" s="340"/>
      <c r="DC30" s="506"/>
      <c r="DD30" s="433"/>
      <c r="DI30" s="427"/>
      <c r="DK30"/>
      <c r="DL30" s="339"/>
      <c r="DO30"/>
      <c r="DP30" s="430"/>
      <c r="DV30" s="427"/>
      <c r="DX30"/>
      <c r="DY30" s="341"/>
      <c r="DZ30"/>
      <c r="EB30" s="427"/>
      <c r="EC30" s="506"/>
      <c r="ED30"/>
      <c r="EE30" s="506"/>
      <c r="EF30" s="341"/>
      <c r="EK30"/>
      <c r="EL30" s="698"/>
      <c r="EM30" s="518"/>
      <c r="EP30"/>
      <c r="EQ30" s="339"/>
      <c r="EV30"/>
      <c r="EW30" s="690"/>
      <c r="EX30"/>
      <c r="EY30" s="21"/>
      <c r="EZ30" s="425"/>
      <c r="FA30" s="506"/>
      <c r="FB30" s="506"/>
      <c r="FC30" s="506"/>
      <c r="FD30" s="506"/>
      <c r="FE30" s="506"/>
      <c r="FF30" s="506"/>
      <c r="FG30" s="427"/>
      <c r="FM30" s="506"/>
      <c r="FN30" s="506"/>
      <c r="FU30" s="506"/>
      <c r="FV30" s="506"/>
      <c r="GC30" s="506"/>
      <c r="GD30" s="506"/>
      <c r="GK30" s="506"/>
      <c r="GL30" s="506"/>
      <c r="GS30" s="506"/>
      <c r="GT30" s="506"/>
      <c r="GU30" s="510"/>
      <c r="HA30" s="506"/>
      <c r="HB30" s="506"/>
      <c r="HC30" s="510"/>
      <c r="HI30" s="506"/>
      <c r="HJ30" s="506"/>
      <c r="HK30" s="510"/>
      <c r="HQ30" s="506"/>
      <c r="HR30" s="506"/>
      <c r="HS30" s="510"/>
      <c r="HY30" s="506"/>
      <c r="HZ30" s="506"/>
      <c r="IA30" s="510"/>
      <c r="IG30" s="506"/>
      <c r="IH30" s="506"/>
      <c r="II30" s="510"/>
    </row>
    <row r="31" spans="1:243" ht="15.75" thickBot="1">
      <c r="A31" s="1187"/>
      <c r="B31" s="1202"/>
      <c r="C31" s="6">
        <v>4</v>
      </c>
      <c r="D31" s="720" t="s">
        <v>488</v>
      </c>
      <c r="E31" s="1137"/>
      <c r="F31" s="1140"/>
      <c r="G31" s="1140"/>
      <c r="H31" s="1140"/>
      <c r="I31" s="1140"/>
      <c r="J31" s="1140"/>
      <c r="K31" s="294">
        <v>0</v>
      </c>
      <c r="L31" s="1140" t="e">
        <f t="shared" si="29"/>
        <v>#DIV/0!</v>
      </c>
      <c r="M31" s="1140" t="e">
        <f t="shared" si="4"/>
        <v>#DIV/0!</v>
      </c>
      <c r="N31" s="1140" t="e">
        <f t="shared" si="5"/>
        <v>#DIV/0!</v>
      </c>
      <c r="O31" s="133"/>
      <c r="P31" s="132"/>
      <c r="Q31" s="132"/>
      <c r="R31" s="132"/>
      <c r="S31" s="445"/>
      <c r="T31" s="680"/>
      <c r="U31" s="446"/>
      <c r="V31" s="680" t="s">
        <v>417</v>
      </c>
      <c r="W31" s="1140"/>
      <c r="X31" s="1237"/>
      <c r="Y31" s="1239"/>
      <c r="Z31" s="141">
        <v>10.5</v>
      </c>
      <c r="AA31" s="143"/>
      <c r="AB31" s="141"/>
      <c r="AC31" s="141">
        <f>AA31/H28*1000</f>
        <v>0</v>
      </c>
      <c r="AD31" s="141"/>
      <c r="AE31" s="143"/>
      <c r="AF31" s="143"/>
      <c r="AG31" s="143"/>
      <c r="AH31" s="143"/>
      <c r="AI31" s="143"/>
      <c r="AJ31" s="143"/>
      <c r="AK31" s="444"/>
      <c r="AL31" s="89">
        <v>1000</v>
      </c>
      <c r="AM31" s="89"/>
      <c r="AN31" s="89"/>
      <c r="AO31" s="89"/>
      <c r="AP31" s="89"/>
      <c r="AQ31" s="89"/>
      <c r="AR31" s="813"/>
      <c r="AS31" s="813"/>
      <c r="AT31" s="813"/>
      <c r="AU31" s="813"/>
      <c r="AV31" s="266"/>
      <c r="AW31" s="629" t="s">
        <v>484</v>
      </c>
      <c r="AX31" s="194">
        <v>62</v>
      </c>
      <c r="AY31" s="20"/>
      <c r="AZ31" s="20"/>
      <c r="BA31" s="20"/>
      <c r="BB31" s="29"/>
      <c r="BC31" s="58"/>
      <c r="BD31" s="20"/>
      <c r="BE31" s="460"/>
      <c r="BF31" s="461"/>
      <c r="BG31" s="20"/>
      <c r="BH31" s="20"/>
      <c r="BI31" s="20"/>
      <c r="BJ31" s="58"/>
      <c r="BK31" s="20"/>
      <c r="BL31" s="20"/>
      <c r="BM31" s="20"/>
      <c r="BN31" s="58"/>
      <c r="BO31" s="20"/>
      <c r="BP31" s="20"/>
      <c r="BQ31" s="825"/>
      <c r="BR31" s="902">
        <v>2.4</v>
      </c>
      <c r="BS31" s="1057"/>
      <c r="BT31" s="20" t="s">
        <v>428</v>
      </c>
      <c r="BU31" s="20"/>
      <c r="BV31" s="891">
        <v>30</v>
      </c>
      <c r="BW31" s="1129"/>
      <c r="BX31" s="1130"/>
      <c r="BY31" s="1130"/>
      <c r="BZ31" s="1130"/>
      <c r="CA31" s="1131"/>
      <c r="CB31" s="511"/>
      <c r="CC31" s="512"/>
      <c r="CD31" s="512"/>
      <c r="CE31" s="512"/>
      <c r="CF31" s="25"/>
      <c r="CG31" s="109"/>
      <c r="CH31" s="109"/>
      <c r="CI31" s="109"/>
      <c r="CJ31" s="428"/>
      <c r="CK31" s="512"/>
      <c r="CL31" s="512"/>
      <c r="CM31" s="512"/>
      <c r="CN31" s="512"/>
      <c r="CO31" s="512"/>
      <c r="CP31" s="109"/>
      <c r="CQ31" s="358"/>
      <c r="CR31" s="164"/>
      <c r="CS31" s="136"/>
      <c r="CT31" s="136"/>
      <c r="CU31" s="136"/>
      <c r="CV31" s="109"/>
      <c r="CW31" s="519"/>
      <c r="CX31" s="109"/>
      <c r="CY31" s="109"/>
      <c r="CZ31" s="359"/>
      <c r="DA31" s="512"/>
      <c r="DB31" s="360"/>
      <c r="DC31" s="109"/>
      <c r="DD31" s="79"/>
      <c r="DE31" s="109"/>
      <c r="DF31" s="109"/>
      <c r="DG31" s="109"/>
      <c r="DH31" s="109"/>
      <c r="DI31" s="428"/>
      <c r="DJ31" s="512"/>
      <c r="DK31" s="512"/>
      <c r="DL31" s="359"/>
      <c r="DM31" s="512"/>
      <c r="DN31" s="512"/>
      <c r="DO31" s="512"/>
      <c r="DP31" s="522"/>
      <c r="DQ31" s="109"/>
      <c r="DR31" s="109"/>
      <c r="DS31" s="109"/>
      <c r="DT31" s="109"/>
      <c r="DU31" s="109"/>
      <c r="DV31" s="428"/>
      <c r="DW31" s="512"/>
      <c r="DX31" s="512"/>
      <c r="DY31" s="361"/>
      <c r="DZ31" s="512"/>
      <c r="EA31" s="109"/>
      <c r="EB31" s="428"/>
      <c r="EC31" s="109"/>
      <c r="ED31" s="512"/>
      <c r="EE31" s="109"/>
      <c r="EF31" s="361"/>
      <c r="EG31" s="512"/>
      <c r="EH31" s="512"/>
      <c r="EI31" s="512"/>
      <c r="EJ31" s="512"/>
      <c r="EK31" s="512"/>
      <c r="EL31" s="699"/>
      <c r="EM31" s="519"/>
      <c r="EN31" s="512"/>
      <c r="EO31" s="512"/>
      <c r="EP31" s="512"/>
      <c r="EQ31" s="359"/>
      <c r="ER31" s="512"/>
      <c r="ES31" s="512"/>
      <c r="ET31" s="512"/>
      <c r="EU31" s="512"/>
      <c r="EV31" s="512"/>
      <c r="EW31" s="695"/>
      <c r="EX31" s="512"/>
      <c r="EY31" s="26"/>
      <c r="EZ31" s="25"/>
      <c r="FA31" s="109"/>
      <c r="FB31" s="109"/>
      <c r="FC31" s="512"/>
      <c r="FD31" s="109"/>
      <c r="FE31" s="109"/>
      <c r="FF31" s="109"/>
      <c r="FG31" s="428"/>
      <c r="FM31" s="506"/>
      <c r="FN31" s="506"/>
      <c r="FU31" s="506"/>
      <c r="FV31" s="506"/>
      <c r="GC31" s="506"/>
      <c r="GD31" s="506"/>
      <c r="GK31" s="506"/>
      <c r="GL31" s="506"/>
      <c r="GS31" s="506"/>
      <c r="GT31" s="506"/>
      <c r="GU31" s="510"/>
      <c r="HA31" s="506"/>
      <c r="HB31" s="506"/>
      <c r="HC31" s="510"/>
      <c r="HI31" s="506"/>
      <c r="HJ31" s="506"/>
      <c r="HK31" s="510"/>
      <c r="HQ31" s="506"/>
      <c r="HR31" s="506"/>
      <c r="HS31" s="510"/>
      <c r="HY31" s="506"/>
      <c r="HZ31" s="506"/>
      <c r="IA31" s="510"/>
      <c r="IG31" s="506"/>
      <c r="IH31" s="506"/>
      <c r="II31" s="510"/>
    </row>
    <row r="32" spans="1:243" ht="15.75" customHeight="1" thickBot="1">
      <c r="A32" s="1181" t="s">
        <v>489</v>
      </c>
      <c r="B32" s="1141" t="s">
        <v>490</v>
      </c>
      <c r="C32" s="51">
        <v>1</v>
      </c>
      <c r="D32" s="425" t="str">
        <f>CONCATENATE("Edimb_",C32)</f>
        <v>Edimb_1</v>
      </c>
      <c r="E32" s="1144">
        <v>132</v>
      </c>
      <c r="F32" s="1176" t="s">
        <v>464</v>
      </c>
      <c r="G32" s="1232">
        <v>17.5</v>
      </c>
      <c r="H32" s="525">
        <f t="shared" ref="H32:H49" si="30">CB32*CC32</f>
        <v>7.2630250000000016</v>
      </c>
      <c r="I32" s="354">
        <f t="shared" ref="I32:I49" si="31">2*H32+2*(CB32+CC32)*CD32</f>
        <v>44.386650000000003</v>
      </c>
      <c r="J32" s="2">
        <f t="shared" ref="J32:J45" si="32">CQ32/I32</f>
        <v>0.3363691560412872</v>
      </c>
      <c r="K32" s="33" t="s">
        <v>491</v>
      </c>
      <c r="L32" s="2">
        <f t="shared" si="29"/>
        <v>0.5</v>
      </c>
      <c r="M32" s="2">
        <f t="shared" si="4"/>
        <v>0.52456591549493714</v>
      </c>
      <c r="N32" s="2">
        <f t="shared" si="5"/>
        <v>2.0556586270871984</v>
      </c>
      <c r="O32" s="436">
        <f t="shared" ref="O32:O42" si="33">DC32/(2*(CB32+CC32)*CD32-X32)</f>
        <v>0.52456591549493714</v>
      </c>
      <c r="P32" s="131">
        <f t="shared" ref="P32:P49" si="34">DP32/H32</f>
        <v>0</v>
      </c>
      <c r="Q32" s="131"/>
      <c r="R32" s="131"/>
      <c r="S32" s="437"/>
      <c r="T32" s="679"/>
      <c r="U32" s="438"/>
      <c r="V32" s="679" t="s">
        <v>417</v>
      </c>
      <c r="W32" s="525">
        <f t="shared" ref="W32:W49" si="35">SUM(FD32*FA32+FL32*FI32+FT32*FQ32+GB32*FY32+GJ32*GG32+GR32*GO32)/X32</f>
        <v>1.84</v>
      </c>
      <c r="X32" s="439">
        <f t="shared" ref="X32:X49" si="36">FD32+FL32+FT32+GB32+GJ32+GR32</f>
        <v>1.3984000000000001</v>
      </c>
      <c r="Y32" s="928">
        <f t="shared" ref="Y32:Y51" si="37">X32*SQRT(W32)/I32</f>
        <v>4.2735418187235912E-2</v>
      </c>
      <c r="Z32" s="492">
        <v>5.2670000000000003</v>
      </c>
      <c r="AA32" s="489"/>
      <c r="AB32" s="489"/>
      <c r="AC32" s="489">
        <f t="shared" ref="AC32:AC51" si="38">AA32/H32*1000</f>
        <v>0</v>
      </c>
      <c r="AD32" s="489"/>
      <c r="AE32" s="489" t="s">
        <v>418</v>
      </c>
      <c r="AF32" s="489"/>
      <c r="AG32" s="489"/>
      <c r="AH32" s="489"/>
      <c r="AI32" s="489"/>
      <c r="AJ32" s="489"/>
      <c r="AK32" s="435"/>
      <c r="AL32" s="106">
        <v>1174</v>
      </c>
      <c r="AM32" s="106">
        <v>61</v>
      </c>
      <c r="AN32" s="688"/>
      <c r="AO32" s="803" t="s">
        <v>885</v>
      </c>
      <c r="AP32" s="106">
        <v>23</v>
      </c>
      <c r="AQ32" s="106"/>
      <c r="AR32" s="425">
        <v>49</v>
      </c>
      <c r="AS32" s="425">
        <v>49</v>
      </c>
      <c r="AT32" s="425">
        <v>66</v>
      </c>
      <c r="AU32" s="425">
        <v>63</v>
      </c>
      <c r="AV32" s="265"/>
      <c r="AW32" s="441" t="s">
        <v>417</v>
      </c>
      <c r="AX32" s="198">
        <v>61.3</v>
      </c>
      <c r="AY32" s="610">
        <f>BA32*23/31</f>
        <v>39.322580645161288</v>
      </c>
      <c r="AZ32" s="610">
        <f>0.75*AY32</f>
        <v>29.491935483870968</v>
      </c>
      <c r="BA32" s="185">
        <v>53</v>
      </c>
      <c r="BB32" s="220">
        <v>0.81</v>
      </c>
      <c r="BC32" s="191"/>
      <c r="BD32" s="185"/>
      <c r="BE32" s="312"/>
      <c r="BF32" s="232"/>
      <c r="BG32" s="185"/>
      <c r="BH32" s="185"/>
      <c r="BI32" s="185"/>
      <c r="BJ32" s="540"/>
      <c r="BK32" s="541"/>
      <c r="BL32" s="541"/>
      <c r="BM32" s="541"/>
      <c r="BN32" s="540"/>
      <c r="BO32" s="541"/>
      <c r="BP32" s="541"/>
      <c r="BQ32" s="836"/>
      <c r="BR32" s="540"/>
      <c r="BS32" s="541"/>
      <c r="BT32" s="541"/>
      <c r="BU32" s="541"/>
      <c r="BV32" s="836"/>
      <c r="BW32" s="1132" t="s">
        <v>492</v>
      </c>
      <c r="BX32" s="1126"/>
      <c r="BY32" s="1126"/>
      <c r="BZ32" s="1126"/>
      <c r="CA32" s="1127"/>
      <c r="CB32" s="92">
        <f>2.72-CS32/1000</f>
        <v>2.6950000000000003</v>
      </c>
      <c r="CC32" s="507">
        <f>2.72-CS32/1000</f>
        <v>2.6950000000000003</v>
      </c>
      <c r="CD32" s="507">
        <v>2.77</v>
      </c>
      <c r="CE32" s="507"/>
      <c r="CF32" s="149">
        <v>0.5</v>
      </c>
      <c r="CG32" s="504"/>
      <c r="CH32" s="504"/>
      <c r="CI32" s="504"/>
      <c r="CJ32" s="45"/>
      <c r="CK32" s="507"/>
      <c r="CL32" s="507"/>
      <c r="CM32" s="507"/>
      <c r="CN32" s="507"/>
      <c r="CO32" s="507"/>
      <c r="CP32" s="504"/>
      <c r="CQ32" s="350">
        <f t="shared" ref="CQ32:CQ78" si="39">DC32+DP32+IF(ISNUMBER(EB32),EB32,0)+EM32+EX32</f>
        <v>14.930300000000001</v>
      </c>
      <c r="CR32" s="462" t="s">
        <v>493</v>
      </c>
      <c r="CS32" s="118">
        <f>2*12.5</f>
        <v>25</v>
      </c>
      <c r="CT32" s="118" t="s">
        <v>423</v>
      </c>
      <c r="CU32" s="118">
        <v>100</v>
      </c>
      <c r="CV32" s="504" t="s">
        <v>493</v>
      </c>
      <c r="CW32" s="156">
        <v>12.5</v>
      </c>
      <c r="CX32" s="504" t="s">
        <v>494</v>
      </c>
      <c r="CY32" s="504"/>
      <c r="CZ32" s="351">
        <v>0.12</v>
      </c>
      <c r="DA32" s="507"/>
      <c r="DB32" s="352">
        <f t="shared" ref="DB32:DB42" si="40">2*(CB32+CC32)*CD32-X32</f>
        <v>28.462200000000003</v>
      </c>
      <c r="DC32" s="249">
        <f>(CB32+CC32)*CD32</f>
        <v>14.930300000000001</v>
      </c>
      <c r="DD32" s="155" t="s">
        <v>493</v>
      </c>
      <c r="DE32" s="504">
        <f>2*12.5</f>
        <v>25</v>
      </c>
      <c r="DF32" s="504" t="s">
        <v>423</v>
      </c>
      <c r="DG32" s="504">
        <v>100</v>
      </c>
      <c r="DH32" s="504" t="s">
        <v>493</v>
      </c>
      <c r="DI32" s="45">
        <v>12.5</v>
      </c>
      <c r="DJ32" s="507" t="s">
        <v>494</v>
      </c>
      <c r="DK32" s="507"/>
      <c r="DL32" s="351">
        <v>0.12</v>
      </c>
      <c r="DM32" s="507"/>
      <c r="DN32" s="507"/>
      <c r="DO32" s="249">
        <f>CB32*CC32</f>
        <v>7.2630250000000016</v>
      </c>
      <c r="DP32" s="282"/>
      <c r="DQ32" s="149" t="s">
        <v>493</v>
      </c>
      <c r="DR32" s="504">
        <f>2*12.5</f>
        <v>25</v>
      </c>
      <c r="DS32" s="504" t="s">
        <v>495</v>
      </c>
      <c r="DT32" s="504">
        <v>50</v>
      </c>
      <c r="DU32" s="504" t="s">
        <v>480</v>
      </c>
      <c r="DV32" s="45">
        <v>200</v>
      </c>
      <c r="DW32" s="507"/>
      <c r="DX32" s="507"/>
      <c r="DY32" s="353"/>
      <c r="DZ32" s="507"/>
      <c r="EA32" s="504"/>
      <c r="EB32" s="45"/>
      <c r="EC32" s="504"/>
      <c r="ED32" s="507"/>
      <c r="EE32" s="504"/>
      <c r="EF32" s="353"/>
      <c r="EG32" s="507"/>
      <c r="EH32" s="507"/>
      <c r="EI32" s="507"/>
      <c r="EJ32" s="507"/>
      <c r="EK32" s="507"/>
      <c r="EL32" s="697"/>
      <c r="EM32" s="156"/>
      <c r="EN32" s="507"/>
      <c r="EO32" s="507"/>
      <c r="EP32" s="507"/>
      <c r="EQ32" s="351"/>
      <c r="ER32" s="507"/>
      <c r="ES32" s="507"/>
      <c r="ET32" s="507"/>
      <c r="EU32" s="507"/>
      <c r="EV32" s="507"/>
      <c r="EW32" s="694"/>
      <c r="EX32" s="507"/>
      <c r="EY32" s="21">
        <v>1</v>
      </c>
      <c r="EZ32" s="149">
        <v>0.76</v>
      </c>
      <c r="FA32" s="504">
        <v>1.84</v>
      </c>
      <c r="FB32" s="504">
        <v>0</v>
      </c>
      <c r="FC32" s="504">
        <f t="shared" ref="FC32:FC37" si="41">(CB32-EZ32)/2</f>
        <v>0.96750000000000014</v>
      </c>
      <c r="FD32" s="504">
        <f t="shared" ref="FD32:FD49" si="42">EZ32*FA32</f>
        <v>1.3984000000000001</v>
      </c>
      <c r="FE32" s="504"/>
      <c r="FF32" s="504"/>
      <c r="FG32" s="45" t="s">
        <v>428</v>
      </c>
      <c r="FM32" s="506"/>
      <c r="FN32" s="506"/>
      <c r="FU32" s="506"/>
      <c r="FV32" s="506"/>
      <c r="GC32" s="506"/>
      <c r="GD32" s="506"/>
      <c r="GK32" s="506"/>
      <c r="GL32" s="506"/>
      <c r="GS32" s="506"/>
      <c r="GT32" s="506"/>
      <c r="GU32" s="510"/>
      <c r="HA32" s="506"/>
      <c r="HB32" s="506"/>
      <c r="HC32" s="510"/>
      <c r="HI32" s="506"/>
      <c r="HJ32" s="506"/>
      <c r="HK32" s="510"/>
      <c r="HQ32" s="506"/>
      <c r="HR32" s="506"/>
      <c r="HS32" s="510"/>
      <c r="HY32" s="506"/>
      <c r="HZ32" s="506"/>
      <c r="IA32" s="510"/>
      <c r="IG32" s="506"/>
      <c r="IH32" s="506"/>
      <c r="II32" s="510"/>
    </row>
    <row r="33" spans="1:243" ht="15" customHeight="1">
      <c r="A33" s="1182"/>
      <c r="B33" s="1142"/>
      <c r="C33" s="51">
        <v>2</v>
      </c>
      <c r="D33" s="725" t="str">
        <f t="shared" ref="D33:D36" si="43">CONCATENATE("Edimb_",C33)</f>
        <v>Edimb_2</v>
      </c>
      <c r="E33" s="1145"/>
      <c r="F33" s="1139"/>
      <c r="G33" s="1233"/>
      <c r="H33" s="525">
        <f t="shared" si="30"/>
        <v>7.2630250000000016</v>
      </c>
      <c r="I33" s="354">
        <f t="shared" si="31"/>
        <v>44.386650000000003</v>
      </c>
      <c r="J33" s="4">
        <f t="shared" si="32"/>
        <v>0.3363691560412872</v>
      </c>
      <c r="K33" s="716" t="s">
        <v>496</v>
      </c>
      <c r="L33" s="4">
        <f t="shared" si="29"/>
        <v>0.5</v>
      </c>
      <c r="M33" s="4">
        <f t="shared" si="4"/>
        <v>0.52456591549493714</v>
      </c>
      <c r="N33" s="4">
        <f t="shared" si="5"/>
        <v>2.0556586270871984</v>
      </c>
      <c r="O33" s="436">
        <f t="shared" si="33"/>
        <v>0.52456591549493714</v>
      </c>
      <c r="P33" s="131">
        <f t="shared" si="34"/>
        <v>0</v>
      </c>
      <c r="Q33" s="131"/>
      <c r="R33" s="131"/>
      <c r="S33" s="437"/>
      <c r="T33" s="679"/>
      <c r="U33" s="438"/>
      <c r="V33" s="679" t="s">
        <v>417</v>
      </c>
      <c r="W33" s="525">
        <f t="shared" si="35"/>
        <v>1.84</v>
      </c>
      <c r="X33" s="439">
        <f t="shared" si="36"/>
        <v>1.3984000000000001</v>
      </c>
      <c r="Y33" s="928">
        <f t="shared" si="37"/>
        <v>4.2735418187235912E-2</v>
      </c>
      <c r="Z33" s="492">
        <v>4.6769999999999996</v>
      </c>
      <c r="AA33" s="489"/>
      <c r="AB33" s="492"/>
      <c r="AC33" s="489">
        <f t="shared" si="38"/>
        <v>0</v>
      </c>
      <c r="AD33" s="489"/>
      <c r="AE33" s="489" t="s">
        <v>418</v>
      </c>
      <c r="AF33" s="489"/>
      <c r="AG33" s="489"/>
      <c r="AH33" s="489"/>
      <c r="AI33" s="489"/>
      <c r="AJ33" s="489"/>
      <c r="AK33" s="435"/>
      <c r="AL33" s="106">
        <v>1174</v>
      </c>
      <c r="AM33" s="106">
        <v>60</v>
      </c>
      <c r="AN33" s="688"/>
      <c r="AO33" s="804" t="s">
        <v>886</v>
      </c>
      <c r="AP33" s="106">
        <v>25</v>
      </c>
      <c r="AQ33" s="106"/>
      <c r="AR33" s="425">
        <v>49</v>
      </c>
      <c r="AS33" s="425">
        <v>49</v>
      </c>
      <c r="AT33" s="425">
        <v>66</v>
      </c>
      <c r="AU33" s="425">
        <v>63</v>
      </c>
      <c r="AV33" s="265" t="s">
        <v>883</v>
      </c>
      <c r="AW33" s="441" t="s">
        <v>417</v>
      </c>
      <c r="AX33" s="726">
        <v>60</v>
      </c>
      <c r="AY33" s="611">
        <f>BA33*23/34</f>
        <v>35.852941176470587</v>
      </c>
      <c r="AZ33" s="611">
        <f t="shared" ref="AZ33:AZ37" si="44">0.75*AY33</f>
        <v>26.889705882352942</v>
      </c>
      <c r="BA33" s="448">
        <v>53</v>
      </c>
      <c r="BB33" s="449">
        <v>0.72</v>
      </c>
      <c r="BC33" s="731"/>
      <c r="BD33" s="448"/>
      <c r="BE33" s="323"/>
      <c r="BF33" s="324"/>
      <c r="BG33" s="448"/>
      <c r="BH33" s="449"/>
      <c r="BI33" s="448"/>
      <c r="BJ33" s="731"/>
      <c r="BK33" s="448"/>
      <c r="BL33" s="448"/>
      <c r="BM33" s="448"/>
      <c r="BN33" s="731"/>
      <c r="BO33" s="448"/>
      <c r="BP33" s="448"/>
      <c r="BQ33" s="837"/>
      <c r="BR33" s="731"/>
      <c r="BS33" s="448"/>
      <c r="BT33" s="448"/>
      <c r="BU33" s="448"/>
      <c r="BV33" s="837"/>
      <c r="BW33" s="1128"/>
      <c r="BX33" s="1113"/>
      <c r="BY33" s="1113"/>
      <c r="BZ33" s="1113"/>
      <c r="CA33" s="1122"/>
      <c r="CB33" s="509">
        <f>CB32</f>
        <v>2.6950000000000003</v>
      </c>
      <c r="CC33">
        <f>CC32</f>
        <v>2.6950000000000003</v>
      </c>
      <c r="CD33">
        <v>2.77</v>
      </c>
      <c r="CE33"/>
      <c r="CF33" s="425">
        <v>0.5</v>
      </c>
      <c r="CJ33" s="427"/>
      <c r="CO33"/>
      <c r="CQ33" s="355">
        <f t="shared" si="39"/>
        <v>14.930300000000001</v>
      </c>
      <c r="CR33" s="426" t="s">
        <v>493</v>
      </c>
      <c r="CS33" s="119">
        <f>2*12.5</f>
        <v>25</v>
      </c>
      <c r="CT33" s="119" t="s">
        <v>423</v>
      </c>
      <c r="CU33" s="119">
        <v>100</v>
      </c>
      <c r="CV33" s="506" t="s">
        <v>495</v>
      </c>
      <c r="CW33" s="518">
        <v>50</v>
      </c>
      <c r="CX33" s="506" t="s">
        <v>494</v>
      </c>
      <c r="CY33" s="506"/>
      <c r="CZ33" s="339">
        <v>0.12</v>
      </c>
      <c r="DA33"/>
      <c r="DB33" s="340">
        <f t="shared" si="40"/>
        <v>28.462200000000003</v>
      </c>
      <c r="DC33" s="116">
        <f>DC32</f>
        <v>14.930300000000001</v>
      </c>
      <c r="DD33" s="433" t="s">
        <v>493</v>
      </c>
      <c r="DE33" s="506">
        <f>2*12.5</f>
        <v>25</v>
      </c>
      <c r="DF33" s="506" t="s">
        <v>423</v>
      </c>
      <c r="DG33" s="506">
        <v>100</v>
      </c>
      <c r="DH33" s="506" t="s">
        <v>495</v>
      </c>
      <c r="DI33" s="427">
        <v>50</v>
      </c>
      <c r="DJ33" t="s">
        <v>494</v>
      </c>
      <c r="DK33"/>
      <c r="DL33" s="339">
        <v>0.12</v>
      </c>
      <c r="DO33" s="116">
        <f>CB33*CC33</f>
        <v>7.2630250000000016</v>
      </c>
      <c r="DP33" s="430"/>
      <c r="DQ33" s="506" t="s">
        <v>493</v>
      </c>
      <c r="DR33" s="506">
        <f>2*12.5</f>
        <v>25</v>
      </c>
      <c r="DS33" s="506" t="s">
        <v>495</v>
      </c>
      <c r="DT33" s="506">
        <v>50</v>
      </c>
      <c r="DU33" s="506" t="s">
        <v>480</v>
      </c>
      <c r="DV33" s="427">
        <v>200</v>
      </c>
      <c r="DX33"/>
      <c r="DY33" s="341"/>
      <c r="DZ33"/>
      <c r="EB33" s="427"/>
      <c r="EC33" s="506"/>
      <c r="ED33"/>
      <c r="EE33" s="506"/>
      <c r="EF33" s="341"/>
      <c r="EK33"/>
      <c r="EL33" s="698"/>
      <c r="EM33" s="518"/>
      <c r="EP33"/>
      <c r="EQ33" s="339"/>
      <c r="EV33"/>
      <c r="EW33" s="690"/>
      <c r="EX33"/>
      <c r="EY33" s="21">
        <v>1</v>
      </c>
      <c r="EZ33" s="425">
        <v>0.76</v>
      </c>
      <c r="FA33" s="506">
        <v>1.84</v>
      </c>
      <c r="FB33" s="506">
        <v>0</v>
      </c>
      <c r="FC33" s="506">
        <f t="shared" si="41"/>
        <v>0.96750000000000014</v>
      </c>
      <c r="FD33" s="506">
        <f t="shared" si="42"/>
        <v>1.3984000000000001</v>
      </c>
      <c r="FE33" s="506"/>
      <c r="FF33" s="506"/>
      <c r="FG33" s="427" t="s">
        <v>428</v>
      </c>
      <c r="FM33" s="506"/>
      <c r="FN33" s="506"/>
      <c r="FU33" s="506"/>
      <c r="FV33" s="506"/>
      <c r="GC33" s="506"/>
      <c r="GD33" s="506"/>
      <c r="GK33" s="506"/>
      <c r="GL33" s="506"/>
      <c r="GS33" s="506"/>
      <c r="GT33" s="506"/>
      <c r="GU33" s="510"/>
      <c r="HA33" s="506"/>
      <c r="HB33" s="506"/>
      <c r="HC33" s="510"/>
      <c r="HI33" s="506"/>
      <c r="HJ33" s="506"/>
      <c r="HK33" s="510"/>
      <c r="HQ33" s="506"/>
      <c r="HR33" s="506"/>
      <c r="HS33" s="510"/>
      <c r="HY33" s="506"/>
      <c r="HZ33" s="506"/>
      <c r="IA33" s="510"/>
      <c r="IG33" s="506"/>
      <c r="IH33" s="506"/>
      <c r="II33" s="510"/>
    </row>
    <row r="34" spans="1:243" ht="15" customHeight="1">
      <c r="A34" s="1182"/>
      <c r="B34" s="1142"/>
      <c r="C34" s="51">
        <v>3</v>
      </c>
      <c r="D34" s="725" t="str">
        <f t="shared" si="43"/>
        <v>Edimb_3</v>
      </c>
      <c r="E34" s="1145"/>
      <c r="F34" s="1139"/>
      <c r="G34" s="1233"/>
      <c r="H34" s="525">
        <f t="shared" si="30"/>
        <v>7.3304000000000009</v>
      </c>
      <c r="I34" s="354">
        <f t="shared" si="31"/>
        <v>44.659900000000007</v>
      </c>
      <c r="J34" s="4">
        <f t="shared" si="32"/>
        <v>0.33284445330150764</v>
      </c>
      <c r="K34" s="716" t="s">
        <v>497</v>
      </c>
      <c r="L34" s="4">
        <f t="shared" si="29"/>
        <v>0.49550819857929068</v>
      </c>
      <c r="M34" s="4">
        <f t="shared" si="4"/>
        <v>0.51973553094854319</v>
      </c>
      <c r="N34" s="4">
        <f t="shared" si="5"/>
        <v>2.0278293135435992</v>
      </c>
      <c r="O34" s="436">
        <f t="shared" si="33"/>
        <v>0.26343411175250953</v>
      </c>
      <c r="P34" s="131">
        <f t="shared" si="34"/>
        <v>1</v>
      </c>
      <c r="Q34" s="131"/>
      <c r="R34" s="131"/>
      <c r="S34" s="437"/>
      <c r="T34" s="679"/>
      <c r="U34" s="438"/>
      <c r="V34" s="679" t="s">
        <v>417</v>
      </c>
      <c r="W34" s="525">
        <f t="shared" si="35"/>
        <v>1.84</v>
      </c>
      <c r="X34" s="439">
        <f t="shared" si="36"/>
        <v>1.3984000000000001</v>
      </c>
      <c r="Y34" s="928">
        <f t="shared" si="37"/>
        <v>4.2473943060339921E-2</v>
      </c>
      <c r="Z34" s="492">
        <v>6.2130000000000001</v>
      </c>
      <c r="AA34" s="489"/>
      <c r="AB34" s="489"/>
      <c r="AC34" s="489">
        <f t="shared" si="38"/>
        <v>0</v>
      </c>
      <c r="AD34" s="489"/>
      <c r="AE34" s="489" t="s">
        <v>418</v>
      </c>
      <c r="AF34" s="489"/>
      <c r="AG34" s="489"/>
      <c r="AH34" s="489"/>
      <c r="AI34" s="489"/>
      <c r="AJ34" s="489"/>
      <c r="AK34" s="435"/>
      <c r="AL34" s="106">
        <v>1174</v>
      </c>
      <c r="AM34" s="106">
        <v>60</v>
      </c>
      <c r="AN34" s="688"/>
      <c r="AO34" s="689"/>
      <c r="AP34" s="106"/>
      <c r="AQ34" s="106"/>
      <c r="AR34" s="425">
        <v>49</v>
      </c>
      <c r="AS34" s="425"/>
      <c r="AT34" s="425">
        <v>66</v>
      </c>
      <c r="AU34" s="425"/>
      <c r="AV34" s="265"/>
      <c r="AW34" s="441" t="s">
        <v>430</v>
      </c>
      <c r="AX34" s="726">
        <v>60</v>
      </c>
      <c r="AY34" s="611">
        <v>11</v>
      </c>
      <c r="AZ34" s="611">
        <f t="shared" si="44"/>
        <v>8.25</v>
      </c>
      <c r="BA34" s="463">
        <v>15</v>
      </c>
      <c r="BB34" s="449">
        <v>0.53</v>
      </c>
      <c r="BC34" s="732">
        <v>10</v>
      </c>
      <c r="BD34" s="611">
        <f>BC34*0.75</f>
        <v>7.5</v>
      </c>
      <c r="BE34" s="325">
        <v>13</v>
      </c>
      <c r="BF34" s="324">
        <v>0.5</v>
      </c>
      <c r="BG34" s="448"/>
      <c r="BH34" s="448"/>
      <c r="BI34" s="448"/>
      <c r="BJ34" s="731"/>
      <c r="BK34" s="448"/>
      <c r="BL34" s="448"/>
      <c r="BM34" s="448"/>
      <c r="BN34" s="731"/>
      <c r="BO34" s="448"/>
      <c r="BP34" s="448"/>
      <c r="BQ34" s="837"/>
      <c r="BR34" s="731"/>
      <c r="BS34" s="448"/>
      <c r="BT34" s="448"/>
      <c r="BU34" s="448"/>
      <c r="BV34" s="837"/>
      <c r="BW34" s="1128"/>
      <c r="BX34" s="1113"/>
      <c r="BY34" s="1113"/>
      <c r="BZ34" s="1113"/>
      <c r="CA34" s="1122"/>
      <c r="CB34" s="509">
        <v>2.72</v>
      </c>
      <c r="CC34">
        <f>CC33</f>
        <v>2.6950000000000003</v>
      </c>
      <c r="CD34">
        <f>2.77</f>
        <v>2.77</v>
      </c>
      <c r="CE34"/>
      <c r="CF34" s="425"/>
      <c r="CJ34" s="427"/>
      <c r="CO34"/>
      <c r="CQ34" s="355">
        <f t="shared" si="39"/>
        <v>14.864800000000002</v>
      </c>
      <c r="CR34" s="426" t="s">
        <v>493</v>
      </c>
      <c r="CS34" s="119">
        <f>2*12.5</f>
        <v>25</v>
      </c>
      <c r="CT34" s="119" t="s">
        <v>423</v>
      </c>
      <c r="CU34" s="119">
        <v>100</v>
      </c>
      <c r="CV34" s="506" t="s">
        <v>495</v>
      </c>
      <c r="CW34" s="518">
        <v>50</v>
      </c>
      <c r="CX34" s="506" t="s">
        <v>494</v>
      </c>
      <c r="CY34" s="506"/>
      <c r="CZ34" s="339">
        <v>0.12</v>
      </c>
      <c r="DA34"/>
      <c r="DB34" s="340">
        <f t="shared" si="40"/>
        <v>28.600700000000007</v>
      </c>
      <c r="DC34" s="116">
        <f>CB34*CD34</f>
        <v>7.5344000000000007</v>
      </c>
      <c r="DD34" s="433" t="s">
        <v>423</v>
      </c>
      <c r="DE34" s="506">
        <v>100</v>
      </c>
      <c r="DF34" s="506" t="s">
        <v>495</v>
      </c>
      <c r="DG34" s="506">
        <v>50</v>
      </c>
      <c r="DH34" s="506" t="s">
        <v>493</v>
      </c>
      <c r="DI34" s="427">
        <v>12.5</v>
      </c>
      <c r="DJ34" t="s">
        <v>494</v>
      </c>
      <c r="DK34"/>
      <c r="DL34" s="339">
        <v>0.12</v>
      </c>
      <c r="DO34" s="116">
        <f>CB34*CC34</f>
        <v>7.3304000000000009</v>
      </c>
      <c r="DP34" s="464">
        <f>CB34*CC34</f>
        <v>7.3304000000000009</v>
      </c>
      <c r="DQ34" s="506" t="s">
        <v>493</v>
      </c>
      <c r="DR34" s="506">
        <f>2*12.5</f>
        <v>25</v>
      </c>
      <c r="DS34" s="506" t="s">
        <v>495</v>
      </c>
      <c r="DT34" s="506">
        <v>50</v>
      </c>
      <c r="DU34" s="506" t="s">
        <v>480</v>
      </c>
      <c r="DV34" s="427">
        <v>200</v>
      </c>
      <c r="DX34"/>
      <c r="DY34" s="341"/>
      <c r="DZ34"/>
      <c r="EB34" s="427"/>
      <c r="EC34" s="506"/>
      <c r="ED34"/>
      <c r="EE34" s="506"/>
      <c r="EF34" s="341"/>
      <c r="EK34"/>
      <c r="EL34" s="698"/>
      <c r="EM34" s="518"/>
      <c r="EP34"/>
      <c r="EQ34" s="339"/>
      <c r="EV34"/>
      <c r="EW34" s="690"/>
      <c r="EX34"/>
      <c r="EY34" s="21">
        <v>1</v>
      </c>
      <c r="EZ34" s="425">
        <v>0.76</v>
      </c>
      <c r="FA34" s="506">
        <v>1.84</v>
      </c>
      <c r="FB34" s="506">
        <v>0</v>
      </c>
      <c r="FC34" s="506">
        <f t="shared" si="41"/>
        <v>0.98000000000000009</v>
      </c>
      <c r="FD34" s="506">
        <f t="shared" si="42"/>
        <v>1.3984000000000001</v>
      </c>
      <c r="FE34" s="506"/>
      <c r="FF34" s="506"/>
      <c r="FG34" s="427" t="s">
        <v>428</v>
      </c>
      <c r="FM34" s="506"/>
      <c r="FN34" s="506"/>
      <c r="FU34" s="506"/>
      <c r="FV34" s="506"/>
      <c r="GC34" s="506"/>
      <c r="GD34" s="506"/>
      <c r="GK34" s="506"/>
      <c r="GL34" s="506"/>
      <c r="GS34" s="506"/>
      <c r="GT34" s="506"/>
      <c r="GU34" s="510"/>
      <c r="HA34" s="506"/>
      <c r="HB34" s="506"/>
      <c r="HC34" s="510"/>
      <c r="HI34" s="506"/>
      <c r="HJ34" s="506"/>
      <c r="HK34" s="510"/>
      <c r="HQ34" s="506"/>
      <c r="HR34" s="506"/>
      <c r="HS34" s="510"/>
      <c r="HY34" s="506"/>
      <c r="HZ34" s="506"/>
      <c r="IA34" s="510"/>
      <c r="IG34" s="506"/>
      <c r="IH34" s="506"/>
      <c r="II34" s="510"/>
    </row>
    <row r="35" spans="1:243" ht="15" customHeight="1">
      <c r="A35" s="1182"/>
      <c r="B35" s="1142"/>
      <c r="C35" s="51">
        <v>4</v>
      </c>
      <c r="D35" s="725" t="str">
        <f t="shared" si="43"/>
        <v>Edimb_4</v>
      </c>
      <c r="E35" s="1145"/>
      <c r="F35" s="1139"/>
      <c r="G35" s="1233"/>
      <c r="H35" s="525">
        <f t="shared" si="30"/>
        <v>7.3304000000000009</v>
      </c>
      <c r="I35" s="354">
        <f t="shared" si="31"/>
        <v>44.659900000000007</v>
      </c>
      <c r="J35" s="4">
        <f t="shared" si="32"/>
        <v>0.33284445330150764</v>
      </c>
      <c r="K35" s="716" t="s">
        <v>498</v>
      </c>
      <c r="L35" s="4">
        <f t="shared" si="29"/>
        <v>0.49550819857929068</v>
      </c>
      <c r="M35" s="4">
        <f t="shared" si="4"/>
        <v>0.51973553094854319</v>
      </c>
      <c r="N35" s="4">
        <f t="shared" si="5"/>
        <v>2.0278293135435992</v>
      </c>
      <c r="O35" s="436">
        <f t="shared" si="33"/>
        <v>0.26343411175250953</v>
      </c>
      <c r="P35" s="131">
        <f t="shared" si="34"/>
        <v>1</v>
      </c>
      <c r="Q35" s="131"/>
      <c r="R35" s="131"/>
      <c r="S35" s="437"/>
      <c r="T35" s="679"/>
      <c r="U35" s="438"/>
      <c r="V35" s="679" t="s">
        <v>417</v>
      </c>
      <c r="W35" s="525">
        <f t="shared" si="35"/>
        <v>1.84</v>
      </c>
      <c r="X35" s="439">
        <f t="shared" si="36"/>
        <v>1.3984000000000001</v>
      </c>
      <c r="Y35" s="928">
        <f t="shared" si="37"/>
        <v>4.2473943060339921E-2</v>
      </c>
      <c r="Z35" s="492">
        <v>5.2480000000000002</v>
      </c>
      <c r="AA35" s="489"/>
      <c r="AB35" s="489"/>
      <c r="AC35" s="489">
        <f t="shared" si="38"/>
        <v>0</v>
      </c>
      <c r="AD35" s="489"/>
      <c r="AE35" s="489" t="s">
        <v>418</v>
      </c>
      <c r="AF35" s="489"/>
      <c r="AG35" s="489"/>
      <c r="AH35" s="489"/>
      <c r="AI35" s="489"/>
      <c r="AJ35" s="489"/>
      <c r="AK35" s="435"/>
      <c r="AL35" s="106">
        <v>1174</v>
      </c>
      <c r="AM35" s="106">
        <v>63</v>
      </c>
      <c r="AN35" s="688"/>
      <c r="AO35" s="804" t="s">
        <v>887</v>
      </c>
      <c r="AP35" s="106">
        <v>23</v>
      </c>
      <c r="AQ35" s="106"/>
      <c r="AR35" s="425">
        <v>49</v>
      </c>
      <c r="AS35" s="425"/>
      <c r="AT35" s="425">
        <v>66</v>
      </c>
      <c r="AU35" s="425"/>
      <c r="AV35" s="265" t="s">
        <v>884</v>
      </c>
      <c r="AW35" s="441" t="s">
        <v>430</v>
      </c>
      <c r="AX35" s="726">
        <v>62.5</v>
      </c>
      <c r="AY35" s="611">
        <f>BA35*26/38</f>
        <v>30.105263157894736</v>
      </c>
      <c r="AZ35" s="611">
        <f t="shared" si="44"/>
        <v>22.578947368421051</v>
      </c>
      <c r="BA35" s="448">
        <v>44</v>
      </c>
      <c r="BB35" s="449">
        <v>0.73</v>
      </c>
      <c r="BC35" s="731">
        <f>AY35*10/11</f>
        <v>27.368421052631575</v>
      </c>
      <c r="BD35" s="448">
        <f t="shared" ref="BD35:BD37" si="45">BC35*0.75</f>
        <v>20.526315789473681</v>
      </c>
      <c r="BE35" s="323">
        <f>BA35*10/11</f>
        <v>40</v>
      </c>
      <c r="BF35" s="324">
        <v>0.69</v>
      </c>
      <c r="BG35" s="448"/>
      <c r="BH35" s="448"/>
      <c r="BI35" s="448"/>
      <c r="BJ35" s="731"/>
      <c r="BK35" s="448"/>
      <c r="BL35" s="448"/>
      <c r="BM35" s="448"/>
      <c r="BN35" s="731"/>
      <c r="BO35" s="448"/>
      <c r="BP35" s="448"/>
      <c r="BQ35" s="837"/>
      <c r="BR35" s="731"/>
      <c r="BS35" s="448"/>
      <c r="BT35" s="448"/>
      <c r="BU35" s="448"/>
      <c r="BV35" s="837"/>
      <c r="BW35" s="1128"/>
      <c r="BX35" s="1113"/>
      <c r="BY35" s="1113"/>
      <c r="BZ35" s="1113"/>
      <c r="CA35" s="1122"/>
      <c r="CB35" s="509">
        <f>CB34</f>
        <v>2.72</v>
      </c>
      <c r="CC35">
        <f>CC34</f>
        <v>2.6950000000000003</v>
      </c>
      <c r="CD35">
        <f>CD34</f>
        <v>2.77</v>
      </c>
      <c r="CE35"/>
      <c r="CF35" s="425">
        <v>0.5</v>
      </c>
      <c r="CJ35" s="427"/>
      <c r="CO35"/>
      <c r="CQ35" s="355">
        <f t="shared" si="39"/>
        <v>14.864800000000002</v>
      </c>
      <c r="CR35" s="426" t="s">
        <v>493</v>
      </c>
      <c r="CS35" s="119">
        <f>2*12.5</f>
        <v>25</v>
      </c>
      <c r="CT35" s="119" t="s">
        <v>423</v>
      </c>
      <c r="CU35" s="119">
        <v>100</v>
      </c>
      <c r="CV35" s="506" t="s">
        <v>495</v>
      </c>
      <c r="CW35" s="518">
        <v>50</v>
      </c>
      <c r="CX35" s="506" t="s">
        <v>494</v>
      </c>
      <c r="CY35" s="506"/>
      <c r="CZ35" s="339">
        <v>0.12</v>
      </c>
      <c r="DA35"/>
      <c r="DB35" s="340">
        <f t="shared" si="40"/>
        <v>28.600700000000007</v>
      </c>
      <c r="DC35" s="116">
        <f>DC34</f>
        <v>7.5344000000000007</v>
      </c>
      <c r="DD35" s="433" t="s">
        <v>423</v>
      </c>
      <c r="DE35" s="506">
        <v>100</v>
      </c>
      <c r="DF35" s="506" t="s">
        <v>495</v>
      </c>
      <c r="DG35" s="506">
        <v>50</v>
      </c>
      <c r="DH35" s="506" t="s">
        <v>493</v>
      </c>
      <c r="DI35" s="427">
        <v>12.5</v>
      </c>
      <c r="DJ35" t="s">
        <v>494</v>
      </c>
      <c r="DK35"/>
      <c r="DL35" s="339">
        <v>0.12</v>
      </c>
      <c r="DO35" s="116">
        <f>CB35*CC35</f>
        <v>7.3304000000000009</v>
      </c>
      <c r="DP35" s="464">
        <f>CB35*CC35</f>
        <v>7.3304000000000009</v>
      </c>
      <c r="DQ35" s="506" t="s">
        <v>493</v>
      </c>
      <c r="DR35" s="506">
        <f>2*12.5</f>
        <v>25</v>
      </c>
      <c r="DS35" s="506" t="s">
        <v>495</v>
      </c>
      <c r="DT35" s="506">
        <v>50</v>
      </c>
      <c r="DU35" s="506" t="s">
        <v>480</v>
      </c>
      <c r="DV35" s="427">
        <v>200</v>
      </c>
      <c r="DX35"/>
      <c r="DY35" s="341"/>
      <c r="DZ35"/>
      <c r="EB35" s="427"/>
      <c r="EC35" s="506"/>
      <c r="ED35"/>
      <c r="EE35" s="506"/>
      <c r="EF35" s="341"/>
      <c r="EK35"/>
      <c r="EL35" s="698"/>
      <c r="EM35" s="518"/>
      <c r="EP35"/>
      <c r="EQ35" s="339"/>
      <c r="EV35"/>
      <c r="EW35" s="690"/>
      <c r="EX35"/>
      <c r="EY35" s="21">
        <v>1</v>
      </c>
      <c r="EZ35" s="425">
        <v>0.76</v>
      </c>
      <c r="FA35" s="506">
        <v>1.84</v>
      </c>
      <c r="FB35" s="506">
        <v>0</v>
      </c>
      <c r="FC35" s="506">
        <f t="shared" si="41"/>
        <v>0.98000000000000009</v>
      </c>
      <c r="FD35" s="506">
        <f t="shared" si="42"/>
        <v>1.3984000000000001</v>
      </c>
      <c r="FE35" s="506"/>
      <c r="FF35" s="506"/>
      <c r="FG35" s="427" t="s">
        <v>428</v>
      </c>
      <c r="FM35" s="506"/>
      <c r="FN35" s="506"/>
      <c r="FU35" s="506"/>
      <c r="FV35" s="506"/>
      <c r="GC35" s="506"/>
      <c r="GD35" s="506"/>
      <c r="GK35" s="506"/>
      <c r="GL35" s="506"/>
      <c r="GS35" s="506"/>
      <c r="GT35" s="506"/>
      <c r="GU35" s="510"/>
      <c r="HA35" s="506"/>
      <c r="HB35" s="506"/>
      <c r="HC35" s="510"/>
      <c r="HI35" s="506"/>
      <c r="HJ35" s="506"/>
      <c r="HK35" s="510"/>
      <c r="HQ35" s="506"/>
      <c r="HR35" s="506"/>
      <c r="HS35" s="510"/>
      <c r="HY35" s="506"/>
      <c r="HZ35" s="506"/>
      <c r="IA35" s="510"/>
      <c r="IG35" s="506"/>
      <c r="IH35" s="506"/>
      <c r="II35" s="510"/>
    </row>
    <row r="36" spans="1:243" ht="15" customHeight="1" thickBot="1">
      <c r="A36" s="1183"/>
      <c r="B36" s="1143"/>
      <c r="C36" s="6">
        <v>5</v>
      </c>
      <c r="D36" s="7" t="str">
        <f t="shared" si="43"/>
        <v>Edimb_5</v>
      </c>
      <c r="E36" s="1146"/>
      <c r="F36" s="1140"/>
      <c r="G36" s="1234"/>
      <c r="H36" s="523">
        <f t="shared" si="30"/>
        <v>7.2630250000000016</v>
      </c>
      <c r="I36" s="524">
        <f t="shared" si="31"/>
        <v>44.386650000000003</v>
      </c>
      <c r="J36" s="8">
        <f t="shared" si="32"/>
        <v>0.5</v>
      </c>
      <c r="K36" s="32" t="s">
        <v>499</v>
      </c>
      <c r="L36" s="8">
        <f t="shared" si="29"/>
        <v>0.74323104693140796</v>
      </c>
      <c r="M36" s="8">
        <f t="shared" si="4"/>
        <v>0.77974734911566923</v>
      </c>
      <c r="N36" s="8">
        <f t="shared" si="5"/>
        <v>3.0556586270871979</v>
      </c>
      <c r="O36" s="133">
        <f t="shared" si="33"/>
        <v>0.52456591549493714</v>
      </c>
      <c r="P36" s="132">
        <f t="shared" si="34"/>
        <v>1</v>
      </c>
      <c r="Q36" s="132"/>
      <c r="R36" s="132"/>
      <c r="S36" s="445"/>
      <c r="T36" s="680"/>
      <c r="U36" s="446"/>
      <c r="V36" s="680" t="s">
        <v>417</v>
      </c>
      <c r="W36" s="523">
        <f t="shared" si="35"/>
        <v>1.84</v>
      </c>
      <c r="X36" s="208">
        <f t="shared" si="36"/>
        <v>1.3984000000000001</v>
      </c>
      <c r="Y36" s="356">
        <f t="shared" si="37"/>
        <v>4.2735418187235912E-2</v>
      </c>
      <c r="Z36" s="672">
        <v>6.6679000000000004</v>
      </c>
      <c r="AA36" s="141"/>
      <c r="AB36" s="141"/>
      <c r="AC36" s="141">
        <f t="shared" si="38"/>
        <v>0</v>
      </c>
      <c r="AD36" s="141"/>
      <c r="AE36" s="141" t="s">
        <v>418</v>
      </c>
      <c r="AF36" s="141"/>
      <c r="AG36" s="141"/>
      <c r="AH36" s="141"/>
      <c r="AI36" s="141"/>
      <c r="AJ36" s="141"/>
      <c r="AK36" s="444"/>
      <c r="AL36" s="107">
        <v>1174</v>
      </c>
      <c r="AM36" s="107">
        <v>78</v>
      </c>
      <c r="AN36" s="107"/>
      <c r="AO36" s="107" t="s">
        <v>888</v>
      </c>
      <c r="AP36" s="107"/>
      <c r="AQ36" s="107"/>
      <c r="AR36" s="25">
        <v>49</v>
      </c>
      <c r="AS36" s="25"/>
      <c r="AT36" s="25">
        <v>66</v>
      </c>
      <c r="AU36" s="25"/>
      <c r="AV36" s="266"/>
      <c r="AW36" s="267" t="s">
        <v>417</v>
      </c>
      <c r="AX36" s="194">
        <v>78</v>
      </c>
      <c r="AY36" s="608">
        <f>BA36*26/38</f>
        <v>39.684210526315788</v>
      </c>
      <c r="AZ36" s="608">
        <f t="shared" si="44"/>
        <v>29.763157894736842</v>
      </c>
      <c r="BA36" s="55">
        <v>58</v>
      </c>
      <c r="BB36" s="221">
        <v>0.75</v>
      </c>
      <c r="BC36" s="50">
        <f>AY36*10/11</f>
        <v>36.07655502392344</v>
      </c>
      <c r="BD36" s="55">
        <f t="shared" si="45"/>
        <v>27.057416267942578</v>
      </c>
      <c r="BE36" s="297">
        <f>BA36*10/11</f>
        <v>52.727272727272727</v>
      </c>
      <c r="BF36" s="234">
        <v>0.6</v>
      </c>
      <c r="BG36" s="55"/>
      <c r="BH36" s="55"/>
      <c r="BI36" s="55"/>
      <c r="BJ36" s="50"/>
      <c r="BK36" s="55"/>
      <c r="BL36" s="55"/>
      <c r="BM36" s="55"/>
      <c r="BN36" s="50"/>
      <c r="BO36" s="55"/>
      <c r="BP36" s="55"/>
      <c r="BQ36" s="838"/>
      <c r="BR36" s="50"/>
      <c r="BS36" s="55"/>
      <c r="BT36" s="55"/>
      <c r="BU36" s="55"/>
      <c r="BV36" s="838"/>
      <c r="BW36" s="1129"/>
      <c r="BX36" s="1130"/>
      <c r="BY36" s="1130"/>
      <c r="BZ36" s="1130"/>
      <c r="CA36" s="1131"/>
      <c r="CB36" s="511">
        <f>CB32</f>
        <v>2.6950000000000003</v>
      </c>
      <c r="CC36" s="512">
        <f>CC32</f>
        <v>2.6950000000000003</v>
      </c>
      <c r="CD36" s="512">
        <f>CD35</f>
        <v>2.77</v>
      </c>
      <c r="CE36" s="512"/>
      <c r="CF36" s="25">
        <v>0.25</v>
      </c>
      <c r="CG36" s="109"/>
      <c r="CH36" s="109"/>
      <c r="CI36" s="109"/>
      <c r="CJ36" s="428"/>
      <c r="CK36" s="512"/>
      <c r="CL36" s="512"/>
      <c r="CM36" s="512"/>
      <c r="CN36" s="512"/>
      <c r="CO36" s="512"/>
      <c r="CP36" s="109"/>
      <c r="CQ36" s="358">
        <f t="shared" si="39"/>
        <v>22.193325000000002</v>
      </c>
      <c r="CR36" s="164" t="s">
        <v>493</v>
      </c>
      <c r="CS36" s="136">
        <f>2*12.5</f>
        <v>25</v>
      </c>
      <c r="CT36" s="136" t="s">
        <v>423</v>
      </c>
      <c r="CU36" s="136">
        <v>100</v>
      </c>
      <c r="CV36" s="109" t="s">
        <v>495</v>
      </c>
      <c r="CW36" s="519">
        <v>50</v>
      </c>
      <c r="CX36" s="109" t="s">
        <v>494</v>
      </c>
      <c r="CY36" s="109"/>
      <c r="CZ36" s="359">
        <v>0.12</v>
      </c>
      <c r="DA36" s="512"/>
      <c r="DB36" s="360">
        <f t="shared" si="40"/>
        <v>28.462200000000003</v>
      </c>
      <c r="DC36" s="29">
        <f>DC32</f>
        <v>14.930300000000001</v>
      </c>
      <c r="DD36" s="79" t="s">
        <v>423</v>
      </c>
      <c r="DE36" s="109">
        <v>100</v>
      </c>
      <c r="DF36" s="109" t="s">
        <v>495</v>
      </c>
      <c r="DG36" s="109">
        <v>50</v>
      </c>
      <c r="DH36" s="109" t="s">
        <v>493</v>
      </c>
      <c r="DI36" s="428">
        <v>12.5</v>
      </c>
      <c r="DJ36" s="512" t="s">
        <v>494</v>
      </c>
      <c r="DK36" s="512"/>
      <c r="DL36" s="359">
        <v>0.12</v>
      </c>
      <c r="DM36" s="512"/>
      <c r="DN36" s="512"/>
      <c r="DO36" s="29">
        <f>CB36*CC36</f>
        <v>7.2630250000000016</v>
      </c>
      <c r="DP36" s="465">
        <f>CB36*CC36</f>
        <v>7.2630250000000016</v>
      </c>
      <c r="DQ36" s="109" t="s">
        <v>493</v>
      </c>
      <c r="DR36" s="109">
        <f>2*12.5</f>
        <v>25</v>
      </c>
      <c r="DS36" s="109" t="s">
        <v>495</v>
      </c>
      <c r="DT36" s="109">
        <v>50</v>
      </c>
      <c r="DU36" s="109" t="s">
        <v>480</v>
      </c>
      <c r="DV36" s="428">
        <v>200</v>
      </c>
      <c r="DW36" s="512"/>
      <c r="DX36" s="512"/>
      <c r="DY36" s="361"/>
      <c r="DZ36" s="512"/>
      <c r="EA36" s="109"/>
      <c r="EB36" s="428"/>
      <c r="EC36" s="109"/>
      <c r="ED36" s="512"/>
      <c r="EE36" s="109"/>
      <c r="EF36" s="361"/>
      <c r="EG36" s="512"/>
      <c r="EH36" s="512"/>
      <c r="EI36" s="512"/>
      <c r="EJ36" s="512"/>
      <c r="EK36" s="512"/>
      <c r="EL36" s="699"/>
      <c r="EM36" s="519"/>
      <c r="EN36" s="512"/>
      <c r="EO36" s="512"/>
      <c r="EP36" s="512"/>
      <c r="EQ36" s="359"/>
      <c r="ER36" s="512"/>
      <c r="ES36" s="512"/>
      <c r="ET36" s="512"/>
      <c r="EU36" s="512"/>
      <c r="EV36" s="512"/>
      <c r="EW36" s="695"/>
      <c r="EX36" s="512"/>
      <c r="EY36" s="26">
        <v>1</v>
      </c>
      <c r="EZ36" s="25">
        <v>0.76</v>
      </c>
      <c r="FA36" s="109">
        <v>1.84</v>
      </c>
      <c r="FB36" s="109">
        <v>0</v>
      </c>
      <c r="FC36" s="109">
        <f t="shared" si="41"/>
        <v>0.96750000000000014</v>
      </c>
      <c r="FD36" s="109">
        <f t="shared" si="42"/>
        <v>1.3984000000000001</v>
      </c>
      <c r="FE36" s="109"/>
      <c r="FF36" s="109"/>
      <c r="FG36" s="428" t="s">
        <v>428</v>
      </c>
      <c r="FM36" s="506"/>
      <c r="FN36" s="506"/>
      <c r="FU36" s="506"/>
      <c r="FV36" s="506"/>
      <c r="GC36" s="506"/>
      <c r="GD36" s="506"/>
      <c r="GK36" s="506"/>
      <c r="GL36" s="506"/>
      <c r="GS36" s="506"/>
      <c r="GT36" s="506"/>
      <c r="GU36" s="510"/>
      <c r="HA36" s="506"/>
      <c r="HB36" s="506"/>
      <c r="HC36" s="510"/>
      <c r="HI36" s="506"/>
      <c r="HJ36" s="506"/>
      <c r="HK36" s="510"/>
      <c r="HQ36" s="506"/>
      <c r="HR36" s="506"/>
      <c r="HS36" s="510"/>
      <c r="HY36" s="506"/>
      <c r="HZ36" s="506"/>
      <c r="IA36" s="510"/>
      <c r="IG36" s="506"/>
      <c r="IH36" s="506"/>
      <c r="II36" s="510"/>
    </row>
    <row r="37" spans="1:243" ht="14.45" customHeight="1" thickBot="1">
      <c r="A37" s="41" t="s">
        <v>500</v>
      </c>
      <c r="B37" s="466" t="s">
        <v>501</v>
      </c>
      <c r="C37" s="275">
        <v>1</v>
      </c>
      <c r="D37" s="719" t="str">
        <f>CONCATENATE("Emb_",C37)</f>
        <v>Emb_1</v>
      </c>
      <c r="E37" s="521">
        <v>110</v>
      </c>
      <c r="F37" s="450" t="s">
        <v>464</v>
      </c>
      <c r="G37" s="634">
        <f>E37*H37/80</f>
        <v>16.470234000000001</v>
      </c>
      <c r="H37" s="531">
        <f t="shared" si="30"/>
        <v>11.978352000000001</v>
      </c>
      <c r="I37" s="536">
        <f t="shared" si="31"/>
        <v>60.297204000000008</v>
      </c>
      <c r="J37" s="39">
        <f t="shared" si="32"/>
        <v>0.34876164407225252</v>
      </c>
      <c r="K37" s="40" t="s">
        <v>460</v>
      </c>
      <c r="L37" s="39">
        <f t="shared" si="29"/>
        <v>0.57867536219919924</v>
      </c>
      <c r="M37" s="39">
        <f t="shared" si="4"/>
        <v>0.60856743499587607</v>
      </c>
      <c r="N37" s="39">
        <f t="shared" si="5"/>
        <v>1.7556131260794474</v>
      </c>
      <c r="O37" s="173">
        <f t="shared" si="33"/>
        <v>0.26192646611972042</v>
      </c>
      <c r="P37" s="174">
        <f t="shared" si="34"/>
        <v>1</v>
      </c>
      <c r="Q37" s="174"/>
      <c r="R37" s="174"/>
      <c r="S37" s="451"/>
      <c r="T37" s="682"/>
      <c r="U37" s="452"/>
      <c r="V37" s="682" t="s">
        <v>417</v>
      </c>
      <c r="W37" s="531">
        <f t="shared" si="35"/>
        <v>2.1</v>
      </c>
      <c r="X37" s="112">
        <f t="shared" si="36"/>
        <v>1.7849999999999999</v>
      </c>
      <c r="Y37" s="927">
        <f t="shared" si="37"/>
        <v>4.2899348188596177E-2</v>
      </c>
      <c r="Z37" s="420"/>
      <c r="AA37" s="206">
        <v>4</v>
      </c>
      <c r="AB37" s="420"/>
      <c r="AC37" s="420">
        <f t="shared" si="38"/>
        <v>333.93575343252559</v>
      </c>
      <c r="AD37" s="420"/>
      <c r="AE37" s="420"/>
      <c r="AF37" s="420"/>
      <c r="AG37" s="420"/>
      <c r="AH37" s="420"/>
      <c r="AI37" s="420"/>
      <c r="AJ37" s="420"/>
      <c r="AK37" s="450"/>
      <c r="AL37" s="90">
        <v>1000</v>
      </c>
      <c r="AM37" s="90"/>
      <c r="AN37" s="90"/>
      <c r="AO37" s="90"/>
      <c r="AP37" s="90"/>
      <c r="AQ37" s="90"/>
      <c r="AR37" s="38">
        <v>51.5</v>
      </c>
      <c r="AS37" s="275"/>
      <c r="AT37" s="275">
        <v>70.8</v>
      </c>
      <c r="AU37" s="38"/>
      <c r="AV37" s="268"/>
      <c r="AW37" s="269" t="s">
        <v>430</v>
      </c>
      <c r="AX37" s="199">
        <f>5*60+32</f>
        <v>332</v>
      </c>
      <c r="AY37" s="612">
        <v>15</v>
      </c>
      <c r="AZ37" s="612">
        <f t="shared" si="44"/>
        <v>11.25</v>
      </c>
      <c r="BA37" s="187">
        <v>20</v>
      </c>
      <c r="BB37" s="225"/>
      <c r="BC37" s="310">
        <v>15</v>
      </c>
      <c r="BD37" s="187">
        <f t="shared" si="45"/>
        <v>11.25</v>
      </c>
      <c r="BE37" s="453">
        <v>20</v>
      </c>
      <c r="BF37" s="454"/>
      <c r="BG37" s="187"/>
      <c r="BH37" s="187"/>
      <c r="BI37" s="187"/>
      <c r="BJ37" s="549"/>
      <c r="BK37" s="550"/>
      <c r="BL37" s="550"/>
      <c r="BM37" s="550"/>
      <c r="BN37" s="549"/>
      <c r="BO37" s="550"/>
      <c r="BP37" s="550"/>
      <c r="BQ37" s="834"/>
      <c r="BR37" s="549"/>
      <c r="BS37" s="550"/>
      <c r="BT37" s="550"/>
      <c r="BU37" s="550"/>
      <c r="BV37" s="834"/>
      <c r="BW37" s="1132" t="s">
        <v>502</v>
      </c>
      <c r="BX37" s="1133"/>
      <c r="BY37" s="1133"/>
      <c r="BZ37" s="1133"/>
      <c r="CA37" s="1134"/>
      <c r="CB37" s="100">
        <f>3.5-CS37/1000</f>
        <v>3.4740000000000002</v>
      </c>
      <c r="CC37" s="514">
        <f>3.5-2*CS37/1000</f>
        <v>3.448</v>
      </c>
      <c r="CD37" s="514">
        <f>3.075-2*0.15-(DE37+DG37+DI37)/1000</f>
        <v>2.6250000000000004</v>
      </c>
      <c r="CE37" s="514"/>
      <c r="CF37" s="275"/>
      <c r="CG37" s="338"/>
      <c r="CH37" s="338"/>
      <c r="CI37" s="338"/>
      <c r="CJ37" s="429"/>
      <c r="CK37" s="514"/>
      <c r="CL37" s="514"/>
      <c r="CM37" s="514"/>
      <c r="CN37" s="514"/>
      <c r="CO37" s="514"/>
      <c r="CP37" s="338"/>
      <c r="CQ37" s="364">
        <f t="shared" si="39"/>
        <v>21.029352000000003</v>
      </c>
      <c r="CR37" s="165" t="s">
        <v>493</v>
      </c>
      <c r="CS37" s="166">
        <f>2*13</f>
        <v>26</v>
      </c>
      <c r="CT37" s="166" t="s">
        <v>423</v>
      </c>
      <c r="CU37" s="166">
        <v>150</v>
      </c>
      <c r="CV37" s="338"/>
      <c r="CW37" s="455"/>
      <c r="CX37" s="506" t="s">
        <v>503</v>
      </c>
      <c r="CY37" s="338" t="s">
        <v>504</v>
      </c>
      <c r="CZ37" s="365"/>
      <c r="DA37" s="514"/>
      <c r="DB37" s="366">
        <f t="shared" si="40"/>
        <v>34.555500000000009</v>
      </c>
      <c r="DC37" s="338">
        <f>CC37*CD37</f>
        <v>9.0510000000000019</v>
      </c>
      <c r="DD37" s="275" t="s">
        <v>423</v>
      </c>
      <c r="DE37" s="338">
        <v>150</v>
      </c>
      <c r="DF37" s="338"/>
      <c r="DG37" s="338"/>
      <c r="DH37" s="338"/>
      <c r="DI37" s="429"/>
      <c r="DJ37" s="514" t="s">
        <v>503</v>
      </c>
      <c r="DK37" s="514" t="s">
        <v>504</v>
      </c>
      <c r="DL37" s="365"/>
      <c r="DM37" s="514"/>
      <c r="DN37" s="514"/>
      <c r="DO37" s="514"/>
      <c r="DP37" s="456">
        <f>CB37*CC37</f>
        <v>11.978352000000001</v>
      </c>
      <c r="DQ37" s="338" t="s">
        <v>426</v>
      </c>
      <c r="DR37" s="338">
        <v>22</v>
      </c>
      <c r="DS37" s="338" t="s">
        <v>505</v>
      </c>
      <c r="DT37" s="338">
        <v>50</v>
      </c>
      <c r="DU37" s="338" t="s">
        <v>423</v>
      </c>
      <c r="DV37" s="429">
        <v>150</v>
      </c>
      <c r="DW37" s="514"/>
      <c r="DX37" s="514"/>
      <c r="DY37" s="367"/>
      <c r="DZ37" s="514"/>
      <c r="EA37" s="338"/>
      <c r="EB37" s="429"/>
      <c r="EC37" s="338"/>
      <c r="ED37" s="514"/>
      <c r="EE37" s="338"/>
      <c r="EF37" s="367"/>
      <c r="EG37" s="514"/>
      <c r="EH37" s="514"/>
      <c r="EI37" s="514"/>
      <c r="EJ37" s="514"/>
      <c r="EK37" s="514"/>
      <c r="EL37" s="711"/>
      <c r="EM37" s="455"/>
      <c r="EN37" s="514"/>
      <c r="EO37" s="514"/>
      <c r="EP37" s="514"/>
      <c r="EQ37" s="365"/>
      <c r="ER37" s="514"/>
      <c r="ES37" s="514"/>
      <c r="ET37" s="514"/>
      <c r="EU37" s="514"/>
      <c r="EV37" s="514"/>
      <c r="EW37" s="696"/>
      <c r="EX37" s="514"/>
      <c r="EY37" s="248">
        <v>1</v>
      </c>
      <c r="EZ37" s="275">
        <v>0.85</v>
      </c>
      <c r="FA37" s="338">
        <v>2.1</v>
      </c>
      <c r="FB37" s="338">
        <v>0</v>
      </c>
      <c r="FC37" s="338">
        <f t="shared" si="41"/>
        <v>1.3120000000000001</v>
      </c>
      <c r="FD37" s="338">
        <f t="shared" si="42"/>
        <v>1.7849999999999999</v>
      </c>
      <c r="FE37" s="338"/>
      <c r="FF37" s="338"/>
      <c r="FG37" s="284" t="s">
        <v>428</v>
      </c>
      <c r="FK37" s="512"/>
      <c r="FL37" s="512"/>
      <c r="FM37" s="109"/>
      <c r="FN37" s="109"/>
      <c r="FO37" s="512"/>
      <c r="FU37" s="506"/>
      <c r="FV37" s="506"/>
      <c r="GC37" s="506"/>
      <c r="GD37" s="506"/>
      <c r="GK37" s="506"/>
      <c r="GL37" s="506"/>
      <c r="GS37" s="506"/>
      <c r="GT37" s="506"/>
      <c r="GU37" s="510"/>
      <c r="HA37" s="506"/>
      <c r="HB37" s="506"/>
      <c r="HC37" s="510"/>
      <c r="HI37" s="506"/>
      <c r="HJ37" s="506"/>
      <c r="HK37" s="510"/>
      <c r="HQ37" s="506"/>
      <c r="HR37" s="506"/>
      <c r="HS37" s="510"/>
      <c r="HY37" s="506"/>
      <c r="HZ37" s="506"/>
      <c r="IA37" s="510"/>
      <c r="IG37" s="506"/>
      <c r="IH37" s="506"/>
      <c r="II37" s="510"/>
    </row>
    <row r="38" spans="1:243" ht="15" customHeight="1" thickBot="1">
      <c r="A38" s="1161" t="s">
        <v>506</v>
      </c>
      <c r="B38" s="1150" t="s">
        <v>507</v>
      </c>
      <c r="C38" s="51">
        <v>1</v>
      </c>
      <c r="D38" s="425" t="str">
        <f>CONCATENATE($A$38,"_",C38)</f>
        <v>USDA_1</v>
      </c>
      <c r="E38" s="1151">
        <v>570</v>
      </c>
      <c r="F38" s="1176" t="s">
        <v>429</v>
      </c>
      <c r="G38" s="1232">
        <v>17.5</v>
      </c>
      <c r="H38" s="335">
        <f t="shared" si="30"/>
        <v>82.381036960000031</v>
      </c>
      <c r="I38" s="347">
        <f t="shared" si="31"/>
        <v>262.91426352000008</v>
      </c>
      <c r="J38" s="2">
        <f t="shared" si="32"/>
        <v>0</v>
      </c>
      <c r="K38" s="33">
        <v>0</v>
      </c>
      <c r="L38" s="2">
        <f t="shared" si="29"/>
        <v>0</v>
      </c>
      <c r="M38" s="2">
        <f t="shared" si="4"/>
        <v>0</v>
      </c>
      <c r="N38" s="2">
        <f t="shared" si="5"/>
        <v>0</v>
      </c>
      <c r="O38" s="436">
        <f t="shared" si="33"/>
        <v>0</v>
      </c>
      <c r="P38" s="131">
        <f t="shared" si="34"/>
        <v>0</v>
      </c>
      <c r="Q38" s="131"/>
      <c r="R38" s="131"/>
      <c r="S38" s="437"/>
      <c r="T38" s="679"/>
      <c r="U38" s="438"/>
      <c r="V38" s="679" t="s">
        <v>417</v>
      </c>
      <c r="W38" s="335">
        <f t="shared" si="35"/>
        <v>2.44</v>
      </c>
      <c r="X38" s="210">
        <f t="shared" si="36"/>
        <v>17.860800000000001</v>
      </c>
      <c r="Y38" s="348">
        <f t="shared" si="37"/>
        <v>0.10611619586080152</v>
      </c>
      <c r="Z38" s="140">
        <v>18.5</v>
      </c>
      <c r="AA38" s="140"/>
      <c r="AB38" s="140"/>
      <c r="AC38" s="140">
        <f t="shared" si="38"/>
        <v>0</v>
      </c>
      <c r="AD38" s="140"/>
      <c r="AE38" s="140"/>
      <c r="AF38" s="140"/>
      <c r="AG38" s="489"/>
      <c r="AH38" s="489"/>
      <c r="AI38" s="489"/>
      <c r="AJ38" s="489"/>
      <c r="AK38" s="435"/>
      <c r="AL38" s="105">
        <v>1100</v>
      </c>
      <c r="AM38" s="106">
        <v>180</v>
      </c>
      <c r="AN38" s="106"/>
      <c r="AO38" s="106"/>
      <c r="AP38" s="106"/>
      <c r="AQ38" s="106"/>
      <c r="AR38" s="425">
        <v>66.099999999999994</v>
      </c>
      <c r="AS38" s="425">
        <v>66.099999999999994</v>
      </c>
      <c r="AT38" s="425">
        <v>98.9</v>
      </c>
      <c r="AU38" s="425">
        <v>75.2</v>
      </c>
      <c r="AV38" s="265"/>
      <c r="AW38" s="441" t="s">
        <v>430</v>
      </c>
      <c r="AX38" s="193">
        <v>180</v>
      </c>
      <c r="AY38" s="11"/>
      <c r="AZ38" s="11"/>
      <c r="BA38" s="11"/>
      <c r="BB38" s="235"/>
      <c r="BC38" s="11"/>
      <c r="BD38" s="11"/>
      <c r="BE38" s="314"/>
      <c r="BF38" s="235"/>
      <c r="BG38" s="11"/>
      <c r="BH38" s="11"/>
      <c r="BI38" s="11"/>
      <c r="BJ38" s="542"/>
      <c r="BK38" s="543"/>
      <c r="BL38" s="543"/>
      <c r="BM38" s="543"/>
      <c r="BN38" s="542"/>
      <c r="BO38" s="543"/>
      <c r="BP38" s="543"/>
      <c r="BQ38" s="836"/>
      <c r="BR38" s="542"/>
      <c r="BS38" s="543"/>
      <c r="BT38" s="543"/>
      <c r="BU38" s="543"/>
      <c r="BV38" s="836"/>
      <c r="BW38" s="1132" t="s">
        <v>508</v>
      </c>
      <c r="BX38" s="1126"/>
      <c r="BY38" s="1126"/>
      <c r="BZ38" s="1126"/>
      <c r="CA38" s="1127"/>
      <c r="CB38" s="92">
        <f>9.14-2*CS38/1000</f>
        <v>9.0764000000000014</v>
      </c>
      <c r="CC38" s="507">
        <f>9.14-2*CS38/1000</f>
        <v>9.0764000000000014</v>
      </c>
      <c r="CD38" s="507">
        <f>2.74-(DR38+DT38)/1000</f>
        <v>2.7035</v>
      </c>
      <c r="CE38" s="507"/>
      <c r="CF38" s="149"/>
      <c r="CG38" s="504"/>
      <c r="CH38" s="504"/>
      <c r="CI38" s="504"/>
      <c r="CJ38" s="45"/>
      <c r="CK38" s="507"/>
      <c r="CL38" s="507"/>
      <c r="CM38" s="507"/>
      <c r="CN38" s="507"/>
      <c r="CO38" s="507"/>
      <c r="CP38" s="504"/>
      <c r="CQ38" s="350">
        <f t="shared" si="39"/>
        <v>0</v>
      </c>
      <c r="CR38" s="426" t="s">
        <v>438</v>
      </c>
      <c r="CS38" s="118">
        <f>2*15.9</f>
        <v>31.8</v>
      </c>
      <c r="CT38" s="118" t="s">
        <v>423</v>
      </c>
      <c r="CU38" s="118">
        <v>175</v>
      </c>
      <c r="CV38" s="504"/>
      <c r="CW38" s="156"/>
      <c r="CX38" s="504" t="s">
        <v>509</v>
      </c>
      <c r="CY38" s="504"/>
      <c r="CZ38" s="351">
        <v>0.12</v>
      </c>
      <c r="DA38" s="507"/>
      <c r="DB38" s="352">
        <f t="shared" si="40"/>
        <v>80.291389600000016</v>
      </c>
      <c r="DC38" s="504"/>
      <c r="DD38" s="155" t="s">
        <v>438</v>
      </c>
      <c r="DE38" s="504">
        <f>2*15.9</f>
        <v>31.8</v>
      </c>
      <c r="DF38" s="504" t="s">
        <v>423</v>
      </c>
      <c r="DG38" s="504">
        <v>175</v>
      </c>
      <c r="DH38" s="504" t="s">
        <v>426</v>
      </c>
      <c r="DI38" s="45">
        <f>2*12.7</f>
        <v>25.4</v>
      </c>
      <c r="DJ38" s="507" t="s">
        <v>509</v>
      </c>
      <c r="DK38" s="507"/>
      <c r="DL38" s="351">
        <v>0.12</v>
      </c>
      <c r="DM38" s="504"/>
      <c r="DN38" s="507"/>
      <c r="DO38" s="507">
        <f t="shared" ref="DO38:DO49" si="46">CB38*CC38</f>
        <v>82.381036960000031</v>
      </c>
      <c r="DP38" s="135"/>
      <c r="DQ38" s="504" t="s">
        <v>431</v>
      </c>
      <c r="DR38" s="504">
        <v>11.1</v>
      </c>
      <c r="DS38" s="504" t="s">
        <v>426</v>
      </c>
      <c r="DT38" s="504">
        <f>2*12.7</f>
        <v>25.4</v>
      </c>
      <c r="DU38" s="504" t="s">
        <v>423</v>
      </c>
      <c r="DV38" s="45">
        <v>175</v>
      </c>
      <c r="DW38" s="507"/>
      <c r="DX38" s="507"/>
      <c r="DY38" s="353"/>
      <c r="DZ38" s="507"/>
      <c r="EA38" s="504">
        <f>CB38*CC38</f>
        <v>82.381036960000031</v>
      </c>
      <c r="EB38" s="45" t="s">
        <v>427</v>
      </c>
      <c r="EC38" s="287" t="s">
        <v>510</v>
      </c>
      <c r="ED38" s="507"/>
      <c r="EE38" s="504"/>
      <c r="EF38" s="353"/>
      <c r="EG38" s="507"/>
      <c r="EH38" s="507"/>
      <c r="EI38" s="507"/>
      <c r="EJ38" s="507"/>
      <c r="EK38" s="507"/>
      <c r="EL38" s="697"/>
      <c r="EM38" s="156"/>
      <c r="EN38" s="287" t="s">
        <v>510</v>
      </c>
      <c r="EO38" s="507"/>
      <c r="EP38" s="507"/>
      <c r="EQ38" s="351"/>
      <c r="ER38" s="507"/>
      <c r="ES38" s="507"/>
      <c r="ET38" s="507"/>
      <c r="EU38" s="507"/>
      <c r="EV38" s="507"/>
      <c r="EW38" s="694"/>
      <c r="EX38" s="507"/>
      <c r="EY38" s="21">
        <v>2</v>
      </c>
      <c r="EZ38" s="149">
        <v>3.66</v>
      </c>
      <c r="FA38" s="504">
        <v>2.44</v>
      </c>
      <c r="FB38" s="504">
        <v>0</v>
      </c>
      <c r="FC38" s="504">
        <f t="shared" ref="FC38:FC43" si="47">(CB38/2-EZ38)/2</f>
        <v>0.43910000000000027</v>
      </c>
      <c r="FD38" s="504">
        <f t="shared" si="42"/>
        <v>8.9304000000000006</v>
      </c>
      <c r="FE38" s="504"/>
      <c r="FF38" s="504"/>
      <c r="FG38" s="45" t="s">
        <v>428</v>
      </c>
      <c r="FH38" s="149">
        <v>3.66</v>
      </c>
      <c r="FI38" s="504">
        <v>2.44</v>
      </c>
      <c r="FJ38" s="504">
        <v>0</v>
      </c>
      <c r="FK38" s="506">
        <f t="shared" ref="FK38:FK43" si="48">CB38/2+FC38</f>
        <v>4.9773000000000014</v>
      </c>
      <c r="FL38" s="506">
        <f t="shared" ref="FL38:FL44" si="49">FH38*FI38</f>
        <v>8.9304000000000006</v>
      </c>
      <c r="FM38" s="504"/>
      <c r="FN38" s="504"/>
      <c r="FO38" s="427" t="s">
        <v>428</v>
      </c>
      <c r="FU38" s="506"/>
      <c r="FV38" s="506"/>
      <c r="GC38" s="506"/>
      <c r="GD38" s="506"/>
      <c r="GK38" s="506"/>
      <c r="GL38" s="506"/>
      <c r="GS38" s="506"/>
      <c r="GT38" s="506"/>
      <c r="GU38" s="510"/>
      <c r="HA38" s="506"/>
      <c r="HB38" s="506"/>
      <c r="HC38" s="510"/>
      <c r="HI38" s="506"/>
      <c r="HJ38" s="506"/>
      <c r="HK38" s="510"/>
      <c r="HQ38" s="506"/>
      <c r="HR38" s="506"/>
      <c r="HS38" s="510"/>
      <c r="HY38" s="506"/>
      <c r="HZ38" s="506"/>
      <c r="IA38" s="510"/>
      <c r="IG38" s="506"/>
      <c r="IH38" s="506"/>
      <c r="II38" s="510"/>
    </row>
    <row r="39" spans="1:243" ht="15" customHeight="1">
      <c r="A39" s="1162"/>
      <c r="B39" s="1142"/>
      <c r="C39" s="51">
        <v>2</v>
      </c>
      <c r="D39" s="725" t="str">
        <f t="shared" ref="D39:D42" si="50">CONCATENATE($A$38,"_",C39)</f>
        <v>USDA_2</v>
      </c>
      <c r="E39" s="1136"/>
      <c r="F39" s="1139"/>
      <c r="G39" s="1233"/>
      <c r="H39" s="525">
        <f t="shared" si="30"/>
        <v>82.381036960000031</v>
      </c>
      <c r="I39" s="354">
        <f t="shared" si="31"/>
        <v>262.91426352000008</v>
      </c>
      <c r="J39" s="4">
        <f t="shared" si="32"/>
        <v>3.1786027460485332E-2</v>
      </c>
      <c r="K39" s="716" t="s">
        <v>457</v>
      </c>
      <c r="L39" s="4">
        <f t="shared" si="29"/>
        <v>8.5143286502902413E-2</v>
      </c>
      <c r="M39" s="4">
        <f t="shared" si="4"/>
        <v>0.10408338978355404</v>
      </c>
      <c r="N39" s="4">
        <f t="shared" si="5"/>
        <v>0.10144324845119061</v>
      </c>
      <c r="O39" s="436">
        <f t="shared" si="33"/>
        <v>0</v>
      </c>
      <c r="P39" s="131">
        <f t="shared" si="34"/>
        <v>0.10144324845119061</v>
      </c>
      <c r="Q39" s="131"/>
      <c r="R39" s="131"/>
      <c r="S39" s="437"/>
      <c r="T39" s="679"/>
      <c r="U39" s="438"/>
      <c r="V39" s="679" t="s">
        <v>417</v>
      </c>
      <c r="W39" s="525">
        <f t="shared" si="35"/>
        <v>2.44</v>
      </c>
      <c r="X39" s="439">
        <f t="shared" si="36"/>
        <v>17.860800000000001</v>
      </c>
      <c r="Y39" s="928">
        <f t="shared" si="37"/>
        <v>0.10611619586080152</v>
      </c>
      <c r="Z39" s="489">
        <v>23.3</v>
      </c>
      <c r="AA39" s="489"/>
      <c r="AB39" s="489"/>
      <c r="AC39" s="489">
        <f t="shared" si="38"/>
        <v>0</v>
      </c>
      <c r="AD39" s="489"/>
      <c r="AE39" s="489"/>
      <c r="AF39" s="489"/>
      <c r="AG39" s="489"/>
      <c r="AH39" s="489"/>
      <c r="AI39" s="489"/>
      <c r="AJ39" s="489"/>
      <c r="AK39" s="435"/>
      <c r="AL39" s="106">
        <v>1175</v>
      </c>
      <c r="AM39" s="106">
        <v>240</v>
      </c>
      <c r="AN39" s="106"/>
      <c r="AO39" s="106"/>
      <c r="AP39" s="106"/>
      <c r="AQ39" s="106"/>
      <c r="AR39" s="425">
        <v>66.099999999999994</v>
      </c>
      <c r="AS39" s="425">
        <v>66.099999999999994</v>
      </c>
      <c r="AT39" s="425">
        <v>98.9</v>
      </c>
      <c r="AU39" s="425">
        <v>75.2</v>
      </c>
      <c r="AV39" s="265"/>
      <c r="AW39" s="441" t="s">
        <v>430</v>
      </c>
      <c r="AX39" s="726">
        <v>240</v>
      </c>
      <c r="AY39" s="54"/>
      <c r="AZ39" s="54"/>
      <c r="BA39" s="54"/>
      <c r="BB39" s="233"/>
      <c r="BC39" s="54">
        <v>23</v>
      </c>
      <c r="BD39" s="605">
        <v>23</v>
      </c>
      <c r="BE39" s="613">
        <v>23</v>
      </c>
      <c r="BF39" s="233"/>
      <c r="BG39" s="54"/>
      <c r="BH39" s="54"/>
      <c r="BI39" s="54"/>
      <c r="BJ39" s="368"/>
      <c r="BK39" s="369"/>
      <c r="BL39" s="369"/>
      <c r="BM39" s="369"/>
      <c r="BN39" s="368"/>
      <c r="BO39" s="369"/>
      <c r="BP39" s="369"/>
      <c r="BQ39" s="837"/>
      <c r="BR39" s="368"/>
      <c r="BS39" s="369"/>
      <c r="BT39" s="369"/>
      <c r="BU39" s="369"/>
      <c r="BV39" s="837"/>
      <c r="BW39" s="1128"/>
      <c r="BX39" s="1113"/>
      <c r="BY39" s="1113"/>
      <c r="BZ39" s="1113"/>
      <c r="CA39" s="1122"/>
      <c r="CB39" s="509">
        <f>9.14-2*CS39/1000</f>
        <v>9.0764000000000014</v>
      </c>
      <c r="CC39">
        <f>9.14-2*CS39/1000</f>
        <v>9.0764000000000014</v>
      </c>
      <c r="CD39">
        <f>2.74-(DR39+DT39)/1000</f>
        <v>2.7035</v>
      </c>
      <c r="CE39"/>
      <c r="CF39" s="425"/>
      <c r="CJ39" s="427"/>
      <c r="CO39"/>
      <c r="CQ39" s="355">
        <f t="shared" si="39"/>
        <v>8.3569999999999993</v>
      </c>
      <c r="CR39" s="426" t="s">
        <v>438</v>
      </c>
      <c r="CS39" s="119">
        <f>2*15.9</f>
        <v>31.8</v>
      </c>
      <c r="CT39" s="119" t="s">
        <v>423</v>
      </c>
      <c r="CU39" s="119">
        <v>175</v>
      </c>
      <c r="CV39" s="506"/>
      <c r="CW39" s="518"/>
      <c r="CX39" s="506" t="s">
        <v>509</v>
      </c>
      <c r="CY39" s="506"/>
      <c r="CZ39" s="339">
        <v>0.12</v>
      </c>
      <c r="DA39"/>
      <c r="DB39" s="340">
        <f t="shared" si="40"/>
        <v>80.291389600000016</v>
      </c>
      <c r="DC39" s="506"/>
      <c r="DD39" s="433" t="s">
        <v>438</v>
      </c>
      <c r="DE39" s="506">
        <f>2*15.9</f>
        <v>31.8</v>
      </c>
      <c r="DF39" s="506" t="s">
        <v>423</v>
      </c>
      <c r="DG39" s="506">
        <v>175</v>
      </c>
      <c r="DH39" s="506" t="s">
        <v>426</v>
      </c>
      <c r="DI39" s="427">
        <f>2*12.7</f>
        <v>25.4</v>
      </c>
      <c r="DJ39" t="s">
        <v>509</v>
      </c>
      <c r="DK39"/>
      <c r="DL39" s="339">
        <v>0.12</v>
      </c>
      <c r="DM39" s="506"/>
      <c r="DO39">
        <f t="shared" si="46"/>
        <v>82.381036960000031</v>
      </c>
      <c r="DP39" s="430">
        <f>2.74*3.05</f>
        <v>8.3569999999999993</v>
      </c>
      <c r="DQ39" s="506" t="s">
        <v>431</v>
      </c>
      <c r="DR39" s="506">
        <v>11.1</v>
      </c>
      <c r="DS39" s="506" t="s">
        <v>426</v>
      </c>
      <c r="DT39" s="506">
        <f>2*12.7</f>
        <v>25.4</v>
      </c>
      <c r="DU39" s="506" t="s">
        <v>423</v>
      </c>
      <c r="DV39" s="427">
        <v>175</v>
      </c>
      <c r="DX39"/>
      <c r="DY39" s="341"/>
      <c r="DZ39"/>
      <c r="EA39" s="506">
        <f>CB39*CC39</f>
        <v>82.381036960000031</v>
      </c>
      <c r="EB39" s="427" t="s">
        <v>427</v>
      </c>
      <c r="EC39" s="129" t="s">
        <v>510</v>
      </c>
      <c r="ED39"/>
      <c r="EE39" s="506"/>
      <c r="EF39" s="341"/>
      <c r="EK39"/>
      <c r="EL39" s="698"/>
      <c r="EM39" s="518"/>
      <c r="EN39" s="129" t="s">
        <v>510</v>
      </c>
      <c r="EP39"/>
      <c r="EQ39" s="339"/>
      <c r="EV39"/>
      <c r="EW39" s="690"/>
      <c r="EX39"/>
      <c r="EY39" s="21">
        <v>2</v>
      </c>
      <c r="EZ39" s="425">
        <v>3.66</v>
      </c>
      <c r="FA39" s="506">
        <v>2.44</v>
      </c>
      <c r="FB39" s="506">
        <v>0</v>
      </c>
      <c r="FC39" s="506">
        <f t="shared" si="47"/>
        <v>0.43910000000000027</v>
      </c>
      <c r="FD39" s="506">
        <f t="shared" si="42"/>
        <v>8.9304000000000006</v>
      </c>
      <c r="FE39" s="506"/>
      <c r="FF39" s="506"/>
      <c r="FG39" s="427" t="s">
        <v>428</v>
      </c>
      <c r="FH39" s="425">
        <v>3.66</v>
      </c>
      <c r="FI39" s="506">
        <v>2.44</v>
      </c>
      <c r="FJ39" s="506">
        <v>0</v>
      </c>
      <c r="FK39" s="506">
        <f t="shared" si="48"/>
        <v>4.9773000000000014</v>
      </c>
      <c r="FL39" s="506">
        <f t="shared" si="49"/>
        <v>8.9304000000000006</v>
      </c>
      <c r="FM39" s="506"/>
      <c r="FN39" s="506"/>
      <c r="FO39" s="427" t="s">
        <v>428</v>
      </c>
      <c r="FU39" s="506"/>
      <c r="FV39" s="506"/>
      <c r="GC39" s="506"/>
      <c r="GD39" s="506"/>
      <c r="GK39" s="506"/>
      <c r="GL39" s="506"/>
      <c r="GS39" s="506"/>
      <c r="GT39" s="506"/>
      <c r="GU39" s="510"/>
      <c r="HA39" s="506"/>
      <c r="HB39" s="506"/>
      <c r="HC39" s="510"/>
      <c r="HI39" s="506"/>
      <c r="HJ39" s="506"/>
      <c r="HK39" s="510"/>
      <c r="HQ39" s="506"/>
      <c r="HR39" s="506"/>
      <c r="HS39" s="510"/>
      <c r="HY39" s="506"/>
      <c r="HZ39" s="506"/>
      <c r="IA39" s="510"/>
      <c r="IG39" s="506"/>
      <c r="IH39" s="506"/>
      <c r="II39" s="510"/>
    </row>
    <row r="40" spans="1:243" ht="15" customHeight="1">
      <c r="A40" s="1162"/>
      <c r="B40" s="1142"/>
      <c r="C40" s="51">
        <v>3</v>
      </c>
      <c r="D40" s="725" t="str">
        <f t="shared" si="50"/>
        <v>USDA_3</v>
      </c>
      <c r="E40" s="1136"/>
      <c r="F40" s="1139"/>
      <c r="G40" s="1233"/>
      <c r="H40" s="525">
        <f t="shared" si="30"/>
        <v>82.958296000000018</v>
      </c>
      <c r="I40" s="354">
        <f t="shared" si="31"/>
        <v>264.41266680000001</v>
      </c>
      <c r="J40" s="4">
        <f t="shared" si="32"/>
        <v>0.12473948543829746</v>
      </c>
      <c r="K40" s="716" t="s">
        <v>443</v>
      </c>
      <c r="L40" s="4">
        <f t="shared" si="29"/>
        <v>0.33486309040205531</v>
      </c>
      <c r="M40" s="4">
        <f t="shared" si="4"/>
        <v>0.40903562469163929</v>
      </c>
      <c r="N40" s="4">
        <f t="shared" si="5"/>
        <v>0.39758169574746322</v>
      </c>
      <c r="O40" s="436">
        <f t="shared" si="33"/>
        <v>0.40903562469163929</v>
      </c>
      <c r="P40" s="131">
        <f t="shared" si="34"/>
        <v>0</v>
      </c>
      <c r="Q40" s="131"/>
      <c r="R40" s="131"/>
      <c r="S40" s="437"/>
      <c r="T40" s="679"/>
      <c r="U40" s="438"/>
      <c r="V40" s="679" t="s">
        <v>417</v>
      </c>
      <c r="W40" s="525">
        <f t="shared" si="35"/>
        <v>2.44</v>
      </c>
      <c r="X40" s="439">
        <f t="shared" si="36"/>
        <v>17.860800000000001</v>
      </c>
      <c r="Y40" s="928">
        <f t="shared" si="37"/>
        <v>0.10551484473090574</v>
      </c>
      <c r="Z40" s="489">
        <v>20.9</v>
      </c>
      <c r="AA40" s="489"/>
      <c r="AB40" s="489"/>
      <c r="AC40" s="489">
        <f t="shared" si="38"/>
        <v>0</v>
      </c>
      <c r="AD40" s="489"/>
      <c r="AE40" s="489"/>
      <c r="AF40" s="489"/>
      <c r="AG40" s="489"/>
      <c r="AH40" s="489"/>
      <c r="AI40" s="489"/>
      <c r="AJ40" s="489"/>
      <c r="AK40" s="435"/>
      <c r="AL40" s="106">
        <v>1150</v>
      </c>
      <c r="AM40" s="106">
        <v>240</v>
      </c>
      <c r="AN40" s="106"/>
      <c r="AO40" s="106"/>
      <c r="AP40" s="106"/>
      <c r="AQ40" s="106"/>
      <c r="AR40" s="425">
        <v>66.099999999999994</v>
      </c>
      <c r="AS40" s="425">
        <v>66.099999999999994</v>
      </c>
      <c r="AT40" s="425">
        <v>98.9</v>
      </c>
      <c r="AU40" s="425">
        <v>75.2</v>
      </c>
      <c r="AV40" s="265" t="s">
        <v>511</v>
      </c>
      <c r="AW40" s="441" t="s">
        <v>430</v>
      </c>
      <c r="AX40" s="726">
        <v>240</v>
      </c>
      <c r="AY40" s="448">
        <f>'Char measurement'!D244</f>
        <v>32.666666666666664</v>
      </c>
      <c r="AZ40" s="448">
        <f>'Char measurement'!B242</f>
        <v>23</v>
      </c>
      <c r="BA40" s="448">
        <f>'Char measurement'!C244</f>
        <v>50</v>
      </c>
      <c r="BB40" s="324"/>
      <c r="BC40" s="448"/>
      <c r="BD40" s="448"/>
      <c r="BE40" s="323"/>
      <c r="BF40" s="324"/>
      <c r="BG40" s="448"/>
      <c r="BH40" s="448"/>
      <c r="BI40" s="448"/>
      <c r="BJ40" s="731"/>
      <c r="BK40" s="448"/>
      <c r="BL40" s="448"/>
      <c r="BM40" s="448"/>
      <c r="BN40" s="731"/>
      <c r="BO40" s="448"/>
      <c r="BP40" s="448"/>
      <c r="BQ40" s="837"/>
      <c r="BR40" s="731"/>
      <c r="BS40" s="448"/>
      <c r="BT40" s="448"/>
      <c r="BU40" s="448"/>
      <c r="BV40" s="837"/>
      <c r="BW40" s="1128"/>
      <c r="BX40" s="1113"/>
      <c r="BY40" s="1113"/>
      <c r="BZ40" s="1113"/>
      <c r="CA40" s="1122"/>
      <c r="CB40" s="509">
        <f>9.14</f>
        <v>9.14</v>
      </c>
      <c r="CC40">
        <f>9.14-2*CS40/1000</f>
        <v>9.0764000000000014</v>
      </c>
      <c r="CD40">
        <f>2.74-(DR40+DT40)/1000</f>
        <v>2.7035</v>
      </c>
      <c r="CE40"/>
      <c r="CF40" s="425"/>
      <c r="CJ40" s="427"/>
      <c r="CO40"/>
      <c r="CQ40" s="355">
        <f t="shared" si="39"/>
        <v>32.982700000000001</v>
      </c>
      <c r="CR40" s="426" t="s">
        <v>438</v>
      </c>
      <c r="CS40" s="119">
        <f>2*15.9</f>
        <v>31.8</v>
      </c>
      <c r="CT40" s="119" t="s">
        <v>423</v>
      </c>
      <c r="CU40" s="119">
        <v>175</v>
      </c>
      <c r="CV40" s="506"/>
      <c r="CW40" s="518"/>
      <c r="CX40" s="506" t="s">
        <v>509</v>
      </c>
      <c r="CY40" s="506"/>
      <c r="CZ40" s="339">
        <v>0.12</v>
      </c>
      <c r="DA40"/>
      <c r="DB40" s="340">
        <f t="shared" si="40"/>
        <v>80.635274800000005</v>
      </c>
      <c r="DC40" s="506">
        <f>6.1*CD40*2</f>
        <v>32.982700000000001</v>
      </c>
      <c r="DD40" s="433" t="s">
        <v>438</v>
      </c>
      <c r="DE40" s="506">
        <f>2*15.9</f>
        <v>31.8</v>
      </c>
      <c r="DF40" s="506" t="s">
        <v>423</v>
      </c>
      <c r="DG40" s="506">
        <v>175</v>
      </c>
      <c r="DH40" s="506" t="s">
        <v>426</v>
      </c>
      <c r="DI40" s="427">
        <f>2*12.7</f>
        <v>25.4</v>
      </c>
      <c r="DJ40" t="s">
        <v>509</v>
      </c>
      <c r="DK40"/>
      <c r="DL40" s="339">
        <v>0.12</v>
      </c>
      <c r="DM40" s="506"/>
      <c r="DO40">
        <f t="shared" si="46"/>
        <v>82.958296000000018</v>
      </c>
      <c r="DP40" s="430"/>
      <c r="DQ40" s="506" t="s">
        <v>431</v>
      </c>
      <c r="DR40" s="506">
        <v>11.1</v>
      </c>
      <c r="DS40" s="506" t="s">
        <v>426</v>
      </c>
      <c r="DT40" s="506">
        <f>2*12.7</f>
        <v>25.4</v>
      </c>
      <c r="DU40" s="506" t="s">
        <v>423</v>
      </c>
      <c r="DV40" s="427">
        <v>175</v>
      </c>
      <c r="DX40"/>
      <c r="DY40" s="341"/>
      <c r="DZ40"/>
      <c r="EA40" s="506">
        <f>CB40*CC40</f>
        <v>82.958296000000018</v>
      </c>
      <c r="EB40" s="427" t="s">
        <v>427</v>
      </c>
      <c r="EC40" s="129" t="s">
        <v>510</v>
      </c>
      <c r="ED40"/>
      <c r="EE40" s="506"/>
      <c r="EF40" s="341"/>
      <c r="EK40"/>
      <c r="EL40" s="698"/>
      <c r="EM40" s="518"/>
      <c r="EN40" s="129" t="s">
        <v>510</v>
      </c>
      <c r="EP40"/>
      <c r="EQ40" s="339"/>
      <c r="EV40"/>
      <c r="EW40" s="690"/>
      <c r="EX40"/>
      <c r="EY40" s="21">
        <v>2</v>
      </c>
      <c r="EZ40" s="425">
        <v>3.66</v>
      </c>
      <c r="FA40" s="506">
        <v>2.44</v>
      </c>
      <c r="FB40" s="506">
        <v>0</v>
      </c>
      <c r="FC40" s="506">
        <f t="shared" si="47"/>
        <v>0.45500000000000007</v>
      </c>
      <c r="FD40" s="506">
        <f t="shared" si="42"/>
        <v>8.9304000000000006</v>
      </c>
      <c r="FE40" s="506"/>
      <c r="FF40" s="506"/>
      <c r="FG40" s="427" t="s">
        <v>428</v>
      </c>
      <c r="FH40" s="425">
        <v>3.66</v>
      </c>
      <c r="FI40" s="506">
        <v>2.44</v>
      </c>
      <c r="FJ40" s="506">
        <v>0</v>
      </c>
      <c r="FK40" s="506">
        <f t="shared" si="48"/>
        <v>5.0250000000000004</v>
      </c>
      <c r="FL40" s="506">
        <f t="shared" si="49"/>
        <v>8.9304000000000006</v>
      </c>
      <c r="FM40" s="506"/>
      <c r="FN40" s="506"/>
      <c r="FO40" s="427" t="s">
        <v>428</v>
      </c>
      <c r="FU40" s="506"/>
      <c r="FV40" s="506"/>
      <c r="GC40" s="506"/>
      <c r="GD40" s="506"/>
      <c r="GK40" s="506"/>
      <c r="GL40" s="506"/>
      <c r="GS40" s="506"/>
      <c r="GT40" s="506"/>
      <c r="GU40" s="510"/>
      <c r="HA40" s="506"/>
      <c r="HB40" s="506"/>
      <c r="HC40" s="510"/>
      <c r="HI40" s="506"/>
      <c r="HJ40" s="506"/>
      <c r="HK40" s="510"/>
      <c r="HQ40" s="506"/>
      <c r="HR40" s="506"/>
      <c r="HS40" s="510"/>
      <c r="HY40" s="506"/>
      <c r="HZ40" s="506"/>
      <c r="IA40" s="510"/>
      <c r="IG40" s="506"/>
      <c r="IH40" s="506"/>
      <c r="II40" s="510"/>
    </row>
    <row r="41" spans="1:243" ht="15" customHeight="1">
      <c r="A41" s="1162"/>
      <c r="B41" s="1142"/>
      <c r="C41" s="51">
        <v>4</v>
      </c>
      <c r="D41" s="725" t="str">
        <f t="shared" si="50"/>
        <v>USDA_4</v>
      </c>
      <c r="E41" s="1136"/>
      <c r="F41" s="1139"/>
      <c r="G41" s="1233"/>
      <c r="H41" s="525">
        <f t="shared" si="30"/>
        <v>82.958296000000018</v>
      </c>
      <c r="I41" s="354">
        <f t="shared" si="31"/>
        <v>264.41266680000001</v>
      </c>
      <c r="J41" s="4">
        <f t="shared" si="32"/>
        <v>0.33559927772718939</v>
      </c>
      <c r="K41" s="716" t="s">
        <v>512</v>
      </c>
      <c r="L41" s="4">
        <f t="shared" si="29"/>
        <v>0.90091610432378366</v>
      </c>
      <c r="M41" s="4">
        <f t="shared" si="4"/>
        <v>1.1004699893451593</v>
      </c>
      <c r="N41" s="4">
        <f t="shared" si="5"/>
        <v>1.0696543236616141</v>
      </c>
      <c r="O41" s="436">
        <f t="shared" si="33"/>
        <v>0.40903562469163929</v>
      </c>
      <c r="P41" s="131">
        <f t="shared" si="34"/>
        <v>0.67207262791415079</v>
      </c>
      <c r="Q41" s="131"/>
      <c r="R41" s="131"/>
      <c r="S41" s="437"/>
      <c r="T41" s="679">
        <v>8</v>
      </c>
      <c r="U41" s="438">
        <v>2.37</v>
      </c>
      <c r="V41" s="679" t="s">
        <v>417</v>
      </c>
      <c r="W41" s="525">
        <f t="shared" si="35"/>
        <v>2.44</v>
      </c>
      <c r="X41" s="439">
        <f t="shared" si="36"/>
        <v>17.860800000000001</v>
      </c>
      <c r="Y41" s="928">
        <f t="shared" si="37"/>
        <v>0.10551484473090574</v>
      </c>
      <c r="Z41" s="489">
        <v>1E-3</v>
      </c>
      <c r="AA41" s="489"/>
      <c r="AB41" s="489"/>
      <c r="AC41" s="489">
        <f t="shared" si="38"/>
        <v>0</v>
      </c>
      <c r="AD41" s="489"/>
      <c r="AE41" s="489"/>
      <c r="AF41" s="489"/>
      <c r="AG41" s="489"/>
      <c r="AH41" s="489"/>
      <c r="AI41" s="489"/>
      <c r="AJ41" s="489"/>
      <c r="AK41" s="435"/>
      <c r="AL41" s="106" t="s">
        <v>513</v>
      </c>
      <c r="AM41" s="106">
        <v>180</v>
      </c>
      <c r="AN41" s="106"/>
      <c r="AO41" s="106"/>
      <c r="AP41" s="106"/>
      <c r="AQ41" s="106"/>
      <c r="AR41" s="425">
        <v>66.099999999999994</v>
      </c>
      <c r="AS41" s="425">
        <v>66.099999999999994</v>
      </c>
      <c r="AT41" s="425">
        <v>98.9</v>
      </c>
      <c r="AU41" s="425">
        <v>75.2</v>
      </c>
      <c r="AV41" s="265"/>
      <c r="AW41" s="441" t="s">
        <v>430</v>
      </c>
      <c r="AX41" s="726">
        <f>5+52/60</f>
        <v>5.8666666666666671</v>
      </c>
      <c r="AY41" s="54">
        <v>0.5</v>
      </c>
      <c r="AZ41" s="54">
        <v>0</v>
      </c>
      <c r="BA41" s="54">
        <v>0</v>
      </c>
      <c r="BB41" s="233"/>
      <c r="BC41" s="54">
        <v>0.5</v>
      </c>
      <c r="BD41" s="54">
        <v>0</v>
      </c>
      <c r="BE41" s="313">
        <v>0</v>
      </c>
      <c r="BF41" s="233"/>
      <c r="BG41" s="54"/>
      <c r="BH41" s="54"/>
      <c r="BI41" s="54"/>
      <c r="BJ41" s="59"/>
      <c r="BK41" s="60"/>
      <c r="BL41" s="60"/>
      <c r="BM41" s="60"/>
      <c r="BN41" s="59"/>
      <c r="BO41" s="60"/>
      <c r="BP41" s="60"/>
      <c r="BQ41" s="837"/>
      <c r="BR41" s="59"/>
      <c r="BS41" s="60"/>
      <c r="BT41" s="60"/>
      <c r="BU41" s="60"/>
      <c r="BV41" s="837"/>
      <c r="BW41" s="1128"/>
      <c r="BX41" s="1113"/>
      <c r="BY41" s="1113"/>
      <c r="BZ41" s="1113"/>
      <c r="CA41" s="1122"/>
      <c r="CB41" s="509">
        <f>9.14</f>
        <v>9.14</v>
      </c>
      <c r="CC41">
        <f>9.14-2*CS41/1000</f>
        <v>9.0764000000000014</v>
      </c>
      <c r="CD41">
        <f>2.74-(DR41+DT41)/1000</f>
        <v>2.7035</v>
      </c>
      <c r="CE41"/>
      <c r="CF41" s="425"/>
      <c r="CJ41" s="427"/>
      <c r="CO41"/>
      <c r="CQ41" s="355">
        <f t="shared" si="39"/>
        <v>88.736699999999999</v>
      </c>
      <c r="CR41" s="426" t="s">
        <v>438</v>
      </c>
      <c r="CS41" s="119">
        <f>2*15.9</f>
        <v>31.8</v>
      </c>
      <c r="CT41" s="119" t="s">
        <v>423</v>
      </c>
      <c r="CU41" s="119">
        <v>175</v>
      </c>
      <c r="CV41" s="506"/>
      <c r="CW41" s="518"/>
      <c r="CX41" s="506" t="s">
        <v>509</v>
      </c>
      <c r="CY41" s="506"/>
      <c r="CZ41" s="339">
        <v>0.12</v>
      </c>
      <c r="DA41"/>
      <c r="DB41" s="340">
        <f t="shared" si="40"/>
        <v>80.635274800000005</v>
      </c>
      <c r="DC41" s="506">
        <f>6.1*CD41*2</f>
        <v>32.982700000000001</v>
      </c>
      <c r="DD41" s="433" t="s">
        <v>438</v>
      </c>
      <c r="DE41" s="506">
        <f>2*15.9</f>
        <v>31.8</v>
      </c>
      <c r="DF41" s="506" t="s">
        <v>423</v>
      </c>
      <c r="DG41" s="506">
        <v>175</v>
      </c>
      <c r="DH41" s="506" t="s">
        <v>426</v>
      </c>
      <c r="DI41" s="427">
        <f>2*12.7</f>
        <v>25.4</v>
      </c>
      <c r="DJ41" t="s">
        <v>509</v>
      </c>
      <c r="DK41"/>
      <c r="DL41" s="339">
        <v>0.12</v>
      </c>
      <c r="DM41" s="506"/>
      <c r="DO41">
        <f t="shared" si="46"/>
        <v>82.958296000000018</v>
      </c>
      <c r="DP41" s="430">
        <f>6.1*CB41</f>
        <v>55.753999999999998</v>
      </c>
      <c r="DQ41" s="506" t="s">
        <v>431</v>
      </c>
      <c r="DR41" s="506">
        <v>11.1</v>
      </c>
      <c r="DS41" s="506" t="s">
        <v>426</v>
      </c>
      <c r="DT41" s="506">
        <f>2*12.7</f>
        <v>25.4</v>
      </c>
      <c r="DU41" s="506" t="s">
        <v>423</v>
      </c>
      <c r="DV41" s="427">
        <v>175</v>
      </c>
      <c r="DX41"/>
      <c r="DY41" s="341"/>
      <c r="DZ41"/>
      <c r="EA41" s="506">
        <f>CB41*CC41</f>
        <v>82.958296000000018</v>
      </c>
      <c r="EB41" s="427" t="s">
        <v>427</v>
      </c>
      <c r="EC41" s="129" t="s">
        <v>510</v>
      </c>
      <c r="ED41"/>
      <c r="EE41" s="506"/>
      <c r="EF41" s="341"/>
      <c r="EK41"/>
      <c r="EL41" s="698"/>
      <c r="EM41" s="518"/>
      <c r="EN41" s="129" t="s">
        <v>510</v>
      </c>
      <c r="EP41"/>
      <c r="EQ41" s="339"/>
      <c r="EV41"/>
      <c r="EW41" s="690"/>
      <c r="EX41"/>
      <c r="EY41" s="21">
        <v>2</v>
      </c>
      <c r="EZ41" s="425">
        <v>3.66</v>
      </c>
      <c r="FA41" s="506">
        <v>2.44</v>
      </c>
      <c r="FB41" s="506">
        <v>0</v>
      </c>
      <c r="FC41" s="506">
        <f t="shared" si="47"/>
        <v>0.45500000000000007</v>
      </c>
      <c r="FD41" s="506">
        <f t="shared" si="42"/>
        <v>8.9304000000000006</v>
      </c>
      <c r="FE41" s="506"/>
      <c r="FF41" s="506"/>
      <c r="FG41" s="427" t="s">
        <v>428</v>
      </c>
      <c r="FH41" s="425">
        <v>3.66</v>
      </c>
      <c r="FI41" s="506">
        <v>2.44</v>
      </c>
      <c r="FJ41" s="506">
        <v>0</v>
      </c>
      <c r="FK41" s="506">
        <f t="shared" si="48"/>
        <v>5.0250000000000004</v>
      </c>
      <c r="FL41" s="506">
        <f t="shared" si="49"/>
        <v>8.9304000000000006</v>
      </c>
      <c r="FM41" s="506"/>
      <c r="FN41" s="506"/>
      <c r="FO41" s="427" t="s">
        <v>428</v>
      </c>
      <c r="FU41" s="506"/>
      <c r="FV41" s="506"/>
      <c r="GC41" s="506"/>
      <c r="GD41" s="506"/>
      <c r="GK41" s="506"/>
      <c r="GL41" s="506"/>
      <c r="GS41" s="506"/>
      <c r="GT41" s="506"/>
      <c r="GU41" s="510"/>
      <c r="HA41" s="506"/>
      <c r="HB41" s="506"/>
      <c r="HC41" s="510"/>
      <c r="HI41" s="506"/>
      <c r="HJ41" s="506"/>
      <c r="HK41" s="510"/>
      <c r="HQ41" s="506"/>
      <c r="HR41" s="506"/>
      <c r="HS41" s="510"/>
      <c r="HY41" s="506"/>
      <c r="HZ41" s="506"/>
      <c r="IA41" s="510"/>
      <c r="IG41" s="506"/>
      <c r="IH41" s="506"/>
      <c r="II41" s="510"/>
    </row>
    <row r="42" spans="1:243" ht="15" customHeight="1" thickBot="1">
      <c r="A42" s="1163"/>
      <c r="B42" s="1143"/>
      <c r="C42" s="6">
        <v>5</v>
      </c>
      <c r="D42" s="7" t="str">
        <f t="shared" si="50"/>
        <v>USDA_5</v>
      </c>
      <c r="E42" s="1137"/>
      <c r="F42" s="1140"/>
      <c r="G42" s="1234"/>
      <c r="H42" s="523">
        <f t="shared" si="30"/>
        <v>82.958296000000018</v>
      </c>
      <c r="I42" s="524">
        <f t="shared" si="31"/>
        <v>264.41266680000001</v>
      </c>
      <c r="J42" s="8">
        <f t="shared" si="32"/>
        <v>0.33559927772718939</v>
      </c>
      <c r="K42" s="32" t="s">
        <v>512</v>
      </c>
      <c r="L42" s="8">
        <f t="shared" si="29"/>
        <v>0.90091610432378366</v>
      </c>
      <c r="M42" s="8">
        <f t="shared" si="4"/>
        <v>1.1004699893451593</v>
      </c>
      <c r="N42" s="8">
        <f t="shared" si="5"/>
        <v>1.0696543236616141</v>
      </c>
      <c r="O42" s="133">
        <f t="shared" si="33"/>
        <v>0.40903562469163929</v>
      </c>
      <c r="P42" s="132">
        <f t="shared" si="34"/>
        <v>0.67207262791415079</v>
      </c>
      <c r="Q42" s="132"/>
      <c r="R42" s="132"/>
      <c r="S42" s="445"/>
      <c r="T42" s="680">
        <v>8</v>
      </c>
      <c r="U42" s="446">
        <v>23</v>
      </c>
      <c r="V42" s="680" t="s">
        <v>417</v>
      </c>
      <c r="W42" s="523">
        <f t="shared" si="35"/>
        <v>2.44</v>
      </c>
      <c r="X42" s="208">
        <f t="shared" si="36"/>
        <v>17.860800000000001</v>
      </c>
      <c r="Y42" s="356">
        <f t="shared" si="37"/>
        <v>0.10551484473090574</v>
      </c>
      <c r="Z42" s="141">
        <v>5.7</v>
      </c>
      <c r="AA42" s="141"/>
      <c r="AB42" s="141"/>
      <c r="AC42" s="141">
        <f t="shared" si="38"/>
        <v>0</v>
      </c>
      <c r="AD42" s="141"/>
      <c r="AE42" s="141"/>
      <c r="AF42" s="141"/>
      <c r="AG42" s="141"/>
      <c r="AH42" s="141"/>
      <c r="AI42" s="141"/>
      <c r="AJ42" s="141"/>
      <c r="AK42" s="444"/>
      <c r="AL42" s="107">
        <v>620</v>
      </c>
      <c r="AM42" s="107">
        <v>180</v>
      </c>
      <c r="AN42" s="107"/>
      <c r="AO42" s="107"/>
      <c r="AP42" s="107"/>
      <c r="AQ42" s="107"/>
      <c r="AR42" s="25">
        <v>66.099999999999994</v>
      </c>
      <c r="AS42" s="25">
        <v>66.099999999999994</v>
      </c>
      <c r="AT42" s="25">
        <v>98.9</v>
      </c>
      <c r="AU42" s="25">
        <v>75.2</v>
      </c>
      <c r="AV42" s="266"/>
      <c r="AW42" s="267" t="s">
        <v>430</v>
      </c>
      <c r="AX42" s="194">
        <v>30</v>
      </c>
      <c r="AY42" s="55">
        <v>1</v>
      </c>
      <c r="AZ42" s="608">
        <v>0.1</v>
      </c>
      <c r="BA42" s="55">
        <v>12</v>
      </c>
      <c r="BB42" s="234"/>
      <c r="BC42" s="55">
        <v>1</v>
      </c>
      <c r="BD42" s="608">
        <v>0.1</v>
      </c>
      <c r="BE42" s="297">
        <v>10</v>
      </c>
      <c r="BF42" s="234"/>
      <c r="BG42" s="55"/>
      <c r="BH42" s="55"/>
      <c r="BI42" s="55"/>
      <c r="BJ42" s="61"/>
      <c r="BK42" s="62"/>
      <c r="BL42" s="62"/>
      <c r="BM42" s="62"/>
      <c r="BN42" s="61"/>
      <c r="BO42" s="62"/>
      <c r="BP42" s="62"/>
      <c r="BQ42" s="838"/>
      <c r="BR42" s="61"/>
      <c r="BS42" s="62"/>
      <c r="BT42" s="62"/>
      <c r="BU42" s="62"/>
      <c r="BV42" s="838"/>
      <c r="BW42" s="1129"/>
      <c r="BX42" s="1130"/>
      <c r="BY42" s="1130"/>
      <c r="BZ42" s="1130"/>
      <c r="CA42" s="1131"/>
      <c r="CB42" s="511">
        <f>9.14</f>
        <v>9.14</v>
      </c>
      <c r="CC42" s="512">
        <f>9.14-2*CS42/1000</f>
        <v>9.0764000000000014</v>
      </c>
      <c r="CD42" s="512">
        <f>2.74-(DR42+DT42)/1000</f>
        <v>2.7035</v>
      </c>
      <c r="CE42" s="512"/>
      <c r="CF42" s="25"/>
      <c r="CG42" s="109"/>
      <c r="CH42" s="109"/>
      <c r="CI42" s="109"/>
      <c r="CJ42" s="428"/>
      <c r="CK42" s="512"/>
      <c r="CL42" s="512"/>
      <c r="CM42" s="512"/>
      <c r="CN42" s="512"/>
      <c r="CO42" s="512"/>
      <c r="CP42" s="109"/>
      <c r="CQ42" s="358">
        <f t="shared" si="39"/>
        <v>88.736699999999999</v>
      </c>
      <c r="CR42" s="164" t="s">
        <v>438</v>
      </c>
      <c r="CS42" s="136">
        <f>2*15.9</f>
        <v>31.8</v>
      </c>
      <c r="CT42" s="136" t="s">
        <v>423</v>
      </c>
      <c r="CU42" s="136">
        <v>175</v>
      </c>
      <c r="CV42" s="109"/>
      <c r="CW42" s="519"/>
      <c r="CX42" s="109" t="s">
        <v>509</v>
      </c>
      <c r="CY42" s="109"/>
      <c r="CZ42" s="359">
        <v>0.12</v>
      </c>
      <c r="DA42" s="512"/>
      <c r="DB42" s="360">
        <f t="shared" si="40"/>
        <v>80.635274800000005</v>
      </c>
      <c r="DC42" s="109">
        <f>6.1*CD42*2</f>
        <v>32.982700000000001</v>
      </c>
      <c r="DD42" s="79" t="s">
        <v>438</v>
      </c>
      <c r="DE42" s="109">
        <f>2*15.9</f>
        <v>31.8</v>
      </c>
      <c r="DF42" s="109" t="s">
        <v>423</v>
      </c>
      <c r="DG42" s="109">
        <v>175</v>
      </c>
      <c r="DH42" s="109" t="s">
        <v>426</v>
      </c>
      <c r="DI42" s="428">
        <f>2*12.7</f>
        <v>25.4</v>
      </c>
      <c r="DJ42" s="512" t="s">
        <v>509</v>
      </c>
      <c r="DK42" s="512"/>
      <c r="DL42" s="359">
        <v>0.12</v>
      </c>
      <c r="DM42" s="109"/>
      <c r="DN42" s="512"/>
      <c r="DO42" s="512">
        <f t="shared" si="46"/>
        <v>82.958296000000018</v>
      </c>
      <c r="DP42" s="522">
        <f>6.1*CB42</f>
        <v>55.753999999999998</v>
      </c>
      <c r="DQ42" s="109" t="s">
        <v>431</v>
      </c>
      <c r="DR42" s="109">
        <v>11.1</v>
      </c>
      <c r="DS42" s="109" t="s">
        <v>426</v>
      </c>
      <c r="DT42" s="109">
        <f>2*12.7</f>
        <v>25.4</v>
      </c>
      <c r="DU42" s="109" t="s">
        <v>423</v>
      </c>
      <c r="DV42" s="428">
        <v>175</v>
      </c>
      <c r="DW42" s="512"/>
      <c r="DX42" s="512"/>
      <c r="DY42" s="361"/>
      <c r="DZ42" s="512"/>
      <c r="EA42" s="109">
        <f>CB42*CC42</f>
        <v>82.958296000000018</v>
      </c>
      <c r="EB42" s="428" t="s">
        <v>427</v>
      </c>
      <c r="EC42" s="130" t="s">
        <v>510</v>
      </c>
      <c r="ED42" s="512"/>
      <c r="EE42" s="109"/>
      <c r="EF42" s="361"/>
      <c r="EG42" s="512"/>
      <c r="EH42" s="512"/>
      <c r="EI42" s="512"/>
      <c r="EJ42" s="512"/>
      <c r="EK42" s="512"/>
      <c r="EL42" s="699"/>
      <c r="EM42" s="519"/>
      <c r="EN42" s="130" t="s">
        <v>510</v>
      </c>
      <c r="EO42" s="512"/>
      <c r="EP42" s="512"/>
      <c r="EQ42" s="359"/>
      <c r="ER42" s="512"/>
      <c r="ES42" s="512"/>
      <c r="ET42" s="512"/>
      <c r="EU42" s="512"/>
      <c r="EV42" s="512"/>
      <c r="EW42" s="695"/>
      <c r="EX42" s="512"/>
      <c r="EY42" s="26">
        <v>2</v>
      </c>
      <c r="EZ42" s="25">
        <v>3.66</v>
      </c>
      <c r="FA42" s="109">
        <v>2.44</v>
      </c>
      <c r="FB42" s="109">
        <v>0</v>
      </c>
      <c r="FC42" s="109">
        <f t="shared" si="47"/>
        <v>0.45500000000000007</v>
      </c>
      <c r="FD42" s="109">
        <f t="shared" si="42"/>
        <v>8.9304000000000006</v>
      </c>
      <c r="FE42" s="109"/>
      <c r="FF42" s="109"/>
      <c r="FG42" s="428" t="s">
        <v>428</v>
      </c>
      <c r="FH42" s="25">
        <v>3.66</v>
      </c>
      <c r="FI42" s="109">
        <v>2.44</v>
      </c>
      <c r="FJ42" s="109">
        <v>0</v>
      </c>
      <c r="FK42" s="109">
        <f t="shared" si="48"/>
        <v>5.0250000000000004</v>
      </c>
      <c r="FL42" s="109">
        <f t="shared" si="49"/>
        <v>8.9304000000000006</v>
      </c>
      <c r="FM42" s="109"/>
      <c r="FN42" s="109"/>
      <c r="FO42" s="428" t="s">
        <v>428</v>
      </c>
      <c r="FU42" s="506"/>
      <c r="FV42" s="506"/>
      <c r="GC42" s="506"/>
      <c r="GD42" s="506"/>
      <c r="GK42" s="506"/>
      <c r="GL42" s="506"/>
      <c r="GS42" s="506"/>
      <c r="GT42" s="506"/>
      <c r="GU42" s="510"/>
      <c r="HA42" s="506"/>
      <c r="HB42" s="506"/>
      <c r="HC42" s="510"/>
      <c r="HI42" s="506"/>
      <c r="HJ42" s="506"/>
      <c r="HK42" s="510"/>
      <c r="HQ42" s="506"/>
      <c r="HR42" s="506"/>
      <c r="HS42" s="510"/>
      <c r="HY42" s="506"/>
      <c r="HZ42" s="506"/>
      <c r="IA42" s="510"/>
      <c r="IG42" s="506"/>
      <c r="IH42" s="506"/>
      <c r="II42" s="510"/>
    </row>
    <row r="43" spans="1:243" ht="15" customHeight="1" thickBot="1">
      <c r="A43" s="1161" t="s">
        <v>514</v>
      </c>
      <c r="B43" s="1141" t="s">
        <v>515</v>
      </c>
      <c r="C43" s="51">
        <v>1</v>
      </c>
      <c r="D43" s="425" t="str">
        <f>CONCATENATE("Epernon_",C43)</f>
        <v>Epernon_1</v>
      </c>
      <c r="E43" s="1135">
        <v>891</v>
      </c>
      <c r="F43" s="1176" t="s">
        <v>464</v>
      </c>
      <c r="G43" s="1176">
        <v>17.5</v>
      </c>
      <c r="H43" s="525">
        <f t="shared" si="30"/>
        <v>24</v>
      </c>
      <c r="I43" s="354">
        <f t="shared" si="31"/>
        <v>98.4</v>
      </c>
      <c r="J43" s="2">
        <f t="shared" si="32"/>
        <v>0.21006097560975606</v>
      </c>
      <c r="K43" s="33" t="s">
        <v>457</v>
      </c>
      <c r="L43" s="2">
        <f t="shared" si="29"/>
        <v>0.41011904761904761</v>
      </c>
      <c r="M43" s="2">
        <f t="shared" si="4"/>
        <v>0.51163366336633664</v>
      </c>
      <c r="N43" s="2">
        <f t="shared" si="5"/>
        <v>0.86124999999999996</v>
      </c>
      <c r="O43" s="158"/>
      <c r="P43" s="159">
        <f t="shared" si="34"/>
        <v>0.86124999999999996</v>
      </c>
      <c r="Q43" s="159"/>
      <c r="R43" s="159"/>
      <c r="S43" s="160"/>
      <c r="T43" s="678"/>
      <c r="U43" s="285"/>
      <c r="V43" s="679" t="s">
        <v>417</v>
      </c>
      <c r="W43" s="209">
        <f t="shared" si="35"/>
        <v>2</v>
      </c>
      <c r="X43" s="113">
        <f t="shared" si="36"/>
        <v>10</v>
      </c>
      <c r="Y43" s="378">
        <f t="shared" si="37"/>
        <v>0.14372089048507064</v>
      </c>
      <c r="Z43" s="140"/>
      <c r="AA43" s="140"/>
      <c r="AB43" s="140"/>
      <c r="AC43" s="140">
        <f t="shared" si="38"/>
        <v>0</v>
      </c>
      <c r="AD43" s="140"/>
      <c r="AE43" s="140" t="s">
        <v>1003</v>
      </c>
      <c r="AF43" s="140"/>
      <c r="AG43" s="489"/>
      <c r="AH43" s="489"/>
      <c r="AI43" s="1039"/>
      <c r="AJ43" s="492"/>
      <c r="AK43" s="435"/>
      <c r="AL43" s="87">
        <v>1192</v>
      </c>
      <c r="AM43" s="87">
        <v>240</v>
      </c>
      <c r="AN43" s="87"/>
      <c r="AO43" s="87"/>
      <c r="AP43" s="87"/>
      <c r="AQ43" s="87"/>
      <c r="AR43" s="425"/>
      <c r="AS43" s="425"/>
      <c r="AT43" s="425"/>
      <c r="AU43" s="425"/>
      <c r="AV43" s="263" t="s">
        <v>516</v>
      </c>
      <c r="AW43" s="263" t="s">
        <v>430</v>
      </c>
      <c r="AX43" s="198">
        <f>29/2*60</f>
        <v>870</v>
      </c>
      <c r="AY43" s="178"/>
      <c r="AZ43" s="178"/>
      <c r="BA43" s="178"/>
      <c r="BB43" s="226"/>
      <c r="BC43" s="188">
        <f>33*(5-3.5)</f>
        <v>49.5</v>
      </c>
      <c r="BD43" s="617">
        <f>BC43</f>
        <v>49.5</v>
      </c>
      <c r="BE43" s="618">
        <f t="shared" ref="BE43:BE45" si="51">BD43</f>
        <v>49.5</v>
      </c>
      <c r="BF43" s="238">
        <f>BC43/(AX43-10)</f>
        <v>5.7558139534883722E-2</v>
      </c>
      <c r="BG43" s="178"/>
      <c r="BH43" s="178"/>
      <c r="BI43" s="178"/>
      <c r="BJ43" s="72"/>
      <c r="BK43" s="63"/>
      <c r="BL43" s="63"/>
      <c r="BM43" s="63"/>
      <c r="BN43" s="72"/>
      <c r="BO43" s="63"/>
      <c r="BP43" s="63"/>
      <c r="BQ43" s="828"/>
      <c r="BR43" s="72"/>
      <c r="BS43" s="63"/>
      <c r="BT43" s="63"/>
      <c r="BU43" s="63"/>
      <c r="BV43" s="828"/>
      <c r="BW43" s="1132" t="s">
        <v>517</v>
      </c>
      <c r="BX43" s="1126"/>
      <c r="BY43" s="1126"/>
      <c r="BZ43" s="1126"/>
      <c r="CA43" s="1127"/>
      <c r="CB43" s="92">
        <v>6</v>
      </c>
      <c r="CC43" s="507">
        <v>4</v>
      </c>
      <c r="CD43" s="507">
        <v>2.52</v>
      </c>
      <c r="CE43" s="507"/>
      <c r="CF43" s="149"/>
      <c r="CG43" s="504"/>
      <c r="CH43" s="504"/>
      <c r="CI43" s="504"/>
      <c r="CJ43" s="45"/>
      <c r="CK43" s="507"/>
      <c r="CL43" s="507"/>
      <c r="CM43" s="507"/>
      <c r="CN43" s="507"/>
      <c r="CO43" s="507"/>
      <c r="CP43" s="504"/>
      <c r="CQ43" s="350">
        <f t="shared" si="39"/>
        <v>20.669999999999998</v>
      </c>
      <c r="CR43" s="163" t="s">
        <v>518</v>
      </c>
      <c r="CS43" s="118">
        <v>300</v>
      </c>
      <c r="CT43" s="118"/>
      <c r="CU43" s="118"/>
      <c r="CV43" s="504"/>
      <c r="CW43" s="156"/>
      <c r="CX43" s="149"/>
      <c r="CY43" s="504"/>
      <c r="CZ43" s="351"/>
      <c r="DA43" s="507"/>
      <c r="DB43" s="352"/>
      <c r="DC43" s="504"/>
      <c r="DD43" s="163" t="s">
        <v>423</v>
      </c>
      <c r="DE43" s="118">
        <f>33*5</f>
        <v>165</v>
      </c>
      <c r="DF43" s="504"/>
      <c r="DG43" s="504"/>
      <c r="DH43" s="504"/>
      <c r="DI43" s="45"/>
      <c r="DJ43" s="109" t="s">
        <v>519</v>
      </c>
      <c r="DK43" s="507"/>
      <c r="DL43" s="351">
        <v>0.126</v>
      </c>
      <c r="DM43" s="504">
        <v>450</v>
      </c>
      <c r="DN43" s="507"/>
      <c r="DO43" s="504">
        <f t="shared" si="46"/>
        <v>24</v>
      </c>
      <c r="DP43" s="135">
        <f>5.3*3.9</f>
        <v>20.669999999999998</v>
      </c>
      <c r="DQ43" s="504" t="s">
        <v>493</v>
      </c>
      <c r="DR43" s="504">
        <v>25</v>
      </c>
      <c r="DS43" s="504" t="s">
        <v>495</v>
      </c>
      <c r="DT43" s="504">
        <v>25</v>
      </c>
      <c r="DU43" s="504" t="s">
        <v>480</v>
      </c>
      <c r="DV43" s="45">
        <v>100</v>
      </c>
      <c r="DW43" s="507"/>
      <c r="DX43" s="507"/>
      <c r="DY43" s="353"/>
      <c r="DZ43" s="507"/>
      <c r="EA43" s="504"/>
      <c r="EB43" s="45"/>
      <c r="EC43" s="504"/>
      <c r="ED43" s="507"/>
      <c r="EE43" s="504"/>
      <c r="EF43" s="353"/>
      <c r="EG43" s="507"/>
      <c r="EH43" s="507"/>
      <c r="EI43" s="507"/>
      <c r="EJ43" s="507"/>
      <c r="EK43" s="507"/>
      <c r="EL43" s="697"/>
      <c r="EM43" s="156"/>
      <c r="EN43" s="507"/>
      <c r="EO43" s="507"/>
      <c r="EP43" s="507"/>
      <c r="EQ43" s="351"/>
      <c r="ER43" s="507"/>
      <c r="ES43" s="507"/>
      <c r="ET43" s="507"/>
      <c r="EU43" s="507"/>
      <c r="EV43" s="507"/>
      <c r="EW43" s="694"/>
      <c r="EX43" s="507"/>
      <c r="EY43" s="162">
        <v>2</v>
      </c>
      <c r="EZ43" s="506">
        <v>2.5</v>
      </c>
      <c r="FA43" s="506">
        <v>2</v>
      </c>
      <c r="FB43" s="506">
        <v>0</v>
      </c>
      <c r="FC43" s="506">
        <f t="shared" si="47"/>
        <v>0.25</v>
      </c>
      <c r="FD43" s="506">
        <f t="shared" si="42"/>
        <v>5</v>
      </c>
      <c r="FE43" s="506"/>
      <c r="FF43" s="506"/>
      <c r="FG43" s="45" t="s">
        <v>428</v>
      </c>
      <c r="FH43" s="506">
        <v>2.5</v>
      </c>
      <c r="FI43" s="506">
        <v>2</v>
      </c>
      <c r="FJ43" s="506">
        <v>0</v>
      </c>
      <c r="FK43" s="506">
        <f t="shared" si="48"/>
        <v>3.25</v>
      </c>
      <c r="FL43" s="506">
        <f t="shared" si="49"/>
        <v>5</v>
      </c>
      <c r="FM43" s="506"/>
      <c r="FN43" s="506"/>
      <c r="FO43" s="45" t="s">
        <v>428</v>
      </c>
      <c r="FP43" s="149"/>
      <c r="FQ43" s="504"/>
      <c r="FR43" s="504"/>
      <c r="FS43" s="504"/>
      <c r="FT43" s="504"/>
      <c r="FU43" s="504"/>
      <c r="FV43" s="504"/>
      <c r="FW43" s="45"/>
      <c r="GU43" s="510"/>
      <c r="HC43" s="510"/>
      <c r="HK43" s="510"/>
      <c r="HS43" s="510"/>
      <c r="IA43" s="510"/>
      <c r="II43" s="510"/>
    </row>
    <row r="44" spans="1:243" ht="15" customHeight="1" thickBot="1">
      <c r="A44" s="1162"/>
      <c r="B44" s="1142"/>
      <c r="C44" s="51">
        <v>2</v>
      </c>
      <c r="D44" s="725" t="str">
        <f t="shared" ref="D44:D45" si="52">CONCATENATE("Epernon_",C44)</f>
        <v>Epernon_2</v>
      </c>
      <c r="E44" s="1136"/>
      <c r="F44" s="1139"/>
      <c r="G44" s="1139"/>
      <c r="H44" s="525">
        <f t="shared" si="30"/>
        <v>24</v>
      </c>
      <c r="I44" s="354">
        <f t="shared" si="31"/>
        <v>98.4</v>
      </c>
      <c r="J44" s="4">
        <f t="shared" si="32"/>
        <v>0.21006097560975606</v>
      </c>
      <c r="K44" s="716" t="s">
        <v>457</v>
      </c>
      <c r="L44" s="4">
        <f t="shared" si="29"/>
        <v>0.41011904761904761</v>
      </c>
      <c r="M44" s="4">
        <f t="shared" si="4"/>
        <v>0.45032679738562087</v>
      </c>
      <c r="N44" s="4">
        <f t="shared" si="5"/>
        <v>0.86124999999999996</v>
      </c>
      <c r="O44" s="436"/>
      <c r="P44" s="131">
        <f t="shared" si="34"/>
        <v>0.86124999999999996</v>
      </c>
      <c r="Q44" s="131"/>
      <c r="R44" s="131"/>
      <c r="S44" s="437"/>
      <c r="T44" s="679"/>
      <c r="U44" s="438"/>
      <c r="V44" s="679" t="s">
        <v>417</v>
      </c>
      <c r="W44" s="15">
        <f t="shared" si="35"/>
        <v>1.2</v>
      </c>
      <c r="X44" s="113">
        <f t="shared" si="36"/>
        <v>4.5</v>
      </c>
      <c r="Y44" s="378">
        <f t="shared" si="37"/>
        <v>5.0096575381570065E-2</v>
      </c>
      <c r="Z44" s="141">
        <f>H43/X44</f>
        <v>5.333333333333333</v>
      </c>
      <c r="AA44" s="489"/>
      <c r="AB44" s="489"/>
      <c r="AC44" s="489">
        <f t="shared" si="38"/>
        <v>0</v>
      </c>
      <c r="AD44" s="489"/>
      <c r="AE44" s="489" t="s">
        <v>1003</v>
      </c>
      <c r="AF44" s="489"/>
      <c r="AG44" s="489"/>
      <c r="AH44" s="489"/>
      <c r="AI44" s="1040"/>
      <c r="AJ44" s="493"/>
      <c r="AK44" s="435"/>
      <c r="AL44" s="88">
        <v>1199</v>
      </c>
      <c r="AM44" s="88">
        <v>240</v>
      </c>
      <c r="AN44" s="88"/>
      <c r="AO44" s="88"/>
      <c r="AP44" s="88"/>
      <c r="AQ44" s="88"/>
      <c r="AR44" s="425"/>
      <c r="AS44" s="425"/>
      <c r="AT44" s="425"/>
      <c r="AU44" s="425"/>
      <c r="AV44" s="265" t="s">
        <v>520</v>
      </c>
      <c r="AW44" s="265" t="s">
        <v>430</v>
      </c>
      <c r="AX44" s="726">
        <f>29/2*60</f>
        <v>870</v>
      </c>
      <c r="AY44" s="179"/>
      <c r="AZ44" s="179"/>
      <c r="BA44" s="179"/>
      <c r="BB44" s="227"/>
      <c r="BC44" s="189">
        <f>33*(5-2.5)</f>
        <v>82.5</v>
      </c>
      <c r="BD44" s="619">
        <f t="shared" ref="BD44" si="53">BC44</f>
        <v>82.5</v>
      </c>
      <c r="BE44" s="620">
        <f t="shared" si="51"/>
        <v>82.5</v>
      </c>
      <c r="BF44" s="217">
        <f>BC44/(AX44-15)</f>
        <v>9.6491228070175433E-2</v>
      </c>
      <c r="BG44" s="179"/>
      <c r="BH44" s="179"/>
      <c r="BI44" s="179"/>
      <c r="BJ44" s="64"/>
      <c r="BK44" s="65"/>
      <c r="BL44" s="65"/>
      <c r="BM44" s="65"/>
      <c r="BN44" s="64"/>
      <c r="BO44" s="65"/>
      <c r="BP44" s="65"/>
      <c r="BQ44" s="829"/>
      <c r="BR44" s="64"/>
      <c r="BS44" s="65"/>
      <c r="BT44" s="65"/>
      <c r="BU44" s="65"/>
      <c r="BV44" s="829"/>
      <c r="BW44" s="1128"/>
      <c r="BX44" s="1113"/>
      <c r="BY44" s="1113"/>
      <c r="BZ44" s="1113"/>
      <c r="CA44" s="1122"/>
      <c r="CB44" s="509">
        <v>6</v>
      </c>
      <c r="CC44">
        <v>4</v>
      </c>
      <c r="CD44">
        <v>2.52</v>
      </c>
      <c r="CE44"/>
      <c r="CF44" s="425"/>
      <c r="CJ44" s="427"/>
      <c r="CO44"/>
      <c r="CQ44" s="355">
        <f t="shared" si="39"/>
        <v>20.669999999999998</v>
      </c>
      <c r="CR44" s="426" t="s">
        <v>518</v>
      </c>
      <c r="CS44" s="119">
        <v>300</v>
      </c>
      <c r="CU44" s="119"/>
      <c r="CV44" s="506"/>
      <c r="CW44" s="518"/>
      <c r="CY44" s="506"/>
      <c r="CZ44" s="339"/>
      <c r="DA44"/>
      <c r="DB44" s="340"/>
      <c r="DC44" s="506"/>
      <c r="DD44" s="426" t="s">
        <v>423</v>
      </c>
      <c r="DE44" s="119">
        <f>33*5</f>
        <v>165</v>
      </c>
      <c r="DI44" s="427"/>
      <c r="DJ44" s="506" t="s">
        <v>519</v>
      </c>
      <c r="DK44"/>
      <c r="DL44" s="339">
        <v>0.1105</v>
      </c>
      <c r="DM44" s="119">
        <v>450</v>
      </c>
      <c r="DO44" s="506">
        <f t="shared" si="46"/>
        <v>24</v>
      </c>
      <c r="DP44" s="430">
        <f>5.3*3.9</f>
        <v>20.669999999999998</v>
      </c>
      <c r="DQ44" s="506" t="s">
        <v>493</v>
      </c>
      <c r="DR44" s="506">
        <v>25</v>
      </c>
      <c r="DS44" s="506" t="s">
        <v>495</v>
      </c>
      <c r="DT44" s="506">
        <v>25</v>
      </c>
      <c r="DU44" s="506" t="s">
        <v>480</v>
      </c>
      <c r="DV44" s="427">
        <v>100</v>
      </c>
      <c r="DX44"/>
      <c r="DY44" s="341"/>
      <c r="DZ44"/>
      <c r="EB44" s="427"/>
      <c r="EC44" s="506"/>
      <c r="ED44"/>
      <c r="EE44" s="506"/>
      <c r="EF44" s="341"/>
      <c r="EK44"/>
      <c r="EL44" s="698"/>
      <c r="EM44" s="518"/>
      <c r="EP44"/>
      <c r="EQ44" s="339"/>
      <c r="EV44"/>
      <c r="EW44" s="690"/>
      <c r="EX44"/>
      <c r="EY44" s="21">
        <v>3</v>
      </c>
      <c r="EZ44" s="506">
        <v>1.25</v>
      </c>
      <c r="FA44" s="506">
        <v>1.2</v>
      </c>
      <c r="FB44" s="506">
        <v>1</v>
      </c>
      <c r="FC44" s="506">
        <v>0.25</v>
      </c>
      <c r="FD44" s="506">
        <f t="shared" si="42"/>
        <v>1.5</v>
      </c>
      <c r="FE44" s="506"/>
      <c r="FF44" s="506"/>
      <c r="FG44" s="427" t="s">
        <v>428</v>
      </c>
      <c r="FH44" s="506">
        <v>1.25</v>
      </c>
      <c r="FI44" s="506">
        <v>1.2</v>
      </c>
      <c r="FJ44" s="506">
        <v>1</v>
      </c>
      <c r="FK44" s="506">
        <f>(CB43-FH44)/2</f>
        <v>2.375</v>
      </c>
      <c r="FL44" s="506">
        <f t="shared" si="49"/>
        <v>1.5</v>
      </c>
      <c r="FM44" s="506"/>
      <c r="FN44" s="506"/>
      <c r="FO44" s="427" t="s">
        <v>428</v>
      </c>
      <c r="FP44" s="506">
        <v>1.25</v>
      </c>
      <c r="FQ44" s="506">
        <v>1.2</v>
      </c>
      <c r="FR44" s="506">
        <v>1</v>
      </c>
      <c r="FS44" s="506">
        <f>(CB43-FC44-FP44)</f>
        <v>4.5</v>
      </c>
      <c r="FT44" s="506">
        <f>FP44*FQ44</f>
        <v>1.5</v>
      </c>
      <c r="FU44" s="506"/>
      <c r="FV44" s="506"/>
      <c r="FW44" s="427" t="s">
        <v>428</v>
      </c>
      <c r="GU44" s="510"/>
      <c r="HC44" s="510"/>
      <c r="HK44" s="510"/>
      <c r="HS44" s="510"/>
      <c r="IA44" s="510"/>
      <c r="II44" s="510"/>
    </row>
    <row r="45" spans="1:243" ht="15" customHeight="1" thickBot="1">
      <c r="A45" s="1163"/>
      <c r="B45" s="1143"/>
      <c r="C45" s="6">
        <v>3</v>
      </c>
      <c r="D45" s="7" t="str">
        <f t="shared" si="52"/>
        <v>Epernon_3</v>
      </c>
      <c r="E45" s="1137"/>
      <c r="F45" s="1140"/>
      <c r="G45" s="1140"/>
      <c r="H45" s="523">
        <f t="shared" si="30"/>
        <v>24</v>
      </c>
      <c r="I45" s="524">
        <f t="shared" si="31"/>
        <v>98.4</v>
      </c>
      <c r="J45" s="8">
        <f t="shared" si="32"/>
        <v>0.21006097560975606</v>
      </c>
      <c r="K45" s="32" t="s">
        <v>457</v>
      </c>
      <c r="L45" s="8">
        <f t="shared" si="29"/>
        <v>0.41011904761904761</v>
      </c>
      <c r="M45" s="8">
        <f t="shared" si="4"/>
        <v>0.4288381742738589</v>
      </c>
      <c r="N45" s="8">
        <f t="shared" si="5"/>
        <v>0.86124999999999996</v>
      </c>
      <c r="O45" s="133"/>
      <c r="P45" s="132">
        <f t="shared" si="34"/>
        <v>0.86124999999999996</v>
      </c>
      <c r="Q45" s="132"/>
      <c r="R45" s="132"/>
      <c r="S45" s="445"/>
      <c r="T45" s="680"/>
      <c r="U45" s="446"/>
      <c r="V45" s="680" t="s">
        <v>417</v>
      </c>
      <c r="W45" s="16">
        <f t="shared" si="35"/>
        <v>2</v>
      </c>
      <c r="X45" s="114">
        <f t="shared" si="36"/>
        <v>2.2000000000000002</v>
      </c>
      <c r="Y45" s="983">
        <f t="shared" si="37"/>
        <v>3.1618595906715542E-2</v>
      </c>
      <c r="Z45" s="141">
        <f>H44/X45</f>
        <v>10.909090909090908</v>
      </c>
      <c r="AA45" s="141"/>
      <c r="AB45" s="141"/>
      <c r="AC45" s="141">
        <f t="shared" si="38"/>
        <v>0</v>
      </c>
      <c r="AD45" s="141"/>
      <c r="AE45" s="141" t="s">
        <v>1003</v>
      </c>
      <c r="AF45" s="141"/>
      <c r="AG45" s="489"/>
      <c r="AH45" s="489"/>
      <c r="AI45" s="1040"/>
      <c r="AJ45" s="493"/>
      <c r="AK45" s="444"/>
      <c r="AL45" s="89">
        <v>1200</v>
      </c>
      <c r="AM45" s="89">
        <v>108</v>
      </c>
      <c r="AN45" s="89"/>
      <c r="AO45" s="89"/>
      <c r="AP45" s="89"/>
      <c r="AQ45" s="89"/>
      <c r="AR45" s="25"/>
      <c r="AS45" s="25"/>
      <c r="AT45" s="25"/>
      <c r="AU45" s="25"/>
      <c r="AV45" s="266" t="s">
        <v>521</v>
      </c>
      <c r="AW45" s="266" t="s">
        <v>417</v>
      </c>
      <c r="AX45" s="194">
        <v>100</v>
      </c>
      <c r="AY45" s="180"/>
      <c r="AZ45" s="180"/>
      <c r="BA45" s="180"/>
      <c r="BB45" s="228"/>
      <c r="BC45" s="190">
        <v>78</v>
      </c>
      <c r="BD45" s="621">
        <f t="shared" ref="BD45" si="54">BC45</f>
        <v>78</v>
      </c>
      <c r="BE45" s="622">
        <f t="shared" si="51"/>
        <v>78</v>
      </c>
      <c r="BF45" s="239">
        <f>86/(108-18)</f>
        <v>0.9555555555555556</v>
      </c>
      <c r="BG45" s="180"/>
      <c r="BH45" s="180"/>
      <c r="BI45" s="180"/>
      <c r="BJ45" s="66"/>
      <c r="BK45" s="67"/>
      <c r="BL45" s="67"/>
      <c r="BM45" s="67"/>
      <c r="BN45" s="66"/>
      <c r="BO45" s="67"/>
      <c r="BP45" s="67"/>
      <c r="BQ45" s="830"/>
      <c r="BR45" s="66"/>
      <c r="BS45" s="67"/>
      <c r="BT45" s="67"/>
      <c r="BU45" s="67"/>
      <c r="BV45" s="830"/>
      <c r="BW45" s="1129"/>
      <c r="BX45" s="1130"/>
      <c r="BY45" s="1130"/>
      <c r="BZ45" s="1130"/>
      <c r="CA45" s="1131"/>
      <c r="CB45" s="511">
        <v>6</v>
      </c>
      <c r="CC45" s="512">
        <v>4</v>
      </c>
      <c r="CD45" s="512">
        <v>2.52</v>
      </c>
      <c r="CE45" s="512"/>
      <c r="CF45" s="25">
        <v>0.5</v>
      </c>
      <c r="CG45" s="109"/>
      <c r="CH45" s="109"/>
      <c r="CI45" s="109"/>
      <c r="CJ45" s="428"/>
      <c r="CK45" s="512"/>
      <c r="CL45" s="512"/>
      <c r="CM45" s="512"/>
      <c r="CN45" s="512"/>
      <c r="CO45" s="512"/>
      <c r="CP45" s="109"/>
      <c r="CQ45" s="358">
        <f t="shared" si="39"/>
        <v>20.669999999999998</v>
      </c>
      <c r="CR45" s="164" t="s">
        <v>518</v>
      </c>
      <c r="CS45" s="136">
        <v>300</v>
      </c>
      <c r="CT45" s="136"/>
      <c r="CU45" s="136"/>
      <c r="CV45" s="109"/>
      <c r="CW45" s="519"/>
      <c r="CX45" s="109"/>
      <c r="CY45" s="109"/>
      <c r="CZ45" s="359"/>
      <c r="DA45" s="512"/>
      <c r="DB45" s="360"/>
      <c r="DC45" s="109"/>
      <c r="DD45" s="164" t="s">
        <v>423</v>
      </c>
      <c r="DE45" s="136">
        <f>33*5</f>
        <v>165</v>
      </c>
      <c r="DF45" s="109"/>
      <c r="DG45" s="109"/>
      <c r="DH45" s="109"/>
      <c r="DI45" s="428"/>
      <c r="DJ45" s="109" t="s">
        <v>519</v>
      </c>
      <c r="DK45" s="512"/>
      <c r="DL45" s="359">
        <v>0.106</v>
      </c>
      <c r="DM45" s="136">
        <v>450</v>
      </c>
      <c r="DN45" s="512"/>
      <c r="DO45" s="109">
        <f t="shared" si="46"/>
        <v>24</v>
      </c>
      <c r="DP45" s="522">
        <f>5.3*3.9</f>
        <v>20.669999999999998</v>
      </c>
      <c r="DQ45" s="109" t="s">
        <v>493</v>
      </c>
      <c r="DR45" s="109">
        <v>25</v>
      </c>
      <c r="DS45" s="109" t="s">
        <v>495</v>
      </c>
      <c r="DT45" s="109">
        <v>25</v>
      </c>
      <c r="DU45" s="109" t="s">
        <v>480</v>
      </c>
      <c r="DV45" s="428">
        <v>100</v>
      </c>
      <c r="DW45" s="512"/>
      <c r="DX45" s="512"/>
      <c r="DY45" s="361"/>
      <c r="DZ45" s="512"/>
      <c r="EA45" s="109"/>
      <c r="EB45" s="428"/>
      <c r="EC45" s="109"/>
      <c r="ED45" s="512"/>
      <c r="EE45" s="109"/>
      <c r="EF45" s="361"/>
      <c r="EG45" s="512"/>
      <c r="EH45" s="512"/>
      <c r="EI45" s="512"/>
      <c r="EJ45" s="512"/>
      <c r="EK45" s="512"/>
      <c r="EL45" s="699"/>
      <c r="EM45" s="519"/>
      <c r="EN45" s="512"/>
      <c r="EO45" s="512"/>
      <c r="EP45" s="512"/>
      <c r="EQ45" s="359"/>
      <c r="ER45" s="512"/>
      <c r="ES45" s="512"/>
      <c r="ET45" s="512"/>
      <c r="EU45" s="512"/>
      <c r="EV45" s="512"/>
      <c r="EW45" s="695"/>
      <c r="EX45" s="512"/>
      <c r="EY45" s="26">
        <v>1</v>
      </c>
      <c r="EZ45" s="506">
        <v>1.1000000000000001</v>
      </c>
      <c r="FA45" s="506">
        <v>2</v>
      </c>
      <c r="FB45" s="506">
        <v>0</v>
      </c>
      <c r="FC45" s="506">
        <f>(CB45-EZ45)/2</f>
        <v>2.4500000000000002</v>
      </c>
      <c r="FD45" s="506">
        <f t="shared" si="42"/>
        <v>2.2000000000000002</v>
      </c>
      <c r="FE45" s="506"/>
      <c r="FF45" s="506"/>
      <c r="FG45" s="428" t="s">
        <v>428</v>
      </c>
      <c r="FO45" s="519"/>
      <c r="FW45" s="519"/>
      <c r="GC45" s="512"/>
      <c r="GD45" s="512"/>
      <c r="GK45" s="512"/>
      <c r="GL45" s="512"/>
      <c r="GS45" s="512"/>
      <c r="GT45" s="512"/>
      <c r="GU45" s="510"/>
      <c r="HA45" s="512"/>
      <c r="HB45" s="512"/>
      <c r="HC45" s="510"/>
      <c r="HI45" s="512"/>
      <c r="HJ45" s="512"/>
      <c r="HK45" s="510"/>
      <c r="HQ45" s="512"/>
      <c r="HR45" s="512"/>
      <c r="HS45" s="510"/>
      <c r="HY45" s="512"/>
      <c r="HZ45" s="512"/>
      <c r="IA45" s="510"/>
      <c r="IG45" s="512"/>
      <c r="IH45" s="512"/>
      <c r="II45" s="510"/>
    </row>
    <row r="46" spans="1:243" ht="14.45" customHeight="1" thickBot="1">
      <c r="A46" s="1161" t="s">
        <v>522</v>
      </c>
      <c r="B46" s="1150" t="s">
        <v>523</v>
      </c>
      <c r="C46" s="13">
        <v>1</v>
      </c>
      <c r="D46" s="149" t="str">
        <f>CONCATENATE($A$46,"_",C46)</f>
        <v>NRCC_LS_1</v>
      </c>
      <c r="E46" s="1164">
        <v>613</v>
      </c>
      <c r="F46" s="1160" t="s">
        <v>429</v>
      </c>
      <c r="G46" s="1165">
        <v>18</v>
      </c>
      <c r="H46" s="335">
        <f t="shared" si="30"/>
        <v>22.400000000000002</v>
      </c>
      <c r="I46" s="347">
        <f t="shared" si="31"/>
        <v>99.88</v>
      </c>
      <c r="J46" s="10">
        <v>0</v>
      </c>
      <c r="K46" s="43">
        <v>0</v>
      </c>
      <c r="L46" s="10">
        <f t="shared" si="29"/>
        <v>1.3017429193899783</v>
      </c>
      <c r="M46" s="10">
        <f t="shared" si="4"/>
        <v>1.4271496815286626</v>
      </c>
      <c r="N46" s="10">
        <f t="shared" si="5"/>
        <v>3.2008928571428568</v>
      </c>
      <c r="O46" s="158">
        <f>DC46/(2*(CB46+CC46)*CD46-X46)</f>
        <v>0.98527070063694278</v>
      </c>
      <c r="P46" s="159">
        <f t="shared" si="34"/>
        <v>0.99107142857142849</v>
      </c>
      <c r="Q46" s="159"/>
      <c r="R46" s="159"/>
      <c r="S46" s="160"/>
      <c r="T46" s="678"/>
      <c r="U46" s="285"/>
      <c r="V46" s="678" t="s">
        <v>417</v>
      </c>
      <c r="W46" s="335">
        <f t="shared" si="35"/>
        <v>2.2000000000000002</v>
      </c>
      <c r="X46" s="299">
        <f t="shared" si="36"/>
        <v>4.8400000000000007</v>
      </c>
      <c r="Y46" s="362">
        <f t="shared" si="37"/>
        <v>7.187505141678617E-2</v>
      </c>
      <c r="Z46" s="140"/>
      <c r="AA46" s="140">
        <v>8</v>
      </c>
      <c r="AB46" s="140"/>
      <c r="AC46" s="140">
        <f t="shared" si="38"/>
        <v>357.14285714285711</v>
      </c>
      <c r="AD46" s="140"/>
      <c r="AE46" s="140"/>
      <c r="AF46" s="140"/>
      <c r="AG46" s="140"/>
      <c r="AH46" s="140"/>
      <c r="AI46" s="140"/>
      <c r="AJ46" s="140"/>
      <c r="AK46" s="42"/>
      <c r="AL46" s="87">
        <v>1250</v>
      </c>
      <c r="AM46" s="87">
        <v>244</v>
      </c>
      <c r="AN46" s="87"/>
      <c r="AO46" s="87"/>
      <c r="AP46" s="87"/>
      <c r="AQ46" s="87"/>
      <c r="AR46" s="13"/>
      <c r="AS46" s="149"/>
      <c r="AT46" s="149"/>
      <c r="AU46" s="149"/>
      <c r="AV46" s="263"/>
      <c r="AW46" s="263" t="s">
        <v>430</v>
      </c>
      <c r="AX46" s="200">
        <v>244</v>
      </c>
      <c r="AY46" s="147">
        <v>25</v>
      </c>
      <c r="AZ46" s="147">
        <v>25</v>
      </c>
      <c r="BA46" s="147">
        <v>25</v>
      </c>
      <c r="BB46" s="229"/>
      <c r="BC46" s="49">
        <v>25</v>
      </c>
      <c r="BD46" s="147">
        <v>25</v>
      </c>
      <c r="BE46" s="318">
        <v>25</v>
      </c>
      <c r="BF46" s="240"/>
      <c r="BG46" s="230"/>
      <c r="BH46" s="147"/>
      <c r="BI46" s="147"/>
      <c r="BJ46" s="148"/>
      <c r="BK46" s="147"/>
      <c r="BL46" s="147"/>
      <c r="BM46" s="147"/>
      <c r="BN46" s="148"/>
      <c r="BO46" s="147"/>
      <c r="BP46" s="147"/>
      <c r="BQ46" s="832"/>
      <c r="BR46" s="1066">
        <v>3.5</v>
      </c>
      <c r="BS46" s="147" t="s">
        <v>428</v>
      </c>
      <c r="BT46" s="147" t="s">
        <v>903</v>
      </c>
      <c r="BU46" s="147">
        <v>310</v>
      </c>
      <c r="BV46" s="1059">
        <v>28.5</v>
      </c>
      <c r="BW46" s="1149" t="s">
        <v>524</v>
      </c>
      <c r="BX46" s="1113"/>
      <c r="BY46" s="1113"/>
      <c r="BZ46" s="1113"/>
      <c r="CA46" s="1122"/>
      <c r="CB46" s="127">
        <v>3.2</v>
      </c>
      <c r="CC46" s="535">
        <v>7</v>
      </c>
      <c r="CD46" s="535">
        <v>2.7</v>
      </c>
      <c r="CE46" s="535"/>
      <c r="CF46" s="426">
        <v>0.5</v>
      </c>
      <c r="CG46" s="119"/>
      <c r="CH46" s="119"/>
      <c r="CI46" s="119"/>
      <c r="CJ46" s="430" t="s">
        <v>525</v>
      </c>
      <c r="CK46" s="506"/>
      <c r="CL46" s="506"/>
      <c r="CM46" s="340">
        <f>3*1000/60/60</f>
        <v>0.83333333333333337</v>
      </c>
      <c r="CN46" s="504">
        <v>315</v>
      </c>
      <c r="CP46" s="506">
        <v>21.6</v>
      </c>
      <c r="CQ46" s="370">
        <f t="shared" si="39"/>
        <v>71.7</v>
      </c>
      <c r="CR46" s="426" t="s">
        <v>452</v>
      </c>
      <c r="CS46" s="424">
        <v>25</v>
      </c>
      <c r="CT46" s="119" t="s">
        <v>438</v>
      </c>
      <c r="CU46" s="119">
        <f>15.9*2</f>
        <v>31.8</v>
      </c>
      <c r="CV46" s="506" t="s">
        <v>894</v>
      </c>
      <c r="CW46" s="427">
        <v>210</v>
      </c>
      <c r="CX46" s="504"/>
      <c r="CY46" s="118" t="s">
        <v>526</v>
      </c>
      <c r="CZ46" s="351"/>
      <c r="DA46" s="504"/>
      <c r="DB46" s="340">
        <f>2*(CB46+CC46)*CD46-X46</f>
        <v>50.239999999999995</v>
      </c>
      <c r="DC46" s="504">
        <v>49.5</v>
      </c>
      <c r="DD46" s="733" t="s">
        <v>527</v>
      </c>
      <c r="DE46" s="504">
        <v>25</v>
      </c>
      <c r="DF46" s="506" t="s">
        <v>438</v>
      </c>
      <c r="DG46" s="506">
        <f>15.9*2</f>
        <v>31.8</v>
      </c>
      <c r="DH46" s="504" t="s">
        <v>423</v>
      </c>
      <c r="DI46" s="45">
        <v>210</v>
      </c>
      <c r="DJ46" s="504"/>
      <c r="DK46" s="118" t="s">
        <v>526</v>
      </c>
      <c r="DL46" s="351"/>
      <c r="DM46" s="504"/>
      <c r="DN46" s="506"/>
      <c r="DO46" s="506">
        <f t="shared" si="46"/>
        <v>22.400000000000002</v>
      </c>
      <c r="DP46" s="135">
        <v>22.2</v>
      </c>
      <c r="DQ46" s="506" t="s">
        <v>438</v>
      </c>
      <c r="DR46" s="506">
        <f>15.9*2</f>
        <v>31.8</v>
      </c>
      <c r="DS46" s="506" t="s">
        <v>423</v>
      </c>
      <c r="DT46" s="506">
        <v>210</v>
      </c>
      <c r="DU46" s="504"/>
      <c r="DV46" s="45"/>
      <c r="DW46" s="504"/>
      <c r="DX46" s="118" t="s">
        <v>526</v>
      </c>
      <c r="DY46" s="351"/>
      <c r="DZ46" s="504"/>
      <c r="EA46" s="506">
        <f>CB46*CC46</f>
        <v>22.400000000000002</v>
      </c>
      <c r="EB46" s="45"/>
      <c r="EC46" s="504"/>
      <c r="ED46" s="504"/>
      <c r="EE46" s="504"/>
      <c r="EF46" s="351"/>
      <c r="EG46" s="504"/>
      <c r="EH46" s="504"/>
      <c r="EI46" s="504"/>
      <c r="EJ46" s="504"/>
      <c r="EK46" s="504"/>
      <c r="EL46" s="697"/>
      <c r="EM46" s="45"/>
      <c r="EN46" s="506"/>
      <c r="EO46" s="506"/>
      <c r="EP46" s="506"/>
      <c r="EQ46" s="351"/>
      <c r="ER46" s="506"/>
      <c r="ES46" s="506"/>
      <c r="ET46" s="506"/>
      <c r="EU46" s="506"/>
      <c r="EV46" s="506"/>
      <c r="EW46" s="698"/>
      <c r="EY46" s="162">
        <v>1</v>
      </c>
      <c r="EZ46" s="149">
        <v>2.2000000000000002</v>
      </c>
      <c r="FA46" s="504">
        <v>2.2000000000000002</v>
      </c>
      <c r="FB46" s="504">
        <v>0.25</v>
      </c>
      <c r="FC46" s="504">
        <v>0.5</v>
      </c>
      <c r="FD46" s="504">
        <f t="shared" si="42"/>
        <v>4.8400000000000007</v>
      </c>
      <c r="FE46" s="504"/>
      <c r="FF46" s="504"/>
      <c r="FG46" s="45" t="s">
        <v>428</v>
      </c>
      <c r="FH46" s="149"/>
      <c r="FI46" s="504"/>
      <c r="FJ46" s="504"/>
      <c r="FK46" s="504"/>
      <c r="FL46" s="504"/>
      <c r="FM46" s="504"/>
      <c r="FN46" s="504"/>
      <c r="FO46" s="45"/>
      <c r="FP46" s="155"/>
      <c r="FQ46" s="507"/>
      <c r="FR46" s="507"/>
      <c r="FS46" s="507"/>
      <c r="FT46" s="507"/>
      <c r="FU46" s="504"/>
      <c r="FV46" s="504"/>
      <c r="FW46" s="156"/>
      <c r="FX46" s="155"/>
      <c r="FY46" s="507"/>
      <c r="FZ46" s="507"/>
      <c r="GA46" s="507"/>
      <c r="GB46" s="507"/>
      <c r="GC46" s="504"/>
      <c r="GD46" s="504"/>
      <c r="GE46" s="156"/>
      <c r="GF46" s="155"/>
      <c r="GG46" s="507"/>
      <c r="GH46" s="507"/>
      <c r="GI46" s="507"/>
      <c r="GJ46" s="507"/>
      <c r="GK46" s="504"/>
      <c r="GL46" s="504"/>
      <c r="GM46" s="156"/>
      <c r="GN46" s="155"/>
      <c r="GO46" s="507"/>
      <c r="GP46" s="507"/>
      <c r="GQ46" s="507"/>
      <c r="GR46" s="507"/>
      <c r="GS46" s="504"/>
      <c r="GT46" s="504"/>
      <c r="GU46" s="508"/>
      <c r="GV46" s="155"/>
      <c r="GW46" s="507"/>
      <c r="GX46" s="507"/>
      <c r="GY46" s="507"/>
      <c r="GZ46" s="507"/>
      <c r="HA46" s="504"/>
      <c r="HB46" s="504"/>
      <c r="HC46" s="508"/>
      <c r="HD46" s="155"/>
      <c r="HE46" s="507"/>
      <c r="HF46" s="507"/>
      <c r="HG46" s="507"/>
      <c r="HH46" s="507"/>
      <c r="HI46" s="504"/>
      <c r="HJ46" s="504"/>
      <c r="HK46" s="508"/>
      <c r="HL46" s="155"/>
      <c r="HM46" s="507"/>
      <c r="HN46" s="507"/>
      <c r="HO46" s="507"/>
      <c r="HP46" s="507"/>
      <c r="HQ46" s="504"/>
      <c r="HR46" s="504"/>
      <c r="HS46" s="508"/>
      <c r="HT46" s="155"/>
      <c r="HU46" s="507"/>
      <c r="HV46" s="507"/>
      <c r="HW46" s="507"/>
      <c r="HX46" s="507"/>
      <c r="HY46" s="504"/>
      <c r="HZ46" s="504"/>
      <c r="IA46" s="508"/>
      <c r="IB46" s="155"/>
      <c r="IC46" s="507"/>
      <c r="ID46" s="507"/>
      <c r="IE46" s="507"/>
      <c r="IF46" s="507"/>
      <c r="IG46" s="504"/>
      <c r="IH46" s="504"/>
      <c r="II46" s="508"/>
    </row>
    <row r="47" spans="1:243" ht="15" customHeight="1">
      <c r="A47" s="1162"/>
      <c r="B47" s="1142"/>
      <c r="C47" s="520">
        <v>2</v>
      </c>
      <c r="D47" s="467" t="str">
        <f t="shared" ref="D47:D50" si="55">CONCATENATE($A$46,"_",C47)</f>
        <v>NRCC_LS_2</v>
      </c>
      <c r="E47" s="1136"/>
      <c r="F47" s="1139"/>
      <c r="G47" s="1166"/>
      <c r="H47" s="525">
        <f t="shared" si="30"/>
        <v>22.400000000000002</v>
      </c>
      <c r="I47" s="354">
        <f t="shared" si="31"/>
        <v>99.88</v>
      </c>
      <c r="J47" s="468">
        <f>CQ47/I47</f>
        <v>0.29935923107729279</v>
      </c>
      <c r="K47" s="469" t="s">
        <v>472</v>
      </c>
      <c r="L47" s="468">
        <f t="shared" si="29"/>
        <v>0.54284676833696444</v>
      </c>
      <c r="M47" s="468">
        <f t="shared" si="4"/>
        <v>0.59514331210191096</v>
      </c>
      <c r="N47" s="468">
        <f t="shared" si="5"/>
        <v>1.3348214285714286</v>
      </c>
      <c r="O47" s="470">
        <f>DC47/(2*(CB47+CC47)*CD47-X47)</f>
        <v>0</v>
      </c>
      <c r="P47" s="134">
        <f t="shared" si="34"/>
        <v>1.0089285714285714</v>
      </c>
      <c r="Q47" s="134"/>
      <c r="R47" s="134">
        <f>EM47/(EH47*2*(EI47+EJ47))</f>
        <v>0.5</v>
      </c>
      <c r="S47" s="471">
        <f>EX47/(ES47*2*(ET47+EU47))</f>
        <v>0.5</v>
      </c>
      <c r="T47" s="683"/>
      <c r="U47" s="472"/>
      <c r="V47" s="683" t="s">
        <v>417</v>
      </c>
      <c r="W47" s="525">
        <f t="shared" si="35"/>
        <v>2.2000000000000002</v>
      </c>
      <c r="X47" s="473">
        <f t="shared" si="36"/>
        <v>4.8400000000000007</v>
      </c>
      <c r="Y47" s="371">
        <f t="shared" si="37"/>
        <v>7.187505141678617E-2</v>
      </c>
      <c r="Z47" s="489"/>
      <c r="AA47" s="489">
        <v>8</v>
      </c>
      <c r="AB47" s="489"/>
      <c r="AC47" s="489">
        <f t="shared" si="38"/>
        <v>357.14285714285711</v>
      </c>
      <c r="AD47" s="489"/>
      <c r="AE47" s="489"/>
      <c r="AF47" s="489"/>
      <c r="AG47" s="489"/>
      <c r="AH47" s="489"/>
      <c r="AI47" s="489"/>
      <c r="AJ47" s="489"/>
      <c r="AK47" s="430"/>
      <c r="AL47" s="106">
        <v>1250</v>
      </c>
      <c r="AM47" s="106">
        <v>249</v>
      </c>
      <c r="AN47" s="106"/>
      <c r="AO47" s="106"/>
      <c r="AP47" s="106"/>
      <c r="AQ47" s="106"/>
      <c r="AR47" s="51">
        <v>66.099999999999994</v>
      </c>
      <c r="AS47" s="425"/>
      <c r="AT47" s="425">
        <v>98.9</v>
      </c>
      <c r="AU47" s="425"/>
      <c r="AV47" s="51" t="s">
        <v>528</v>
      </c>
      <c r="AW47" s="51" t="s">
        <v>430</v>
      </c>
      <c r="AX47" s="201">
        <v>249</v>
      </c>
      <c r="AY47" s="489"/>
      <c r="BC47" s="49">
        <f>AVERAGE('Char measurement'!C70:D73)</f>
        <v>40.142857142857146</v>
      </c>
      <c r="BD47" s="54">
        <f>MIN('Char measurement'!C70:D73)</f>
        <v>28</v>
      </c>
      <c r="BE47" s="313">
        <f>MAX('Char measurement'!C70:D73)</f>
        <v>48</v>
      </c>
      <c r="BF47" s="443"/>
      <c r="BG47" s="54"/>
      <c r="BH47" s="54"/>
      <c r="BI47" s="54"/>
      <c r="BJ47" s="49">
        <f>AVERAGE('Char measurement'!G70:H73)</f>
        <v>64.25</v>
      </c>
      <c r="BK47" s="54">
        <f>MIN('Char measurement'!G70:H73)</f>
        <v>25</v>
      </c>
      <c r="BL47" s="54">
        <f>MAX('Char measurement'!G70:H73)</f>
        <v>90</v>
      </c>
      <c r="BM47" s="54"/>
      <c r="BN47" s="49">
        <f>AVERAGE('Char measurement'!K70:M74)</f>
        <v>60.75</v>
      </c>
      <c r="BO47" s="54">
        <f>MIN('Char measurement'!K70:M74)</f>
        <v>35</v>
      </c>
      <c r="BP47" s="54">
        <f>MAX('Char measurement'!K70:M74)</f>
        <v>95</v>
      </c>
      <c r="BQ47" s="833"/>
      <c r="BR47" s="894">
        <v>3.5</v>
      </c>
      <c r="BS47" s="54" t="s">
        <v>428</v>
      </c>
      <c r="BT47" s="54" t="s">
        <v>903</v>
      </c>
      <c r="BU47" s="54">
        <v>200</v>
      </c>
      <c r="BV47" s="887">
        <v>18.5</v>
      </c>
      <c r="BW47" s="1128"/>
      <c r="BX47" s="1113"/>
      <c r="BY47" s="1113"/>
      <c r="BZ47" s="1113"/>
      <c r="CA47" s="1122"/>
      <c r="CB47" s="127">
        <v>3.2</v>
      </c>
      <c r="CC47" s="535">
        <v>7</v>
      </c>
      <c r="CD47" s="535">
        <v>2.7</v>
      </c>
      <c r="CE47" s="535"/>
      <c r="CF47" s="426"/>
      <c r="CG47" s="119"/>
      <c r="CH47" s="119"/>
      <c r="CI47" s="119"/>
      <c r="CJ47" s="430"/>
      <c r="CK47" s="506"/>
      <c r="CL47" s="506"/>
      <c r="CM47" s="340">
        <f>5*1000/60/60</f>
        <v>1.3888888888888888</v>
      </c>
      <c r="CN47" s="506">
        <v>135</v>
      </c>
      <c r="CP47" s="506">
        <v>17.2</v>
      </c>
      <c r="CQ47" s="370">
        <f t="shared" si="39"/>
        <v>29.900000000000002</v>
      </c>
      <c r="CR47" s="426" t="s">
        <v>438</v>
      </c>
      <c r="CS47" s="119">
        <f>15.9*2</f>
        <v>31.8</v>
      </c>
      <c r="CT47" s="119" t="s">
        <v>423</v>
      </c>
      <c r="CU47" s="119">
        <v>210</v>
      </c>
      <c r="CV47" s="506" t="s">
        <v>438</v>
      </c>
      <c r="CW47" s="427">
        <f>15.9*2</f>
        <v>31.8</v>
      </c>
      <c r="CY47" s="119" t="s">
        <v>526</v>
      </c>
      <c r="CZ47" s="339">
        <v>9.5000000000000001E-2</v>
      </c>
      <c r="DA47" s="506"/>
      <c r="DB47" s="340">
        <f>2*(CB47+CC47)*CD47-X47</f>
        <v>50.239999999999995</v>
      </c>
      <c r="DC47" s="506">
        <v>0</v>
      </c>
      <c r="DD47" s="425" t="s">
        <v>423</v>
      </c>
      <c r="DE47" s="506">
        <v>210</v>
      </c>
      <c r="DI47" s="427"/>
      <c r="DJ47" s="506"/>
      <c r="DK47" s="119" t="s">
        <v>526</v>
      </c>
      <c r="DL47" s="339">
        <v>9.5000000000000001E-2</v>
      </c>
      <c r="DM47" s="506"/>
      <c r="DN47" s="506"/>
      <c r="DO47" s="506">
        <f t="shared" si="46"/>
        <v>22.400000000000002</v>
      </c>
      <c r="DP47" s="430">
        <v>22.6</v>
      </c>
      <c r="DQ47" s="506" t="s">
        <v>438</v>
      </c>
      <c r="DR47" s="506">
        <f>15.9*2</f>
        <v>31.8</v>
      </c>
      <c r="DS47" s="506" t="s">
        <v>423</v>
      </c>
      <c r="DT47" s="506">
        <v>210</v>
      </c>
      <c r="DV47" s="427"/>
      <c r="DW47" s="506"/>
      <c r="DX47" s="119" t="s">
        <v>526</v>
      </c>
      <c r="DY47" s="339">
        <v>9.5000000000000001E-2</v>
      </c>
      <c r="EA47" s="506">
        <f>CB47*CC47</f>
        <v>22.400000000000002</v>
      </c>
      <c r="EB47" s="427"/>
      <c r="EC47" s="506">
        <v>1</v>
      </c>
      <c r="ED47" s="506" t="s">
        <v>529</v>
      </c>
      <c r="EE47" s="506" t="s">
        <v>530</v>
      </c>
      <c r="EF47" s="339">
        <v>9.5000000000000001E-2</v>
      </c>
      <c r="EG47" s="506"/>
      <c r="EH47" s="116">
        <f>EM47/(EJ47+EI47)</f>
        <v>5.5335968379446641</v>
      </c>
      <c r="EI47" s="506">
        <v>0.26500000000000001</v>
      </c>
      <c r="EJ47" s="506">
        <v>0.49399999999999999</v>
      </c>
      <c r="EK47" s="506"/>
      <c r="EL47" s="698" t="s">
        <v>531</v>
      </c>
      <c r="EM47" s="427">
        <v>4.2</v>
      </c>
      <c r="EN47" s="506">
        <v>2</v>
      </c>
      <c r="EO47" s="506" t="s">
        <v>529</v>
      </c>
      <c r="EP47" s="506" t="s">
        <v>530</v>
      </c>
      <c r="EQ47" s="339">
        <v>9.5000000000000001E-2</v>
      </c>
      <c r="ER47" s="506"/>
      <c r="ES47" s="340">
        <f>EX47/(EU47+ET47)</f>
        <v>3.7851037851037854</v>
      </c>
      <c r="ET47" s="506">
        <v>0.40600000000000003</v>
      </c>
      <c r="EU47" s="506">
        <v>0.41299999999999998</v>
      </c>
      <c r="EV47" s="706"/>
      <c r="EW47" s="698">
        <v>2</v>
      </c>
      <c r="EX47" s="506">
        <v>3.1</v>
      </c>
      <c r="EY47" s="21">
        <v>1</v>
      </c>
      <c r="EZ47" s="425">
        <v>2.2000000000000002</v>
      </c>
      <c r="FA47" s="506">
        <v>2.2000000000000002</v>
      </c>
      <c r="FB47" s="506">
        <v>0.25</v>
      </c>
      <c r="FC47" s="506">
        <v>0.5</v>
      </c>
      <c r="FD47" s="506">
        <f t="shared" si="42"/>
        <v>4.8400000000000007</v>
      </c>
      <c r="FE47" s="506"/>
      <c r="FF47" s="506"/>
      <c r="FG47" s="427" t="s">
        <v>428</v>
      </c>
      <c r="FH47" s="425"/>
      <c r="FI47" s="506"/>
      <c r="FJ47" s="506"/>
      <c r="FK47" s="506"/>
      <c r="FL47" s="506"/>
      <c r="FM47" s="506"/>
      <c r="FN47" s="506"/>
      <c r="FO47" s="427"/>
      <c r="FP47" s="433"/>
      <c r="FU47" s="506"/>
      <c r="FV47" s="506"/>
      <c r="FW47" s="518"/>
      <c r="FX47" s="433"/>
      <c r="GC47" s="506"/>
      <c r="GD47" s="506"/>
      <c r="GE47" s="518"/>
      <c r="GF47" s="433"/>
      <c r="GK47" s="506"/>
      <c r="GL47" s="506"/>
      <c r="GM47" s="518"/>
      <c r="GN47" s="433"/>
      <c r="GS47" s="506"/>
      <c r="GT47" s="506"/>
      <c r="GU47" s="510"/>
      <c r="GV47" s="433"/>
      <c r="HA47" s="506"/>
      <c r="HB47" s="506"/>
      <c r="HC47" s="510"/>
      <c r="HD47" s="433"/>
      <c r="HI47" s="506"/>
      <c r="HJ47" s="506"/>
      <c r="HK47" s="510"/>
      <c r="HL47" s="433"/>
      <c r="HQ47" s="506"/>
      <c r="HR47" s="506"/>
      <c r="HS47" s="510"/>
      <c r="HT47" s="433"/>
      <c r="HY47" s="506"/>
      <c r="HZ47" s="506"/>
      <c r="IA47" s="510"/>
      <c r="IB47" s="433"/>
      <c r="IG47" s="506"/>
      <c r="IH47" s="506"/>
      <c r="II47" s="510"/>
    </row>
    <row r="48" spans="1:243" ht="15" customHeight="1">
      <c r="A48" s="1162"/>
      <c r="B48" s="1142"/>
      <c r="C48" s="51">
        <v>3</v>
      </c>
      <c r="D48" s="725" t="str">
        <f t="shared" si="55"/>
        <v>NRCC_LS_3</v>
      </c>
      <c r="E48" s="17">
        <v>15</v>
      </c>
      <c r="F48" s="520" t="s">
        <v>532</v>
      </c>
      <c r="G48" s="525">
        <f>15*H48/17</f>
        <v>19.764705882352946</v>
      </c>
      <c r="H48" s="209">
        <f t="shared" si="30"/>
        <v>22.400000000000002</v>
      </c>
      <c r="I48" s="372">
        <f t="shared" si="31"/>
        <v>106</v>
      </c>
      <c r="J48" s="18">
        <f>CQ48/I48</f>
        <v>0.51981132075471692</v>
      </c>
      <c r="K48" s="34" t="s">
        <v>533</v>
      </c>
      <c r="L48" s="18">
        <f t="shared" si="29"/>
        <v>0.90032679738562094</v>
      </c>
      <c r="M48" s="18">
        <f t="shared" si="4"/>
        <v>0.97764371894960966</v>
      </c>
      <c r="N48" s="18">
        <f t="shared" si="5"/>
        <v>2.4598214285714279</v>
      </c>
      <c r="O48" s="470">
        <f>DC48/(2*(CB48+CC48)*CD48-X48)</f>
        <v>0.17210787792760823</v>
      </c>
      <c r="P48" s="134">
        <f t="shared" si="34"/>
        <v>1.013392857142857</v>
      </c>
      <c r="Q48" s="134">
        <f>EB48/H48</f>
        <v>1.013392857142857</v>
      </c>
      <c r="R48" s="134"/>
      <c r="S48" s="471"/>
      <c r="T48" s="683"/>
      <c r="U48" s="472"/>
      <c r="V48" s="683" t="s">
        <v>417</v>
      </c>
      <c r="W48" s="525">
        <f t="shared" si="35"/>
        <v>2.2000000000000002</v>
      </c>
      <c r="X48" s="167">
        <f t="shared" si="36"/>
        <v>4.8400000000000007</v>
      </c>
      <c r="Y48" s="363">
        <f t="shared" si="37"/>
        <v>6.7725284297250971E-2</v>
      </c>
      <c r="Z48" s="489"/>
      <c r="AA48" s="489"/>
      <c r="AB48" s="489"/>
      <c r="AC48" s="489">
        <f t="shared" si="38"/>
        <v>0</v>
      </c>
      <c r="AD48" s="489"/>
      <c r="AE48" s="489"/>
      <c r="AF48" s="489"/>
      <c r="AG48" s="489"/>
      <c r="AH48" s="492">
        <f>(CC48-0.3)-CC48/2</f>
        <v>3.2</v>
      </c>
      <c r="AJ48" s="489"/>
      <c r="AK48" s="430"/>
      <c r="AL48" s="106">
        <v>1150</v>
      </c>
      <c r="AM48" s="106">
        <v>242</v>
      </c>
      <c r="AN48" s="106"/>
      <c r="AO48" s="106"/>
      <c r="AP48" s="106"/>
      <c r="AQ48" s="106"/>
      <c r="AR48" s="51">
        <v>66.099999999999994</v>
      </c>
      <c r="AS48" s="425"/>
      <c r="AT48" s="425">
        <v>98.9</v>
      </c>
      <c r="AU48" s="425"/>
      <c r="AV48" s="265"/>
      <c r="AW48" s="265" t="s">
        <v>430</v>
      </c>
      <c r="AX48" s="201">
        <v>242</v>
      </c>
      <c r="AY48" s="54">
        <v>1</v>
      </c>
      <c r="AZ48" s="605">
        <v>0.1</v>
      </c>
      <c r="BA48" s="54">
        <v>5</v>
      </c>
      <c r="BB48" s="117"/>
      <c r="BC48" s="49">
        <v>1</v>
      </c>
      <c r="BD48" s="605">
        <v>0.1</v>
      </c>
      <c r="BE48" s="313">
        <v>2</v>
      </c>
      <c r="BF48" s="233"/>
      <c r="BG48" s="54">
        <v>1</v>
      </c>
      <c r="BH48" s="605">
        <v>0.1</v>
      </c>
      <c r="BI48" s="54">
        <v>10</v>
      </c>
      <c r="BJ48" s="49"/>
      <c r="BK48" s="54"/>
      <c r="BL48" s="54"/>
      <c r="BM48" s="54"/>
      <c r="BN48" s="49"/>
      <c r="BO48" s="54"/>
      <c r="BP48" s="54"/>
      <c r="BQ48" s="833"/>
      <c r="BR48" s="49"/>
      <c r="BS48" s="54"/>
      <c r="BT48" s="54"/>
      <c r="BU48" s="54"/>
      <c r="BV48" s="833"/>
      <c r="BW48" s="1128"/>
      <c r="BX48" s="1113"/>
      <c r="BY48" s="1113"/>
      <c r="BZ48" s="1113"/>
      <c r="CA48" s="1122"/>
      <c r="CB48" s="127">
        <f>CB46</f>
        <v>3.2</v>
      </c>
      <c r="CC48" s="535">
        <f>CC46</f>
        <v>7</v>
      </c>
      <c r="CD48" s="535">
        <v>3</v>
      </c>
      <c r="CE48" s="535"/>
      <c r="CF48" s="426"/>
      <c r="CG48" s="119"/>
      <c r="CH48" s="119"/>
      <c r="CI48" s="119"/>
      <c r="CJ48" s="430"/>
      <c r="CK48" s="506"/>
      <c r="CL48" s="506"/>
      <c r="CM48" s="340">
        <f>11*1000/3600</f>
        <v>3.0555555555555554</v>
      </c>
      <c r="CN48" s="506">
        <v>135</v>
      </c>
      <c r="CP48" s="506">
        <v>16.100000000000001</v>
      </c>
      <c r="CQ48" s="370">
        <f t="shared" si="39"/>
        <v>55.099999999999994</v>
      </c>
      <c r="CR48" s="426" t="s">
        <v>438</v>
      </c>
      <c r="CS48" s="119">
        <f>15.9*2</f>
        <v>31.8</v>
      </c>
      <c r="CT48" s="119" t="s">
        <v>423</v>
      </c>
      <c r="CU48" s="119">
        <v>210</v>
      </c>
      <c r="CV48" s="506" t="s">
        <v>438</v>
      </c>
      <c r="CW48" s="427">
        <f>15.9*2</f>
        <v>31.8</v>
      </c>
      <c r="CY48" s="119" t="s">
        <v>526</v>
      </c>
      <c r="CZ48" s="339">
        <v>8.6999999999999994E-2</v>
      </c>
      <c r="DA48" s="506"/>
      <c r="DB48" s="340">
        <f>2*(CB48+CC48)*CD48-X48</f>
        <v>56.359999999999992</v>
      </c>
      <c r="DC48" s="506">
        <v>9.6999999999999993</v>
      </c>
      <c r="DD48" s="425" t="s">
        <v>423</v>
      </c>
      <c r="DE48" s="506">
        <v>210</v>
      </c>
      <c r="DI48" s="427"/>
      <c r="DJ48" s="506"/>
      <c r="DK48" s="119" t="s">
        <v>526</v>
      </c>
      <c r="DL48" s="339">
        <v>8.6999999999999994E-2</v>
      </c>
      <c r="DM48" s="506"/>
      <c r="DN48" s="506"/>
      <c r="DO48" s="506">
        <f t="shared" si="46"/>
        <v>22.400000000000002</v>
      </c>
      <c r="DP48" s="430">
        <f>22.7</f>
        <v>22.7</v>
      </c>
      <c r="DQ48" s="506" t="s">
        <v>423</v>
      </c>
      <c r="DR48" s="506">
        <v>210</v>
      </c>
      <c r="DV48" s="427"/>
      <c r="DW48" s="506"/>
      <c r="DX48" s="119" t="s">
        <v>526</v>
      </c>
      <c r="DY48" s="339">
        <v>8.6999999999999994E-2</v>
      </c>
      <c r="EA48" s="506">
        <f>CB48*CC48</f>
        <v>22.400000000000002</v>
      </c>
      <c r="EB48" s="427">
        <v>22.7</v>
      </c>
      <c r="EC48" s="506"/>
      <c r="EE48" s="506"/>
      <c r="EF48" s="339"/>
      <c r="EG48" s="506"/>
      <c r="EH48" s="506">
        <f>EC47*CC47-2*ET47</f>
        <v>6.1879999999999997</v>
      </c>
      <c r="EI48" s="506"/>
      <c r="EJ48" s="506"/>
      <c r="EK48" s="506"/>
      <c r="EL48" s="698"/>
      <c r="EM48" s="427"/>
      <c r="EN48" s="506"/>
      <c r="EO48" s="506"/>
      <c r="EP48" s="506"/>
      <c r="EQ48" s="339"/>
      <c r="ER48" s="506"/>
      <c r="ES48" s="506"/>
      <c r="ET48" s="506"/>
      <c r="EU48" s="506"/>
      <c r="EV48" s="506"/>
      <c r="EW48" s="698"/>
      <c r="EY48" s="21">
        <v>1</v>
      </c>
      <c r="EZ48" s="425">
        <v>2.2000000000000002</v>
      </c>
      <c r="FA48" s="506">
        <v>2.2000000000000002</v>
      </c>
      <c r="FB48" s="506">
        <v>0.25</v>
      </c>
      <c r="FC48" s="506">
        <v>0.5</v>
      </c>
      <c r="FD48" s="506">
        <f t="shared" si="42"/>
        <v>4.8400000000000007</v>
      </c>
      <c r="FE48" s="506"/>
      <c r="FF48" s="506"/>
      <c r="FG48" s="427" t="s">
        <v>428</v>
      </c>
      <c r="FH48" s="425"/>
      <c r="FI48" s="506"/>
      <c r="FJ48" s="506"/>
      <c r="FK48" s="506"/>
      <c r="FL48" s="506"/>
      <c r="FM48" s="506"/>
      <c r="FN48" s="506"/>
      <c r="FO48" s="427"/>
      <c r="FP48" s="433"/>
      <c r="FU48" s="506"/>
      <c r="FV48" s="506"/>
      <c r="FW48" s="518"/>
      <c r="FX48" s="433"/>
      <c r="GC48" s="506"/>
      <c r="GD48" s="506"/>
      <c r="GE48" s="518"/>
      <c r="GF48" s="433"/>
      <c r="GK48" s="506"/>
      <c r="GL48" s="506"/>
      <c r="GM48" s="518"/>
      <c r="GN48" s="433"/>
      <c r="GS48" s="506"/>
      <c r="GT48" s="506"/>
      <c r="GU48" s="510"/>
      <c r="GV48" s="433"/>
      <c r="HA48" s="506"/>
      <c r="HB48" s="506"/>
      <c r="HC48" s="510"/>
      <c r="HD48" s="433"/>
      <c r="HI48" s="506"/>
      <c r="HJ48" s="506"/>
      <c r="HK48" s="510"/>
      <c r="HL48" s="433"/>
      <c r="HQ48" s="506"/>
      <c r="HR48" s="506"/>
      <c r="HS48" s="510"/>
      <c r="HT48" s="433"/>
      <c r="HY48" s="506"/>
      <c r="HZ48" s="506"/>
      <c r="IA48" s="510"/>
      <c r="IB48" s="433"/>
      <c r="IG48" s="506"/>
      <c r="IH48" s="506"/>
      <c r="II48" s="510"/>
    </row>
    <row r="49" spans="1:244" ht="15" customHeight="1">
      <c r="A49" s="1162"/>
      <c r="B49" s="1142"/>
      <c r="C49" s="51">
        <v>4</v>
      </c>
      <c r="D49" s="725" t="str">
        <f t="shared" si="55"/>
        <v>NRCC_LS_4</v>
      </c>
      <c r="E49" s="337">
        <v>224</v>
      </c>
      <c r="F49" s="520" t="s">
        <v>534</v>
      </c>
      <c r="G49" s="525">
        <f>224*H49/(300+300)</f>
        <v>19.88</v>
      </c>
      <c r="H49" s="82">
        <f t="shared" si="30"/>
        <v>53.25</v>
      </c>
      <c r="I49" s="82">
        <f t="shared" si="31"/>
        <v>194.1</v>
      </c>
      <c r="J49" s="334">
        <f>CQ49/I49</f>
        <v>0.64193714580113348</v>
      </c>
      <c r="K49" s="35" t="s">
        <v>535</v>
      </c>
      <c r="L49" s="334">
        <f t="shared" si="29"/>
        <v>1.4223744292237444</v>
      </c>
      <c r="M49" s="334">
        <f t="shared" si="4"/>
        <v>1.6947769314472252</v>
      </c>
      <c r="N49" s="334">
        <f t="shared" si="5"/>
        <v>2.3399061032863848</v>
      </c>
      <c r="O49" s="470">
        <f>DC49/(2*(CB49+CC49)*CD49-X48)</f>
        <v>0</v>
      </c>
      <c r="P49" s="134">
        <f t="shared" si="34"/>
        <v>0.94272300469483572</v>
      </c>
      <c r="Q49" s="134">
        <f>EB49/H49</f>
        <v>0.9859154929577465</v>
      </c>
      <c r="R49" s="134">
        <f>EM49/(EH49*2*(EI49+EJ49))</f>
        <v>0.82542819499341247</v>
      </c>
      <c r="S49" s="471">
        <f>EX49/(ES49*2*(ET49+EU49))</f>
        <v>0.5</v>
      </c>
      <c r="T49" s="683"/>
      <c r="U49" s="472"/>
      <c r="V49" s="683" t="s">
        <v>417</v>
      </c>
      <c r="W49" s="209">
        <f t="shared" si="35"/>
        <v>2.2000000000000002</v>
      </c>
      <c r="X49" s="117">
        <f t="shared" si="36"/>
        <v>14.080000000000002</v>
      </c>
      <c r="Y49" s="373">
        <f t="shared" si="37"/>
        <v>0.10759410066801335</v>
      </c>
      <c r="Z49" s="489"/>
      <c r="AA49" s="489"/>
      <c r="AB49" s="489"/>
      <c r="AC49" s="489">
        <f t="shared" si="38"/>
        <v>0</v>
      </c>
      <c r="AD49" s="489"/>
      <c r="AE49" s="489"/>
      <c r="AF49" s="489"/>
      <c r="AG49" s="489"/>
      <c r="AH49" s="489"/>
      <c r="AI49" s="489">
        <v>1</v>
      </c>
      <c r="AJ49" s="489"/>
      <c r="AK49" s="430"/>
      <c r="AL49" s="106">
        <v>1300</v>
      </c>
      <c r="AM49" s="106">
        <v>148</v>
      </c>
      <c r="AN49" s="106"/>
      <c r="AO49" s="106"/>
      <c r="AP49" s="106"/>
      <c r="AQ49" s="106"/>
      <c r="AR49" s="51"/>
      <c r="AS49" s="425"/>
      <c r="AT49" s="425"/>
      <c r="AU49" s="425"/>
      <c r="AV49" s="265"/>
      <c r="AW49" s="265" t="s">
        <v>417</v>
      </c>
      <c r="AX49" s="201">
        <v>148</v>
      </c>
      <c r="AY49" s="54"/>
      <c r="AZ49" s="54"/>
      <c r="BA49" s="54"/>
      <c r="BB49" s="117"/>
      <c r="BC49" s="49">
        <f>AVERAGE('Char measurement'!B77:D80)</f>
        <v>70.416666666666671</v>
      </c>
      <c r="BD49" s="54">
        <f>MIN('Char measurement'!B77:D80)</f>
        <v>53</v>
      </c>
      <c r="BE49" s="313">
        <f>MAX('Char measurement'!B77:D80)</f>
        <v>89</v>
      </c>
      <c r="BF49" s="233"/>
      <c r="BG49" s="54">
        <f>AVERAGE('Char measurement'!I77:K79)</f>
        <v>58.888888888888886</v>
      </c>
      <c r="BH49" s="54">
        <f>MIN('Char measurement'!I77:K79)</f>
        <v>40</v>
      </c>
      <c r="BI49" s="54">
        <f>MAX('Char measurement'!I77:K79)</f>
        <v>75</v>
      </c>
      <c r="BJ49" s="49">
        <f>AVERAGE('Char measurement'!C83:G86)</f>
        <v>47.03125</v>
      </c>
      <c r="BK49" s="54">
        <f>MIN('Char measurement'!C83:G86)</f>
        <v>26</v>
      </c>
      <c r="BL49" s="54">
        <f>MAX('Char measurement'!C83:G86)</f>
        <v>68</v>
      </c>
      <c r="BM49" s="54"/>
      <c r="BN49" s="49">
        <f>AVERAGE('Char measurement'!J83:P87)</f>
        <v>64.4375</v>
      </c>
      <c r="BO49" s="54">
        <f>MIN('Char measurement'!J83:P87)</f>
        <v>22</v>
      </c>
      <c r="BP49" s="54">
        <f>MAX('Char measurement'!J83:P87)</f>
        <v>135</v>
      </c>
      <c r="BQ49" s="833"/>
      <c r="BR49" s="894" t="s">
        <v>1014</v>
      </c>
      <c r="BS49" s="54" t="s">
        <v>537</v>
      </c>
      <c r="BT49" s="54" t="s">
        <v>428</v>
      </c>
      <c r="BU49" s="54"/>
      <c r="BV49" s="887" t="s">
        <v>1015</v>
      </c>
      <c r="BW49" s="1128"/>
      <c r="BX49" s="1113"/>
      <c r="BY49" s="1113"/>
      <c r="BZ49" s="1113"/>
      <c r="CA49" s="1122"/>
      <c r="CB49" s="127">
        <v>7.1</v>
      </c>
      <c r="CC49" s="535">
        <v>7.5</v>
      </c>
      <c r="CD49" s="535">
        <v>3</v>
      </c>
      <c r="CE49" s="535"/>
      <c r="CF49" s="426"/>
      <c r="CG49" s="119"/>
      <c r="CH49" s="119"/>
      <c r="CI49" s="119"/>
      <c r="CJ49" s="430"/>
      <c r="CK49" s="506"/>
      <c r="CL49" s="506"/>
      <c r="CM49" s="340">
        <f>16*1000/3600</f>
        <v>4.4444444444444446</v>
      </c>
      <c r="CN49" s="506">
        <v>135</v>
      </c>
      <c r="CP49" s="506">
        <v>9.8000000000000007</v>
      </c>
      <c r="CQ49" s="370">
        <f t="shared" si="39"/>
        <v>124.6</v>
      </c>
      <c r="CR49" s="426" t="s">
        <v>438</v>
      </c>
      <c r="CS49" s="119">
        <f>15.9*2</f>
        <v>31.8</v>
      </c>
      <c r="CT49" s="734" t="s">
        <v>505</v>
      </c>
      <c r="CU49" s="119">
        <v>200</v>
      </c>
      <c r="CV49" s="506" t="s">
        <v>438</v>
      </c>
      <c r="CW49" s="427">
        <f>15.9*2</f>
        <v>31.8</v>
      </c>
      <c r="CY49" s="506"/>
      <c r="CZ49" s="339"/>
      <c r="DA49" s="506"/>
      <c r="DB49" s="340">
        <f>2*(CB49+CC49)*CD49-X49</f>
        <v>73.52</v>
      </c>
      <c r="DC49" s="506"/>
      <c r="DD49" s="425" t="s">
        <v>423</v>
      </c>
      <c r="DE49" s="506">
        <v>210</v>
      </c>
      <c r="DI49" s="427"/>
      <c r="DJ49" s="506"/>
      <c r="DK49" s="506" t="s">
        <v>536</v>
      </c>
      <c r="DL49" s="339">
        <v>9.5000000000000001E-2</v>
      </c>
      <c r="DM49" s="506"/>
      <c r="DN49" s="506"/>
      <c r="DO49" s="506">
        <f t="shared" si="46"/>
        <v>53.25</v>
      </c>
      <c r="DP49" s="430">
        <v>50.2</v>
      </c>
      <c r="DQ49" s="506" t="s">
        <v>423</v>
      </c>
      <c r="DR49" s="506">
        <v>210</v>
      </c>
      <c r="DV49" s="427"/>
      <c r="DW49" s="506"/>
      <c r="DX49" s="119" t="s">
        <v>526</v>
      </c>
      <c r="DY49" s="339">
        <v>9.5000000000000001E-2</v>
      </c>
      <c r="EA49" s="506">
        <f>CB49*CC49</f>
        <v>53.25</v>
      </c>
      <c r="EB49" s="427">
        <f>52.5</f>
        <v>52.5</v>
      </c>
      <c r="EC49" s="506">
        <v>2</v>
      </c>
      <c r="ED49" s="506" t="s">
        <v>529</v>
      </c>
      <c r="EE49" s="506" t="s">
        <v>530</v>
      </c>
      <c r="EF49" s="339">
        <v>9.5000000000000001E-2</v>
      </c>
      <c r="EG49" s="506"/>
      <c r="EH49" s="116">
        <f>EM49/(2*EJ49+EI49)</f>
        <v>10.454908220271347</v>
      </c>
      <c r="EI49" s="506">
        <v>0.26500000000000001</v>
      </c>
      <c r="EJ49" s="506">
        <v>0.49399999999999999</v>
      </c>
      <c r="EK49" s="506"/>
      <c r="EL49" s="698" t="s">
        <v>471</v>
      </c>
      <c r="EM49" s="427">
        <v>13.1</v>
      </c>
      <c r="EN49" s="506">
        <v>4</v>
      </c>
      <c r="EO49" s="506" t="s">
        <v>529</v>
      </c>
      <c r="EP49" s="506" t="s">
        <v>530</v>
      </c>
      <c r="EQ49" s="339">
        <v>9.5000000000000001E-2</v>
      </c>
      <c r="ER49" s="506"/>
      <c r="ES49" s="340">
        <f>EX49/(EU49+ET49)</f>
        <v>10.744810744810746</v>
      </c>
      <c r="ET49" s="506">
        <v>0.40600000000000003</v>
      </c>
      <c r="EU49" s="506">
        <v>0.41299999999999998</v>
      </c>
      <c r="EV49" s="706"/>
      <c r="EW49" s="698">
        <v>2</v>
      </c>
      <c r="EX49" s="506">
        <v>8.8000000000000007</v>
      </c>
      <c r="EY49" s="21">
        <v>4</v>
      </c>
      <c r="EZ49" s="425">
        <v>1.6</v>
      </c>
      <c r="FA49" s="506">
        <v>2.2000000000000002</v>
      </c>
      <c r="FB49" s="506">
        <v>0.25</v>
      </c>
      <c r="FC49" s="506">
        <f>(CB49-(EZ49*2))/3</f>
        <v>1.2999999999999998</v>
      </c>
      <c r="FD49" s="506">
        <f t="shared" si="42"/>
        <v>3.5200000000000005</v>
      </c>
      <c r="FE49" s="506"/>
      <c r="FF49" s="506"/>
      <c r="FG49" s="427" t="s">
        <v>428</v>
      </c>
      <c r="FH49" s="425">
        <v>1.6</v>
      </c>
      <c r="FI49" s="506">
        <v>2.2000000000000002</v>
      </c>
      <c r="FJ49" s="506">
        <v>0.25</v>
      </c>
      <c r="FK49" s="506">
        <f>FC49*2+EZ49</f>
        <v>4.1999999999999993</v>
      </c>
      <c r="FL49" s="506">
        <f>FH49*FI49</f>
        <v>3.5200000000000005</v>
      </c>
      <c r="FM49" s="506"/>
      <c r="FN49" s="506"/>
      <c r="FO49" s="427" t="s">
        <v>428</v>
      </c>
      <c r="FP49" s="425">
        <v>1.6</v>
      </c>
      <c r="FQ49" s="506">
        <v>2.2000000000000002</v>
      </c>
      <c r="FR49" s="506">
        <v>0.25</v>
      </c>
      <c r="FS49" s="506">
        <f>(7.3-(7.3-2.6*2)/3)/2-FP49</f>
        <v>1.6999999999999997</v>
      </c>
      <c r="FT49" s="506">
        <f>FP49*FQ49</f>
        <v>3.5200000000000005</v>
      </c>
      <c r="FU49" s="506"/>
      <c r="FV49" s="506"/>
      <c r="FW49" s="427" t="s">
        <v>537</v>
      </c>
      <c r="FX49" s="425">
        <v>1.6</v>
      </c>
      <c r="FY49" s="506">
        <v>2.2000000000000002</v>
      </c>
      <c r="FZ49" s="506">
        <v>0.25</v>
      </c>
      <c r="GA49" s="506">
        <f>7.3-(7.3-2.6*2)/3-FP49</f>
        <v>5</v>
      </c>
      <c r="GB49" s="506">
        <f>FX49*FY49</f>
        <v>3.5200000000000005</v>
      </c>
      <c r="GC49" s="506"/>
      <c r="GD49" s="506"/>
      <c r="GE49" s="427" t="s">
        <v>537</v>
      </c>
      <c r="GF49" s="425"/>
      <c r="GG49" s="506"/>
      <c r="GH49" s="506"/>
      <c r="GI49" s="506"/>
      <c r="GJ49" s="506"/>
      <c r="GK49" s="506"/>
      <c r="GL49" s="506"/>
      <c r="GM49" s="427"/>
      <c r="GN49" s="425"/>
      <c r="GO49" s="506"/>
      <c r="GP49" s="506"/>
      <c r="GQ49" s="506"/>
      <c r="GR49" s="506"/>
      <c r="GS49" s="506"/>
      <c r="GT49" s="506"/>
      <c r="GU49" s="108"/>
      <c r="GV49" s="425"/>
      <c r="GW49" s="506"/>
      <c r="GX49" s="506"/>
      <c r="GY49" s="506"/>
      <c r="GZ49" s="506"/>
      <c r="HA49" s="506"/>
      <c r="HB49" s="506"/>
      <c r="HC49" s="108"/>
      <c r="HD49" s="425"/>
      <c r="HE49" s="506"/>
      <c r="HF49" s="506"/>
      <c r="HG49" s="506"/>
      <c r="HH49" s="506"/>
      <c r="HI49" s="506"/>
      <c r="HJ49" s="506"/>
      <c r="HK49" s="108"/>
      <c r="HL49" s="425"/>
      <c r="HM49" s="506"/>
      <c r="HN49" s="506"/>
      <c r="HO49" s="506"/>
      <c r="HP49" s="506"/>
      <c r="HQ49" s="506"/>
      <c r="HR49" s="506"/>
      <c r="HS49" s="108"/>
      <c r="HT49" s="425"/>
      <c r="HU49" s="506"/>
      <c r="HV49" s="506"/>
      <c r="HW49" s="506"/>
      <c r="HX49" s="506"/>
      <c r="HY49" s="506"/>
      <c r="HZ49" s="506"/>
      <c r="IA49" s="108"/>
      <c r="IB49" s="425"/>
      <c r="IC49" s="506"/>
      <c r="ID49" s="506"/>
      <c r="IE49" s="506"/>
      <c r="IF49" s="506"/>
      <c r="IG49" s="506"/>
      <c r="IH49" s="506"/>
      <c r="II49" s="108"/>
    </row>
    <row r="50" spans="1:244" ht="15" customHeight="1" thickBot="1">
      <c r="A50" s="1163"/>
      <c r="B50" s="1143"/>
      <c r="C50" s="336">
        <v>5</v>
      </c>
      <c r="D50" s="150" t="str">
        <f t="shared" si="55"/>
        <v>NRCC_LS_5</v>
      </c>
      <c r="E50" s="98">
        <v>362</v>
      </c>
      <c r="F50" s="336" t="s">
        <v>538</v>
      </c>
      <c r="G50" s="1084">
        <v>17.5</v>
      </c>
      <c r="H50" s="99">
        <f>(7.3*3-0.15*2)*(7.3-2*0.15)+(7.3-2*0.15)*(7.3-0.15)</f>
        <v>201.25</v>
      </c>
      <c r="I50" s="99">
        <f>2*H50+(21.6*2+14*2)*4</f>
        <v>687.3</v>
      </c>
      <c r="J50" s="151">
        <f>CQ50/I50</f>
        <v>0.42368689073184929</v>
      </c>
      <c r="K50" s="152" t="s">
        <v>539</v>
      </c>
      <c r="L50" s="151"/>
      <c r="M50" s="151"/>
      <c r="N50" s="151"/>
      <c r="O50" s="154">
        <f>35%*27.5/(27.5+32.5+36.2)</f>
        <v>0.10005197505197505</v>
      </c>
      <c r="P50" s="153">
        <v>1</v>
      </c>
      <c r="Q50" s="153"/>
      <c r="R50" s="153">
        <v>1</v>
      </c>
      <c r="S50" s="475">
        <v>1</v>
      </c>
      <c r="T50" s="680"/>
      <c r="U50" s="446"/>
      <c r="V50" s="684" t="s">
        <v>417</v>
      </c>
      <c r="W50" s="16">
        <v>2</v>
      </c>
      <c r="X50" s="29">
        <f>2*2.6*10</f>
        <v>52</v>
      </c>
      <c r="Y50" s="374">
        <f t="shared" si="37"/>
        <v>0.10699709769154803</v>
      </c>
      <c r="Z50" s="141"/>
      <c r="AA50" s="141"/>
      <c r="AB50" s="141"/>
      <c r="AC50" s="141">
        <f t="shared" si="38"/>
        <v>0</v>
      </c>
      <c r="AD50" s="141"/>
      <c r="AE50" s="141"/>
      <c r="AF50" s="141"/>
      <c r="AG50" s="141"/>
      <c r="AH50" s="141"/>
      <c r="AI50" s="141"/>
      <c r="AJ50" s="141"/>
      <c r="AK50" s="522"/>
      <c r="AL50" s="107">
        <v>1300</v>
      </c>
      <c r="AM50" s="107">
        <v>250</v>
      </c>
      <c r="AN50" s="107"/>
      <c r="AO50" s="107"/>
      <c r="AP50" s="107"/>
      <c r="AQ50" s="107"/>
      <c r="AR50" s="336"/>
      <c r="AS50" s="164"/>
      <c r="AT50" s="164"/>
      <c r="AU50" s="164"/>
      <c r="AV50" s="6">
        <v>190</v>
      </c>
      <c r="AW50" s="6" t="s">
        <v>430</v>
      </c>
      <c r="AX50" s="194">
        <v>250</v>
      </c>
      <c r="AY50" s="55">
        <f>AVERAGE('Char measurement'!C102:E104)</f>
        <v>42.222222222222221</v>
      </c>
      <c r="AZ50" s="55">
        <f>MIN('Char measurement'!C102:E104)</f>
        <v>26</v>
      </c>
      <c r="BA50" s="55">
        <f>MAX('Char measurement'!C102:E104)</f>
        <v>56</v>
      </c>
      <c r="BB50" s="221"/>
      <c r="BC50" s="50">
        <f>AVERAGE('Char measurement'!B95:K99)</f>
        <v>24.37037037037037</v>
      </c>
      <c r="BD50" s="55">
        <f>MIN('Char measurement'!B95:K99)</f>
        <v>15</v>
      </c>
      <c r="BE50" s="297">
        <f>MAX('Char measurement'!B95:K99)</f>
        <v>40</v>
      </c>
      <c r="BF50" s="234"/>
      <c r="BG50" s="55"/>
      <c r="BH50" s="55"/>
      <c r="BI50" s="55"/>
      <c r="BJ50" s="50">
        <f>AVERAGE('Char measurement'!C115:G116)</f>
        <v>29.375</v>
      </c>
      <c r="BK50" s="55">
        <f>MIN('Char measurement'!C115:G116)</f>
        <v>23</v>
      </c>
      <c r="BL50" s="55">
        <f>MAX('Char measurement'!C115:G116)</f>
        <v>33</v>
      </c>
      <c r="BM50" s="55"/>
      <c r="BN50" s="50">
        <f>AVERAGE('Char measurement'!C106:G112)</f>
        <v>37.75</v>
      </c>
      <c r="BO50" s="55">
        <f>MIN('Char measurement'!C115:G116)</f>
        <v>23</v>
      </c>
      <c r="BP50" s="55">
        <f>MAX('Char measurement'!C106:G112)</f>
        <v>60</v>
      </c>
      <c r="BQ50" s="839"/>
      <c r="BR50" s="884" t="s">
        <v>1014</v>
      </c>
      <c r="BS50" s="892" t="s">
        <v>428</v>
      </c>
      <c r="BT50" s="55" t="s">
        <v>428</v>
      </c>
      <c r="BU50" s="55"/>
      <c r="BV50" s="892" t="s">
        <v>1016</v>
      </c>
      <c r="BW50" s="1129"/>
      <c r="BX50" s="1130"/>
      <c r="BY50" s="1130"/>
      <c r="BZ50" s="1130"/>
      <c r="CA50" s="1131"/>
      <c r="CB50" s="128"/>
      <c r="CC50" s="95"/>
      <c r="CD50" s="95"/>
      <c r="CE50" s="95"/>
      <c r="CF50" s="164"/>
      <c r="CG50" s="136"/>
      <c r="CH50" s="136"/>
      <c r="CI50" s="136"/>
      <c r="CJ50" s="522"/>
      <c r="CK50" s="109"/>
      <c r="CL50" s="109"/>
      <c r="CM50" s="360">
        <f>6*1000/60/60</f>
        <v>1.6666666666666667</v>
      </c>
      <c r="CN50" s="109">
        <v>315</v>
      </c>
      <c r="CO50" s="109"/>
      <c r="CP50" s="109">
        <v>20.6</v>
      </c>
      <c r="CQ50" s="375">
        <f t="shared" si="39"/>
        <v>291.2</v>
      </c>
      <c r="CR50" s="164"/>
      <c r="CS50" s="136"/>
      <c r="CT50" s="136"/>
      <c r="CU50" s="136"/>
      <c r="CV50" s="109"/>
      <c r="CW50" s="428"/>
      <c r="CX50" s="109"/>
      <c r="CY50" s="109"/>
      <c r="CZ50" s="359">
        <v>9.2999999999999999E-2</v>
      </c>
      <c r="DA50" s="109"/>
      <c r="DB50" s="360"/>
      <c r="DC50" s="109">
        <v>27.5</v>
      </c>
      <c r="DD50" s="25"/>
      <c r="DE50" s="109"/>
      <c r="DF50" s="109"/>
      <c r="DG50" s="109"/>
      <c r="DH50" s="109"/>
      <c r="DI50" s="428"/>
      <c r="DJ50" s="109"/>
      <c r="DK50" s="130"/>
      <c r="DL50" s="359">
        <v>9.2999999999999999E-2</v>
      </c>
      <c r="DM50" s="109"/>
      <c r="DN50" s="109"/>
      <c r="DO50" s="109"/>
      <c r="DP50" s="522">
        <v>195</v>
      </c>
      <c r="DQ50" s="109"/>
      <c r="DR50" s="109"/>
      <c r="DS50" s="109"/>
      <c r="DT50" s="109"/>
      <c r="DU50" s="109"/>
      <c r="DV50" s="428"/>
      <c r="DW50" s="109"/>
      <c r="DX50" s="130"/>
      <c r="DY50" s="359"/>
      <c r="DZ50" s="109"/>
      <c r="EA50" s="109"/>
      <c r="EB50" s="428"/>
      <c r="EC50" s="109"/>
      <c r="ED50" s="109" t="s">
        <v>529</v>
      </c>
      <c r="EE50" s="109" t="s">
        <v>530</v>
      </c>
      <c r="EF50" s="359">
        <v>9.2999999999999999E-2</v>
      </c>
      <c r="EG50" s="109"/>
      <c r="EH50" s="109">
        <f>EC49*CC49-2*ET49</f>
        <v>14.188000000000001</v>
      </c>
      <c r="EI50" s="109"/>
      <c r="EJ50" s="109"/>
      <c r="EK50" s="109"/>
      <c r="EL50" s="699"/>
      <c r="EM50" s="428">
        <v>36.200000000000003</v>
      </c>
      <c r="EN50" s="109"/>
      <c r="EO50" s="109" t="s">
        <v>529</v>
      </c>
      <c r="EP50" s="109" t="s">
        <v>530</v>
      </c>
      <c r="EQ50" s="359">
        <v>9.2999999999999999E-2</v>
      </c>
      <c r="ER50" s="109"/>
      <c r="ES50" s="109"/>
      <c r="ET50" s="109"/>
      <c r="EU50" s="109"/>
      <c r="EV50" s="109"/>
      <c r="EW50" s="699"/>
      <c r="EX50" s="109">
        <v>32.5</v>
      </c>
      <c r="EY50" s="26"/>
      <c r="EZ50" s="25"/>
      <c r="FA50" s="109"/>
      <c r="FB50" s="109"/>
      <c r="FC50" s="109"/>
      <c r="FD50" s="109"/>
      <c r="FE50" s="109"/>
      <c r="FF50" s="109"/>
      <c r="FG50" s="428"/>
      <c r="FH50" s="25"/>
      <c r="FI50" s="109"/>
      <c r="FJ50" s="109"/>
      <c r="FK50" s="109"/>
      <c r="FL50" s="109"/>
      <c r="FM50" s="109"/>
      <c r="FN50" s="109"/>
      <c r="FO50" s="428"/>
      <c r="FP50" s="79"/>
      <c r="FQ50" s="512"/>
      <c r="FR50" s="512"/>
      <c r="FS50" s="512"/>
      <c r="FT50" s="512"/>
      <c r="FU50" s="109"/>
      <c r="FV50" s="109"/>
      <c r="FW50" s="519"/>
      <c r="FX50" s="79"/>
      <c r="FY50" s="512"/>
      <c r="FZ50" s="512"/>
      <c r="GA50" s="512"/>
      <c r="GB50" s="512"/>
      <c r="GC50" s="109"/>
      <c r="GD50" s="109"/>
      <c r="GE50" s="519"/>
      <c r="GF50" s="79"/>
      <c r="GG50" s="512"/>
      <c r="GH50" s="512"/>
      <c r="GI50" s="512"/>
      <c r="GJ50" s="512"/>
      <c r="GK50" s="109"/>
      <c r="GL50" s="109"/>
      <c r="GM50" s="519"/>
      <c r="GN50" s="79"/>
      <c r="GO50" s="512"/>
      <c r="GP50" s="512"/>
      <c r="GQ50" s="512"/>
      <c r="GR50" s="512"/>
      <c r="GS50" s="109"/>
      <c r="GT50" s="109"/>
      <c r="GU50" s="513"/>
      <c r="GV50" s="79"/>
      <c r="GW50" s="512"/>
      <c r="GX50" s="512"/>
      <c r="GY50" s="512"/>
      <c r="GZ50" s="512"/>
      <c r="HA50" s="109"/>
      <c r="HB50" s="109"/>
      <c r="HC50" s="513"/>
      <c r="HD50" s="79"/>
      <c r="HE50" s="512"/>
      <c r="HF50" s="512"/>
      <c r="HG50" s="512"/>
      <c r="HH50" s="512"/>
      <c r="HI50" s="109"/>
      <c r="HJ50" s="109"/>
      <c r="HK50" s="513"/>
      <c r="HL50" s="79"/>
      <c r="HM50" s="512"/>
      <c r="HN50" s="512"/>
      <c r="HO50" s="512"/>
      <c r="HP50" s="512"/>
      <c r="HQ50" s="109"/>
      <c r="HR50" s="109"/>
      <c r="HS50" s="513"/>
      <c r="HT50" s="79"/>
      <c r="HU50" s="512"/>
      <c r="HV50" s="512"/>
      <c r="HW50" s="512"/>
      <c r="HX50" s="512"/>
      <c r="HY50" s="109"/>
      <c r="HZ50" s="109"/>
      <c r="IA50" s="513"/>
      <c r="IB50" s="79"/>
      <c r="IC50" s="512"/>
      <c r="ID50" s="512"/>
      <c r="IE50" s="512"/>
      <c r="IF50" s="512"/>
      <c r="IG50" s="109"/>
      <c r="IH50" s="109"/>
      <c r="II50" s="513"/>
    </row>
    <row r="51" spans="1:244" ht="15.75" thickBot="1">
      <c r="A51" s="1161" t="s">
        <v>540</v>
      </c>
      <c r="B51" s="1141" t="s">
        <v>541</v>
      </c>
      <c r="C51" s="520">
        <v>1</v>
      </c>
      <c r="D51" s="120" t="str">
        <f>CONCATENATE($A$51,"_",C51)</f>
        <v>RISE_1</v>
      </c>
      <c r="E51" s="1135">
        <v>560</v>
      </c>
      <c r="F51" s="1138" t="s">
        <v>542</v>
      </c>
      <c r="G51" s="1138">
        <v>20.54</v>
      </c>
      <c r="H51" s="1228">
        <f>CB51*CC51</f>
        <v>47.073184959999999</v>
      </c>
      <c r="I51" s="1229">
        <f>2*(CB51+CC51)*CD51+2*H51</f>
        <v>169.07285791999999</v>
      </c>
      <c r="J51" s="334">
        <f>CQ51/$I$51</f>
        <v>0.31242746357901041</v>
      </c>
      <c r="K51" s="146" t="s">
        <v>543</v>
      </c>
      <c r="L51" s="334">
        <f t="shared" ref="L51:L80" si="56">CQ51/(2*(CB51+CC51)*CD51)</f>
        <v>0.70499773271102739</v>
      </c>
      <c r="M51" s="334">
        <f t="shared" ref="M51:M80" si="57">CQ51/(2*(CB51+CC51)*CD51-X51)</f>
        <v>0.78921902896379681</v>
      </c>
      <c r="N51" s="334">
        <f>CQ51/H51</f>
        <v>1.1221463813184906</v>
      </c>
      <c r="O51" s="470">
        <f>DC51/(2*(CB51+CC51)*CD51-X51)</f>
        <v>0</v>
      </c>
      <c r="P51" s="134">
        <f>DP51/H51</f>
        <v>0.94955408260524887</v>
      </c>
      <c r="Q51" s="134"/>
      <c r="R51" s="134">
        <f>EM51/(EH51*2*(EI51+EJ51))</f>
        <v>0.77382388419782877</v>
      </c>
      <c r="S51" s="471">
        <f t="shared" ref="S51:S57" si="58">EX51/(ES51*2*(ET51+EU51))</f>
        <v>0</v>
      </c>
      <c r="T51" s="683"/>
      <c r="U51" s="472"/>
      <c r="V51" s="683" t="s">
        <v>417</v>
      </c>
      <c r="W51" s="1147">
        <f>SUM(FD51*FA51+FL51*FI51+FT51*FQ51+GB51*FY51+GJ51*GG51+GR51*GO51)/X51</f>
        <v>1.78</v>
      </c>
      <c r="X51" s="1230">
        <f>FD51+FL51+FT51+GB51+GJ51+GR51</f>
        <v>7.9957599999999998</v>
      </c>
      <c r="Y51" s="1157">
        <f t="shared" si="37"/>
        <v>6.3095132577610347E-2</v>
      </c>
      <c r="Z51" s="140">
        <v>22</v>
      </c>
      <c r="AA51" s="489"/>
      <c r="AB51" s="489"/>
      <c r="AC51" s="489">
        <f t="shared" si="38"/>
        <v>0</v>
      </c>
      <c r="AD51" s="489"/>
      <c r="AE51" s="489"/>
      <c r="AF51" s="489"/>
      <c r="AG51" s="489"/>
      <c r="AH51" s="489"/>
      <c r="AI51" s="489"/>
      <c r="AJ51" s="489"/>
      <c r="AK51" s="435" t="s">
        <v>544</v>
      </c>
      <c r="AL51" s="105">
        <v>1236</v>
      </c>
      <c r="AM51" s="105">
        <v>240</v>
      </c>
      <c r="AN51" s="105"/>
      <c r="AO51" s="105"/>
      <c r="AP51" s="105"/>
      <c r="AQ51" s="105"/>
      <c r="AR51" s="520">
        <v>66.099999999999994</v>
      </c>
      <c r="AS51" s="426"/>
      <c r="AT51" s="426">
        <v>98.9</v>
      </c>
      <c r="AU51" s="426"/>
      <c r="AV51" s="263"/>
      <c r="AW51" s="263" t="s">
        <v>430</v>
      </c>
      <c r="AX51" s="200">
        <v>240</v>
      </c>
      <c r="AY51" s="147"/>
      <c r="AZ51" s="147"/>
      <c r="BA51" s="147"/>
      <c r="BB51" s="229"/>
      <c r="BC51" s="148">
        <f>AVERAGE('Char measurement'!$B$3:$E$6)</f>
        <v>35.333333333333336</v>
      </c>
      <c r="BD51" s="147">
        <f>MIN('Char measurement'!$B$3:$E$6)</f>
        <v>25</v>
      </c>
      <c r="BE51" s="318">
        <f>MAX('Char measurement'!$B$3:$E$6)</f>
        <v>45</v>
      </c>
      <c r="BF51" s="240"/>
      <c r="BG51" s="147"/>
      <c r="BH51" s="147"/>
      <c r="BI51" s="147"/>
      <c r="BJ51" s="148">
        <v>32</v>
      </c>
      <c r="BK51" s="207">
        <v>0.1</v>
      </c>
      <c r="BL51" s="207">
        <v>65</v>
      </c>
      <c r="BM51" s="207"/>
      <c r="BN51" s="148"/>
      <c r="BO51" s="147"/>
      <c r="BP51" s="147"/>
      <c r="BQ51" s="836"/>
      <c r="BR51" s="148" t="s">
        <v>1049</v>
      </c>
      <c r="BS51" s="1098" t="s">
        <v>428</v>
      </c>
      <c r="BT51" s="1098" t="s">
        <v>428</v>
      </c>
      <c r="BU51" s="1098"/>
      <c r="BV51" s="1099" t="s">
        <v>1050</v>
      </c>
      <c r="BW51" s="1149" t="s">
        <v>545</v>
      </c>
      <c r="BX51" s="1113"/>
      <c r="BY51" s="1113"/>
      <c r="BZ51" s="1113"/>
      <c r="CA51" s="1122"/>
      <c r="CB51" s="127">
        <f>7-2*CS51/1000</f>
        <v>6.9363999999999999</v>
      </c>
      <c r="CC51" s="535">
        <f>6.85-2*CS51/1000</f>
        <v>6.7863999999999995</v>
      </c>
      <c r="CD51" s="535">
        <v>2.73</v>
      </c>
      <c r="CE51" s="535"/>
      <c r="CF51" s="426"/>
      <c r="CG51" s="119"/>
      <c r="CH51" s="119"/>
      <c r="CI51" s="119"/>
      <c r="CJ51" s="430"/>
      <c r="CK51" s="506"/>
      <c r="CL51" s="506"/>
      <c r="CM51" s="340">
        <v>0.4</v>
      </c>
      <c r="CN51" s="506">
        <v>90</v>
      </c>
      <c r="CO51" s="290">
        <v>0.89</v>
      </c>
      <c r="CP51" s="506">
        <v>15</v>
      </c>
      <c r="CQ51" s="376">
        <f t="shared" si="39"/>
        <v>52.823004159999996</v>
      </c>
      <c r="CR51" s="426" t="s">
        <v>438</v>
      </c>
      <c r="CS51" s="119">
        <f>2*15.9</f>
        <v>31.8</v>
      </c>
      <c r="CT51" s="119" t="s">
        <v>423</v>
      </c>
      <c r="CU51" s="119">
        <v>175</v>
      </c>
      <c r="CV51" s="506"/>
      <c r="CW51" s="427"/>
      <c r="CX51" s="506" t="s">
        <v>450</v>
      </c>
      <c r="CY51" s="506" t="s">
        <v>451</v>
      </c>
      <c r="CZ51" s="339">
        <v>0.13</v>
      </c>
      <c r="DA51" s="506">
        <v>470</v>
      </c>
      <c r="DB51" s="340">
        <f>2*(CB51+CC51)*CD51-$X$51</f>
        <v>66.930727999999988</v>
      </c>
      <c r="DC51" s="506">
        <v>0</v>
      </c>
      <c r="DD51" s="425" t="s">
        <v>423</v>
      </c>
      <c r="DE51" s="506">
        <v>175</v>
      </c>
      <c r="DI51" s="427"/>
      <c r="DJ51" s="506" t="s">
        <v>450</v>
      </c>
      <c r="DK51" s="129" t="s">
        <v>451</v>
      </c>
      <c r="DL51" s="339">
        <v>0.13</v>
      </c>
      <c r="DM51" s="506">
        <v>470</v>
      </c>
      <c r="DN51" s="506"/>
      <c r="DO51" s="506">
        <f t="shared" ref="DO51:DO59" si="59">CB51*CC51</f>
        <v>47.073184959999999</v>
      </c>
      <c r="DP51" s="430">
        <f>CC51*CB51-EH51*EI51</f>
        <v>44.698534959999996</v>
      </c>
      <c r="DQ51" s="506" t="s">
        <v>518</v>
      </c>
      <c r="DR51" s="506">
        <v>100</v>
      </c>
      <c r="DS51" s="506" t="s">
        <v>505</v>
      </c>
      <c r="DT51" s="506">
        <v>20</v>
      </c>
      <c r="DU51" s="506" t="s">
        <v>423</v>
      </c>
      <c r="DV51" s="427">
        <v>175</v>
      </c>
      <c r="DW51" s="506"/>
      <c r="DX51" s="129"/>
      <c r="DY51" s="339"/>
      <c r="EA51" s="506">
        <f>CB51*CC51</f>
        <v>47.073184959999999</v>
      </c>
      <c r="EB51" s="427"/>
      <c r="EC51" s="506">
        <v>1</v>
      </c>
      <c r="ED51" s="506" t="s">
        <v>529</v>
      </c>
      <c r="EE51" s="506" t="s">
        <v>546</v>
      </c>
      <c r="EF51" s="339">
        <v>0.13400000000000001</v>
      </c>
      <c r="EG51" s="506">
        <v>580</v>
      </c>
      <c r="EH51" s="506">
        <f>CC51-EU51</f>
        <v>6.3323999999999998</v>
      </c>
      <c r="EI51" s="506">
        <v>0.375</v>
      </c>
      <c r="EJ51" s="506">
        <v>0.45400000000000001</v>
      </c>
      <c r="EK51" s="506"/>
      <c r="EL51" s="698" t="s">
        <v>471</v>
      </c>
      <c r="EM51" s="427">
        <f>EH51*(EI51+2*EJ51)</f>
        <v>8.1244692000000001</v>
      </c>
      <c r="EN51" s="506">
        <v>1</v>
      </c>
      <c r="EO51" s="506" t="s">
        <v>529</v>
      </c>
      <c r="EP51" s="506" t="s">
        <v>546</v>
      </c>
      <c r="EQ51" s="339">
        <v>0.13400000000000001</v>
      </c>
      <c r="ER51" s="506">
        <v>580</v>
      </c>
      <c r="ES51" s="506">
        <v>2.73</v>
      </c>
      <c r="ET51" s="506">
        <v>0.47</v>
      </c>
      <c r="EU51" s="506">
        <v>0.45400000000000001</v>
      </c>
      <c r="EV51" s="506"/>
      <c r="EW51" s="698"/>
      <c r="EX51" s="506">
        <v>0</v>
      </c>
      <c r="EY51" s="21">
        <v>2</v>
      </c>
      <c r="EZ51" s="538">
        <v>2.246</v>
      </c>
      <c r="FA51" s="538">
        <v>1.78</v>
      </c>
      <c r="FB51" s="538">
        <f>2.2-FA51</f>
        <v>0.42000000000000015</v>
      </c>
      <c r="FC51" s="538">
        <f>(CB51/2-EZ51)/2</f>
        <v>0.61109999999999998</v>
      </c>
      <c r="FD51" s="538">
        <f t="shared" ref="FD51:FD80" si="60">EZ51*FA51</f>
        <v>3.9978799999999999</v>
      </c>
      <c r="FE51" s="538"/>
      <c r="FF51" s="538"/>
      <c r="FG51" s="326" t="s">
        <v>428</v>
      </c>
      <c r="FH51" s="725">
        <v>2.246</v>
      </c>
      <c r="FI51" s="538">
        <v>1.78</v>
      </c>
      <c r="FJ51" s="538">
        <f>2.2-FI51</f>
        <v>0.42000000000000015</v>
      </c>
      <c r="FK51" s="538">
        <f>CB51/2+FC51</f>
        <v>4.0792999999999999</v>
      </c>
      <c r="FL51" s="538">
        <f t="shared" ref="FL51:FL57" si="61">FH51*FI51</f>
        <v>3.9978799999999999</v>
      </c>
      <c r="FM51" s="538"/>
      <c r="FN51" s="538"/>
      <c r="FO51" s="326" t="s">
        <v>428</v>
      </c>
      <c r="FP51" s="735"/>
      <c r="FQ51" s="533"/>
      <c r="FR51" s="533"/>
      <c r="FS51" s="533"/>
      <c r="FT51" s="533"/>
      <c r="FU51" s="538"/>
      <c r="FV51" s="538"/>
      <c r="FW51" s="327"/>
      <c r="FX51" s="735"/>
      <c r="FY51" s="533"/>
      <c r="FZ51" s="533"/>
      <c r="GA51" s="533"/>
      <c r="GB51" s="533"/>
      <c r="GC51" s="538"/>
      <c r="GD51" s="538"/>
      <c r="GE51" s="327"/>
      <c r="GF51" s="735"/>
      <c r="GG51" s="533"/>
      <c r="GH51" s="533"/>
      <c r="GI51" s="533"/>
      <c r="GJ51" s="533"/>
      <c r="GK51" s="538"/>
      <c r="GL51" s="538"/>
      <c r="GM51" s="327"/>
      <c r="GN51" s="735"/>
      <c r="GO51" s="533"/>
      <c r="GP51" s="533"/>
      <c r="GQ51" s="533"/>
      <c r="GR51" s="533"/>
      <c r="GS51" s="538"/>
      <c r="GT51" s="538"/>
      <c r="GU51" s="534"/>
      <c r="GV51" s="735"/>
      <c r="GW51" s="533"/>
      <c r="GX51" s="533"/>
      <c r="GY51" s="533"/>
      <c r="GZ51" s="533"/>
      <c r="HA51" s="538"/>
      <c r="HB51" s="538"/>
      <c r="HC51" s="534"/>
      <c r="HD51" s="735"/>
      <c r="HE51" s="533"/>
      <c r="HF51" s="533"/>
      <c r="HG51" s="533"/>
      <c r="HH51" s="533"/>
      <c r="HI51" s="538"/>
      <c r="HJ51" s="538"/>
      <c r="HK51" s="534"/>
      <c r="HL51" s="735"/>
      <c r="HM51" s="533"/>
      <c r="HN51" s="533"/>
      <c r="HO51" s="533"/>
      <c r="HP51" s="533"/>
      <c r="HQ51" s="538"/>
      <c r="HR51" s="538"/>
      <c r="HS51" s="534"/>
      <c r="HT51" s="735"/>
      <c r="HU51" s="533"/>
      <c r="HV51" s="533"/>
      <c r="HW51" s="533"/>
      <c r="HX51" s="533"/>
      <c r="HY51" s="538"/>
      <c r="HZ51" s="538"/>
      <c r="IA51" s="534"/>
      <c r="IB51" s="735"/>
      <c r="IC51" s="533"/>
      <c r="ID51" s="533"/>
      <c r="IE51" s="533"/>
      <c r="IF51" s="533"/>
      <c r="IG51" s="538"/>
      <c r="IH51" s="538"/>
      <c r="II51" s="534"/>
    </row>
    <row r="52" spans="1:244">
      <c r="A52" s="1162"/>
      <c r="B52" s="1142"/>
      <c r="C52" s="520">
        <v>2</v>
      </c>
      <c r="D52" s="467" t="str">
        <f t="shared" ref="D52:D55" si="62">CONCATENATE($A$51,"_",C52)</f>
        <v>RISE_2</v>
      </c>
      <c r="E52" s="1136"/>
      <c r="F52" s="1139"/>
      <c r="G52" s="1139"/>
      <c r="H52" s="1139"/>
      <c r="I52" s="1139"/>
      <c r="J52" s="736">
        <f>CQ52/$I$51</f>
        <v>0.53104158801457857</v>
      </c>
      <c r="K52" s="52" t="s">
        <v>547</v>
      </c>
      <c r="L52" s="736">
        <f t="shared" si="56"/>
        <v>1.1955336921183983</v>
      </c>
      <c r="M52" s="736">
        <f t="shared" si="57"/>
        <v>1.1955336921183983</v>
      </c>
      <c r="N52" s="736">
        <f>CQ52/H51</f>
        <v>1.907343194141075</v>
      </c>
      <c r="O52" s="470">
        <f>DC52/(2*(CB52+CC52)*CD52-X51)</f>
        <v>0.5495934719945752</v>
      </c>
      <c r="P52" s="134">
        <f>DP52/H51</f>
        <v>0.94955408260524887</v>
      </c>
      <c r="Q52" s="134"/>
      <c r="R52" s="134">
        <f>EM52/(EH52*2*(EI52+EJ52))</f>
        <v>0.77382388419782877</v>
      </c>
      <c r="S52" s="471">
        <f t="shared" si="58"/>
        <v>0</v>
      </c>
      <c r="T52" s="683"/>
      <c r="U52" s="472"/>
      <c r="V52" s="683" t="s">
        <v>417</v>
      </c>
      <c r="W52" s="1139"/>
      <c r="X52" s="1231"/>
      <c r="Y52" s="1158"/>
      <c r="Z52" s="489">
        <v>34</v>
      </c>
      <c r="AA52" s="489">
        <v>19</v>
      </c>
      <c r="AB52" s="489">
        <v>25</v>
      </c>
      <c r="AC52" s="489">
        <f>AA52/H51*1000</f>
        <v>403.62682100531487</v>
      </c>
      <c r="AD52" s="489"/>
      <c r="AE52" s="489"/>
      <c r="AF52" s="489"/>
      <c r="AG52" s="489"/>
      <c r="AH52" s="489"/>
      <c r="AI52" s="489"/>
      <c r="AJ52" s="489"/>
      <c r="AK52" s="427" t="s">
        <v>548</v>
      </c>
      <c r="AL52" s="106">
        <v>1264</v>
      </c>
      <c r="AM52" s="106">
        <v>240</v>
      </c>
      <c r="AN52" s="106"/>
      <c r="AO52" s="106"/>
      <c r="AP52" s="106"/>
      <c r="AQ52" s="106"/>
      <c r="AR52" s="520">
        <v>88.4</v>
      </c>
      <c r="AS52" s="426"/>
      <c r="AT52" s="814">
        <v>119.2</v>
      </c>
      <c r="AU52" s="426"/>
      <c r="AV52" s="51"/>
      <c r="AW52" s="51" t="s">
        <v>430</v>
      </c>
      <c r="AX52" s="201">
        <v>240</v>
      </c>
      <c r="AY52" s="489">
        <f>AVERAGE('Char measurement'!$G$19:$O$24)</f>
        <v>60.708333333333336</v>
      </c>
      <c r="AZ52" s="28">
        <f>MIN('Char measurement'!$G$19:$O$24)</f>
        <v>36</v>
      </c>
      <c r="BA52" s="28">
        <f>MAX('Char measurement'!$G$19:$O$24)</f>
        <v>86</v>
      </c>
      <c r="BC52" s="49">
        <f>AVERAGE('Char measurement'!$B$19:$E$23)</f>
        <v>43.125</v>
      </c>
      <c r="BD52" s="54">
        <f>MIN('Char measurement'!$B$19:$E$23)</f>
        <v>33</v>
      </c>
      <c r="BE52" s="313">
        <f>MAX('Char measurement'!$B$19:$E$23)</f>
        <v>57</v>
      </c>
      <c r="BF52" s="443"/>
      <c r="BG52" s="54"/>
      <c r="BH52" s="54"/>
      <c r="BI52" s="54"/>
      <c r="BJ52" s="49">
        <v>56</v>
      </c>
      <c r="BK52" s="56">
        <v>20</v>
      </c>
      <c r="BL52" s="56">
        <v>80</v>
      </c>
      <c r="BM52" s="56"/>
      <c r="BN52" s="49"/>
      <c r="BO52" s="54"/>
      <c r="BP52" s="54"/>
      <c r="BQ52" s="837"/>
      <c r="BR52" s="49" t="s">
        <v>1049</v>
      </c>
      <c r="BS52" s="1100" t="s">
        <v>428</v>
      </c>
      <c r="BT52" s="1100" t="s">
        <v>428</v>
      </c>
      <c r="BU52" s="1100"/>
      <c r="BV52" s="1101" t="s">
        <v>1054</v>
      </c>
      <c r="BW52" s="1128"/>
      <c r="BX52" s="1113"/>
      <c r="BY52" s="1113"/>
      <c r="BZ52" s="1113"/>
      <c r="CA52" s="1122"/>
      <c r="CB52" s="127">
        <v>7</v>
      </c>
      <c r="CC52" s="535">
        <f>6.85-2*CS52/1000</f>
        <v>6.7545999999999999</v>
      </c>
      <c r="CD52" s="535">
        <v>2.73</v>
      </c>
      <c r="CE52" s="535"/>
      <c r="CF52" s="426"/>
      <c r="CG52" s="119"/>
      <c r="CH52" s="119"/>
      <c r="CI52" s="119"/>
      <c r="CJ52" s="430"/>
      <c r="CK52" s="506"/>
      <c r="CL52" s="506"/>
      <c r="CM52" s="340">
        <v>0.4</v>
      </c>
      <c r="CN52" s="506">
        <v>90</v>
      </c>
      <c r="CO52" s="290">
        <v>0.89</v>
      </c>
      <c r="CP52" s="506">
        <v>12</v>
      </c>
      <c r="CQ52" s="376">
        <f t="shared" si="39"/>
        <v>89.784718960000006</v>
      </c>
      <c r="CR52" s="426" t="s">
        <v>438</v>
      </c>
      <c r="CS52" s="119">
        <f>3*15.9</f>
        <v>47.7</v>
      </c>
      <c r="CT52" s="119" t="s">
        <v>423</v>
      </c>
      <c r="CU52" s="119">
        <v>175</v>
      </c>
      <c r="CV52" s="506"/>
      <c r="CW52" s="427"/>
      <c r="CX52" s="506" t="s">
        <v>450</v>
      </c>
      <c r="CY52" s="506" t="s">
        <v>451</v>
      </c>
      <c r="CZ52" s="339">
        <v>0.13</v>
      </c>
      <c r="DA52" s="506">
        <v>470</v>
      </c>
      <c r="DB52" s="340">
        <f>2*(CB52+CC52)*CD52-$X$51</f>
        <v>67.104355999999996</v>
      </c>
      <c r="DC52" s="506">
        <f>2*(CC52*CD52)</f>
        <v>36.880116000000001</v>
      </c>
      <c r="DD52" s="425" t="s">
        <v>423</v>
      </c>
      <c r="DE52" s="506">
        <v>175</v>
      </c>
      <c r="DI52" s="427"/>
      <c r="DJ52" s="506" t="s">
        <v>450</v>
      </c>
      <c r="DK52" s="129" t="s">
        <v>451</v>
      </c>
      <c r="DL52" s="339">
        <v>0.13</v>
      </c>
      <c r="DM52" s="506">
        <v>470</v>
      </c>
      <c r="DN52" s="506"/>
      <c r="DO52" s="506">
        <f t="shared" si="59"/>
        <v>47.282200000000003</v>
      </c>
      <c r="DP52" s="430">
        <f>DP51</f>
        <v>44.698534959999996</v>
      </c>
      <c r="DQ52" s="506" t="s">
        <v>518</v>
      </c>
      <c r="DR52" s="506">
        <v>100</v>
      </c>
      <c r="DS52" s="506" t="s">
        <v>505</v>
      </c>
      <c r="DT52" s="506">
        <v>20</v>
      </c>
      <c r="DU52" s="506" t="s">
        <v>423</v>
      </c>
      <c r="DV52" s="427">
        <v>175</v>
      </c>
      <c r="DW52" s="506"/>
      <c r="DX52" s="129"/>
      <c r="DY52" s="339"/>
      <c r="EA52" s="506">
        <f>CB52*CC52</f>
        <v>47.282200000000003</v>
      </c>
      <c r="EB52" s="427"/>
      <c r="EC52" s="506">
        <v>1</v>
      </c>
      <c r="ED52" s="506" t="s">
        <v>529</v>
      </c>
      <c r="EE52" s="506" t="s">
        <v>546</v>
      </c>
      <c r="EF52" s="339">
        <v>0.13400000000000001</v>
      </c>
      <c r="EG52" s="506">
        <v>580</v>
      </c>
      <c r="EH52" s="506">
        <v>6.3959999999999999</v>
      </c>
      <c r="EI52" s="506">
        <v>0.375</v>
      </c>
      <c r="EJ52" s="506">
        <v>0.45400000000000001</v>
      </c>
      <c r="EK52" s="506"/>
      <c r="EL52" s="698" t="s">
        <v>471</v>
      </c>
      <c r="EM52" s="427">
        <f>EH52*(EI52+2*EJ52)</f>
        <v>8.2060680000000001</v>
      </c>
      <c r="EN52" s="506">
        <v>1</v>
      </c>
      <c r="EO52" s="506" t="s">
        <v>529</v>
      </c>
      <c r="EP52" s="506" t="s">
        <v>546</v>
      </c>
      <c r="EQ52" s="339">
        <v>0.13400000000000001</v>
      </c>
      <c r="ER52" s="506">
        <v>580</v>
      </c>
      <c r="ES52" s="506">
        <v>2.73</v>
      </c>
      <c r="ET52" s="506">
        <v>0.47</v>
      </c>
      <c r="EU52" s="506">
        <v>0.45400000000000001</v>
      </c>
      <c r="EV52" s="506"/>
      <c r="EW52" s="698"/>
      <c r="EX52" s="506">
        <v>0</v>
      </c>
      <c r="EY52" s="21">
        <v>2</v>
      </c>
      <c r="EZ52" s="506">
        <v>2.246</v>
      </c>
      <c r="FA52" s="506">
        <v>1.78</v>
      </c>
      <c r="FB52" s="506">
        <f>2.2-FA52</f>
        <v>0.42000000000000015</v>
      </c>
      <c r="FC52" s="506">
        <f>(CB52/2-EZ52)/2</f>
        <v>0.627</v>
      </c>
      <c r="FD52" s="506">
        <f t="shared" si="60"/>
        <v>3.9978799999999999</v>
      </c>
      <c r="FE52" s="506"/>
      <c r="FF52" s="506"/>
      <c r="FG52" s="427" t="s">
        <v>428</v>
      </c>
      <c r="FH52" s="425">
        <v>2.246</v>
      </c>
      <c r="FI52" s="506">
        <v>1.78</v>
      </c>
      <c r="FJ52" s="506">
        <f>2.2-FI52</f>
        <v>0.42000000000000015</v>
      </c>
      <c r="FK52" s="506">
        <f>CB52/2+FC52</f>
        <v>4.1269999999999998</v>
      </c>
      <c r="FL52" s="506">
        <f t="shared" si="61"/>
        <v>3.9978799999999999</v>
      </c>
      <c r="FM52" s="506"/>
      <c r="FN52" s="506"/>
      <c r="FO52" s="427" t="s">
        <v>428</v>
      </c>
      <c r="FP52" s="433"/>
      <c r="FU52" s="506"/>
      <c r="FV52" s="506"/>
      <c r="FW52" s="518"/>
      <c r="FX52" s="433"/>
      <c r="GC52" s="506"/>
      <c r="GD52" s="506"/>
      <c r="GE52" s="518"/>
      <c r="GF52" s="433"/>
      <c r="GK52" s="506"/>
      <c r="GL52" s="506"/>
      <c r="GM52" s="518"/>
      <c r="GN52" s="433"/>
      <c r="GS52" s="506"/>
      <c r="GT52" s="506"/>
      <c r="GU52" s="510"/>
      <c r="GV52" s="433"/>
      <c r="HA52" s="506"/>
      <c r="HB52" s="506"/>
      <c r="HC52" s="510"/>
      <c r="HD52" s="433"/>
      <c r="HI52" s="506"/>
      <c r="HJ52" s="506"/>
      <c r="HK52" s="510"/>
      <c r="HL52" s="433"/>
      <c r="HQ52" s="506"/>
      <c r="HR52" s="506"/>
      <c r="HS52" s="510"/>
      <c r="HT52" s="433"/>
      <c r="HY52" s="506"/>
      <c r="HZ52" s="506"/>
      <c r="IA52" s="510"/>
      <c r="IB52" s="433"/>
      <c r="IG52" s="506"/>
      <c r="IH52" s="506"/>
      <c r="II52" s="510"/>
    </row>
    <row r="53" spans="1:244">
      <c r="A53" s="1162"/>
      <c r="B53" s="1142"/>
      <c r="C53" s="51">
        <v>3</v>
      </c>
      <c r="D53" s="725" t="str">
        <f t="shared" si="62"/>
        <v>RISE_3</v>
      </c>
      <c r="E53" s="1136"/>
      <c r="F53" s="1139"/>
      <c r="G53" s="1139"/>
      <c r="H53" s="1139"/>
      <c r="I53" s="1139"/>
      <c r="J53" s="4">
        <f>CQ53/$I$51</f>
        <v>0.58744488868222478</v>
      </c>
      <c r="K53" s="36" t="s">
        <v>549</v>
      </c>
      <c r="L53" s="4">
        <f t="shared" si="56"/>
        <v>1.3225144179537618</v>
      </c>
      <c r="M53" s="4">
        <f t="shared" si="57"/>
        <v>1.3225144179537618</v>
      </c>
      <c r="N53" s="4">
        <f>CQ53/H51</f>
        <v>2.1099270483694079</v>
      </c>
      <c r="O53" s="436">
        <f>DC53/(2*(CB53+CC53)*CD53-X51)</f>
        <v>0.63564343334134676</v>
      </c>
      <c r="P53" s="131">
        <f>DP53/H51</f>
        <v>0.94955408260524887</v>
      </c>
      <c r="Q53" s="131"/>
      <c r="R53" s="131">
        <f>EM53/(EH53*2*(EI53+EJ53))</f>
        <v>0.77382388419782877</v>
      </c>
      <c r="S53" s="437">
        <f t="shared" si="58"/>
        <v>0.74567099567099593</v>
      </c>
      <c r="T53" s="679"/>
      <c r="U53" s="438"/>
      <c r="V53" s="679" t="s">
        <v>417</v>
      </c>
      <c r="W53" s="1139"/>
      <c r="X53" s="1231"/>
      <c r="Y53" s="1158"/>
      <c r="Z53" s="489">
        <v>34</v>
      </c>
      <c r="AA53" s="489"/>
      <c r="AB53" s="489"/>
      <c r="AC53" s="489">
        <f>AA53/H51*1000</f>
        <v>0</v>
      </c>
      <c r="AD53" s="489"/>
      <c r="AE53" s="489"/>
      <c r="AF53" s="489"/>
      <c r="AG53" s="489"/>
      <c r="AH53" s="489"/>
      <c r="AI53" s="489"/>
      <c r="AJ53" s="489"/>
      <c r="AK53" s="435" t="s">
        <v>550</v>
      </c>
      <c r="AL53" s="271">
        <v>1200</v>
      </c>
      <c r="AM53" s="271">
        <v>211</v>
      </c>
      <c r="AN53" s="271"/>
      <c r="AO53" s="271"/>
      <c r="AP53" s="271"/>
      <c r="AQ53" s="271"/>
      <c r="AR53" s="51">
        <v>88.4</v>
      </c>
      <c r="AS53" s="425"/>
      <c r="AT53" s="808">
        <v>119.2</v>
      </c>
      <c r="AU53" s="425"/>
      <c r="AV53" s="265">
        <f>3*60+5</f>
        <v>185</v>
      </c>
      <c r="AW53" s="265" t="s">
        <v>417</v>
      </c>
      <c r="AX53" s="201">
        <f>3*60+31</f>
        <v>211</v>
      </c>
      <c r="AY53" s="54">
        <f>AVERAGE('Char measurement'!$G$27:$O$32,'Char measurement'!$G$35:$N$38)</f>
        <v>69.875</v>
      </c>
      <c r="AZ53" s="54">
        <f>MIN('Char measurement'!$G$27:$O$32,'Char measurement'!$G$35:$N$38)</f>
        <v>35</v>
      </c>
      <c r="BA53" s="54">
        <f>MAX('Char measurement'!$G$27:$O$32,'Char measurement'!$G$35:$N$38)</f>
        <v>104</v>
      </c>
      <c r="BB53" s="117"/>
      <c r="BC53" s="49">
        <f>AVERAGE('Char measurement'!$B$27:$E$31)</f>
        <v>46.5625</v>
      </c>
      <c r="BD53" s="54">
        <f>MIN('Char measurement'!$B$27:$E$31)</f>
        <v>40</v>
      </c>
      <c r="BE53" s="313">
        <f>MAX('Char measurement'!$B$27:$E$31)</f>
        <v>58</v>
      </c>
      <c r="BF53" s="233"/>
      <c r="BG53" s="54"/>
      <c r="BH53" s="54"/>
      <c r="BI53" s="54"/>
      <c r="BJ53" s="49">
        <v>56</v>
      </c>
      <c r="BK53" s="56">
        <v>25</v>
      </c>
      <c r="BL53" s="56">
        <v>80</v>
      </c>
      <c r="BM53" s="56"/>
      <c r="BN53" s="606">
        <v>56</v>
      </c>
      <c r="BO53" s="615">
        <f>BK53</f>
        <v>25</v>
      </c>
      <c r="BP53" s="615">
        <f>BL53</f>
        <v>80</v>
      </c>
      <c r="BQ53" s="837"/>
      <c r="BR53" s="1096" t="s">
        <v>1049</v>
      </c>
      <c r="BS53" s="1100" t="s">
        <v>428</v>
      </c>
      <c r="BT53" s="1100" t="s">
        <v>428</v>
      </c>
      <c r="BU53" s="1102"/>
      <c r="BV53" s="1101" t="s">
        <v>1051</v>
      </c>
      <c r="BW53" s="1128"/>
      <c r="BX53" s="1113"/>
      <c r="BY53" s="1113"/>
      <c r="BZ53" s="1113"/>
      <c r="CA53" s="1122"/>
      <c r="CB53" s="127">
        <v>7</v>
      </c>
      <c r="CC53" s="535">
        <f>6.85-2*CS53/1000</f>
        <v>6.7545999999999999</v>
      </c>
      <c r="CD53" s="535">
        <v>2.73</v>
      </c>
      <c r="CE53" s="535"/>
      <c r="CF53" s="426"/>
      <c r="CG53" s="119"/>
      <c r="CH53" s="119"/>
      <c r="CI53" s="119"/>
      <c r="CJ53" s="430"/>
      <c r="CK53" s="506"/>
      <c r="CL53" s="506"/>
      <c r="CM53" s="340">
        <f>1</f>
        <v>1</v>
      </c>
      <c r="CN53" s="506">
        <v>90</v>
      </c>
      <c r="CO53" s="290">
        <v>0.73</v>
      </c>
      <c r="CP53" s="506">
        <v>11</v>
      </c>
      <c r="CQ53" s="376">
        <f t="shared" si="39"/>
        <v>99.320986199999993</v>
      </c>
      <c r="CR53" s="426" t="s">
        <v>438</v>
      </c>
      <c r="CS53" s="119">
        <f>CS52</f>
        <v>47.7</v>
      </c>
      <c r="CT53" s="119" t="s">
        <v>423</v>
      </c>
      <c r="CU53" s="119">
        <v>175</v>
      </c>
      <c r="CV53" s="506"/>
      <c r="CW53" s="427"/>
      <c r="CX53" s="506" t="s">
        <v>450</v>
      </c>
      <c r="CY53" s="506" t="s">
        <v>451</v>
      </c>
      <c r="CZ53" s="339">
        <v>0.13</v>
      </c>
      <c r="DA53" s="506">
        <v>470</v>
      </c>
      <c r="DB53" s="340">
        <f>2*(CB53+CC53)*CD53-$X$51</f>
        <v>67.104355999999996</v>
      </c>
      <c r="DC53" s="506">
        <f>1.78*(CC53*CD53)+(CB53*CD53-X51)-ES53*ET53</f>
        <v>42.654443239999999</v>
      </c>
      <c r="DD53" s="425" t="s">
        <v>423</v>
      </c>
      <c r="DE53" s="506">
        <v>175</v>
      </c>
      <c r="DI53" s="427"/>
      <c r="DJ53" s="506" t="s">
        <v>450</v>
      </c>
      <c r="DK53" s="129" t="s">
        <v>451</v>
      </c>
      <c r="DL53" s="339">
        <v>0.13</v>
      </c>
      <c r="DM53" s="506">
        <v>470</v>
      </c>
      <c r="DN53" s="506"/>
      <c r="DO53" s="506">
        <f t="shared" si="59"/>
        <v>47.282200000000003</v>
      </c>
      <c r="DP53" s="430">
        <f>DP51</f>
        <v>44.698534959999996</v>
      </c>
      <c r="DQ53" s="506" t="s">
        <v>518</v>
      </c>
      <c r="DR53" s="506">
        <v>100</v>
      </c>
      <c r="DS53" s="506" t="s">
        <v>505</v>
      </c>
      <c r="DT53" s="506">
        <v>20</v>
      </c>
      <c r="DU53" s="506" t="s">
        <v>423</v>
      </c>
      <c r="DV53" s="427">
        <v>175</v>
      </c>
      <c r="DW53" s="506"/>
      <c r="DX53" s="129"/>
      <c r="DY53" s="339"/>
      <c r="EA53" s="506">
        <f>CB53*CC53</f>
        <v>47.282200000000003</v>
      </c>
      <c r="EB53" s="427"/>
      <c r="EC53" s="506">
        <v>1</v>
      </c>
      <c r="ED53" s="506" t="s">
        <v>529</v>
      </c>
      <c r="EE53" s="506" t="s">
        <v>546</v>
      </c>
      <c r="EF53" s="339">
        <v>0.13400000000000001</v>
      </c>
      <c r="EG53" s="506">
        <v>580</v>
      </c>
      <c r="EH53" s="506">
        <v>6.3959999999999999</v>
      </c>
      <c r="EI53" s="506">
        <v>0.375</v>
      </c>
      <c r="EJ53" s="506">
        <v>0.45400000000000001</v>
      </c>
      <c r="EK53" s="506"/>
      <c r="EL53" s="698" t="s">
        <v>471</v>
      </c>
      <c r="EM53" s="427">
        <f>EH53*(EI53+2*EJ53)</f>
        <v>8.2060680000000001</v>
      </c>
      <c r="EN53" s="506">
        <v>1</v>
      </c>
      <c r="EO53" s="506" t="s">
        <v>529</v>
      </c>
      <c r="EP53" s="506" t="s">
        <v>546</v>
      </c>
      <c r="EQ53" s="339">
        <v>0.13400000000000001</v>
      </c>
      <c r="ER53" s="506">
        <v>580</v>
      </c>
      <c r="ES53" s="506">
        <v>2.73</v>
      </c>
      <c r="ET53" s="506">
        <v>0.47</v>
      </c>
      <c r="EU53" s="506">
        <v>0.45400000000000001</v>
      </c>
      <c r="EV53" s="506"/>
      <c r="EW53" s="698" t="s">
        <v>551</v>
      </c>
      <c r="EX53" s="506">
        <f>ES53*(ET53+2*EU53)</f>
        <v>3.7619400000000005</v>
      </c>
      <c r="EY53" s="21">
        <v>2</v>
      </c>
      <c r="EZ53" s="506">
        <v>2.246</v>
      </c>
      <c r="FA53" s="506">
        <v>1.78</v>
      </c>
      <c r="FB53" s="506">
        <f>2.2-FA53</f>
        <v>0.42000000000000015</v>
      </c>
      <c r="FC53" s="506">
        <f>(CB53/2-EZ53)/2</f>
        <v>0.627</v>
      </c>
      <c r="FD53" s="506">
        <f t="shared" si="60"/>
        <v>3.9978799999999999</v>
      </c>
      <c r="FE53" s="506"/>
      <c r="FF53" s="506"/>
      <c r="FG53" s="427" t="s">
        <v>428</v>
      </c>
      <c r="FH53" s="425">
        <v>2.246</v>
      </c>
      <c r="FI53" s="506">
        <v>1.78</v>
      </c>
      <c r="FJ53" s="506">
        <f>2.2-FI53</f>
        <v>0.42000000000000015</v>
      </c>
      <c r="FK53" s="506">
        <f>CB53/2+FC53</f>
        <v>4.1269999999999998</v>
      </c>
      <c r="FL53" s="506">
        <f t="shared" si="61"/>
        <v>3.9978799999999999</v>
      </c>
      <c r="FM53" s="506"/>
      <c r="FN53" s="506"/>
      <c r="FO53" s="427" t="s">
        <v>428</v>
      </c>
      <c r="FP53" s="433"/>
      <c r="FU53" s="506"/>
      <c r="FV53" s="506"/>
      <c r="FW53" s="518"/>
      <c r="FX53" s="433"/>
      <c r="GC53" s="506"/>
      <c r="GD53" s="506"/>
      <c r="GE53" s="518"/>
      <c r="GF53" s="433"/>
      <c r="GK53" s="506"/>
      <c r="GL53" s="506"/>
      <c r="GM53" s="518"/>
      <c r="GN53" s="433"/>
      <c r="GS53" s="506"/>
      <c r="GT53" s="506"/>
      <c r="GU53" s="510"/>
      <c r="GV53" s="433"/>
      <c r="HA53" s="506"/>
      <c r="HB53" s="506"/>
      <c r="HC53" s="510"/>
      <c r="HD53" s="433"/>
      <c r="HI53" s="506"/>
      <c r="HJ53" s="506"/>
      <c r="HK53" s="510"/>
      <c r="HL53" s="433"/>
      <c r="HQ53" s="506"/>
      <c r="HR53" s="506"/>
      <c r="HS53" s="510"/>
      <c r="HT53" s="433"/>
      <c r="HY53" s="506"/>
      <c r="HZ53" s="506"/>
      <c r="IA53" s="510"/>
      <c r="IB53" s="433"/>
      <c r="IG53" s="506"/>
      <c r="IH53" s="506"/>
      <c r="II53" s="510"/>
    </row>
    <row r="54" spans="1:244">
      <c r="A54" s="1162"/>
      <c r="B54" s="1142"/>
      <c r="C54" s="51">
        <v>4</v>
      </c>
      <c r="D54" s="725" t="str">
        <f t="shared" si="62"/>
        <v>RISE_4</v>
      </c>
      <c r="E54" s="1136"/>
      <c r="F54" s="1139"/>
      <c r="G54" s="1139"/>
      <c r="H54" s="1139"/>
      <c r="I54" s="1139"/>
      <c r="J54" s="4">
        <f>CQ54/$I$51</f>
        <v>0.476409708518163</v>
      </c>
      <c r="K54" s="36" t="s">
        <v>549</v>
      </c>
      <c r="L54" s="4">
        <f t="shared" si="56"/>
        <v>1.0676044615576534</v>
      </c>
      <c r="M54" s="4">
        <f t="shared" si="57"/>
        <v>1.8192850603783104</v>
      </c>
      <c r="N54" s="4">
        <f>CQ54/H51</f>
        <v>1.711121757077726</v>
      </c>
      <c r="O54" s="436">
        <f t="shared" ref="O54:O59" si="63">DC54/(2*(CB54+CC54)*CD54-X54)</f>
        <v>0.53939409106477243</v>
      </c>
      <c r="P54" s="131">
        <f>DP54/H51</f>
        <v>0.94955408260524887</v>
      </c>
      <c r="Q54" s="131"/>
      <c r="R54" s="131">
        <f>EM54/(EH54*2*(EI54+EJ54))</f>
        <v>0.77382388419782877</v>
      </c>
      <c r="S54" s="437">
        <f t="shared" si="58"/>
        <v>0.74567099567099593</v>
      </c>
      <c r="T54" s="679"/>
      <c r="U54" s="438"/>
      <c r="V54" s="679" t="s">
        <v>417</v>
      </c>
      <c r="W54" s="15">
        <f>SUM(FD54*FA54+FL54*FI54+FT54*FQ54+GB54*FY54+GJ54*GG54+GR54*GO54)/X54</f>
        <v>2.1040000000000001</v>
      </c>
      <c r="X54" s="216">
        <f>FD54+FL54+FT54+GB54+GJ54+GR54</f>
        <v>31.172864000000008</v>
      </c>
      <c r="Y54" s="377">
        <f>X54*SQRT(W54)/I51</f>
        <v>0.26743957827784304</v>
      </c>
      <c r="Z54" s="491">
        <v>50</v>
      </c>
      <c r="AC54" s="491">
        <f>AA54/H51*1000</f>
        <v>0</v>
      </c>
      <c r="AK54" s="435" t="s">
        <v>552</v>
      </c>
      <c r="AL54" s="271">
        <v>1150</v>
      </c>
      <c r="AM54" s="271">
        <v>240</v>
      </c>
      <c r="AN54" s="271"/>
      <c r="AO54" s="271"/>
      <c r="AP54" s="271"/>
      <c r="AQ54" s="271"/>
      <c r="AR54" s="51">
        <v>66.099999999999994</v>
      </c>
      <c r="AS54" s="425"/>
      <c r="AT54" s="425">
        <v>98.9</v>
      </c>
      <c r="AU54" s="425"/>
      <c r="AV54" s="265"/>
      <c r="AW54" s="265" t="s">
        <v>430</v>
      </c>
      <c r="AX54" s="201">
        <v>240</v>
      </c>
      <c r="AY54" s="54">
        <f>AVERAGE('Char measurement'!$G$41:$O$53)</f>
        <v>47.903846153846153</v>
      </c>
      <c r="AZ54" s="54">
        <f>MIN('Char measurement'!$G$41:$O$53)</f>
        <v>28</v>
      </c>
      <c r="BA54" s="54">
        <f>MAX('Char measurement'!$G$41:$O$53)</f>
        <v>104</v>
      </c>
      <c r="BB54" s="117"/>
      <c r="BC54" s="49">
        <f>AVERAGE('Char measurement'!$B$41:$E$45)</f>
        <v>27.8125</v>
      </c>
      <c r="BD54" s="54">
        <f>MIN('Char measurement'!$B$41:$E$45)</f>
        <v>13</v>
      </c>
      <c r="BE54" s="313">
        <f>MAX('Char measurement'!$B$41:$E$45)</f>
        <v>45</v>
      </c>
      <c r="BF54" s="233"/>
      <c r="BG54" s="54"/>
      <c r="BH54" s="54"/>
      <c r="BI54" s="54"/>
      <c r="BJ54" s="604">
        <f>BJ53/1.5</f>
        <v>37.333333333333336</v>
      </c>
      <c r="BK54" s="605">
        <f>BK53/1.5</f>
        <v>16.666666666666668</v>
      </c>
      <c r="BL54" s="605">
        <f>BL53/1.5</f>
        <v>53.333333333333336</v>
      </c>
      <c r="BM54" s="56"/>
      <c r="BN54" s="606">
        <v>37.333333333333336</v>
      </c>
      <c r="BO54" s="615">
        <f t="shared" ref="BO54:BO55" si="64">BK54</f>
        <v>16.666666666666668</v>
      </c>
      <c r="BP54" s="615">
        <f>BL54</f>
        <v>53.333333333333336</v>
      </c>
      <c r="BQ54" s="833"/>
      <c r="BR54" s="1096" t="s">
        <v>1049</v>
      </c>
      <c r="BS54" s="1100" t="s">
        <v>428</v>
      </c>
      <c r="BT54" s="1100" t="s">
        <v>428</v>
      </c>
      <c r="BU54" s="1102"/>
      <c r="BV54" s="1103" t="s">
        <v>1052</v>
      </c>
      <c r="BW54" s="1128"/>
      <c r="BX54" s="1113"/>
      <c r="BY54" s="1113"/>
      <c r="BZ54" s="1113"/>
      <c r="CA54" s="1122"/>
      <c r="CB54" s="127">
        <v>7</v>
      </c>
      <c r="CC54" s="535">
        <f>6.85-CS54/1000</f>
        <v>6.8182</v>
      </c>
      <c r="CD54" s="535">
        <v>2.73</v>
      </c>
      <c r="CE54" s="535"/>
      <c r="CF54" s="426"/>
      <c r="CG54" s="119"/>
      <c r="CH54" s="119"/>
      <c r="CI54" s="119"/>
      <c r="CJ54" s="430"/>
      <c r="CK54" s="506"/>
      <c r="CL54" s="506"/>
      <c r="CM54" s="340">
        <v>0.9</v>
      </c>
      <c r="CN54" s="506">
        <v>90</v>
      </c>
      <c r="CO54" s="290">
        <v>0.98</v>
      </c>
      <c r="CP54" s="506">
        <v>11</v>
      </c>
      <c r="CQ54" s="376">
        <f t="shared" si="39"/>
        <v>80.54795095999998</v>
      </c>
      <c r="CR54" s="426" t="s">
        <v>438</v>
      </c>
      <c r="CS54" s="119">
        <f>CS51</f>
        <v>31.8</v>
      </c>
      <c r="CT54" s="119" t="s">
        <v>423</v>
      </c>
      <c r="CU54" s="119">
        <v>175</v>
      </c>
      <c r="CV54" s="506"/>
      <c r="CW54" s="427"/>
      <c r="CX54" s="506" t="s">
        <v>450</v>
      </c>
      <c r="CY54" s="506" t="s">
        <v>451</v>
      </c>
      <c r="CZ54" s="339">
        <v>0.13</v>
      </c>
      <c r="DA54" s="506">
        <v>470</v>
      </c>
      <c r="DB54" s="340">
        <f>2*(CB54+CC54)*CD54-X54</f>
        <v>44.274507999999997</v>
      </c>
      <c r="DC54" s="506">
        <f>2*(CC54*CD54)+CB54*CD54-X54-ES54*ET54</f>
        <v>23.881407999999993</v>
      </c>
      <c r="DD54" s="425" t="s">
        <v>423</v>
      </c>
      <c r="DE54" s="506">
        <v>175</v>
      </c>
      <c r="DI54" s="427"/>
      <c r="DJ54" s="506" t="s">
        <v>450</v>
      </c>
      <c r="DK54" s="129" t="s">
        <v>451</v>
      </c>
      <c r="DL54" s="339">
        <v>0.13</v>
      </c>
      <c r="DM54" s="506">
        <v>470</v>
      </c>
      <c r="DN54" s="506"/>
      <c r="DO54" s="506">
        <f t="shared" si="59"/>
        <v>47.727400000000003</v>
      </c>
      <c r="DP54" s="430">
        <f>DP51</f>
        <v>44.698534959999996</v>
      </c>
      <c r="DQ54" s="506" t="s">
        <v>518</v>
      </c>
      <c r="DR54" s="506">
        <v>100</v>
      </c>
      <c r="DS54" s="506" t="s">
        <v>505</v>
      </c>
      <c r="DT54" s="506">
        <v>20</v>
      </c>
      <c r="DU54" s="506" t="s">
        <v>423</v>
      </c>
      <c r="DV54" s="427">
        <v>175</v>
      </c>
      <c r="DW54" s="506"/>
      <c r="DX54" s="129"/>
      <c r="DY54" s="339"/>
      <c r="EA54" s="506">
        <f>CB54*CC54</f>
        <v>47.727400000000003</v>
      </c>
      <c r="EB54" s="427"/>
      <c r="EC54" s="506">
        <v>1</v>
      </c>
      <c r="ED54" s="506" t="s">
        <v>529</v>
      </c>
      <c r="EE54" s="506" t="s">
        <v>546</v>
      </c>
      <c r="EF54" s="339">
        <v>0.13400000000000001</v>
      </c>
      <c r="EG54" s="506">
        <v>580</v>
      </c>
      <c r="EH54" s="506">
        <v>6.3959999999999999</v>
      </c>
      <c r="EI54" s="506">
        <v>0.375</v>
      </c>
      <c r="EJ54" s="506">
        <v>0.45400000000000001</v>
      </c>
      <c r="EK54" s="506"/>
      <c r="EL54" s="698" t="s">
        <v>471</v>
      </c>
      <c r="EM54" s="427">
        <f>EH54*(EI54+2*EJ54)</f>
        <v>8.2060680000000001</v>
      </c>
      <c r="EN54" s="506">
        <v>1</v>
      </c>
      <c r="EO54" s="506" t="s">
        <v>529</v>
      </c>
      <c r="EP54" s="506" t="s">
        <v>546</v>
      </c>
      <c r="EQ54" s="339">
        <v>0.13400000000000001</v>
      </c>
      <c r="ER54" s="506">
        <v>580</v>
      </c>
      <c r="ES54" s="506">
        <v>2.73</v>
      </c>
      <c r="ET54" s="506">
        <v>0.47</v>
      </c>
      <c r="EU54" s="506">
        <v>0.45400000000000001</v>
      </c>
      <c r="EV54" s="506"/>
      <c r="EW54" s="698" t="s">
        <v>551</v>
      </c>
      <c r="EX54" s="506">
        <f>ES54*(ET54+2*EU54)</f>
        <v>3.7619400000000005</v>
      </c>
      <c r="EY54" s="21">
        <v>6</v>
      </c>
      <c r="EZ54" s="506">
        <v>2.4359999999999999</v>
      </c>
      <c r="FA54" s="506">
        <v>2.1040000000000001</v>
      </c>
      <c r="FB54" s="506">
        <f>2.7-0.5-FA54</f>
        <v>9.6000000000000085E-2</v>
      </c>
      <c r="FC54" s="506">
        <f>(CB54/2-EZ54)/2</f>
        <v>0.53200000000000003</v>
      </c>
      <c r="FD54" s="506">
        <f t="shared" si="60"/>
        <v>5.1253440000000001</v>
      </c>
      <c r="FE54" s="506"/>
      <c r="FF54" s="506"/>
      <c r="FG54" s="427" t="s">
        <v>428</v>
      </c>
      <c r="FH54" s="425">
        <v>2.4359999999999999</v>
      </c>
      <c r="FI54" s="506">
        <v>2.1040000000000001</v>
      </c>
      <c r="FJ54" s="506">
        <f>2.7-0.5-FI54</f>
        <v>9.6000000000000085E-2</v>
      </c>
      <c r="FK54" s="506">
        <f>CB54/2+FC54</f>
        <v>4.032</v>
      </c>
      <c r="FL54" s="506">
        <f t="shared" si="61"/>
        <v>5.1253440000000001</v>
      </c>
      <c r="FM54" s="506"/>
      <c r="FN54" s="506"/>
      <c r="FO54" s="427" t="s">
        <v>428</v>
      </c>
      <c r="FP54" s="425">
        <v>2.4860000000000002</v>
      </c>
      <c r="FQ54" s="506">
        <v>2.1040000000000001</v>
      </c>
      <c r="FR54" s="506">
        <f>2.7-0.5-FQ54</f>
        <v>9.6000000000000085E-2</v>
      </c>
      <c r="FS54" s="506">
        <f>(CC51/2-FP54)/2</f>
        <v>0.45359999999999978</v>
      </c>
      <c r="FT54" s="506">
        <f>FP54*FQ54</f>
        <v>5.230544000000001</v>
      </c>
      <c r="FU54" s="506"/>
      <c r="FV54" s="506"/>
      <c r="FW54" s="427" t="s">
        <v>553</v>
      </c>
      <c r="FX54" s="425">
        <v>2.4860000000000002</v>
      </c>
      <c r="FY54" s="506">
        <v>2.1040000000000001</v>
      </c>
      <c r="FZ54" s="506">
        <f>2.7-0.5-FY54</f>
        <v>9.6000000000000085E-2</v>
      </c>
      <c r="GA54" s="506">
        <f>CC51/2+FS54</f>
        <v>3.8467999999999996</v>
      </c>
      <c r="GB54" s="506">
        <f>FX54*FY54</f>
        <v>5.230544000000001</v>
      </c>
      <c r="GC54" s="506"/>
      <c r="GD54" s="506"/>
      <c r="GE54" s="427" t="s">
        <v>553</v>
      </c>
      <c r="GF54" s="425">
        <v>2.4860000000000002</v>
      </c>
      <c r="GG54" s="506">
        <v>2.1040000000000001</v>
      </c>
      <c r="GH54" s="506">
        <f>2.7-0.5-GG54</f>
        <v>9.6000000000000085E-2</v>
      </c>
      <c r="GI54" s="506">
        <f>(CC51/2-GF54)/2</f>
        <v>0.45359999999999978</v>
      </c>
      <c r="GJ54" s="506">
        <f>GF54*GG54</f>
        <v>5.230544000000001</v>
      </c>
      <c r="GK54" s="506"/>
      <c r="GL54" s="506"/>
      <c r="GM54" s="427" t="s">
        <v>537</v>
      </c>
      <c r="GN54" s="425">
        <v>2.4860000000000002</v>
      </c>
      <c r="GO54" s="506">
        <v>2.1040000000000001</v>
      </c>
      <c r="GP54" s="506">
        <f>2.7-0.5-GO54</f>
        <v>9.6000000000000085E-2</v>
      </c>
      <c r="GQ54" s="506">
        <f>CC51/2+GI54</f>
        <v>3.8467999999999996</v>
      </c>
      <c r="GR54" s="506">
        <f>GN54*GO54</f>
        <v>5.230544000000001</v>
      </c>
      <c r="GS54" s="506"/>
      <c r="GT54" s="506"/>
      <c r="GU54" s="108" t="s">
        <v>537</v>
      </c>
      <c r="GV54" s="425"/>
      <c r="GW54" s="506"/>
      <c r="GX54" s="506"/>
      <c r="GY54" s="506"/>
      <c r="GZ54" s="506"/>
      <c r="HA54" s="506"/>
      <c r="HB54" s="506"/>
      <c r="HC54" s="108"/>
      <c r="HD54" s="425"/>
      <c r="HE54" s="506"/>
      <c r="HF54" s="506"/>
      <c r="HG54" s="506"/>
      <c r="HH54" s="506"/>
      <c r="HI54" s="506"/>
      <c r="HJ54" s="506"/>
      <c r="HK54" s="108"/>
      <c r="HL54" s="425"/>
      <c r="HM54" s="506"/>
      <c r="HN54" s="506"/>
      <c r="HO54" s="506"/>
      <c r="HP54" s="506"/>
      <c r="HQ54" s="506"/>
      <c r="HR54" s="506"/>
      <c r="HS54" s="108"/>
      <c r="HT54" s="425"/>
      <c r="HU54" s="506"/>
      <c r="HV54" s="506"/>
      <c r="HW54" s="506"/>
      <c r="HX54" s="506"/>
      <c r="HY54" s="506"/>
      <c r="HZ54" s="506"/>
      <c r="IA54" s="108"/>
      <c r="IB54" s="425"/>
      <c r="IC54" s="506"/>
      <c r="ID54" s="506"/>
      <c r="IE54" s="506"/>
      <c r="IF54" s="506"/>
      <c r="IG54" s="506"/>
      <c r="IH54" s="506"/>
      <c r="II54" s="108"/>
    </row>
    <row r="55" spans="1:244" ht="15" customHeight="1" thickBot="1">
      <c r="A55" s="1163"/>
      <c r="B55" s="1143"/>
      <c r="C55" s="6">
        <v>5</v>
      </c>
      <c r="D55" s="7" t="str">
        <f t="shared" si="62"/>
        <v>RISE_5</v>
      </c>
      <c r="E55" s="1137"/>
      <c r="F55" s="1140"/>
      <c r="G55" s="1140"/>
      <c r="H55" s="1140"/>
      <c r="I55" s="1140"/>
      <c r="J55" s="19">
        <f>CQ55/$I$51</f>
        <v>0.59119115977382541</v>
      </c>
      <c r="K55" s="32" t="s">
        <v>554</v>
      </c>
      <c r="L55" s="19">
        <f t="shared" si="56"/>
        <v>1.3309483964046074</v>
      </c>
      <c r="M55" s="19">
        <f t="shared" si="57"/>
        <v>1.4895363716775705</v>
      </c>
      <c r="N55" s="19">
        <f>CQ55/H51</f>
        <v>2.123382538167649</v>
      </c>
      <c r="O55" s="133">
        <f t="shared" si="63"/>
        <v>0.64508235501134992</v>
      </c>
      <c r="P55" s="132">
        <f>DP55/H51</f>
        <v>0.94955408260524887</v>
      </c>
      <c r="Q55" s="132"/>
      <c r="R55" s="132">
        <f>EM55/(EH55*2*(EI55+EJ55))</f>
        <v>0.77382388419782877</v>
      </c>
      <c r="S55" s="445">
        <f t="shared" si="58"/>
        <v>0.74567099567099593</v>
      </c>
      <c r="T55" s="679"/>
      <c r="U55" s="438"/>
      <c r="V55" s="679" t="s">
        <v>417</v>
      </c>
      <c r="W55" s="209">
        <f>SUM(FD55*FA55+FL55*FI55+FT55*FQ55+GB55*FY55+GJ55*GG55+GR55*GO55)/X55</f>
        <v>1.78</v>
      </c>
      <c r="X55" s="113">
        <f>FD55+FL55+FT55+GB55+GJ55+GR55</f>
        <v>7.9957599999999998</v>
      </c>
      <c r="Y55" s="378">
        <f>X55*SQRT(W55)/I51</f>
        <v>6.3095132577610347E-2</v>
      </c>
      <c r="Z55" s="144">
        <v>34</v>
      </c>
      <c r="AA55" s="144"/>
      <c r="AB55" s="144"/>
      <c r="AC55" s="144">
        <f>AA55/H51*1000</f>
        <v>0</v>
      </c>
      <c r="AD55" s="144"/>
      <c r="AE55" s="144"/>
      <c r="AF55" s="144"/>
      <c r="AG55" s="144"/>
      <c r="AH55" s="144"/>
      <c r="AI55" s="144"/>
      <c r="AJ55" s="144"/>
      <c r="AK55" s="428" t="s">
        <v>555</v>
      </c>
      <c r="AL55" s="91">
        <v>1150</v>
      </c>
      <c r="AM55" s="91">
        <v>240</v>
      </c>
      <c r="AN55" s="91"/>
      <c r="AO55" s="91"/>
      <c r="AP55" s="91"/>
      <c r="AQ55" s="91"/>
      <c r="AR55" s="6">
        <v>88.4</v>
      </c>
      <c r="AS55" s="25"/>
      <c r="AT55" s="809">
        <v>119.2</v>
      </c>
      <c r="AU55" s="25"/>
      <c r="AV55" s="517"/>
      <c r="AW55" s="6" t="s">
        <v>430</v>
      </c>
      <c r="AX55" s="194">
        <v>240</v>
      </c>
      <c r="AY55" s="55">
        <f>AVERAGE('Char measurement'!$G$56:$O$67)</f>
        <v>65.425925925925924</v>
      </c>
      <c r="AZ55" s="55">
        <f>MIN('Char measurement'!$G$56:$O$67)</f>
        <v>33</v>
      </c>
      <c r="BA55" s="55">
        <f>MAX('Char measurement'!$G$56:$O$67)</f>
        <v>95</v>
      </c>
      <c r="BB55" s="221"/>
      <c r="BC55" s="50">
        <f>AVERAGE('Char measurement'!$B$56:$E$60)</f>
        <v>50.3125</v>
      </c>
      <c r="BD55" s="55">
        <f>MIN('Char measurement'!$B$56:$E$60)</f>
        <v>37</v>
      </c>
      <c r="BE55" s="297">
        <f>MAX('Char measurement'!$B$56:$E$60)</f>
        <v>73</v>
      </c>
      <c r="BF55" s="234"/>
      <c r="BG55" s="55"/>
      <c r="BH55" s="55"/>
      <c r="BI55" s="55"/>
      <c r="BJ55" s="50">
        <v>59</v>
      </c>
      <c r="BK55" s="57">
        <v>20</v>
      </c>
      <c r="BL55" s="57">
        <v>80</v>
      </c>
      <c r="BM55" s="57"/>
      <c r="BN55" s="607">
        <v>59</v>
      </c>
      <c r="BO55" s="616">
        <f t="shared" si="64"/>
        <v>20</v>
      </c>
      <c r="BP55" s="616">
        <f>BL55</f>
        <v>80</v>
      </c>
      <c r="BQ55" s="839"/>
      <c r="BR55" s="1097" t="s">
        <v>1049</v>
      </c>
      <c r="BS55" s="1104" t="s">
        <v>428</v>
      </c>
      <c r="BT55" s="1104" t="s">
        <v>428</v>
      </c>
      <c r="BU55" s="1105"/>
      <c r="BV55" s="1106" t="s">
        <v>1053</v>
      </c>
      <c r="BW55" s="1129"/>
      <c r="BX55" s="1130"/>
      <c r="BY55" s="1130"/>
      <c r="BZ55" s="1130"/>
      <c r="CA55" s="1131"/>
      <c r="CB55" s="128">
        <v>7</v>
      </c>
      <c r="CC55" s="95">
        <f>6.85-2*CS55/1000</f>
        <v>6.7545999999999999</v>
      </c>
      <c r="CD55" s="95">
        <v>2.73</v>
      </c>
      <c r="CE55" s="95"/>
      <c r="CF55" s="164"/>
      <c r="CG55" s="136"/>
      <c r="CH55" s="136"/>
      <c r="CI55" s="136"/>
      <c r="CJ55" s="522"/>
      <c r="CK55" s="109"/>
      <c r="CL55" s="109"/>
      <c r="CM55" s="360">
        <v>0.9</v>
      </c>
      <c r="CN55" s="109">
        <v>90</v>
      </c>
      <c r="CO55" s="289">
        <v>0.83</v>
      </c>
      <c r="CP55" s="109">
        <v>7</v>
      </c>
      <c r="CQ55" s="379">
        <f t="shared" si="39"/>
        <v>99.95437896</v>
      </c>
      <c r="CR55" s="164" t="s">
        <v>438</v>
      </c>
      <c r="CS55" s="136">
        <f>CS53</f>
        <v>47.7</v>
      </c>
      <c r="CT55" s="136" t="s">
        <v>423</v>
      </c>
      <c r="CU55" s="136">
        <v>175</v>
      </c>
      <c r="CV55" s="109"/>
      <c r="CW55" s="428"/>
      <c r="CX55" s="109" t="s">
        <v>450</v>
      </c>
      <c r="CY55" s="109" t="s">
        <v>451</v>
      </c>
      <c r="CZ55" s="359">
        <v>0.13</v>
      </c>
      <c r="DA55" s="109">
        <v>470</v>
      </c>
      <c r="DB55" s="360">
        <f>2*(CB55+CC55)*CD55-X55</f>
        <v>67.104355999999996</v>
      </c>
      <c r="DC55" s="109">
        <f>2*(CC55*CD55)+(CB55-2*FC55)*CD55-X55-ES55*ET55</f>
        <v>43.287836000000006</v>
      </c>
      <c r="DD55" s="25" t="s">
        <v>423</v>
      </c>
      <c r="DE55" s="109">
        <v>175</v>
      </c>
      <c r="DF55" s="109"/>
      <c r="DG55" s="109"/>
      <c r="DH55" s="109"/>
      <c r="DI55" s="428"/>
      <c r="DJ55" s="109" t="s">
        <v>450</v>
      </c>
      <c r="DK55" s="130" t="s">
        <v>451</v>
      </c>
      <c r="DL55" s="359">
        <v>0.13</v>
      </c>
      <c r="DM55" s="109">
        <v>470</v>
      </c>
      <c r="DN55" s="109"/>
      <c r="DO55" s="109">
        <f t="shared" si="59"/>
        <v>47.282200000000003</v>
      </c>
      <c r="DP55" s="522">
        <f>DP51</f>
        <v>44.698534959999996</v>
      </c>
      <c r="DQ55" s="109" t="s">
        <v>518</v>
      </c>
      <c r="DR55" s="109">
        <v>100</v>
      </c>
      <c r="DS55" s="109" t="s">
        <v>505</v>
      </c>
      <c r="DT55" s="109">
        <v>20</v>
      </c>
      <c r="DU55" s="109" t="s">
        <v>423</v>
      </c>
      <c r="DV55" s="428">
        <v>175</v>
      </c>
      <c r="DW55" s="109"/>
      <c r="DX55" s="130"/>
      <c r="DY55" s="359"/>
      <c r="DZ55" s="109"/>
      <c r="EA55" s="109">
        <f>CB55*CC55</f>
        <v>47.282200000000003</v>
      </c>
      <c r="EB55" s="428"/>
      <c r="EC55" s="109">
        <v>1</v>
      </c>
      <c r="ED55" s="109" t="s">
        <v>529</v>
      </c>
      <c r="EE55" s="109" t="s">
        <v>546</v>
      </c>
      <c r="EF55" s="359">
        <v>0.13400000000000001</v>
      </c>
      <c r="EG55" s="109">
        <v>580</v>
      </c>
      <c r="EH55" s="109">
        <v>6.3959999999999999</v>
      </c>
      <c r="EI55" s="109">
        <v>0.375</v>
      </c>
      <c r="EJ55" s="109">
        <v>0.45400000000000001</v>
      </c>
      <c r="EK55" s="109"/>
      <c r="EL55" s="699" t="s">
        <v>471</v>
      </c>
      <c r="EM55" s="428">
        <f>EH55*(EI55+2*EJ55)</f>
        <v>8.2060680000000001</v>
      </c>
      <c r="EN55" s="109">
        <v>1</v>
      </c>
      <c r="EO55" s="109" t="s">
        <v>529</v>
      </c>
      <c r="EP55" s="109" t="s">
        <v>546</v>
      </c>
      <c r="EQ55" s="359">
        <v>0.13400000000000001</v>
      </c>
      <c r="ER55" s="109">
        <v>580</v>
      </c>
      <c r="ES55" s="109">
        <v>2.73</v>
      </c>
      <c r="ET55" s="109">
        <v>0.47</v>
      </c>
      <c r="EU55" s="109">
        <v>0.45400000000000001</v>
      </c>
      <c r="EV55" s="109"/>
      <c r="EW55" s="699" t="s">
        <v>551</v>
      </c>
      <c r="EX55" s="109">
        <f>ES55*(ET55+2*EU55)</f>
        <v>3.7619400000000005</v>
      </c>
      <c r="EY55" s="26">
        <v>2</v>
      </c>
      <c r="EZ55" s="109">
        <v>2.246</v>
      </c>
      <c r="FA55" s="109">
        <v>1.78</v>
      </c>
      <c r="FB55" s="109">
        <f>2.2-FA55</f>
        <v>0.42000000000000015</v>
      </c>
      <c r="FC55" s="109">
        <f>(CB55/2-EZ55)/2</f>
        <v>0.627</v>
      </c>
      <c r="FD55" s="109">
        <f t="shared" si="60"/>
        <v>3.9978799999999999</v>
      </c>
      <c r="FE55" s="109"/>
      <c r="FF55" s="109"/>
      <c r="FG55" s="428" t="s">
        <v>428</v>
      </c>
      <c r="FH55" s="25">
        <v>2.246</v>
      </c>
      <c r="FI55" s="109">
        <v>1.78</v>
      </c>
      <c r="FJ55" s="109">
        <f>2.2-FI55</f>
        <v>0.42000000000000015</v>
      </c>
      <c r="FK55" s="109">
        <f>CB55/2+FC55</f>
        <v>4.1269999999999998</v>
      </c>
      <c r="FL55" s="109">
        <f t="shared" si="61"/>
        <v>3.9978799999999999</v>
      </c>
      <c r="FM55" s="109"/>
      <c r="FN55" s="109"/>
      <c r="FO55" s="428" t="s">
        <v>428</v>
      </c>
      <c r="FP55" s="79"/>
      <c r="FQ55" s="512"/>
      <c r="FR55" s="512"/>
      <c r="FS55" s="512"/>
      <c r="FT55" s="512"/>
      <c r="FU55" s="109"/>
      <c r="FV55" s="109"/>
      <c r="FW55" s="519"/>
      <c r="FX55" s="79"/>
      <c r="FY55" s="512"/>
      <c r="FZ55" s="512"/>
      <c r="GA55" s="512"/>
      <c r="GB55" s="512"/>
      <c r="GC55" s="109"/>
      <c r="GD55" s="109"/>
      <c r="GE55" s="519"/>
      <c r="GF55" s="79"/>
      <c r="GG55" s="512"/>
      <c r="GH55" s="512"/>
      <c r="GI55" s="512"/>
      <c r="GJ55" s="512"/>
      <c r="GK55" s="109"/>
      <c r="GL55" s="109"/>
      <c r="GM55" s="519"/>
      <c r="GN55" s="79"/>
      <c r="GO55" s="512"/>
      <c r="GP55" s="512"/>
      <c r="GQ55" s="512"/>
      <c r="GR55" s="512"/>
      <c r="GS55" s="109"/>
      <c r="GT55" s="109"/>
      <c r="GU55" s="513"/>
      <c r="GV55" s="79"/>
      <c r="GW55" s="512"/>
      <c r="GX55" s="512"/>
      <c r="GY55" s="512"/>
      <c r="GZ55" s="512"/>
      <c r="HA55" s="109"/>
      <c r="HB55" s="109"/>
      <c r="HC55" s="513"/>
      <c r="HD55" s="79"/>
      <c r="HE55" s="512"/>
      <c r="HF55" s="512"/>
      <c r="HG55" s="512"/>
      <c r="HH55" s="512"/>
      <c r="HI55" s="109"/>
      <c r="HJ55" s="109"/>
      <c r="HK55" s="513"/>
      <c r="HL55" s="79"/>
      <c r="HM55" s="512"/>
      <c r="HN55" s="512"/>
      <c r="HO55" s="512"/>
      <c r="HP55" s="512"/>
      <c r="HQ55" s="109"/>
      <c r="HR55" s="109"/>
      <c r="HS55" s="513"/>
      <c r="HT55" s="79"/>
      <c r="HU55" s="512"/>
      <c r="HV55" s="512"/>
      <c r="HW55" s="512"/>
      <c r="HX55" s="512"/>
      <c r="HY55" s="109"/>
      <c r="HZ55" s="109"/>
      <c r="IA55" s="513"/>
      <c r="IB55" s="79"/>
      <c r="IC55" s="512"/>
      <c r="ID55" s="512"/>
      <c r="IE55" s="512"/>
      <c r="IF55" s="512"/>
      <c r="IG55" s="109"/>
      <c r="IH55" s="109"/>
      <c r="II55" s="513"/>
    </row>
    <row r="56" spans="1:244" ht="14.45" customHeight="1">
      <c r="A56" s="1186" t="s">
        <v>556</v>
      </c>
      <c r="B56" s="1188" t="s">
        <v>557</v>
      </c>
      <c r="C56" s="13">
        <v>1</v>
      </c>
      <c r="D56" s="737" t="str">
        <f>CONCATENATE("CodeRed_",C56)</f>
        <v>CodeRed_1</v>
      </c>
      <c r="E56" s="918">
        <f>374*174/H56</f>
        <v>184.89974084600524</v>
      </c>
      <c r="F56" s="42" t="s">
        <v>464</v>
      </c>
      <c r="G56" s="920">
        <f>19.05*17.5/18.79</f>
        <v>17.742150079829699</v>
      </c>
      <c r="H56" s="14">
        <f t="shared" ref="H56:H80" si="65">CB56*CC56</f>
        <v>351.9529</v>
      </c>
      <c r="I56" s="380">
        <f t="shared" ref="I56:I80" si="66">2*H56+2*(CB56+CC56)*CD56</f>
        <v>980.05380000000002</v>
      </c>
      <c r="J56" s="10">
        <f t="shared" ref="J56:J80" si="67">CQ56/I56</f>
        <v>0.36907453447963773</v>
      </c>
      <c r="K56" s="43" t="s">
        <v>558</v>
      </c>
      <c r="L56" s="10">
        <f t="shared" si="56"/>
        <v>1.3098516013152366</v>
      </c>
      <c r="M56" s="10">
        <f t="shared" si="57"/>
        <v>1.6477896626183295</v>
      </c>
      <c r="N56" s="10">
        <f t="shared" ref="N56:N80" si="68">CQ56/H56</f>
        <v>1.0277309833219161</v>
      </c>
      <c r="O56" s="158">
        <f t="shared" si="63"/>
        <v>0</v>
      </c>
      <c r="P56" s="159">
        <f>DP56/H56</f>
        <v>1</v>
      </c>
      <c r="Q56" s="159"/>
      <c r="R56" s="159"/>
      <c r="S56" s="160">
        <f t="shared" si="58"/>
        <v>1</v>
      </c>
      <c r="T56" s="678"/>
      <c r="U56" s="584"/>
      <c r="V56" s="685" t="s">
        <v>417</v>
      </c>
      <c r="W56" s="14">
        <f>(FA56*(FE56+1)*FD56+FI56*(FM56+1)*FL56+FQ56*(FU56+1)*FT56+FY56*(GC56+1)*GB56+GG56*(GK56+1)*GJ56+GO56*(GS56+1)*GR56+GW56*(HA56+1)*GZ56+HE56*(HI56+1)*HH56+HM56*(HQ56+1)*HP56+HU56*(HY56+1)*HX56)/X56</f>
        <v>1.4876487622276369</v>
      </c>
      <c r="X56" s="115">
        <f>(FE56+1)*FD56+(FM56+1)*FL56+(FU56+1)*FT56+(GC56+1)*GB56+(GK56+1)*GJ56+(GS56+1)*GR56+(HA56+1)*GZ56+(HI56+1)*HH56+(HQ56+1)*HP56+(HY56+1)*HX56</f>
        <v>56.634</v>
      </c>
      <c r="Y56" s="381">
        <f t="shared" ref="Y56:Y78" si="69">X56*SQRT(W56)/I56</f>
        <v>7.0481886890220627E-2</v>
      </c>
      <c r="Z56" s="140">
        <v>121</v>
      </c>
      <c r="AA56" s="140">
        <v>60</v>
      </c>
      <c r="AB56" s="140">
        <f>Z56-AA56</f>
        <v>61</v>
      </c>
      <c r="AC56" s="140">
        <f t="shared" ref="AC56:AC64" si="70">AA56/H56*1000</f>
        <v>170.47735648718907</v>
      </c>
      <c r="AD56" s="140"/>
      <c r="AE56" s="140" t="s">
        <v>418</v>
      </c>
      <c r="AF56" s="140"/>
      <c r="AG56" s="140"/>
      <c r="AH56" s="140"/>
      <c r="AI56" s="140"/>
      <c r="AJ56" s="919">
        <v>3</v>
      </c>
      <c r="AK56" s="435" t="s">
        <v>559</v>
      </c>
      <c r="AL56" s="496">
        <v>1030</v>
      </c>
      <c r="AM56" s="87">
        <v>180</v>
      </c>
      <c r="AN56" s="87"/>
      <c r="AO56" s="87"/>
      <c r="AP56" s="87"/>
      <c r="AQ56" s="87"/>
      <c r="AR56" s="815"/>
      <c r="AS56" s="810"/>
      <c r="AT56" s="810"/>
      <c r="AU56" s="810"/>
      <c r="AV56" s="263"/>
      <c r="AW56" s="263" t="s">
        <v>430</v>
      </c>
      <c r="AX56" s="193">
        <v>180</v>
      </c>
      <c r="AY56" s="53"/>
      <c r="AZ56" s="53"/>
      <c r="BA56" s="53"/>
      <c r="BB56" s="219"/>
      <c r="BC56" s="148">
        <v>25</v>
      </c>
      <c r="BD56" s="147">
        <v>18</v>
      </c>
      <c r="BE56" s="313">
        <v>31</v>
      </c>
      <c r="BF56" s="231"/>
      <c r="BG56" s="53"/>
      <c r="BH56" s="53"/>
      <c r="BI56" s="53"/>
      <c r="BJ56" s="3"/>
      <c r="BK56" s="53"/>
      <c r="BL56" s="53"/>
      <c r="BM56" s="53"/>
      <c r="BN56" s="3">
        <v>30</v>
      </c>
      <c r="BO56" s="53">
        <v>5</v>
      </c>
      <c r="BP56" s="53">
        <v>60</v>
      </c>
      <c r="BQ56" s="828"/>
      <c r="BR56" s="1088">
        <v>0.95</v>
      </c>
      <c r="BS56" s="53" t="s">
        <v>453</v>
      </c>
      <c r="BT56" s="53" t="s">
        <v>903</v>
      </c>
      <c r="BU56" s="53">
        <v>900</v>
      </c>
      <c r="BV56" s="885">
        <v>120</v>
      </c>
      <c r="BW56" s="1154" t="s">
        <v>560</v>
      </c>
      <c r="BX56" s="1155"/>
      <c r="BY56" s="1155"/>
      <c r="BZ56" s="1155"/>
      <c r="CA56" s="1156"/>
      <c r="CB56" s="92">
        <v>34.270000000000003</v>
      </c>
      <c r="CC56" s="507">
        <v>10.27</v>
      </c>
      <c r="CD56" s="507">
        <v>3.1</v>
      </c>
      <c r="CE56" s="507"/>
      <c r="CF56" s="149">
        <v>0.25</v>
      </c>
      <c r="CG56" s="504"/>
      <c r="CH56" s="602">
        <v>1E-4</v>
      </c>
      <c r="CI56" s="504">
        <v>30</v>
      </c>
      <c r="CJ56" s="45"/>
      <c r="CK56" s="507"/>
      <c r="CL56" s="507"/>
      <c r="CM56" s="352">
        <v>0</v>
      </c>
      <c r="CN56" s="507"/>
      <c r="CO56" s="291">
        <v>0.49</v>
      </c>
      <c r="CP56" s="504">
        <v>3</v>
      </c>
      <c r="CQ56" s="382">
        <f t="shared" si="39"/>
        <v>361.71289999999999</v>
      </c>
      <c r="CR56" s="163" t="s">
        <v>518</v>
      </c>
      <c r="CS56" s="118">
        <v>365</v>
      </c>
      <c r="CT56" s="118"/>
      <c r="CU56" s="118"/>
      <c r="CV56" s="504"/>
      <c r="CW56" s="156"/>
      <c r="CX56" s="504"/>
      <c r="CY56" s="504"/>
      <c r="CZ56" s="351"/>
      <c r="DA56" s="507"/>
      <c r="DB56" s="352"/>
      <c r="DC56" s="504"/>
      <c r="DD56" s="149" t="s">
        <v>423</v>
      </c>
      <c r="DE56" s="504">
        <v>140</v>
      </c>
      <c r="DF56" s="504"/>
      <c r="DG56" s="504"/>
      <c r="DH56" s="504"/>
      <c r="DI56" s="45"/>
      <c r="DJ56" s="506" t="s">
        <v>561</v>
      </c>
      <c r="DK56" s="504" t="s">
        <v>562</v>
      </c>
      <c r="DL56" s="351">
        <v>0.111</v>
      </c>
      <c r="DM56" s="504">
        <v>450</v>
      </c>
      <c r="DN56" s="504">
        <v>18.79</v>
      </c>
      <c r="DO56" s="504">
        <f t="shared" si="59"/>
        <v>351.9529</v>
      </c>
      <c r="DP56" s="135">
        <f>DO56*100%</f>
        <v>351.9529</v>
      </c>
      <c r="DQ56" s="504" t="s">
        <v>480</v>
      </c>
      <c r="DR56" s="504">
        <v>200</v>
      </c>
      <c r="DS56" s="504"/>
      <c r="DT56" s="504"/>
      <c r="DU56" s="504"/>
      <c r="DV56" s="45"/>
      <c r="DW56" s="507"/>
      <c r="DX56" s="507"/>
      <c r="DY56" s="353"/>
      <c r="DZ56" s="507"/>
      <c r="EA56" s="504"/>
      <c r="EB56" s="45"/>
      <c r="EC56" s="504"/>
      <c r="ED56" s="507"/>
      <c r="EE56" s="504"/>
      <c r="EF56" s="353"/>
      <c r="EG56" s="507"/>
      <c r="EH56" s="507"/>
      <c r="EI56" s="507"/>
      <c r="EJ56" s="507"/>
      <c r="EK56" s="507"/>
      <c r="EL56" s="697"/>
      <c r="EM56" s="156"/>
      <c r="EN56" s="504">
        <v>2</v>
      </c>
      <c r="EO56" s="504" t="s">
        <v>529</v>
      </c>
      <c r="EP56" s="504" t="s">
        <v>563</v>
      </c>
      <c r="EQ56" s="351"/>
      <c r="ER56" s="504"/>
      <c r="ES56" s="504">
        <f>3.05*EN56</f>
        <v>6.1</v>
      </c>
      <c r="ET56" s="504">
        <v>0.4</v>
      </c>
      <c r="EU56" s="504">
        <v>0.4</v>
      </c>
      <c r="EV56" s="504"/>
      <c r="EW56" s="697">
        <v>4</v>
      </c>
      <c r="EX56" s="504">
        <f>ES56*2*(ET56+EU56)</f>
        <v>9.76</v>
      </c>
      <c r="EY56" s="21">
        <f>FE56+1+FM56+1+FU56+1+GC56+1+GK56+1+GS56+1+HA56+1+HI56+1+HQ56+1+HY56+1</f>
        <v>36</v>
      </c>
      <c r="EZ56" s="538">
        <v>1.875</v>
      </c>
      <c r="FA56" s="538">
        <v>2</v>
      </c>
      <c r="FB56" s="538">
        <v>0</v>
      </c>
      <c r="FC56" s="538">
        <f>2*FK56+5*FH56+4*FN56</f>
        <v>10.662857142857145</v>
      </c>
      <c r="FD56" s="538">
        <f t="shared" si="60"/>
        <v>3.75</v>
      </c>
      <c r="FE56" s="538"/>
      <c r="FF56" s="538"/>
      <c r="FG56" s="326" t="s">
        <v>453</v>
      </c>
      <c r="FH56" s="725">
        <v>1.0900000000000001</v>
      </c>
      <c r="FI56" s="538">
        <v>1</v>
      </c>
      <c r="FJ56" s="538">
        <f>2.25-FI56</f>
        <v>1.25</v>
      </c>
      <c r="FK56" s="538">
        <f>(CB56-5.8*2-6.8*3)/2</f>
        <v>1.1350000000000016</v>
      </c>
      <c r="FL56" s="538">
        <f t="shared" si="61"/>
        <v>1.0900000000000001</v>
      </c>
      <c r="FM56" s="538">
        <v>4</v>
      </c>
      <c r="FN56" s="538">
        <f>((CB56-2*FK56-5.8)-15*1.06)/14</f>
        <v>0.73571428571428565</v>
      </c>
      <c r="FO56" s="326" t="s">
        <v>453</v>
      </c>
      <c r="FP56" s="725">
        <v>1.0900000000000001</v>
      </c>
      <c r="FQ56" s="538">
        <v>1</v>
      </c>
      <c r="FR56" s="538">
        <f>FJ56</f>
        <v>1.25</v>
      </c>
      <c r="FS56" s="538">
        <f>FC56+EZ56+3*FN56</f>
        <v>14.745000000000003</v>
      </c>
      <c r="FT56" s="538">
        <f>FP56*FQ56</f>
        <v>1.0900000000000001</v>
      </c>
      <c r="FU56" s="538">
        <v>3</v>
      </c>
      <c r="FV56" s="538">
        <f>FN56</f>
        <v>0.73571428571428565</v>
      </c>
      <c r="FW56" s="326" t="s">
        <v>453</v>
      </c>
      <c r="FX56" s="725">
        <v>1.0900000000000001</v>
      </c>
      <c r="FY56" s="538">
        <v>1</v>
      </c>
      <c r="FZ56" s="538">
        <f>FR56</f>
        <v>1.25</v>
      </c>
      <c r="GA56" s="538">
        <f>$CB$56-FK56-FX56*5-$FV$56*4</f>
        <v>24.742142857142863</v>
      </c>
      <c r="GB56" s="538">
        <f>FX56*FY56</f>
        <v>1.0900000000000001</v>
      </c>
      <c r="GC56" s="538">
        <v>4</v>
      </c>
      <c r="GD56" s="538">
        <f>FV56</f>
        <v>0.73571428571428565</v>
      </c>
      <c r="GE56" s="326" t="s">
        <v>453</v>
      </c>
      <c r="GF56" s="725">
        <v>1.0900000000000001</v>
      </c>
      <c r="GG56" s="538">
        <v>1</v>
      </c>
      <c r="GH56" s="538">
        <f>FZ56</f>
        <v>1.25</v>
      </c>
      <c r="GI56" s="538">
        <f>FK56</f>
        <v>1.1350000000000016</v>
      </c>
      <c r="GJ56" s="538">
        <f>GF56*GG56</f>
        <v>1.0900000000000001</v>
      </c>
      <c r="GK56" s="538">
        <v>4</v>
      </c>
      <c r="GL56" s="538">
        <f>GD56</f>
        <v>0.73571428571428565</v>
      </c>
      <c r="GM56" s="45" t="s">
        <v>428</v>
      </c>
      <c r="GN56" s="538">
        <v>1.0900000000000001</v>
      </c>
      <c r="GO56" s="538">
        <v>1</v>
      </c>
      <c r="GP56" s="538">
        <f>GH56</f>
        <v>1.25</v>
      </c>
      <c r="GQ56" s="538">
        <f>CB56-GI56-GN56*10-GT56*9</f>
        <v>15.613571428571436</v>
      </c>
      <c r="GR56" s="538">
        <f>GN56*GO56</f>
        <v>1.0900000000000001</v>
      </c>
      <c r="GS56" s="538">
        <v>9</v>
      </c>
      <c r="GT56" s="538">
        <f>GL56</f>
        <v>0.73571428571428565</v>
      </c>
      <c r="GU56" s="108" t="s">
        <v>428</v>
      </c>
      <c r="GV56" s="725">
        <v>1.3620000000000001</v>
      </c>
      <c r="GW56" s="538">
        <v>2.25</v>
      </c>
      <c r="GX56" s="538">
        <v>0</v>
      </c>
      <c r="GY56" s="538">
        <v>0</v>
      </c>
      <c r="GZ56" s="538">
        <f>GV56*GW56</f>
        <v>3.0645000000000002</v>
      </c>
      <c r="HA56" s="538">
        <v>1</v>
      </c>
      <c r="HB56" s="538">
        <f>CC56-2*GV56</f>
        <v>7.5459999999999994</v>
      </c>
      <c r="HC56" s="108" t="s">
        <v>553</v>
      </c>
      <c r="HD56" s="725">
        <v>2.76</v>
      </c>
      <c r="HE56" s="538">
        <v>2.25</v>
      </c>
      <c r="HF56" s="538">
        <v>0</v>
      </c>
      <c r="HG56" s="538">
        <f>(CC56-HD56)/2</f>
        <v>3.7549999999999999</v>
      </c>
      <c r="HH56" s="538">
        <f>HD56*HE56</f>
        <v>6.2099999999999991</v>
      </c>
      <c r="HI56" s="538"/>
      <c r="HJ56" s="538"/>
      <c r="HK56" s="108" t="s">
        <v>553</v>
      </c>
      <c r="HL56" s="725">
        <v>2.76</v>
      </c>
      <c r="HM56" s="538">
        <v>2.25</v>
      </c>
      <c r="HN56" s="538">
        <v>0</v>
      </c>
      <c r="HO56" s="538">
        <f>HG56</f>
        <v>3.7549999999999999</v>
      </c>
      <c r="HP56" s="538">
        <f>HL56*HM56</f>
        <v>6.2099999999999991</v>
      </c>
      <c r="HQ56" s="538"/>
      <c r="HR56" s="538"/>
      <c r="HS56" s="108" t="s">
        <v>537</v>
      </c>
      <c r="HT56" s="725">
        <v>1.0900000000000001</v>
      </c>
      <c r="HU56" s="538">
        <v>1.25</v>
      </c>
      <c r="HV56" s="538">
        <f>HM56-HU56</f>
        <v>1</v>
      </c>
      <c r="HW56" s="538">
        <f>FK56</f>
        <v>1.1350000000000016</v>
      </c>
      <c r="HX56" s="538">
        <f>HT56*HU56</f>
        <v>1.3625</v>
      </c>
      <c r="HY56" s="538">
        <v>1</v>
      </c>
      <c r="HZ56" s="538">
        <f>CC56-2*(HW56+HT56)</f>
        <v>5.8199999999999967</v>
      </c>
      <c r="IA56" s="108" t="s">
        <v>537</v>
      </c>
      <c r="II56" s="508"/>
    </row>
    <row r="57" spans="1:244" ht="15" customHeight="1" thickBot="1">
      <c r="A57" s="1187"/>
      <c r="B57" s="1136"/>
      <c r="C57" s="425">
        <v>2</v>
      </c>
      <c r="D57" s="738" t="str">
        <f>CONCATENATE("CodeRed_",C57)</f>
        <v>CodeRed_2</v>
      </c>
      <c r="E57" s="212">
        <f>377*174/H57</f>
        <v>186.3828938474438</v>
      </c>
      <c r="F57" s="435" t="s">
        <v>464</v>
      </c>
      <c r="G57" s="921">
        <f>18.51*17.5/18.54</f>
        <v>17.471682847896442</v>
      </c>
      <c r="H57" s="525">
        <f t="shared" si="65"/>
        <v>351.9529</v>
      </c>
      <c r="I57" s="354">
        <f t="shared" si="66"/>
        <v>980.05380000000002</v>
      </c>
      <c r="J57" s="715">
        <f t="shared" si="67"/>
        <v>0.36907453447963773</v>
      </c>
      <c r="K57" s="716" t="s">
        <v>558</v>
      </c>
      <c r="L57" s="715">
        <f t="shared" si="56"/>
        <v>1.3098516013152366</v>
      </c>
      <c r="M57" s="715">
        <f t="shared" si="57"/>
        <v>1.4597617327645698</v>
      </c>
      <c r="N57" s="715">
        <f t="shared" si="68"/>
        <v>1.0277309833219161</v>
      </c>
      <c r="O57" s="300">
        <f t="shared" si="63"/>
        <v>0</v>
      </c>
      <c r="P57" s="474">
        <f>DP57/H57</f>
        <v>1</v>
      </c>
      <c r="Q57" s="474"/>
      <c r="R57" s="474"/>
      <c r="S57" s="328">
        <f t="shared" si="58"/>
        <v>1</v>
      </c>
      <c r="T57" s="679"/>
      <c r="U57" s="286"/>
      <c r="V57" s="681" t="s">
        <v>417</v>
      </c>
      <c r="W57" s="713">
        <f>(FA57*(FE57+1)*FD57+FI57*(FM57+1)*FL57+FQ57*(FU57+1)*FT57+FY57*(GC57+1)*GB57+GG57*(GK57+1)*GJ57+GO57*(GS57+1)*GR57+GW57*(HA57+1)*GZ57+HE57*(HI57+1)*HH57+HM57*(HQ57+1)*HP57+HU57*(HY57+1)*HX57)/X57</f>
        <v>1.8175975880672799</v>
      </c>
      <c r="X57" s="439">
        <f>(FE57+1)*FD57+(FM57+1)*FL57+(FU57+1)*FT57+(GC57+1)*GB57+(GK57+1)*GJ57+(GS57+1)*GR57+(HA57+1)*GZ57+(HI57+1)*HH57+(HQ57+1)*HP57+(HY57+1)*HX57</f>
        <v>28.359000000000002</v>
      </c>
      <c r="Y57" s="928">
        <f t="shared" si="69"/>
        <v>3.9011249851115294E-2</v>
      </c>
      <c r="Z57" s="141">
        <v>99</v>
      </c>
      <c r="AA57" s="141">
        <v>53</v>
      </c>
      <c r="AB57" s="141">
        <f>Z57-AA57</f>
        <v>46</v>
      </c>
      <c r="AC57" s="141">
        <f t="shared" si="70"/>
        <v>150.58833156368368</v>
      </c>
      <c r="AD57" s="141"/>
      <c r="AE57" s="141" t="s">
        <v>418</v>
      </c>
      <c r="AF57" s="141"/>
      <c r="AG57" s="141"/>
      <c r="AH57" s="141"/>
      <c r="AI57" s="141"/>
      <c r="AJ57" s="919">
        <v>3</v>
      </c>
      <c r="AK57" s="427"/>
      <c r="AL57" s="497">
        <v>1053</v>
      </c>
      <c r="AM57" s="88">
        <v>180</v>
      </c>
      <c r="AN57" s="88"/>
      <c r="AO57" s="88"/>
      <c r="AP57" s="88"/>
      <c r="AQ57" s="88"/>
      <c r="AR57" s="336"/>
      <c r="AS57" s="164"/>
      <c r="AT57" s="164"/>
      <c r="AU57" s="811"/>
      <c r="AV57" s="265"/>
      <c r="AW57" s="265" t="s">
        <v>430</v>
      </c>
      <c r="AX57" s="726">
        <v>180</v>
      </c>
      <c r="AY57" s="448"/>
      <c r="AZ57" s="448"/>
      <c r="BA57" s="448"/>
      <c r="BB57" s="449"/>
      <c r="BC57" s="731">
        <f>AVERAGE(25,26,29,30,29)</f>
        <v>27.8</v>
      </c>
      <c r="BD57" s="448">
        <v>25</v>
      </c>
      <c r="BE57" s="323">
        <v>30</v>
      </c>
      <c r="BF57" s="324"/>
      <c r="BG57" s="448"/>
      <c r="BH57" s="448"/>
      <c r="BI57" s="448"/>
      <c r="BJ57" s="731"/>
      <c r="BK57" s="448"/>
      <c r="BL57" s="448"/>
      <c r="BM57" s="448"/>
      <c r="BN57" s="731">
        <v>35</v>
      </c>
      <c r="BO57" s="448">
        <v>5</v>
      </c>
      <c r="BP57" s="448">
        <v>96</v>
      </c>
      <c r="BQ57" s="840"/>
      <c r="BR57" s="727">
        <v>0.05</v>
      </c>
      <c r="BS57" s="448" t="s">
        <v>453</v>
      </c>
      <c r="BT57" s="448" t="s">
        <v>903</v>
      </c>
      <c r="BU57" s="448">
        <v>1000</v>
      </c>
      <c r="BV57" s="893">
        <v>140</v>
      </c>
      <c r="BW57" s="1225" t="s">
        <v>564</v>
      </c>
      <c r="BX57" s="1111"/>
      <c r="BY57" s="1111"/>
      <c r="BZ57" s="1111"/>
      <c r="CA57" s="1226"/>
      <c r="CB57" s="509">
        <v>34.270000000000003</v>
      </c>
      <c r="CC57">
        <v>10.27</v>
      </c>
      <c r="CD57">
        <v>3.1</v>
      </c>
      <c r="CE57"/>
      <c r="CF57" s="425"/>
      <c r="CH57" s="603"/>
      <c r="CJ57" s="427"/>
      <c r="CM57" s="340">
        <v>0.04</v>
      </c>
      <c r="CN57" s="506">
        <v>135</v>
      </c>
      <c r="CO57" s="290">
        <v>0.65</v>
      </c>
      <c r="CP57" s="506">
        <v>21</v>
      </c>
      <c r="CQ57" s="376">
        <f t="shared" si="39"/>
        <v>361.71289999999999</v>
      </c>
      <c r="CR57" s="426" t="s">
        <v>518</v>
      </c>
      <c r="CS57" s="119">
        <v>365</v>
      </c>
      <c r="CU57" s="119"/>
      <c r="CV57" s="506"/>
      <c r="CW57" s="427"/>
      <c r="CY57" s="506"/>
      <c r="CZ57" s="339"/>
      <c r="DA57" s="506"/>
      <c r="DB57" s="340"/>
      <c r="DC57" s="506"/>
      <c r="DD57" s="425" t="s">
        <v>423</v>
      </c>
      <c r="DE57" s="506">
        <v>140</v>
      </c>
      <c r="DI57" s="427"/>
      <c r="DJ57" s="506" t="s">
        <v>561</v>
      </c>
      <c r="DK57" s="506" t="s">
        <v>562</v>
      </c>
      <c r="DL57" s="339">
        <v>0.111</v>
      </c>
      <c r="DM57" s="506">
        <v>450</v>
      </c>
      <c r="DN57" s="506">
        <v>18.79</v>
      </c>
      <c r="DO57" s="506">
        <f t="shared" si="59"/>
        <v>351.9529</v>
      </c>
      <c r="DP57" s="430">
        <f>DO57*100%</f>
        <v>351.9529</v>
      </c>
      <c r="DQ57" s="506" t="s">
        <v>480</v>
      </c>
      <c r="DR57" s="506">
        <v>200</v>
      </c>
      <c r="DV57" s="427"/>
      <c r="DW57" s="506"/>
      <c r="DX57" s="506"/>
      <c r="DY57" s="339"/>
      <c r="EB57" s="427"/>
      <c r="EC57" s="506"/>
      <c r="EE57" s="506"/>
      <c r="EF57" s="339"/>
      <c r="EG57" s="506"/>
      <c r="EH57" s="506"/>
      <c r="EI57" s="506"/>
      <c r="EJ57" s="506"/>
      <c r="EK57" s="506"/>
      <c r="EL57" s="698"/>
      <c r="EM57" s="427"/>
      <c r="EN57" s="506">
        <v>2</v>
      </c>
      <c r="EO57" s="506" t="s">
        <v>529</v>
      </c>
      <c r="EP57" s="506" t="s">
        <v>563</v>
      </c>
      <c r="EQ57" s="339"/>
      <c r="ER57" s="506"/>
      <c r="ES57" s="506">
        <f>3.05*EN57</f>
        <v>6.1</v>
      </c>
      <c r="ET57" s="506">
        <v>0.4</v>
      </c>
      <c r="EU57" s="506">
        <v>0.4</v>
      </c>
      <c r="EV57" s="506"/>
      <c r="EW57" s="698">
        <v>4</v>
      </c>
      <c r="EX57" s="506">
        <f>ES57*2*(ET57+EU57)</f>
        <v>9.76</v>
      </c>
      <c r="EY57" s="21">
        <f>+FE57+1+FM57+1+FU57+1+GC57+1+GK57+1+GS57+1+HA57+1+HI57+1</f>
        <v>13</v>
      </c>
      <c r="EZ57" s="425">
        <v>2.76</v>
      </c>
      <c r="FA57" s="506">
        <v>2.25</v>
      </c>
      <c r="FB57" s="506">
        <v>0</v>
      </c>
      <c r="FC57" s="506">
        <f>HG57</f>
        <v>3.7549999999999999</v>
      </c>
      <c r="FD57" s="506">
        <f t="shared" si="60"/>
        <v>6.2099999999999991</v>
      </c>
      <c r="FE57" s="506"/>
      <c r="FF57" s="506"/>
      <c r="FG57" s="427" t="s">
        <v>537</v>
      </c>
      <c r="FH57" s="506">
        <v>1.0900000000000001</v>
      </c>
      <c r="FI57" s="506">
        <v>1</v>
      </c>
      <c r="FJ57" s="506">
        <f>2.25-FI57</f>
        <v>1.25</v>
      </c>
      <c r="FK57" s="506">
        <f>(CB57-5.8*2-6.8*3)/2+FH57+FN56</f>
        <v>2.9607142857142872</v>
      </c>
      <c r="FL57" s="506">
        <f t="shared" si="61"/>
        <v>1.0900000000000001</v>
      </c>
      <c r="FM57" s="506">
        <v>1</v>
      </c>
      <c r="FN57" s="506">
        <f>FN56*2+FH57</f>
        <v>2.5614285714285714</v>
      </c>
      <c r="FO57" s="427" t="s">
        <v>453</v>
      </c>
      <c r="FP57" s="425">
        <v>1.0900000000000001</v>
      </c>
      <c r="FQ57" s="506">
        <v>1</v>
      </c>
      <c r="FR57" s="506">
        <f>FJ57</f>
        <v>1.25</v>
      </c>
      <c r="FS57" s="506">
        <f>FS56+2*(FP57+FV56)</f>
        <v>18.396428571428572</v>
      </c>
      <c r="FT57" s="506">
        <f>FP57*FQ57</f>
        <v>1.0900000000000001</v>
      </c>
      <c r="FU57" s="506"/>
      <c r="FV57" s="506">
        <f>FN57</f>
        <v>2.5614285714285714</v>
      </c>
      <c r="FW57" s="427" t="s">
        <v>453</v>
      </c>
      <c r="FX57" s="425">
        <v>1.0900000000000001</v>
      </c>
      <c r="FY57" s="506">
        <v>1</v>
      </c>
      <c r="FZ57" s="506">
        <f>FR57</f>
        <v>1.25</v>
      </c>
      <c r="GA57" s="506">
        <f>GA56*FX57+GD56</f>
        <v>27.704650000000008</v>
      </c>
      <c r="GB57" s="506">
        <f>FX57*FY57</f>
        <v>1.0900000000000001</v>
      </c>
      <c r="GC57" s="506">
        <v>1</v>
      </c>
      <c r="GD57" s="506">
        <f>FV57</f>
        <v>2.5614285714285714</v>
      </c>
      <c r="GE57" s="427" t="s">
        <v>453</v>
      </c>
      <c r="GF57" s="25">
        <v>1.0900000000000001</v>
      </c>
      <c r="GG57" s="109">
        <v>1</v>
      </c>
      <c r="GH57" s="109">
        <f>FZ57</f>
        <v>1.25</v>
      </c>
      <c r="GI57" s="109">
        <f>FK57</f>
        <v>2.9607142857142872</v>
      </c>
      <c r="GJ57" s="109">
        <f>GF57*GG57</f>
        <v>1.0900000000000001</v>
      </c>
      <c r="GK57" s="109">
        <v>1</v>
      </c>
      <c r="GL57" s="109">
        <f>GD57</f>
        <v>2.5614285714285714</v>
      </c>
      <c r="GM57" s="428" t="s">
        <v>428</v>
      </c>
      <c r="GN57" s="109">
        <v>1.0900000000000001</v>
      </c>
      <c r="GO57" s="109">
        <v>1</v>
      </c>
      <c r="GP57" s="109">
        <f>GH57</f>
        <v>1.25</v>
      </c>
      <c r="GQ57" s="109">
        <f>GQ56+2*(GN57+GT56)</f>
        <v>19.265000000000008</v>
      </c>
      <c r="GR57" s="109">
        <f>GN57*GO57</f>
        <v>1.0900000000000001</v>
      </c>
      <c r="GS57" s="109">
        <v>1</v>
      </c>
      <c r="GT57" s="109">
        <f>4*GT56+3*GN57</f>
        <v>6.2128571428571426</v>
      </c>
      <c r="GU57" s="288" t="s">
        <v>428</v>
      </c>
      <c r="GV57" s="25">
        <v>1.3620000000000001</v>
      </c>
      <c r="GW57" s="109">
        <v>2.25</v>
      </c>
      <c r="GX57" s="109">
        <v>0</v>
      </c>
      <c r="GY57" s="109">
        <v>0</v>
      </c>
      <c r="GZ57" s="109">
        <f>GV57*GW57</f>
        <v>3.0645000000000002</v>
      </c>
      <c r="HA57" s="109">
        <v>1</v>
      </c>
      <c r="HB57" s="109">
        <f>CC57-2*GV57</f>
        <v>7.5459999999999994</v>
      </c>
      <c r="HC57" s="288" t="s">
        <v>553</v>
      </c>
      <c r="HD57" s="25">
        <v>2.76</v>
      </c>
      <c r="HE57" s="109">
        <v>2.25</v>
      </c>
      <c r="HF57" s="109">
        <v>0</v>
      </c>
      <c r="HG57" s="109">
        <f>(CC57-HD57)/2</f>
        <v>3.7549999999999999</v>
      </c>
      <c r="HH57" s="109">
        <f>HD57*HE57</f>
        <v>6.2099999999999991</v>
      </c>
      <c r="HI57" s="109"/>
      <c r="HJ57" s="109"/>
      <c r="HK57" s="288" t="s">
        <v>553</v>
      </c>
      <c r="HL57" s="25"/>
      <c r="HM57" s="109"/>
      <c r="HN57" s="109"/>
      <c r="HO57" s="109"/>
      <c r="HP57" s="109"/>
      <c r="HQ57" s="109"/>
      <c r="HR57" s="109"/>
      <c r="HS57" s="288"/>
      <c r="HT57" s="25"/>
      <c r="HU57" s="109"/>
      <c r="HV57" s="109"/>
      <c r="HW57" s="109"/>
      <c r="HX57" s="109"/>
      <c r="HY57" s="109"/>
      <c r="HZ57" s="109"/>
      <c r="IA57" s="288"/>
      <c r="IB57" s="25"/>
      <c r="IC57" s="109"/>
      <c r="ID57" s="109"/>
      <c r="IE57" s="109"/>
      <c r="IF57" s="109"/>
      <c r="IG57" s="109"/>
      <c r="IH57" s="109"/>
      <c r="II57" s="288"/>
      <c r="IJ57" s="506"/>
    </row>
    <row r="58" spans="1:244" ht="14.45" customHeight="1" thickBot="1">
      <c r="A58" s="1170" t="s">
        <v>540</v>
      </c>
      <c r="B58" s="1172" t="s">
        <v>565</v>
      </c>
      <c r="C58" s="504">
        <v>1</v>
      </c>
      <c r="D58" s="737" t="str">
        <f>CONCATENATE("FRIC_",C58)</f>
        <v>FRIC_1</v>
      </c>
      <c r="E58" s="44">
        <v>353</v>
      </c>
      <c r="F58" s="42" t="s">
        <v>464</v>
      </c>
      <c r="G58" s="631">
        <v>16</v>
      </c>
      <c r="H58" s="14">
        <f t="shared" si="65"/>
        <v>94</v>
      </c>
      <c r="I58" s="380">
        <f t="shared" si="66"/>
        <v>307.952</v>
      </c>
      <c r="J58" s="46">
        <f t="shared" si="67"/>
        <v>0.28998025666337612</v>
      </c>
      <c r="K58" s="47" t="s">
        <v>457</v>
      </c>
      <c r="L58" s="46">
        <f t="shared" si="56"/>
        <v>0.7444644524476457</v>
      </c>
      <c r="M58" s="46">
        <f t="shared" si="57"/>
        <v>1.0817424169008625</v>
      </c>
      <c r="N58" s="46">
        <f t="shared" si="68"/>
        <v>0.95</v>
      </c>
      <c r="O58" s="158">
        <f t="shared" si="63"/>
        <v>0</v>
      </c>
      <c r="P58" s="159">
        <f>DP58/H58</f>
        <v>0.95</v>
      </c>
      <c r="Q58" s="159"/>
      <c r="R58" s="159"/>
      <c r="S58" s="160"/>
      <c r="T58" s="678"/>
      <c r="U58" s="285"/>
      <c r="V58" s="678" t="s">
        <v>417</v>
      </c>
      <c r="W58" s="335">
        <f>(FA58*(FE58+1)*FD58+FI58*(FM58+1)*FL58+FQ58*(FU58+1)*FT58+FY58*(GC58+1)*GB58+GG58*(GK58+1)*GJ58+GO58*(GS58+1)*GR58+GW58*(HA58+1)*GZ58+HE58*(HI58+1)*HH58+HM58*(HQ58+1)*HP58+HU58*(HY58+1)*HX58)/X58</f>
        <v>2.2000000000000002</v>
      </c>
      <c r="X58" s="210">
        <f>(FE58+1)*FD58+(FM58+1)*FL58+(FU58+1)*FT58+(GC58+1)*GB58+(GK58+1)*GJ58+(GS58+1)*GR58+(HA58+1)*GZ58+(HI58+1)*HH58+(HQ58+1)*HP58+(HY58+1)*HX58</f>
        <v>37.400000000000006</v>
      </c>
      <c r="Y58" s="348">
        <f t="shared" si="69"/>
        <v>0.18013575064774889</v>
      </c>
      <c r="Z58" s="140">
        <v>41</v>
      </c>
      <c r="AA58" s="140">
        <v>20</v>
      </c>
      <c r="AB58" s="140">
        <v>21</v>
      </c>
      <c r="AC58" s="140">
        <f t="shared" si="70"/>
        <v>212.7659574468085</v>
      </c>
      <c r="AD58" s="140"/>
      <c r="AE58" s="140" t="s">
        <v>418</v>
      </c>
      <c r="AF58" s="140"/>
      <c r="AG58" s="140"/>
      <c r="AH58" s="140"/>
      <c r="AI58" s="140"/>
      <c r="AJ58" s="922">
        <v>3</v>
      </c>
      <c r="AK58" s="298">
        <v>0.8</v>
      </c>
      <c r="AL58" s="496">
        <v>1040</v>
      </c>
      <c r="AM58" s="87">
        <v>240</v>
      </c>
      <c r="AN58" s="87"/>
      <c r="AO58" s="87"/>
      <c r="AP58" s="87"/>
      <c r="AQ58" s="87"/>
      <c r="AR58" s="520">
        <v>61.6</v>
      </c>
      <c r="AS58" s="426"/>
      <c r="AT58" s="426">
        <v>90.2</v>
      </c>
      <c r="AU58" s="810"/>
      <c r="AV58" s="263">
        <v>120</v>
      </c>
      <c r="AW58" s="263" t="s">
        <v>430</v>
      </c>
      <c r="AX58" s="193">
        <v>240</v>
      </c>
      <c r="AY58" s="53"/>
      <c r="AZ58" s="53"/>
      <c r="BA58" s="53"/>
      <c r="BB58" s="219"/>
      <c r="BC58" s="3">
        <v>26</v>
      </c>
      <c r="BD58" s="53">
        <v>20</v>
      </c>
      <c r="BE58" s="319">
        <v>40</v>
      </c>
      <c r="BF58" s="231">
        <f>AVERAGE(1.02,1.13,1.26,1.13)</f>
        <v>1.135</v>
      </c>
      <c r="BG58" s="53"/>
      <c r="BH58" s="53"/>
      <c r="BI58" s="53"/>
      <c r="BJ58" s="3"/>
      <c r="BK58" s="53"/>
      <c r="BL58" s="53"/>
      <c r="BM58" s="53"/>
      <c r="BN58" s="3"/>
      <c r="BO58" s="53"/>
      <c r="BP58" s="53"/>
      <c r="BQ58" s="828"/>
      <c r="BR58" s="896">
        <v>1.8</v>
      </c>
      <c r="BS58" s="53" t="s">
        <v>428</v>
      </c>
      <c r="BT58" s="53" t="s">
        <v>903</v>
      </c>
      <c r="BU58" s="53">
        <v>600</v>
      </c>
      <c r="BV58" s="885">
        <v>40</v>
      </c>
      <c r="BW58" s="1152"/>
      <c r="BX58" s="1126"/>
      <c r="BY58" s="1126"/>
      <c r="BZ58" s="1126"/>
      <c r="CA58" s="1127"/>
      <c r="CB58" s="92">
        <v>18.8</v>
      </c>
      <c r="CC58" s="507">
        <v>5</v>
      </c>
      <c r="CD58" s="507">
        <v>2.52</v>
      </c>
      <c r="CE58" s="507"/>
      <c r="CF58" s="149"/>
      <c r="CG58" s="504"/>
      <c r="CH58" s="504"/>
      <c r="CI58" s="504"/>
      <c r="CJ58" s="45"/>
      <c r="CK58" s="507"/>
      <c r="CL58" s="507"/>
      <c r="CM58" s="352" t="s">
        <v>566</v>
      </c>
      <c r="CN58" s="507"/>
      <c r="CO58" s="507"/>
      <c r="CP58" s="504">
        <f>15</f>
        <v>15</v>
      </c>
      <c r="CQ58" s="382">
        <f t="shared" si="39"/>
        <v>89.3</v>
      </c>
      <c r="CR58" s="163" t="s">
        <v>493</v>
      </c>
      <c r="CS58" s="118">
        <f>2*15</f>
        <v>30</v>
      </c>
      <c r="CT58" s="118" t="s">
        <v>423</v>
      </c>
      <c r="CU58" s="118">
        <v>140</v>
      </c>
      <c r="CV58" s="504"/>
      <c r="CW58" s="156"/>
      <c r="CX58" s="504" t="s">
        <v>561</v>
      </c>
      <c r="CY58" s="504" t="s">
        <v>567</v>
      </c>
      <c r="CZ58" s="351">
        <v>0.128</v>
      </c>
      <c r="DA58" s="504">
        <v>484</v>
      </c>
      <c r="DB58" s="352">
        <f>2*(CB58+CC58)*CD58-$X$51</f>
        <v>111.95623999999999</v>
      </c>
      <c r="DC58" s="504"/>
      <c r="DD58" s="149" t="s">
        <v>423</v>
      </c>
      <c r="DE58" s="504">
        <v>140</v>
      </c>
      <c r="DF58" s="504"/>
      <c r="DG58" s="504"/>
      <c r="DH58" s="504"/>
      <c r="DI58" s="45"/>
      <c r="DJ58" s="504" t="s">
        <v>561</v>
      </c>
      <c r="DK58" s="504" t="s">
        <v>568</v>
      </c>
      <c r="DL58" s="351">
        <v>0.128</v>
      </c>
      <c r="DM58" s="504">
        <v>484</v>
      </c>
      <c r="DN58" s="507"/>
      <c r="DO58" s="504">
        <f t="shared" si="59"/>
        <v>94</v>
      </c>
      <c r="DP58" s="135">
        <v>89.3</v>
      </c>
      <c r="DQ58" s="504" t="s">
        <v>495</v>
      </c>
      <c r="DR58" s="504">
        <v>30</v>
      </c>
      <c r="DS58" s="504" t="s">
        <v>480</v>
      </c>
      <c r="DT58" s="504">
        <v>200</v>
      </c>
      <c r="DU58" s="504"/>
      <c r="DV58" s="45"/>
      <c r="DW58" s="507"/>
      <c r="DX58" s="507"/>
      <c r="DY58" s="353"/>
      <c r="DZ58" s="507"/>
      <c r="EA58" s="504">
        <f>CB58*CC58</f>
        <v>94</v>
      </c>
      <c r="EB58" s="45"/>
      <c r="EC58" s="504">
        <v>1</v>
      </c>
      <c r="ED58" s="504" t="s">
        <v>529</v>
      </c>
      <c r="EE58" s="504"/>
      <c r="EF58" s="353"/>
      <c r="EG58" s="507"/>
      <c r="EH58" s="504">
        <v>18.8</v>
      </c>
      <c r="EI58" s="504">
        <v>0.14000000000000001</v>
      </c>
      <c r="EJ58" s="504">
        <v>0.315</v>
      </c>
      <c r="EK58" s="504"/>
      <c r="EL58" s="697"/>
      <c r="EM58" s="156"/>
      <c r="EN58" s="507"/>
      <c r="EO58" s="507"/>
      <c r="EP58" s="507"/>
      <c r="EQ58" s="351"/>
      <c r="ER58" s="507"/>
      <c r="ES58" s="507"/>
      <c r="ET58" s="507"/>
      <c r="EU58" s="507"/>
      <c r="EV58" s="507"/>
      <c r="EW58" s="694"/>
      <c r="EX58" s="507"/>
      <c r="EY58" s="162">
        <f>+FE58+1</f>
        <v>4</v>
      </c>
      <c r="EZ58" s="149">
        <v>4.25</v>
      </c>
      <c r="FA58" s="504">
        <v>2.2000000000000002</v>
      </c>
      <c r="FB58" s="504">
        <v>0</v>
      </c>
      <c r="FC58" s="504">
        <v>0</v>
      </c>
      <c r="FD58" s="504">
        <f t="shared" si="60"/>
        <v>9.3500000000000014</v>
      </c>
      <c r="FE58" s="504">
        <v>3</v>
      </c>
      <c r="FF58" s="504">
        <v>0.6</v>
      </c>
      <c r="FG58" s="45" t="s">
        <v>428</v>
      </c>
      <c r="FH58" s="507"/>
      <c r="FI58" s="507"/>
      <c r="FJ58" s="507"/>
      <c r="FK58" s="507"/>
      <c r="FL58" s="507"/>
      <c r="FM58" s="507"/>
      <c r="FN58" s="507"/>
      <c r="FO58" s="507"/>
      <c r="FP58" s="507"/>
      <c r="FQ58" s="507"/>
      <c r="FR58" s="507"/>
      <c r="FS58" s="507"/>
      <c r="FT58" s="507"/>
      <c r="FU58" s="507"/>
      <c r="FV58" s="507"/>
      <c r="FW58" s="507"/>
      <c r="FX58" s="507"/>
      <c r="FY58" s="507"/>
      <c r="FZ58" s="507"/>
      <c r="GA58" s="507"/>
      <c r="GB58" s="507"/>
      <c r="GC58" s="507"/>
      <c r="GD58" s="507"/>
      <c r="GE58" s="507"/>
      <c r="GU58" s="510"/>
      <c r="HC58" s="510"/>
      <c r="HK58" s="510"/>
      <c r="HS58" s="510"/>
      <c r="IA58" s="510"/>
      <c r="II58" s="510"/>
    </row>
    <row r="59" spans="1:244" ht="14.45" customHeight="1" thickBot="1">
      <c r="A59" s="1171"/>
      <c r="B59" s="1137"/>
      <c r="C59" s="336">
        <v>2</v>
      </c>
      <c r="D59" s="739" t="str">
        <f>CONCATENATE("FRIC_",C59)</f>
        <v>FRIC_2</v>
      </c>
      <c r="E59" s="98">
        <v>353</v>
      </c>
      <c r="F59" s="444" t="s">
        <v>464</v>
      </c>
      <c r="G59" s="444">
        <v>16</v>
      </c>
      <c r="H59" s="16">
        <f t="shared" si="65"/>
        <v>94</v>
      </c>
      <c r="I59" s="383">
        <f t="shared" si="66"/>
        <v>307.952</v>
      </c>
      <c r="J59" s="151">
        <f t="shared" si="67"/>
        <v>0.44292617031225645</v>
      </c>
      <c r="K59" s="152" t="s">
        <v>460</v>
      </c>
      <c r="L59" s="151">
        <f t="shared" si="56"/>
        <v>1.1371215152727758</v>
      </c>
      <c r="M59" s="151">
        <f t="shared" si="57"/>
        <v>1.65229188874891</v>
      </c>
      <c r="N59" s="151">
        <f t="shared" si="68"/>
        <v>1.451063829787234</v>
      </c>
      <c r="O59" s="154">
        <f t="shared" si="63"/>
        <v>0.57054947184804738</v>
      </c>
      <c r="P59" s="153">
        <f>DP59/H59</f>
        <v>0.95</v>
      </c>
      <c r="Q59" s="153"/>
      <c r="R59" s="153"/>
      <c r="S59" s="475"/>
      <c r="T59" s="686"/>
      <c r="U59" s="476"/>
      <c r="V59" s="686" t="s">
        <v>417</v>
      </c>
      <c r="W59" s="523">
        <f>(FA59*(FE59+1)*FD59+FI59*(FM59+1)*FL59+FQ59*(FU59+1)*FT59+FY59*(GC59+1)*GB59+GG59*(GK59+1)*GJ59+GO59*(GS59+1)*GR59+GW59*(HA59+1)*GZ59+HE59*(HI59+1)*HH59+HM59*(HQ59+1)*HP59+HU59*(HY59+1)*HX59)/X59</f>
        <v>2.2000000000000002</v>
      </c>
      <c r="X59" s="208">
        <f>(FE59+1)*FD59+(FM59+1)*FL59+(FU59+1)*FT59+(GC59+1)*GB59+(GK59+1)*GJ59+(GS59+1)*GR59+(HA59+1)*GZ59+(HI59+1)*HH59+(HQ59+1)*HP59+(HY59+1)*HX59</f>
        <v>37.400000000000006</v>
      </c>
      <c r="Y59" s="356">
        <f t="shared" si="69"/>
        <v>0.18013575064774889</v>
      </c>
      <c r="Z59" s="141">
        <f>35+13+24.5</f>
        <v>72.5</v>
      </c>
      <c r="AA59" s="141">
        <v>35</v>
      </c>
      <c r="AB59" s="141">
        <f>13+24.5</f>
        <v>37.5</v>
      </c>
      <c r="AC59" s="141">
        <f t="shared" si="70"/>
        <v>372.34042553191489</v>
      </c>
      <c r="AD59" s="489"/>
      <c r="AE59" s="489" t="s">
        <v>418</v>
      </c>
      <c r="AF59" s="141"/>
      <c r="AG59" s="141"/>
      <c r="AH59" s="141"/>
      <c r="AI59" s="141"/>
      <c r="AJ59" s="923">
        <v>3</v>
      </c>
      <c r="AK59" s="477">
        <v>0.8</v>
      </c>
      <c r="AL59" s="498">
        <v>1172</v>
      </c>
      <c r="AM59" s="107">
        <v>175</v>
      </c>
      <c r="AN59" s="107"/>
      <c r="AO59" s="107"/>
      <c r="AP59" s="107"/>
      <c r="AQ59" s="107"/>
      <c r="AR59" s="816"/>
      <c r="AS59" s="817"/>
      <c r="AT59" s="817"/>
      <c r="AU59" s="817"/>
      <c r="AV59" s="266">
        <v>76</v>
      </c>
      <c r="AW59" s="266" t="s">
        <v>417</v>
      </c>
      <c r="AX59" s="301">
        <v>76</v>
      </c>
      <c r="AY59" s="302">
        <f>40/AVERAGE(79.3,77.4,78.4)*AX59</f>
        <v>38.792003402807318</v>
      </c>
      <c r="AZ59" s="609">
        <v>39</v>
      </c>
      <c r="BA59" s="609">
        <v>39</v>
      </c>
      <c r="BB59" s="303">
        <f>AY59/AX59</f>
        <v>0.51042109740535946</v>
      </c>
      <c r="BC59" s="304">
        <f>40/AVERAGE(81.3,79.6,89.9,83.6)*AX59</f>
        <v>36.363636363636367</v>
      </c>
      <c r="BD59" s="609">
        <v>36</v>
      </c>
      <c r="BE59" s="614">
        <v>36</v>
      </c>
      <c r="BF59" s="305">
        <f>BC59/AX59</f>
        <v>0.47846889952153115</v>
      </c>
      <c r="BG59" s="302"/>
      <c r="BH59" s="302"/>
      <c r="BI59" s="302"/>
      <c r="BJ59" s="304"/>
      <c r="BK59" s="302"/>
      <c r="BL59" s="302"/>
      <c r="BM59" s="302"/>
      <c r="BN59" s="304"/>
      <c r="BO59" s="302"/>
      <c r="BP59" s="302"/>
      <c r="BQ59" s="838"/>
      <c r="BR59" s="1086">
        <v>1.8</v>
      </c>
      <c r="BS59" s="302" t="s">
        <v>428</v>
      </c>
      <c r="BT59" s="302" t="s">
        <v>903</v>
      </c>
      <c r="BU59" s="302">
        <v>865</v>
      </c>
      <c r="BV59" s="1087">
        <v>96</v>
      </c>
      <c r="BW59" s="1129"/>
      <c r="BX59" s="1130"/>
      <c r="BY59" s="1130"/>
      <c r="BZ59" s="1130"/>
      <c r="CA59" s="1131"/>
      <c r="CB59" s="306">
        <v>18.8</v>
      </c>
      <c r="CC59" s="307">
        <v>5</v>
      </c>
      <c r="CD59" s="307">
        <v>2.52</v>
      </c>
      <c r="CE59" s="109"/>
      <c r="CF59" s="25"/>
      <c r="CG59" s="109"/>
      <c r="CH59" s="109"/>
      <c r="CI59" s="109"/>
      <c r="CJ59" s="428"/>
      <c r="CK59" s="109"/>
      <c r="CL59" s="109"/>
      <c r="CM59" s="360">
        <v>2</v>
      </c>
      <c r="CN59" s="109">
        <v>130</v>
      </c>
      <c r="CO59" s="109"/>
      <c r="CP59" s="109">
        <f>15</f>
        <v>15</v>
      </c>
      <c r="CQ59" s="379">
        <f t="shared" si="39"/>
        <v>136.4</v>
      </c>
      <c r="CR59" s="164" t="s">
        <v>423</v>
      </c>
      <c r="CS59" s="136">
        <v>140</v>
      </c>
      <c r="CT59" s="136"/>
      <c r="CU59" s="136"/>
      <c r="CV59" s="109"/>
      <c r="CW59" s="428"/>
      <c r="CX59" s="109" t="s">
        <v>561</v>
      </c>
      <c r="CY59" s="109" t="s">
        <v>567</v>
      </c>
      <c r="CZ59" s="359">
        <v>0.14099999999999999</v>
      </c>
      <c r="DA59" s="109">
        <v>484</v>
      </c>
      <c r="DB59" s="360">
        <f>2*(CB59+CC59)*CD59-$X$51</f>
        <v>111.95623999999999</v>
      </c>
      <c r="DC59" s="109">
        <f>47.1</f>
        <v>47.1</v>
      </c>
      <c r="DD59" s="25" t="s">
        <v>423</v>
      </c>
      <c r="DE59" s="109">
        <v>140</v>
      </c>
      <c r="DF59" s="109"/>
      <c r="DG59" s="109"/>
      <c r="DH59" s="109"/>
      <c r="DI59" s="428"/>
      <c r="DJ59" s="109" t="s">
        <v>561</v>
      </c>
      <c r="DK59" s="109" t="s">
        <v>568</v>
      </c>
      <c r="DL59" s="359">
        <v>0.128</v>
      </c>
      <c r="DM59" s="109">
        <v>484</v>
      </c>
      <c r="DN59" s="109"/>
      <c r="DO59" s="109">
        <f t="shared" si="59"/>
        <v>94</v>
      </c>
      <c r="DP59" s="522">
        <v>89.3</v>
      </c>
      <c r="DQ59" s="109" t="s">
        <v>495</v>
      </c>
      <c r="DR59" s="109">
        <v>30</v>
      </c>
      <c r="DS59" s="109" t="s">
        <v>480</v>
      </c>
      <c r="DT59" s="109">
        <v>200</v>
      </c>
      <c r="DU59" s="109"/>
      <c r="DV59" s="428"/>
      <c r="DW59" s="109"/>
      <c r="DX59" s="109"/>
      <c r="DY59" s="359"/>
      <c r="DZ59" s="109"/>
      <c r="EA59" s="109">
        <f>CB59*CC59</f>
        <v>94</v>
      </c>
      <c r="EB59" s="428"/>
      <c r="EC59" s="109">
        <v>1</v>
      </c>
      <c r="ED59" s="109" t="s">
        <v>529</v>
      </c>
      <c r="EE59" s="109"/>
      <c r="EF59" s="359"/>
      <c r="EG59" s="109"/>
      <c r="EH59" s="109">
        <v>18.8</v>
      </c>
      <c r="EI59" s="109">
        <v>0.14000000000000001</v>
      </c>
      <c r="EJ59" s="109">
        <v>0.315</v>
      </c>
      <c r="EK59" s="109"/>
      <c r="EL59" s="699"/>
      <c r="EM59" s="428"/>
      <c r="EN59" s="109"/>
      <c r="EO59" s="109"/>
      <c r="EP59" s="109"/>
      <c r="EQ59" s="359"/>
      <c r="ER59" s="109"/>
      <c r="ES59" s="109"/>
      <c r="ET59" s="109"/>
      <c r="EU59" s="109"/>
      <c r="EV59" s="109"/>
      <c r="EW59" s="699"/>
      <c r="EX59" s="109"/>
      <c r="EY59" s="26">
        <f>+FE59+1</f>
        <v>4</v>
      </c>
      <c r="EZ59" s="109">
        <v>4.25</v>
      </c>
      <c r="FA59" s="109">
        <v>2.2000000000000002</v>
      </c>
      <c r="FB59" s="109">
        <v>0</v>
      </c>
      <c r="FC59" s="109">
        <v>0</v>
      </c>
      <c r="FD59" s="109">
        <f t="shared" si="60"/>
        <v>9.3500000000000014</v>
      </c>
      <c r="FE59" s="109">
        <v>3</v>
      </c>
      <c r="FF59" s="109">
        <v>0.6</v>
      </c>
      <c r="FG59" s="428" t="s">
        <v>428</v>
      </c>
      <c r="FH59" s="512"/>
      <c r="FI59" s="512"/>
      <c r="FJ59" s="512"/>
      <c r="FK59" s="512"/>
      <c r="FL59" s="512"/>
      <c r="FM59" s="512"/>
      <c r="FN59" s="512"/>
      <c r="FO59" s="512"/>
      <c r="FP59" s="512"/>
      <c r="FQ59" s="512"/>
      <c r="FR59" s="512"/>
      <c r="FS59" s="512"/>
      <c r="FT59" s="512"/>
      <c r="FU59" s="512"/>
      <c r="FV59" s="512"/>
      <c r="FW59" s="512"/>
      <c r="FX59" s="512"/>
      <c r="FY59" s="512"/>
      <c r="FZ59" s="512"/>
      <c r="GA59" s="512"/>
      <c r="GB59" s="512"/>
      <c r="GC59" s="512"/>
      <c r="GD59" s="512"/>
      <c r="GE59" s="512"/>
      <c r="GU59" s="510"/>
      <c r="HC59" s="510"/>
      <c r="HK59" s="510"/>
      <c r="HS59" s="510"/>
      <c r="IA59" s="510"/>
      <c r="II59" s="510"/>
    </row>
    <row r="60" spans="1:244" ht="15.75" customHeight="1" thickBot="1">
      <c r="A60" s="1161" t="s">
        <v>569</v>
      </c>
      <c r="B60" s="1151" t="s">
        <v>569</v>
      </c>
      <c r="C60" s="51">
        <v>0</v>
      </c>
      <c r="D60" s="425" t="str">
        <f>CONCATENATE($A$60,"_",C60)</f>
        <v>AdivBois_0</v>
      </c>
      <c r="E60" s="21">
        <v>350</v>
      </c>
      <c r="F60" s="1189" t="s">
        <v>464</v>
      </c>
      <c r="G60" s="1153">
        <v>15.8</v>
      </c>
      <c r="H60" s="22">
        <f t="shared" si="65"/>
        <v>28.5825</v>
      </c>
      <c r="I60" s="22">
        <f t="shared" si="66"/>
        <v>112.80500000000001</v>
      </c>
      <c r="J60" s="2">
        <f t="shared" si="67"/>
        <v>0</v>
      </c>
      <c r="K60" s="33">
        <v>0</v>
      </c>
      <c r="L60" s="2">
        <f t="shared" si="56"/>
        <v>0</v>
      </c>
      <c r="M60" s="2">
        <f t="shared" si="57"/>
        <v>0</v>
      </c>
      <c r="N60" s="2">
        <f t="shared" si="68"/>
        <v>0</v>
      </c>
      <c r="O60" s="436"/>
      <c r="P60" s="131"/>
      <c r="Q60" s="131"/>
      <c r="R60" s="131"/>
      <c r="S60" s="437"/>
      <c r="T60" s="679"/>
      <c r="U60" s="584"/>
      <c r="V60" s="685" t="s">
        <v>417</v>
      </c>
      <c r="W60" s="582">
        <f t="shared" ref="W60:W69" si="71">SUM(FD60*FA60+FL60*FI60+FT60*FQ60+GB60*FY60+GJ60*GG60+GR60*GO60)/X60</f>
        <v>1.5</v>
      </c>
      <c r="X60" s="299">
        <f t="shared" ref="X60:X69" si="72">FD60+FL60+FT60+GB60+GJ60+GR60</f>
        <v>5.3999999999999995</v>
      </c>
      <c r="Y60" s="362">
        <f t="shared" si="69"/>
        <v>5.8628804623151266E-2</v>
      </c>
      <c r="Z60" s="78"/>
      <c r="AA60" s="78"/>
      <c r="AB60" s="78"/>
      <c r="AC60" s="78">
        <f t="shared" si="70"/>
        <v>0</v>
      </c>
      <c r="AD60" s="78"/>
      <c r="AE60" s="507" t="s">
        <v>418</v>
      </c>
      <c r="AF60" s="500" t="s">
        <v>418</v>
      </c>
      <c r="AG60" s="500"/>
      <c r="AH60" s="500"/>
      <c r="AI60" s="635">
        <v>0.5</v>
      </c>
      <c r="AJ60" s="635"/>
      <c r="AK60" s="502">
        <v>0.78</v>
      </c>
      <c r="AL60" s="497">
        <v>990</v>
      </c>
      <c r="AM60" s="88">
        <v>180</v>
      </c>
      <c r="AN60" s="88"/>
      <c r="AO60" s="88"/>
      <c r="AP60" s="88"/>
      <c r="AQ60" s="88"/>
      <c r="AR60" s="425"/>
      <c r="AS60" s="425"/>
      <c r="AT60" s="425"/>
      <c r="AU60" s="425"/>
      <c r="AV60" s="2"/>
      <c r="AW60" s="626" t="s">
        <v>484</v>
      </c>
      <c r="AX60" s="555">
        <v>0</v>
      </c>
      <c r="AY60" s="185"/>
      <c r="AZ60" s="185"/>
      <c r="BA60" s="185"/>
      <c r="BB60" s="220"/>
      <c r="BC60" s="191"/>
      <c r="BD60" s="185"/>
      <c r="BE60" s="312"/>
      <c r="BF60" s="232"/>
      <c r="BG60" s="185"/>
      <c r="BH60" s="185"/>
      <c r="BI60" s="185"/>
      <c r="BJ60" s="540"/>
      <c r="BK60" s="541"/>
      <c r="BL60" s="541"/>
      <c r="BM60" s="541"/>
      <c r="BN60" s="540"/>
      <c r="BO60" s="541"/>
      <c r="BP60" s="541"/>
      <c r="BQ60" s="841"/>
      <c r="BR60" s="540"/>
      <c r="BS60" s="541"/>
      <c r="BT60" s="541"/>
      <c r="BU60" s="541"/>
      <c r="BV60" s="841"/>
      <c r="BW60" s="1152" t="s">
        <v>570</v>
      </c>
      <c r="BX60" s="1126"/>
      <c r="BY60" s="1126"/>
      <c r="BZ60" s="1126"/>
      <c r="CA60" s="1127"/>
      <c r="CB60" s="509">
        <v>5.15</v>
      </c>
      <c r="CC60">
        <v>5.55</v>
      </c>
      <c r="CD60">
        <v>2.6</v>
      </c>
      <c r="CE60"/>
      <c r="CF60" s="425"/>
      <c r="CJ60" s="427"/>
      <c r="CL60" s="506">
        <v>101500</v>
      </c>
      <c r="CM60" s="601">
        <f>6*1000/60/60</f>
        <v>1.6666666666666667</v>
      </c>
      <c r="CN60" s="506">
        <v>270</v>
      </c>
      <c r="CO60" s="290">
        <v>0.5</v>
      </c>
      <c r="CP60" s="506">
        <v>24</v>
      </c>
      <c r="CQ60" s="376">
        <f t="shared" si="39"/>
        <v>0</v>
      </c>
      <c r="CR60" s="426" t="s">
        <v>438</v>
      </c>
      <c r="CS60" s="119">
        <f>12.7*2</f>
        <v>25.4</v>
      </c>
      <c r="CT60" s="119" t="s">
        <v>518</v>
      </c>
      <c r="CU60" s="119">
        <v>175</v>
      </c>
      <c r="CV60" s="506"/>
      <c r="CW60" s="427"/>
      <c r="CY60" s="506"/>
      <c r="CZ60" s="339"/>
      <c r="DA60" s="506"/>
      <c r="DB60" s="340">
        <f t="shared" ref="DB60:DB80" si="73">2*(CB60+CC60)*CD60-X60</f>
        <v>50.24</v>
      </c>
      <c r="DC60" s="506">
        <v>0</v>
      </c>
      <c r="DD60" s="425" t="s">
        <v>479</v>
      </c>
      <c r="DE60" s="506">
        <v>50</v>
      </c>
      <c r="DF60" s="506" t="s">
        <v>518</v>
      </c>
      <c r="DG60" s="506">
        <v>225</v>
      </c>
      <c r="DI60" s="427"/>
      <c r="DJ60" s="506"/>
      <c r="DK60" s="129"/>
      <c r="DL60" s="339"/>
      <c r="DM60" s="506"/>
      <c r="DN60" s="506"/>
      <c r="DO60" s="506"/>
      <c r="DP60" s="430"/>
      <c r="DQ60" s="506" t="s">
        <v>438</v>
      </c>
      <c r="DR60" s="506">
        <v>12.7</v>
      </c>
      <c r="DS60" s="506" t="s">
        <v>479</v>
      </c>
      <c r="DT60" s="506">
        <v>200</v>
      </c>
      <c r="DU60" s="506" t="s">
        <v>480</v>
      </c>
      <c r="DV60" s="427">
        <v>100</v>
      </c>
      <c r="DW60" s="506"/>
      <c r="DX60" s="129"/>
      <c r="DY60" s="339"/>
      <c r="EB60" s="427"/>
      <c r="EC60" s="506"/>
      <c r="EE60" s="506"/>
      <c r="EF60" s="339"/>
      <c r="EG60" s="506"/>
      <c r="EH60" s="506"/>
      <c r="EI60" s="506"/>
      <c r="EJ60" s="506"/>
      <c r="EK60" s="506"/>
      <c r="EL60" s="698"/>
      <c r="EM60" s="427"/>
      <c r="EN60" s="506"/>
      <c r="EO60" s="506"/>
      <c r="EP60" s="506"/>
      <c r="EQ60" s="339"/>
      <c r="ER60" s="506"/>
      <c r="ES60" s="506"/>
      <c r="ET60" s="506"/>
      <c r="EU60" s="506"/>
      <c r="EV60" s="506"/>
      <c r="EW60" s="698"/>
      <c r="EY60" s="21">
        <v>2</v>
      </c>
      <c r="EZ60" s="506">
        <v>2.15</v>
      </c>
      <c r="FA60" s="506">
        <v>1.5</v>
      </c>
      <c r="FB60" s="506">
        <v>0.7</v>
      </c>
      <c r="FC60" s="506">
        <v>0.4</v>
      </c>
      <c r="FD60" s="506">
        <f t="shared" si="60"/>
        <v>3.2249999999999996</v>
      </c>
      <c r="FE60" s="506"/>
      <c r="FF60" s="506"/>
      <c r="FG60" s="427" t="s">
        <v>428</v>
      </c>
      <c r="FH60" s="425">
        <v>1.45</v>
      </c>
      <c r="FI60" s="506">
        <v>1.5</v>
      </c>
      <c r="FJ60" s="506">
        <v>0.7</v>
      </c>
      <c r="FK60" s="506">
        <v>3.1</v>
      </c>
      <c r="FL60" s="506">
        <f t="shared" ref="FL60:FL64" si="74">FH60*FI60</f>
        <v>2.1749999999999998</v>
      </c>
      <c r="FM60" s="506"/>
      <c r="FN60" s="506"/>
      <c r="FO60" s="427" t="s">
        <v>428</v>
      </c>
      <c r="FP60" s="425"/>
      <c r="FQ60" s="506"/>
      <c r="FR60" s="506"/>
      <c r="FS60" s="506"/>
      <c r="FT60" s="506"/>
      <c r="FU60" s="506"/>
      <c r="FV60" s="506"/>
      <c r="FW60" s="427"/>
      <c r="FX60" s="425"/>
      <c r="FY60" s="506"/>
      <c r="FZ60" s="506"/>
      <c r="GA60" s="506"/>
      <c r="GB60" s="506"/>
      <c r="GC60" s="506"/>
      <c r="GD60" s="506"/>
      <c r="GE60" s="427"/>
      <c r="GU60" s="510"/>
      <c r="HC60" s="510"/>
      <c r="HK60" s="510"/>
      <c r="HS60" s="510"/>
      <c r="IA60" s="510"/>
      <c r="II60" s="510"/>
    </row>
    <row r="61" spans="1:244">
      <c r="A61" s="1162"/>
      <c r="B61" s="1136"/>
      <c r="C61" s="51">
        <v>1</v>
      </c>
      <c r="D61" s="725" t="str">
        <f t="shared" ref="D61:D64" si="75">CONCATENATE($A$60,"_",C61)</f>
        <v>AdivBois_1</v>
      </c>
      <c r="E61" s="23">
        <v>968</v>
      </c>
      <c r="F61" s="1139"/>
      <c r="G61" s="1147"/>
      <c r="H61" s="478">
        <f t="shared" si="65"/>
        <v>28.5825</v>
      </c>
      <c r="I61" s="478">
        <f t="shared" si="66"/>
        <v>112.80500000000001</v>
      </c>
      <c r="J61" s="715">
        <f t="shared" si="67"/>
        <v>0.12791986170825762</v>
      </c>
      <c r="K61" s="716" t="s">
        <v>443</v>
      </c>
      <c r="L61" s="715">
        <f t="shared" si="56"/>
        <v>0.25934579439252337</v>
      </c>
      <c r="M61" s="715">
        <f t="shared" si="57"/>
        <v>0.28722133757961782</v>
      </c>
      <c r="N61" s="715">
        <f t="shared" si="68"/>
        <v>0.50485436893203883</v>
      </c>
      <c r="O61" s="300">
        <f>DC61/(2*(CB61+CC61)*CD61-X60)</f>
        <v>0.28722133757961782</v>
      </c>
      <c r="P61" s="474">
        <f>DP61/H61</f>
        <v>0</v>
      </c>
      <c r="Q61" s="474">
        <f>EB61/H61</f>
        <v>0</v>
      </c>
      <c r="R61" s="474"/>
      <c r="S61" s="328"/>
      <c r="T61" s="679"/>
      <c r="U61" s="585"/>
      <c r="V61" s="681" t="s">
        <v>417</v>
      </c>
      <c r="W61" s="583">
        <f t="shared" si="71"/>
        <v>1.5</v>
      </c>
      <c r="X61" s="167">
        <f t="shared" si="72"/>
        <v>5.3999999999999995</v>
      </c>
      <c r="Y61" s="363">
        <f t="shared" si="69"/>
        <v>5.8628804623151266E-2</v>
      </c>
      <c r="Z61" s="491">
        <v>9</v>
      </c>
      <c r="AA61" s="491">
        <v>6</v>
      </c>
      <c r="AB61" s="491">
        <v>4</v>
      </c>
      <c r="AC61" s="491">
        <f t="shared" si="70"/>
        <v>209.91865652059826</v>
      </c>
      <c r="AE61" t="s">
        <v>418</v>
      </c>
      <c r="AF61" t="s">
        <v>418</v>
      </c>
      <c r="AI61" s="635">
        <v>0.5</v>
      </c>
      <c r="AJ61" s="635"/>
      <c r="AK61" s="427" t="s">
        <v>483</v>
      </c>
      <c r="AL61" s="497">
        <v>1100</v>
      </c>
      <c r="AM61" s="88">
        <v>180</v>
      </c>
      <c r="AN61" s="88"/>
      <c r="AO61" s="88"/>
      <c r="AP61" s="88"/>
      <c r="AQ61" s="88"/>
      <c r="AR61" s="425"/>
      <c r="AS61" s="425"/>
      <c r="AT61" s="425"/>
      <c r="AU61" s="425"/>
      <c r="AV61" s="51"/>
      <c r="AW61" s="51" t="s">
        <v>430</v>
      </c>
      <c r="AX61" s="200">
        <v>480</v>
      </c>
      <c r="AY61" s="448">
        <f>AVERAGE(98,88,80,85,75,75)</f>
        <v>83.5</v>
      </c>
      <c r="AZ61" s="448">
        <v>75</v>
      </c>
      <c r="BA61" s="448">
        <v>98</v>
      </c>
      <c r="BB61" s="449">
        <f>AVERAGE(0.72,0.97)</f>
        <v>0.84499999999999997</v>
      </c>
      <c r="BC61" s="731"/>
      <c r="BD61" s="448"/>
      <c r="BE61" s="323"/>
      <c r="BF61" s="324"/>
      <c r="BG61" s="448"/>
      <c r="BH61" s="448"/>
      <c r="BI61" s="448"/>
      <c r="BJ61" s="731"/>
      <c r="BK61" s="448"/>
      <c r="BL61" s="448"/>
      <c r="BM61" s="448"/>
      <c r="BN61" s="731"/>
      <c r="BO61" s="448"/>
      <c r="BP61" s="448"/>
      <c r="BQ61" s="833"/>
      <c r="BR61" s="731"/>
      <c r="BS61" s="448"/>
      <c r="BT61" s="448"/>
      <c r="BU61" s="448"/>
      <c r="BV61" s="833"/>
      <c r="BW61" s="1128"/>
      <c r="BX61" s="1113"/>
      <c r="BY61" s="1113"/>
      <c r="BZ61" s="1113"/>
      <c r="CA61" s="1122"/>
      <c r="CB61" s="509">
        <v>5.15</v>
      </c>
      <c r="CC61">
        <v>5.55</v>
      </c>
      <c r="CD61">
        <v>2.6</v>
      </c>
      <c r="CE61"/>
      <c r="CF61" s="425">
        <v>0.5</v>
      </c>
      <c r="CJ61" s="427"/>
      <c r="CL61" s="506">
        <v>98200</v>
      </c>
      <c r="CM61" s="340">
        <f>6*1000/60/60</f>
        <v>1.6666666666666667</v>
      </c>
      <c r="CN61" s="506">
        <v>270</v>
      </c>
      <c r="CO61" s="290">
        <v>0.59</v>
      </c>
      <c r="CP61" s="506">
        <v>16</v>
      </c>
      <c r="CQ61" s="376">
        <f t="shared" si="39"/>
        <v>14.43</v>
      </c>
      <c r="CR61" s="426" t="s">
        <v>438</v>
      </c>
      <c r="CS61" s="119">
        <f>12.7*2</f>
        <v>25.4</v>
      </c>
      <c r="CT61" s="119" t="s">
        <v>518</v>
      </c>
      <c r="CU61" s="119">
        <v>175</v>
      </c>
      <c r="CV61" s="506" t="s">
        <v>423</v>
      </c>
      <c r="CW61" s="427">
        <v>220</v>
      </c>
      <c r="CX61" s="506" t="s">
        <v>571</v>
      </c>
      <c r="CY61" s="506" t="s">
        <v>572</v>
      </c>
      <c r="CZ61" s="339"/>
      <c r="DA61" s="506"/>
      <c r="DB61" s="340">
        <f t="shared" si="73"/>
        <v>50.24</v>
      </c>
      <c r="DC61" s="506">
        <f>CC61*CD61</f>
        <v>14.43</v>
      </c>
      <c r="DD61" s="425" t="s">
        <v>479</v>
      </c>
      <c r="DE61" s="506">
        <v>50</v>
      </c>
      <c r="DF61" s="506" t="s">
        <v>518</v>
      </c>
      <c r="DG61" s="506">
        <v>225</v>
      </c>
      <c r="DI61" s="427"/>
      <c r="DJ61" s="506"/>
      <c r="DK61" s="129"/>
      <c r="DL61" s="339"/>
      <c r="DM61" s="506"/>
      <c r="DN61" s="506"/>
      <c r="DO61" s="506"/>
      <c r="DP61" s="430"/>
      <c r="DQ61" s="506" t="s">
        <v>438</v>
      </c>
      <c r="DR61" s="506">
        <v>12.7</v>
      </c>
      <c r="DS61" s="506" t="s">
        <v>479</v>
      </c>
      <c r="DT61" s="506">
        <v>200</v>
      </c>
      <c r="DU61" s="506" t="s">
        <v>480</v>
      </c>
      <c r="DV61" s="427">
        <v>100</v>
      </c>
      <c r="DW61" s="506"/>
      <c r="DX61" s="129"/>
      <c r="DY61" s="339"/>
      <c r="EB61" s="427"/>
      <c r="EC61" s="506"/>
      <c r="EE61" s="506"/>
      <c r="EF61" s="339"/>
      <c r="EG61" s="506"/>
      <c r="EH61" s="506"/>
      <c r="EI61" s="506"/>
      <c r="EJ61" s="506"/>
      <c r="EK61" s="506"/>
      <c r="EL61" s="698"/>
      <c r="EM61" s="427"/>
      <c r="EN61" s="506"/>
      <c r="EO61" s="506"/>
      <c r="EP61" s="506"/>
      <c r="EQ61" s="339"/>
      <c r="ER61" s="506"/>
      <c r="ES61" s="506"/>
      <c r="ET61" s="506"/>
      <c r="EU61" s="506"/>
      <c r="EV61" s="506"/>
      <c r="EW61" s="698"/>
      <c r="EY61" s="21">
        <v>2</v>
      </c>
      <c r="EZ61" s="506">
        <v>2.15</v>
      </c>
      <c r="FA61" s="506">
        <v>1.5</v>
      </c>
      <c r="FB61" s="506">
        <v>0.7</v>
      </c>
      <c r="FC61" s="506">
        <v>0.4</v>
      </c>
      <c r="FD61" s="506">
        <f t="shared" si="60"/>
        <v>3.2249999999999996</v>
      </c>
      <c r="FE61" s="506"/>
      <c r="FF61" s="506"/>
      <c r="FG61" s="427" t="s">
        <v>428</v>
      </c>
      <c r="FH61" s="425">
        <v>1.45</v>
      </c>
      <c r="FI61" s="506">
        <v>1.5</v>
      </c>
      <c r="FJ61" s="506">
        <v>0.7</v>
      </c>
      <c r="FK61" s="506">
        <v>3.1</v>
      </c>
      <c r="FL61" s="506">
        <f t="shared" si="74"/>
        <v>2.1749999999999998</v>
      </c>
      <c r="FM61" s="506"/>
      <c r="FN61" s="506"/>
      <c r="FO61" s="427" t="s">
        <v>428</v>
      </c>
      <c r="FP61" s="425"/>
      <c r="FQ61" s="506"/>
      <c r="FR61" s="506"/>
      <c r="FS61" s="506"/>
      <c r="FT61" s="506"/>
      <c r="FU61" s="506"/>
      <c r="FV61" s="506"/>
      <c r="FW61" s="427"/>
      <c r="FX61" s="425"/>
      <c r="FY61" s="506"/>
      <c r="FZ61" s="506"/>
      <c r="GA61" s="506"/>
      <c r="GB61" s="506"/>
      <c r="GC61" s="506"/>
      <c r="GD61" s="506"/>
      <c r="GE61" s="427"/>
      <c r="GU61" s="510"/>
      <c r="HC61" s="510"/>
      <c r="HK61" s="510"/>
      <c r="HS61" s="510"/>
      <c r="IA61" s="510"/>
      <c r="II61" s="510"/>
    </row>
    <row r="62" spans="1:244">
      <c r="A62" s="1162"/>
      <c r="B62" s="1136"/>
      <c r="C62" s="51">
        <v>2</v>
      </c>
      <c r="D62" s="725" t="str">
        <f t="shared" si="75"/>
        <v>AdivBois_2</v>
      </c>
      <c r="E62" s="23">
        <v>809</v>
      </c>
      <c r="F62" s="1139"/>
      <c r="G62" s="1147"/>
      <c r="H62" s="478">
        <f t="shared" si="65"/>
        <v>28.5825</v>
      </c>
      <c r="I62" s="478">
        <f t="shared" si="66"/>
        <v>113.661</v>
      </c>
      <c r="J62" s="715">
        <f t="shared" si="67"/>
        <v>0.25147148098292288</v>
      </c>
      <c r="K62" s="716" t="s">
        <v>457</v>
      </c>
      <c r="L62" s="715">
        <f t="shared" si="56"/>
        <v>0.5059207731520815</v>
      </c>
      <c r="M62" s="715">
        <f t="shared" si="57"/>
        <v>0.64453389257204707</v>
      </c>
      <c r="N62" s="715">
        <f t="shared" si="68"/>
        <v>1</v>
      </c>
      <c r="O62" s="300">
        <f>DC62/(2*(CB62+CC62)*CD62-X61)</f>
        <v>0</v>
      </c>
      <c r="P62" s="474">
        <f>DP62/H62</f>
        <v>1</v>
      </c>
      <c r="Q62" s="474">
        <f>EB62/H62</f>
        <v>0</v>
      </c>
      <c r="R62" s="474"/>
      <c r="S62" s="328"/>
      <c r="T62" s="679"/>
      <c r="U62" s="585"/>
      <c r="V62" s="681" t="s">
        <v>417</v>
      </c>
      <c r="W62" s="478">
        <f t="shared" si="71"/>
        <v>1.5000000000000002</v>
      </c>
      <c r="X62" s="473">
        <f t="shared" si="72"/>
        <v>12.149999999999999</v>
      </c>
      <c r="Y62" s="371">
        <f t="shared" si="69"/>
        <v>0.13092133790313129</v>
      </c>
      <c r="Z62" s="491">
        <v>11</v>
      </c>
      <c r="AA62" s="491">
        <v>6</v>
      </c>
      <c r="AB62" s="491">
        <v>7</v>
      </c>
      <c r="AC62" s="491">
        <f t="shared" si="70"/>
        <v>209.91865652059826</v>
      </c>
      <c r="AE62" t="s">
        <v>418</v>
      </c>
      <c r="AF62" t="s">
        <v>418</v>
      </c>
      <c r="AI62" s="635">
        <v>0.5</v>
      </c>
      <c r="AJ62" s="635"/>
      <c r="AK62" s="494">
        <v>0.86</v>
      </c>
      <c r="AL62" s="497">
        <v>1108</v>
      </c>
      <c r="AM62" s="88">
        <v>180</v>
      </c>
      <c r="AN62" s="88"/>
      <c r="AO62" s="88"/>
      <c r="AP62" s="88"/>
      <c r="AQ62" s="88"/>
      <c r="AR62" s="425"/>
      <c r="AS62" s="425"/>
      <c r="AT62" s="425"/>
      <c r="AU62" s="425"/>
      <c r="AV62" s="272"/>
      <c r="AW62" s="272" t="s">
        <v>430</v>
      </c>
      <c r="AX62" s="201">
        <v>480</v>
      </c>
      <c r="AY62" s="448"/>
      <c r="AZ62" s="448"/>
      <c r="BA62" s="448"/>
      <c r="BB62" s="449"/>
      <c r="BC62" s="731">
        <f>AVERAGE(40,51,50)</f>
        <v>47</v>
      </c>
      <c r="BD62" s="448">
        <v>40</v>
      </c>
      <c r="BE62" s="323">
        <v>50</v>
      </c>
      <c r="BF62" s="324">
        <f>AVERAGE(0.63,0.86)</f>
        <v>0.745</v>
      </c>
      <c r="BG62" s="448"/>
      <c r="BH62" s="448"/>
      <c r="BI62" s="448"/>
      <c r="BJ62" s="731"/>
      <c r="BK62" s="448"/>
      <c r="BL62" s="448"/>
      <c r="BM62" s="448"/>
      <c r="BN62" s="731"/>
      <c r="BO62" s="448"/>
      <c r="BP62" s="448"/>
      <c r="BQ62" s="833"/>
      <c r="BR62" s="731"/>
      <c r="BS62" s="448"/>
      <c r="BT62" s="448"/>
      <c r="BU62" s="448"/>
      <c r="BV62" s="833"/>
      <c r="BW62" s="1128"/>
      <c r="BX62" s="1113"/>
      <c r="BY62" s="1113"/>
      <c r="BZ62" s="1113"/>
      <c r="CA62" s="1122"/>
      <c r="CB62" s="509">
        <v>5.15</v>
      </c>
      <c r="CC62">
        <v>5.55</v>
      </c>
      <c r="CD62">
        <v>2.64</v>
      </c>
      <c r="CE62"/>
      <c r="CF62" s="425">
        <v>0.5</v>
      </c>
      <c r="CJ62" s="427"/>
      <c r="CL62" s="506">
        <v>99800</v>
      </c>
      <c r="CM62" s="340">
        <f>7*1000/60/60</f>
        <v>1.9444444444444444</v>
      </c>
      <c r="CN62" s="506">
        <f>45/2</f>
        <v>22.5</v>
      </c>
      <c r="CO62" s="290">
        <v>0.61</v>
      </c>
      <c r="CP62" s="506">
        <v>15</v>
      </c>
      <c r="CQ62" s="376">
        <f t="shared" si="39"/>
        <v>28.5825</v>
      </c>
      <c r="CR62" s="426" t="s">
        <v>438</v>
      </c>
      <c r="CS62" s="119">
        <f>12.7*2</f>
        <v>25.4</v>
      </c>
      <c r="CT62" s="119" t="s">
        <v>518</v>
      </c>
      <c r="CU62" s="119">
        <v>175</v>
      </c>
      <c r="CV62" s="506"/>
      <c r="CW62" s="427"/>
      <c r="CY62" s="506" t="s">
        <v>572</v>
      </c>
      <c r="CZ62" s="339"/>
      <c r="DA62" s="506"/>
      <c r="DB62" s="340">
        <f t="shared" si="73"/>
        <v>44.346000000000004</v>
      </c>
      <c r="DC62" s="506"/>
      <c r="DD62" s="425" t="s">
        <v>423</v>
      </c>
      <c r="DE62" s="506">
        <v>220</v>
      </c>
      <c r="DI62" s="427"/>
      <c r="DJ62" s="506" t="s">
        <v>573</v>
      </c>
      <c r="DK62" s="129" t="s">
        <v>572</v>
      </c>
      <c r="DL62" s="339"/>
      <c r="DM62" s="506"/>
      <c r="DN62" s="506"/>
      <c r="DO62" s="506">
        <f>CB62*CC62</f>
        <v>28.5825</v>
      </c>
      <c r="DP62" s="430">
        <f>DO62</f>
        <v>28.5825</v>
      </c>
      <c r="DQ62" s="506" t="s">
        <v>438</v>
      </c>
      <c r="DR62" s="506">
        <v>12.7</v>
      </c>
      <c r="DS62" s="506" t="s">
        <v>479</v>
      </c>
      <c r="DT62" s="506">
        <v>200</v>
      </c>
      <c r="DU62" s="506" t="s">
        <v>480</v>
      </c>
      <c r="DV62" s="427">
        <v>100</v>
      </c>
      <c r="DW62" s="506"/>
      <c r="DX62" s="129"/>
      <c r="DY62" s="339"/>
      <c r="EB62" s="427"/>
      <c r="EC62" s="506"/>
      <c r="EE62" s="506"/>
      <c r="EF62" s="339"/>
      <c r="EG62" s="506"/>
      <c r="EH62" s="506"/>
      <c r="EI62" s="506"/>
      <c r="EJ62" s="506"/>
      <c r="EK62" s="506"/>
      <c r="EL62" s="698"/>
      <c r="EM62" s="427"/>
      <c r="EN62" s="506"/>
      <c r="EO62" s="506"/>
      <c r="EP62" s="506"/>
      <c r="EQ62" s="339"/>
      <c r="ER62" s="506"/>
      <c r="ES62" s="506"/>
      <c r="ET62" s="506"/>
      <c r="EU62" s="506"/>
      <c r="EV62" s="506"/>
      <c r="EW62" s="698"/>
      <c r="EY62" s="21">
        <v>4</v>
      </c>
      <c r="EZ62" s="506">
        <v>2.15</v>
      </c>
      <c r="FA62" s="506">
        <v>1.5</v>
      </c>
      <c r="FB62" s="506">
        <v>0.7</v>
      </c>
      <c r="FC62" s="506">
        <v>0.4</v>
      </c>
      <c r="FD62" s="506">
        <f t="shared" si="60"/>
        <v>3.2249999999999996</v>
      </c>
      <c r="FE62" s="506"/>
      <c r="FF62" s="506"/>
      <c r="FG62" s="427" t="s">
        <v>428</v>
      </c>
      <c r="FH62" s="425">
        <v>1.45</v>
      </c>
      <c r="FI62" s="506">
        <v>1.5</v>
      </c>
      <c r="FJ62" s="506">
        <v>0.7</v>
      </c>
      <c r="FK62" s="506">
        <v>3.1</v>
      </c>
      <c r="FL62" s="506">
        <f t="shared" si="74"/>
        <v>2.1749999999999998</v>
      </c>
      <c r="FM62" s="506"/>
      <c r="FN62" s="506"/>
      <c r="FO62" s="427" t="s">
        <v>428</v>
      </c>
      <c r="FP62" s="425">
        <v>2.25</v>
      </c>
      <c r="FQ62" s="506">
        <v>1.5</v>
      </c>
      <c r="FR62" s="506">
        <v>0.7</v>
      </c>
      <c r="FS62" s="506">
        <v>0.5</v>
      </c>
      <c r="FT62" s="506">
        <f>FP62*FQ62</f>
        <v>3.375</v>
      </c>
      <c r="FU62" s="506"/>
      <c r="FV62" s="506"/>
      <c r="FW62" s="427" t="s">
        <v>537</v>
      </c>
      <c r="FX62" s="425">
        <v>2.25</v>
      </c>
      <c r="FY62" s="506">
        <v>1.5</v>
      </c>
      <c r="FZ62" s="506">
        <v>0.7</v>
      </c>
      <c r="GA62" s="506">
        <v>0.5</v>
      </c>
      <c r="GB62" s="506">
        <f>FX62*FY62</f>
        <v>3.375</v>
      </c>
      <c r="GC62" s="506"/>
      <c r="GD62" s="506"/>
      <c r="GE62" s="427" t="s">
        <v>553</v>
      </c>
      <c r="GU62" s="510"/>
      <c r="HC62" s="510"/>
      <c r="HK62" s="510"/>
      <c r="HS62" s="510"/>
      <c r="IA62" s="510"/>
      <c r="II62" s="510"/>
    </row>
    <row r="63" spans="1:244">
      <c r="A63" s="1162"/>
      <c r="B63" s="1136"/>
      <c r="C63" s="51">
        <v>3</v>
      </c>
      <c r="D63" s="503" t="str">
        <f t="shared" si="75"/>
        <v>AdivBois_3</v>
      </c>
      <c r="E63" s="537">
        <v>795</v>
      </c>
      <c r="F63" s="1139"/>
      <c r="G63" s="1147"/>
      <c r="H63" s="24">
        <f t="shared" si="65"/>
        <v>28.5825</v>
      </c>
      <c r="I63" s="24">
        <f t="shared" si="66"/>
        <v>113.661</v>
      </c>
      <c r="J63" s="4">
        <f t="shared" si="67"/>
        <v>0.21908438250587275</v>
      </c>
      <c r="K63" s="36" t="s">
        <v>468</v>
      </c>
      <c r="L63" s="4">
        <f t="shared" si="56"/>
        <v>0.4407630628717078</v>
      </c>
      <c r="M63" s="4">
        <f t="shared" si="57"/>
        <v>0.56152415099445274</v>
      </c>
      <c r="N63" s="4">
        <f t="shared" si="68"/>
        <v>0.87120965625820013</v>
      </c>
      <c r="O63" s="175">
        <f>DC63/(2*(CB63+CC63)*CD63-X62)</f>
        <v>0</v>
      </c>
      <c r="P63" s="176">
        <f>DP63/H63</f>
        <v>0</v>
      </c>
      <c r="Q63" s="176">
        <f>EB63/H63</f>
        <v>0</v>
      </c>
      <c r="R63" s="176">
        <f>EM63/(EH63*2*(EI63+EJ63))</f>
        <v>0.7578013921670318</v>
      </c>
      <c r="S63" s="251">
        <f>EX63/(ES63*2*(ET63+EU63))</f>
        <v>1</v>
      </c>
      <c r="T63" s="679"/>
      <c r="U63" s="585"/>
      <c r="V63" s="681" t="s">
        <v>417</v>
      </c>
      <c r="W63" s="22">
        <f t="shared" si="71"/>
        <v>1.5000000000000002</v>
      </c>
      <c r="X63" s="473">
        <f t="shared" si="72"/>
        <v>12.149999999999999</v>
      </c>
      <c r="Y63" s="371">
        <f t="shared" si="69"/>
        <v>0.13092133790313129</v>
      </c>
      <c r="Z63" s="491">
        <v>8</v>
      </c>
      <c r="AA63" s="491">
        <v>5</v>
      </c>
      <c r="AB63" s="491">
        <v>5</v>
      </c>
      <c r="AC63" s="491">
        <f t="shared" si="70"/>
        <v>174.93221376716522</v>
      </c>
      <c r="AE63" s="501"/>
      <c r="AF63" t="s">
        <v>418</v>
      </c>
      <c r="AI63" s="635">
        <v>0.5</v>
      </c>
      <c r="AJ63" s="635"/>
      <c r="AK63" s="494">
        <v>0.7</v>
      </c>
      <c r="AL63" s="497">
        <v>1040</v>
      </c>
      <c r="AM63" s="88">
        <v>180</v>
      </c>
      <c r="AN63" s="88"/>
      <c r="AO63" s="88"/>
      <c r="AP63" s="88"/>
      <c r="AQ63" s="88"/>
      <c r="AR63" s="425"/>
      <c r="AS63" s="425"/>
      <c r="AT63" s="425"/>
      <c r="AU63" s="425"/>
      <c r="AV63" s="272"/>
      <c r="AW63" s="272" t="s">
        <v>430</v>
      </c>
      <c r="AX63" s="201">
        <v>480</v>
      </c>
      <c r="AY63" s="54"/>
      <c r="AZ63" s="54"/>
      <c r="BA63" s="54"/>
      <c r="BB63" s="117"/>
      <c r="BC63" s="49"/>
      <c r="BD63" s="54"/>
      <c r="BE63" s="313"/>
      <c r="BF63" s="233"/>
      <c r="BG63" s="54"/>
      <c r="BH63" s="54"/>
      <c r="BI63" s="54"/>
      <c r="BJ63" s="49">
        <f>AVERAGE('Char measurement'!R28:T43)</f>
        <v>54.6875</v>
      </c>
      <c r="BK63" s="54">
        <f>MIN('Char measurement'!R28:T43)</f>
        <v>32.5</v>
      </c>
      <c r="BL63" s="54">
        <f>MAX('Char measurement'!R28:T43)</f>
        <v>95</v>
      </c>
      <c r="BM63" s="117">
        <f>AVERAGE(0.56,1.22)</f>
        <v>0.89</v>
      </c>
      <c r="BN63" s="49">
        <f>AVERAGE('Char measurement'!V28:W29)</f>
        <v>42.6875</v>
      </c>
      <c r="BO63" s="54">
        <f>MIN('Char measurement'!V28:W29)</f>
        <v>27</v>
      </c>
      <c r="BP63" s="54">
        <f>MAX('Char measurement'!V28:W29)</f>
        <v>57.5</v>
      </c>
      <c r="BQ63" s="117">
        <f>AVERAGE(0.8,1.28)</f>
        <v>1.04</v>
      </c>
      <c r="BR63" s="49"/>
      <c r="BS63" s="54"/>
      <c r="BT63" s="54"/>
      <c r="BU63" s="54"/>
      <c r="BV63" s="117"/>
      <c r="BW63" s="1128"/>
      <c r="BX63" s="1113"/>
      <c r="BY63" s="1113"/>
      <c r="BZ63" s="1113"/>
      <c r="CA63" s="1122"/>
      <c r="CB63" s="509">
        <v>5.15</v>
      </c>
      <c r="CC63">
        <v>5.55</v>
      </c>
      <c r="CD63">
        <v>2.64</v>
      </c>
      <c r="CE63"/>
      <c r="CF63" s="425">
        <v>0.5</v>
      </c>
      <c r="CJ63" s="427"/>
      <c r="CL63" s="506">
        <v>102200</v>
      </c>
      <c r="CM63" s="340">
        <f>3*1000/60/60</f>
        <v>0.83333333333333337</v>
      </c>
      <c r="CN63" s="506">
        <f>360-22.5</f>
        <v>337.5</v>
      </c>
      <c r="CO63" s="290">
        <v>0.89</v>
      </c>
      <c r="CP63" s="506">
        <v>17</v>
      </c>
      <c r="CQ63" s="376">
        <f t="shared" si="39"/>
        <v>24.901350000000004</v>
      </c>
      <c r="CR63" s="426" t="s">
        <v>438</v>
      </c>
      <c r="CS63" s="119">
        <f>12.7*2</f>
        <v>25.4</v>
      </c>
      <c r="CT63" s="119" t="s">
        <v>518</v>
      </c>
      <c r="CU63" s="119">
        <v>175</v>
      </c>
      <c r="CV63" s="506"/>
      <c r="CW63" s="427"/>
      <c r="CY63" s="506"/>
      <c r="CZ63" s="339"/>
      <c r="DA63" s="506"/>
      <c r="DB63" s="340">
        <f t="shared" si="73"/>
        <v>44.346000000000004</v>
      </c>
      <c r="DC63" s="506"/>
      <c r="DD63" s="425" t="s">
        <v>479</v>
      </c>
      <c r="DE63" s="506">
        <v>50</v>
      </c>
      <c r="DF63" s="506" t="s">
        <v>518</v>
      </c>
      <c r="DG63" s="506">
        <v>225</v>
      </c>
      <c r="DI63" s="427"/>
      <c r="DJ63" s="506"/>
      <c r="DK63" s="129"/>
      <c r="DL63" s="339"/>
      <c r="DM63" s="506"/>
      <c r="DN63" s="506"/>
      <c r="DO63" s="506"/>
      <c r="DP63" s="430"/>
      <c r="DQ63" s="506" t="s">
        <v>438</v>
      </c>
      <c r="DR63" s="506">
        <v>12.7</v>
      </c>
      <c r="DS63" s="506" t="s">
        <v>479</v>
      </c>
      <c r="DT63" s="506">
        <v>200</v>
      </c>
      <c r="DU63" s="506" t="s">
        <v>480</v>
      </c>
      <c r="DV63" s="427">
        <v>100</v>
      </c>
      <c r="DW63" s="506"/>
      <c r="DX63" s="129"/>
      <c r="DY63" s="339"/>
      <c r="EB63" s="427"/>
      <c r="EC63" s="506">
        <v>9</v>
      </c>
      <c r="ED63" s="506" t="s">
        <v>529</v>
      </c>
      <c r="EE63" s="506"/>
      <c r="EF63" s="339"/>
      <c r="EG63" s="506"/>
      <c r="EH63" s="506">
        <f>CC63*4+CB63-EI63*4</f>
        <v>26.490000000000002</v>
      </c>
      <c r="EI63" s="506">
        <v>0.215</v>
      </c>
      <c r="EJ63" s="506">
        <v>0.32</v>
      </c>
      <c r="EK63" s="506"/>
      <c r="EL63" s="698" t="s">
        <v>471</v>
      </c>
      <c r="EM63" s="427">
        <f>(EH63-ET63)*EI63+2*(EH63-8*EI63)*EJ63</f>
        <v>21.479350000000004</v>
      </c>
      <c r="EN63" s="506">
        <v>1</v>
      </c>
      <c r="EO63" s="506"/>
      <c r="EP63" s="506"/>
      <c r="EQ63" s="339"/>
      <c r="ER63" s="506"/>
      <c r="ES63" s="506">
        <v>2.36</v>
      </c>
      <c r="ET63" s="506">
        <v>0.32</v>
      </c>
      <c r="EU63" s="506">
        <v>0.40500000000000003</v>
      </c>
      <c r="EV63" s="506"/>
      <c r="EW63" s="698">
        <v>4</v>
      </c>
      <c r="EX63" s="506">
        <f>2*(ET63+EU63)*ES63</f>
        <v>3.4220000000000002</v>
      </c>
      <c r="EY63" s="21">
        <v>4</v>
      </c>
      <c r="EZ63" s="506">
        <v>2.15</v>
      </c>
      <c r="FA63" s="506">
        <v>1.5</v>
      </c>
      <c r="FB63" s="506">
        <v>0.7</v>
      </c>
      <c r="FC63" s="506">
        <v>0.4</v>
      </c>
      <c r="FD63" s="506">
        <f t="shared" si="60"/>
        <v>3.2249999999999996</v>
      </c>
      <c r="FE63" s="506"/>
      <c r="FF63" s="506"/>
      <c r="FG63" s="427" t="s">
        <v>428</v>
      </c>
      <c r="FH63" s="425">
        <v>1.45</v>
      </c>
      <c r="FI63" s="506">
        <v>1.5</v>
      </c>
      <c r="FJ63" s="506">
        <v>0.7</v>
      </c>
      <c r="FK63" s="506">
        <v>3.1</v>
      </c>
      <c r="FL63" s="506">
        <f t="shared" si="74"/>
        <v>2.1749999999999998</v>
      </c>
      <c r="FM63" s="506"/>
      <c r="FN63" s="506"/>
      <c r="FO63" s="427" t="s">
        <v>428</v>
      </c>
      <c r="FP63" s="425">
        <v>2.25</v>
      </c>
      <c r="FQ63" s="506">
        <v>1.5</v>
      </c>
      <c r="FR63" s="506">
        <v>0.7</v>
      </c>
      <c r="FS63" s="506">
        <v>0.5</v>
      </c>
      <c r="FT63" s="506">
        <f>FP63*FQ63</f>
        <v>3.375</v>
      </c>
      <c r="FU63" s="506"/>
      <c r="FV63" s="506"/>
      <c r="FW63" s="427" t="s">
        <v>537</v>
      </c>
      <c r="FX63" s="425">
        <v>2.25</v>
      </c>
      <c r="FY63" s="506">
        <v>1.5</v>
      </c>
      <c r="FZ63" s="506">
        <v>0.7</v>
      </c>
      <c r="GA63" s="506">
        <v>0.5</v>
      </c>
      <c r="GB63" s="506">
        <f>FX63*FY63</f>
        <v>3.375</v>
      </c>
      <c r="GC63" s="506"/>
      <c r="GD63" s="506"/>
      <c r="GE63" s="427" t="s">
        <v>553</v>
      </c>
      <c r="GU63" s="510"/>
      <c r="HC63" s="510"/>
      <c r="HK63" s="510"/>
      <c r="HS63" s="510"/>
      <c r="IA63" s="510"/>
      <c r="II63" s="510"/>
    </row>
    <row r="64" spans="1:244" s="512" customFormat="1" ht="15" customHeight="1" thickBot="1">
      <c r="A64" s="1163"/>
      <c r="B64" s="1137"/>
      <c r="C64" s="6">
        <v>4</v>
      </c>
      <c r="D64" s="25" t="str">
        <f t="shared" si="75"/>
        <v>AdivBois_4</v>
      </c>
      <c r="E64" s="26">
        <v>822</v>
      </c>
      <c r="F64" s="1139"/>
      <c r="G64" s="1147"/>
      <c r="H64" s="27">
        <f t="shared" si="65"/>
        <v>28.5825</v>
      </c>
      <c r="I64" s="27">
        <f t="shared" si="66"/>
        <v>113.661</v>
      </c>
      <c r="J64" s="19">
        <f t="shared" si="67"/>
        <v>0.25147148098292288</v>
      </c>
      <c r="K64" s="37" t="s">
        <v>457</v>
      </c>
      <c r="L64" s="19">
        <f t="shared" si="56"/>
        <v>0.5059207731520815</v>
      </c>
      <c r="M64" s="19">
        <f t="shared" si="57"/>
        <v>0.64453389257204707</v>
      </c>
      <c r="N64" s="19">
        <f t="shared" si="68"/>
        <v>1</v>
      </c>
      <c r="O64" s="133">
        <f>DC64/(2*(CB64+CC64)*CD64-X63)</f>
        <v>0</v>
      </c>
      <c r="P64" s="132">
        <f>DP64/H64</f>
        <v>1</v>
      </c>
      <c r="Q64" s="132">
        <f>EB64/H64</f>
        <v>0</v>
      </c>
      <c r="R64" s="132"/>
      <c r="S64" s="445"/>
      <c r="T64" s="680"/>
      <c r="U64" s="286"/>
      <c r="V64" s="687" t="s">
        <v>417</v>
      </c>
      <c r="W64" s="27">
        <f t="shared" si="71"/>
        <v>1.5000000000000002</v>
      </c>
      <c r="X64" s="981">
        <f t="shared" si="72"/>
        <v>12.149999999999999</v>
      </c>
      <c r="Y64" s="374">
        <f t="shared" si="69"/>
        <v>0.13092133790313129</v>
      </c>
      <c r="Z64" s="144">
        <v>13</v>
      </c>
      <c r="AA64" s="144">
        <v>7</v>
      </c>
      <c r="AB64" s="144">
        <v>9</v>
      </c>
      <c r="AC64" s="144">
        <f t="shared" si="70"/>
        <v>244.9050992740313</v>
      </c>
      <c r="AD64" s="144"/>
      <c r="AE64" s="512" t="s">
        <v>418</v>
      </c>
      <c r="AF64" s="512" t="s">
        <v>418</v>
      </c>
      <c r="AI64" s="949">
        <v>0.5</v>
      </c>
      <c r="AJ64" s="949"/>
      <c r="AK64" s="479"/>
      <c r="AL64" s="499">
        <v>1040</v>
      </c>
      <c r="AM64" s="89">
        <v>180</v>
      </c>
      <c r="AN64" s="89"/>
      <c r="AO64" s="89"/>
      <c r="AP64" s="89"/>
      <c r="AQ64" s="89"/>
      <c r="AR64" s="25"/>
      <c r="AS64" s="25"/>
      <c r="AT64" s="25"/>
      <c r="AU64" s="25"/>
      <c r="AV64" s="6">
        <v>45</v>
      </c>
      <c r="AW64" s="270" t="s">
        <v>430</v>
      </c>
      <c r="AX64" s="194">
        <v>480</v>
      </c>
      <c r="AY64" s="20"/>
      <c r="AZ64" s="20"/>
      <c r="BA64" s="20"/>
      <c r="BB64" s="29"/>
      <c r="BC64" s="58">
        <f>AVERAGE(90,90,102)</f>
        <v>94</v>
      </c>
      <c r="BD64" s="20">
        <v>90</v>
      </c>
      <c r="BE64" s="460">
        <v>102</v>
      </c>
      <c r="BF64" s="461">
        <f>AVERAGE(0.65,2.53)</f>
        <v>1.5899999999999999</v>
      </c>
      <c r="BG64" s="20"/>
      <c r="BH64" s="20"/>
      <c r="BI64" s="20"/>
      <c r="BJ64" s="58"/>
      <c r="BK64" s="20"/>
      <c r="BL64" s="20"/>
      <c r="BM64" s="20"/>
      <c r="BN64" s="58"/>
      <c r="BO64" s="20"/>
      <c r="BP64" s="20"/>
      <c r="BQ64" s="839"/>
      <c r="BR64" s="58"/>
      <c r="BS64" s="20"/>
      <c r="BT64" s="20"/>
      <c r="BU64" s="20"/>
      <c r="BV64" s="839"/>
      <c r="BW64" s="1129"/>
      <c r="BX64" s="1130"/>
      <c r="BY64" s="1130"/>
      <c r="BZ64" s="1130"/>
      <c r="CA64" s="1131"/>
      <c r="CB64" s="511">
        <v>5.15</v>
      </c>
      <c r="CC64" s="512">
        <v>5.55</v>
      </c>
      <c r="CD64" s="512">
        <v>2.64</v>
      </c>
      <c r="CF64" s="25">
        <v>0.5</v>
      </c>
      <c r="CG64" s="109"/>
      <c r="CH64" s="109"/>
      <c r="CI64" s="109"/>
      <c r="CJ64" s="428"/>
      <c r="CL64" s="109">
        <v>102200</v>
      </c>
      <c r="CM64" s="360">
        <f>10*1000/60/60</f>
        <v>2.7777777777777777</v>
      </c>
      <c r="CN64" s="109">
        <v>0</v>
      </c>
      <c r="CO64" s="289">
        <v>0.56999999999999995</v>
      </c>
      <c r="CP64" s="109">
        <v>14</v>
      </c>
      <c r="CQ64" s="379">
        <f t="shared" si="39"/>
        <v>28.5825</v>
      </c>
      <c r="CR64" s="164" t="s">
        <v>438</v>
      </c>
      <c r="CS64" s="136">
        <f>12.7*2</f>
        <v>25.4</v>
      </c>
      <c r="CT64" s="136" t="s">
        <v>518</v>
      </c>
      <c r="CU64" s="136">
        <v>175</v>
      </c>
      <c r="CV64" s="109"/>
      <c r="CW64" s="428"/>
      <c r="CX64" s="109"/>
      <c r="CY64" s="109" t="s">
        <v>574</v>
      </c>
      <c r="CZ64" s="359"/>
      <c r="DA64" s="109"/>
      <c r="DB64" s="360">
        <f t="shared" si="73"/>
        <v>44.346000000000004</v>
      </c>
      <c r="DC64" s="109"/>
      <c r="DD64" s="25" t="s">
        <v>423</v>
      </c>
      <c r="DE64" s="109">
        <v>200</v>
      </c>
      <c r="DF64" s="109"/>
      <c r="DG64" s="109"/>
      <c r="DH64" s="109"/>
      <c r="DI64" s="428"/>
      <c r="DJ64" s="109" t="s">
        <v>575</v>
      </c>
      <c r="DK64" s="109" t="s">
        <v>576</v>
      </c>
      <c r="DL64" s="359"/>
      <c r="DM64" s="109"/>
      <c r="DN64" s="109"/>
      <c r="DO64" s="109">
        <f t="shared" ref="DO64:DO78" si="76">CB64*CC64</f>
        <v>28.5825</v>
      </c>
      <c r="DP64" s="522">
        <f>DO64</f>
        <v>28.5825</v>
      </c>
      <c r="DQ64" s="109" t="s">
        <v>438</v>
      </c>
      <c r="DR64" s="109">
        <v>12.7</v>
      </c>
      <c r="DS64" s="109" t="s">
        <v>479</v>
      </c>
      <c r="DT64" s="109">
        <v>200</v>
      </c>
      <c r="DU64" s="109" t="s">
        <v>480</v>
      </c>
      <c r="DV64" s="428">
        <v>100</v>
      </c>
      <c r="DW64" s="109"/>
      <c r="DX64" s="130"/>
      <c r="DY64" s="359"/>
      <c r="DZ64" s="109"/>
      <c r="EA64" s="109"/>
      <c r="EB64" s="428"/>
      <c r="EC64" s="109"/>
      <c r="ED64" s="109"/>
      <c r="EE64" s="109"/>
      <c r="EF64" s="359"/>
      <c r="EG64" s="109"/>
      <c r="EH64" s="109"/>
      <c r="EI64" s="109"/>
      <c r="EJ64" s="109"/>
      <c r="EK64" s="109"/>
      <c r="EL64" s="699"/>
      <c r="EM64" s="428"/>
      <c r="EN64" s="109"/>
      <c r="EO64" s="109"/>
      <c r="EP64" s="109"/>
      <c r="EQ64" s="359"/>
      <c r="ER64" s="109"/>
      <c r="ES64" s="109"/>
      <c r="ET64" s="109"/>
      <c r="EU64" s="109"/>
      <c r="EV64" s="109"/>
      <c r="EW64" s="699"/>
      <c r="EX64" s="109"/>
      <c r="EY64" s="26">
        <v>4</v>
      </c>
      <c r="EZ64" s="109">
        <v>2.15</v>
      </c>
      <c r="FA64" s="109">
        <v>1.5</v>
      </c>
      <c r="FB64" s="109">
        <v>0.7</v>
      </c>
      <c r="FC64" s="109">
        <v>0.4</v>
      </c>
      <c r="FD64" s="109">
        <f t="shared" si="60"/>
        <v>3.2249999999999996</v>
      </c>
      <c r="FE64" s="109"/>
      <c r="FF64" s="109"/>
      <c r="FG64" s="428" t="s">
        <v>428</v>
      </c>
      <c r="FH64" s="25">
        <v>1.45</v>
      </c>
      <c r="FI64" s="109">
        <v>1.5</v>
      </c>
      <c r="FJ64" s="109">
        <v>0.7</v>
      </c>
      <c r="FK64" s="109">
        <v>3.1</v>
      </c>
      <c r="FL64" s="109">
        <f t="shared" si="74"/>
        <v>2.1749999999999998</v>
      </c>
      <c r="FM64" s="109"/>
      <c r="FN64" s="109"/>
      <c r="FO64" s="428" t="s">
        <v>428</v>
      </c>
      <c r="FP64" s="25">
        <v>2.25</v>
      </c>
      <c r="FQ64" s="109">
        <v>1.5</v>
      </c>
      <c r="FR64" s="109">
        <v>0.7</v>
      </c>
      <c r="FS64" s="109">
        <v>0.5</v>
      </c>
      <c r="FT64" s="109">
        <f>FP64*FQ64</f>
        <v>3.375</v>
      </c>
      <c r="FU64" s="109"/>
      <c r="FV64" s="109"/>
      <c r="FW64" s="428" t="s">
        <v>537</v>
      </c>
      <c r="FX64" s="25">
        <v>2.25</v>
      </c>
      <c r="FY64" s="109">
        <v>1.5</v>
      </c>
      <c r="FZ64" s="109">
        <v>0.7</v>
      </c>
      <c r="GA64" s="109">
        <v>0.5</v>
      </c>
      <c r="GB64" s="109">
        <f>FX64*FY64</f>
        <v>3.375</v>
      </c>
      <c r="GC64" s="109"/>
      <c r="GD64" s="109"/>
      <c r="GE64" s="428" t="s">
        <v>553</v>
      </c>
      <c r="GU64" s="513"/>
      <c r="HC64" s="513"/>
      <c r="HK64" s="513"/>
      <c r="HS64" s="513"/>
      <c r="IA64" s="513"/>
      <c r="II64" s="513"/>
    </row>
    <row r="65" spans="1:243" ht="15.75" customHeight="1" thickBot="1">
      <c r="A65" s="1182" t="s">
        <v>577</v>
      </c>
      <c r="B65" s="1184" t="s">
        <v>578</v>
      </c>
      <c r="C65" s="51">
        <v>0</v>
      </c>
      <c r="D65" s="425" t="str">
        <f>CONCATENATE($B$65,"_",C65)</f>
        <v>TIMPuls_0</v>
      </c>
      <c r="E65" s="21">
        <v>1085</v>
      </c>
      <c r="F65" s="1185" t="s">
        <v>464</v>
      </c>
      <c r="G65" s="1173">
        <v>17.28</v>
      </c>
      <c r="H65" s="22">
        <f t="shared" si="65"/>
        <v>20.25</v>
      </c>
      <c r="I65" s="22">
        <f t="shared" si="66"/>
        <v>83.699999999999989</v>
      </c>
      <c r="J65" s="2">
        <f t="shared" si="67"/>
        <v>0</v>
      </c>
      <c r="K65" s="946">
        <v>0</v>
      </c>
      <c r="L65" s="2">
        <f t="shared" si="56"/>
        <v>0</v>
      </c>
      <c r="M65" s="2">
        <f t="shared" si="57"/>
        <v>0</v>
      </c>
      <c r="N65" s="2">
        <f t="shared" si="68"/>
        <v>0</v>
      </c>
      <c r="O65" s="133"/>
      <c r="P65" s="132"/>
      <c r="Q65" s="132"/>
      <c r="R65" s="131"/>
      <c r="S65" s="437"/>
      <c r="T65" s="679"/>
      <c r="U65" s="947">
        <f>CQ65/(I65-H65-X65)</f>
        <v>0</v>
      </c>
      <c r="V65" s="681" t="s">
        <v>417</v>
      </c>
      <c r="W65" s="22">
        <f t="shared" si="71"/>
        <v>2.2000000000000002</v>
      </c>
      <c r="X65" s="473">
        <f t="shared" si="72"/>
        <v>5.28</v>
      </c>
      <c r="Y65" s="371">
        <f t="shared" si="69"/>
        <v>9.3566375177694408E-2</v>
      </c>
      <c r="AA65" s="491">
        <v>10</v>
      </c>
      <c r="AE65" t="s">
        <v>579</v>
      </c>
      <c r="AF65" s="1089"/>
      <c r="AG65" s="1089"/>
      <c r="AH65" s="1089"/>
      <c r="AI65" s="934"/>
      <c r="AJ65" s="934"/>
      <c r="AK65" s="1090"/>
      <c r="AL65" s="497"/>
      <c r="AM65" s="88">
        <v>180</v>
      </c>
      <c r="AN65" s="88"/>
      <c r="AO65" s="88" t="s">
        <v>811</v>
      </c>
      <c r="AP65" s="88"/>
      <c r="AQ65" s="88"/>
      <c r="AR65" s="425">
        <v>112</v>
      </c>
      <c r="AS65" s="425">
        <v>112</v>
      </c>
      <c r="AT65" s="806">
        <v>119.2</v>
      </c>
      <c r="AU65" s="425">
        <v>82.8</v>
      </c>
      <c r="AV65" s="2"/>
      <c r="AW65" s="626" t="s">
        <v>484</v>
      </c>
      <c r="AX65" s="198">
        <v>150</v>
      </c>
      <c r="AY65" s="185"/>
      <c r="AZ65" s="185"/>
      <c r="BA65" s="185"/>
      <c r="BB65" s="220"/>
      <c r="BC65" s="191"/>
      <c r="BD65" s="185"/>
      <c r="BE65" s="312"/>
      <c r="BF65" s="232"/>
      <c r="BG65" s="185"/>
      <c r="BH65" s="185"/>
      <c r="BI65" s="185"/>
      <c r="BJ65" s="540"/>
      <c r="BK65" s="541"/>
      <c r="BL65" s="541"/>
      <c r="BM65" s="541"/>
      <c r="BN65" s="540"/>
      <c r="BO65" s="541"/>
      <c r="BP65" s="541"/>
      <c r="BQ65" s="841"/>
      <c r="BR65" s="1091">
        <v>1</v>
      </c>
      <c r="BS65" s="1092" t="s">
        <v>428</v>
      </c>
      <c r="BT65" s="1093" t="s">
        <v>903</v>
      </c>
      <c r="BU65" s="185">
        <v>900</v>
      </c>
      <c r="BV65" s="1087">
        <v>55</v>
      </c>
      <c r="BW65" s="1224"/>
      <c r="BX65" s="1113"/>
      <c r="BY65" s="1113"/>
      <c r="BZ65" s="1113"/>
      <c r="CA65" s="1122"/>
      <c r="CB65" s="509">
        <v>4.5</v>
      </c>
      <c r="CC65">
        <v>4.5</v>
      </c>
      <c r="CD65">
        <v>2.4</v>
      </c>
      <c r="CE65"/>
      <c r="CF65" s="425"/>
      <c r="CJ65" s="427"/>
      <c r="CL65" s="506"/>
      <c r="CM65" s="601"/>
      <c r="CN65" s="506"/>
      <c r="CO65" s="290"/>
      <c r="CQ65" s="376">
        <f t="shared" si="39"/>
        <v>0</v>
      </c>
      <c r="CR65" s="426" t="s">
        <v>493</v>
      </c>
      <c r="CS65" s="119">
        <f>25*2</f>
        <v>50</v>
      </c>
      <c r="CT65" s="119" t="s">
        <v>423</v>
      </c>
      <c r="CU65" s="119">
        <v>100</v>
      </c>
      <c r="CV65" s="506"/>
      <c r="CW65" s="427"/>
      <c r="CX65" s="506" t="s">
        <v>580</v>
      </c>
      <c r="CY65" s="506"/>
      <c r="CZ65" s="339"/>
      <c r="DA65" s="506"/>
      <c r="DB65" s="340">
        <f t="shared" si="73"/>
        <v>37.919999999999995</v>
      </c>
      <c r="DC65" s="506">
        <v>0</v>
      </c>
      <c r="DD65" s="426" t="s">
        <v>493</v>
      </c>
      <c r="DE65" s="119">
        <f>25*2</f>
        <v>50</v>
      </c>
      <c r="DF65" s="931" t="s">
        <v>423</v>
      </c>
      <c r="DG65" s="119">
        <v>180</v>
      </c>
      <c r="DI65" s="427"/>
      <c r="DJ65" s="506"/>
      <c r="DK65" s="129"/>
      <c r="DL65" s="339"/>
      <c r="DM65" s="506"/>
      <c r="DN65" s="506"/>
      <c r="DO65" s="506"/>
      <c r="DP65" s="430">
        <f t="shared" ref="DP65" si="77">DO65</f>
        <v>0</v>
      </c>
      <c r="DQ65" s="506" t="s">
        <v>438</v>
      </c>
      <c r="DR65" s="506">
        <v>12.7</v>
      </c>
      <c r="DS65" s="506" t="s">
        <v>479</v>
      </c>
      <c r="DT65" s="506">
        <v>200</v>
      </c>
      <c r="DU65" s="506" t="s">
        <v>480</v>
      </c>
      <c r="DV65" s="427">
        <v>100</v>
      </c>
      <c r="DW65" s="506"/>
      <c r="DX65" s="129"/>
      <c r="DY65" s="339"/>
      <c r="EB65" s="427"/>
      <c r="EC65" s="506"/>
      <c r="EE65" s="506"/>
      <c r="EF65" s="339"/>
      <c r="EG65" s="506"/>
      <c r="EH65" s="506"/>
      <c r="EI65" s="506"/>
      <c r="EJ65" s="506"/>
      <c r="EK65" s="506"/>
      <c r="EL65" s="698"/>
      <c r="EM65" s="427"/>
      <c r="EN65" s="506"/>
      <c r="EO65" s="506"/>
      <c r="EP65" s="506"/>
      <c r="EQ65" s="339"/>
      <c r="ER65" s="506"/>
      <c r="ES65" s="506"/>
      <c r="ET65" s="506"/>
      <c r="EU65" s="506"/>
      <c r="EV65" s="506"/>
      <c r="EW65" s="698"/>
      <c r="EY65" s="21">
        <v>1</v>
      </c>
      <c r="EZ65" s="506">
        <v>2.4</v>
      </c>
      <c r="FA65" s="506">
        <v>2.2000000000000002</v>
      </c>
      <c r="FB65" s="506">
        <v>0</v>
      </c>
      <c r="FC65" s="506">
        <f>(CB65-EZ65)/2</f>
        <v>1.05</v>
      </c>
      <c r="FD65" s="506">
        <f t="shared" si="60"/>
        <v>5.28</v>
      </c>
      <c r="FE65" s="506"/>
      <c r="FF65" s="506"/>
      <c r="FG65" s="427" t="s">
        <v>428</v>
      </c>
      <c r="FH65" s="425"/>
      <c r="FI65" s="506"/>
      <c r="FJ65" s="506"/>
      <c r="FK65" s="506"/>
      <c r="FL65" s="506"/>
      <c r="FM65" s="506"/>
      <c r="FN65" s="506"/>
      <c r="FO65" s="427"/>
      <c r="FP65" s="425"/>
      <c r="FQ65" s="506"/>
      <c r="FR65" s="506"/>
      <c r="FS65" s="506"/>
      <c r="FT65" s="506"/>
      <c r="FU65" s="506"/>
      <c r="FV65" s="506"/>
      <c r="FW65" s="427"/>
      <c r="FX65" s="425"/>
      <c r="FY65" s="506"/>
      <c r="FZ65" s="506"/>
      <c r="GA65" s="506"/>
      <c r="GB65" s="506"/>
      <c r="GC65" s="506"/>
      <c r="GD65" s="506"/>
      <c r="GE65" s="427"/>
      <c r="GU65" s="510"/>
      <c r="HC65" s="510"/>
      <c r="HK65" s="510"/>
      <c r="HS65" s="510"/>
      <c r="IA65" s="510"/>
      <c r="II65" s="510"/>
    </row>
    <row r="66" spans="1:243">
      <c r="A66" s="1182"/>
      <c r="B66" s="1142"/>
      <c r="C66" s="51">
        <v>1</v>
      </c>
      <c r="D66" s="725" t="str">
        <f t="shared" ref="D66:D69" si="78">CONCATENATE($B$65,"_",C66)</f>
        <v>TIMPuls_1</v>
      </c>
      <c r="E66" s="23">
        <v>1085</v>
      </c>
      <c r="F66" s="1139"/>
      <c r="G66" s="1147"/>
      <c r="H66" s="478">
        <f t="shared" si="65"/>
        <v>20.25</v>
      </c>
      <c r="I66" s="478">
        <f t="shared" si="66"/>
        <v>83.699999999999989</v>
      </c>
      <c r="J66" s="715">
        <f t="shared" si="67"/>
        <v>0.24193548387096778</v>
      </c>
      <c r="K66" s="716" t="s">
        <v>443</v>
      </c>
      <c r="L66" s="715">
        <f t="shared" si="56"/>
        <v>0.46875000000000006</v>
      </c>
      <c r="M66" s="715">
        <f t="shared" si="57"/>
        <v>0.53401898734177222</v>
      </c>
      <c r="N66" s="715">
        <f t="shared" si="68"/>
        <v>1</v>
      </c>
      <c r="O66" s="932">
        <f>DC66/(2*(CB66+CC66)*CD66-X65)</f>
        <v>0</v>
      </c>
      <c r="P66" s="474">
        <f t="shared" ref="P66:P80" si="79">DP66/H66</f>
        <v>1</v>
      </c>
      <c r="Q66" s="474">
        <f t="shared" ref="Q66:Q80" si="80">EB66/H66</f>
        <v>0</v>
      </c>
      <c r="R66" s="474"/>
      <c r="S66" s="328"/>
      <c r="T66" s="679"/>
      <c r="U66" s="947">
        <f>CQ66/(I66-H66-X66)</f>
        <v>0.3481175863847345</v>
      </c>
      <c r="V66" s="681" t="s">
        <v>417</v>
      </c>
      <c r="W66" s="583">
        <f t="shared" si="71"/>
        <v>2.2000000000000002</v>
      </c>
      <c r="X66" s="167">
        <f t="shared" si="72"/>
        <v>5.28</v>
      </c>
      <c r="Y66" s="363">
        <f t="shared" ref="Y66:Y69" si="81">X66*SQRT(W66)/I66</f>
        <v>9.3566375177694408E-2</v>
      </c>
      <c r="AA66" s="491">
        <v>8</v>
      </c>
      <c r="AB66" s="491">
        <v>8</v>
      </c>
      <c r="AE66" t="s">
        <v>579</v>
      </c>
      <c r="AF66"/>
      <c r="AI66" s="635"/>
      <c r="AJ66" s="635"/>
      <c r="AK66" s="427"/>
      <c r="AL66" s="497"/>
      <c r="AM66" s="88">
        <v>180</v>
      </c>
      <c r="AN66" s="88"/>
      <c r="AO66" s="88" t="s">
        <v>581</v>
      </c>
      <c r="AP66" s="819">
        <v>37</v>
      </c>
      <c r="AQ66" s="88"/>
      <c r="AR66" s="425">
        <v>36.4</v>
      </c>
      <c r="AS66" s="425"/>
      <c r="AT66" s="818">
        <v>63.6</v>
      </c>
      <c r="AU66" s="425"/>
      <c r="AV66" s="51" t="s">
        <v>1057</v>
      </c>
      <c r="AW66" s="51" t="s">
        <v>417</v>
      </c>
      <c r="AX66" s="200">
        <v>93</v>
      </c>
      <c r="AY66" s="611">
        <v>35</v>
      </c>
      <c r="AZ66" s="448"/>
      <c r="BA66" s="448"/>
      <c r="BB66" s="449"/>
      <c r="BC66" s="731">
        <v>80</v>
      </c>
      <c r="BD66" s="448"/>
      <c r="BE66" s="323"/>
      <c r="BF66" s="324"/>
      <c r="BG66" s="448"/>
      <c r="BH66" s="448"/>
      <c r="BI66" s="448"/>
      <c r="BJ66" s="731"/>
      <c r="BK66" s="448"/>
      <c r="BL66" s="448"/>
      <c r="BM66" s="448"/>
      <c r="BN66" s="731"/>
      <c r="BO66" s="448"/>
      <c r="BP66" s="448"/>
      <c r="BQ66" s="833"/>
      <c r="BR66" s="883">
        <v>1</v>
      </c>
      <c r="BS66" s="1054" t="s">
        <v>428</v>
      </c>
      <c r="BT66" s="448" t="s">
        <v>903</v>
      </c>
      <c r="BU66" s="448">
        <v>1080</v>
      </c>
      <c r="BV66" s="887">
        <v>85</v>
      </c>
      <c r="BW66" s="1128"/>
      <c r="BX66" s="1113"/>
      <c r="BY66" s="1113"/>
      <c r="BZ66" s="1113"/>
      <c r="CA66" s="1122"/>
      <c r="CB66" s="509">
        <v>4.5</v>
      </c>
      <c r="CC66">
        <v>4.5</v>
      </c>
      <c r="CD66">
        <v>2.4</v>
      </c>
      <c r="CE66"/>
      <c r="CF66" s="425"/>
      <c r="CJ66" s="427"/>
      <c r="CL66" s="506"/>
      <c r="CM66" s="340"/>
      <c r="CN66" s="506"/>
      <c r="CO66" s="290"/>
      <c r="CQ66" s="376">
        <f t="shared" si="39"/>
        <v>20.25</v>
      </c>
      <c r="CR66" s="426" t="s">
        <v>493</v>
      </c>
      <c r="CS66" s="119">
        <v>18</v>
      </c>
      <c r="CT66" s="119" t="s">
        <v>423</v>
      </c>
      <c r="CU66" s="119">
        <v>100</v>
      </c>
      <c r="CV66" s="506"/>
      <c r="CW66" s="427"/>
      <c r="CX66" s="506" t="s">
        <v>580</v>
      </c>
      <c r="CY66" s="506"/>
      <c r="CZ66" s="339"/>
      <c r="DA66" s="506"/>
      <c r="DB66" s="340">
        <f t="shared" si="73"/>
        <v>37.919999999999995</v>
      </c>
      <c r="DC66" s="506">
        <v>0</v>
      </c>
      <c r="DD66" s="712" t="s">
        <v>423</v>
      </c>
      <c r="DE66" s="119">
        <v>180</v>
      </c>
      <c r="DF66" s="119"/>
      <c r="DG66" s="119"/>
      <c r="DI66" s="427"/>
      <c r="DJ66" s="506"/>
      <c r="DK66" s="129"/>
      <c r="DL66" s="339"/>
      <c r="DM66" s="506"/>
      <c r="DN66" s="506"/>
      <c r="DO66" s="506">
        <f>CB66*CC66</f>
        <v>20.25</v>
      </c>
      <c r="DP66" s="430">
        <f t="shared" ref="DP66" si="82">DO66</f>
        <v>20.25</v>
      </c>
      <c r="DQ66" s="506" t="s">
        <v>438</v>
      </c>
      <c r="DR66" s="506">
        <v>12.7</v>
      </c>
      <c r="DS66" s="506" t="s">
        <v>479</v>
      </c>
      <c r="DT66" s="506">
        <v>200</v>
      </c>
      <c r="DU66" s="506" t="s">
        <v>480</v>
      </c>
      <c r="DV66" s="427">
        <v>100</v>
      </c>
      <c r="DW66" s="506"/>
      <c r="DX66" s="129"/>
      <c r="DY66" s="339"/>
      <c r="EB66" s="427"/>
      <c r="EC66" s="506"/>
      <c r="EE66" s="506"/>
      <c r="EF66" s="339"/>
      <c r="EG66" s="506"/>
      <c r="EH66" s="506"/>
      <c r="EI66" s="506"/>
      <c r="EJ66" s="506"/>
      <c r="EK66" s="506"/>
      <c r="EL66" s="698"/>
      <c r="EM66" s="427"/>
      <c r="EN66" s="506"/>
      <c r="EO66" s="506"/>
      <c r="EP66" s="506"/>
      <c r="EQ66" s="339"/>
      <c r="ER66" s="506"/>
      <c r="ES66" s="506"/>
      <c r="ET66" s="506"/>
      <c r="EU66" s="506"/>
      <c r="EV66" s="506"/>
      <c r="EW66" s="698"/>
      <c r="EY66" s="21">
        <v>1</v>
      </c>
      <c r="EZ66" s="506">
        <v>2.4</v>
      </c>
      <c r="FA66" s="506">
        <v>2.2000000000000002</v>
      </c>
      <c r="FB66" s="506">
        <v>0</v>
      </c>
      <c r="FC66" s="506">
        <f>(CB66-EZ66)/2</f>
        <v>1.05</v>
      </c>
      <c r="FD66" s="506">
        <f t="shared" ref="FD66:FD69" si="83">EZ66*FA66</f>
        <v>5.28</v>
      </c>
      <c r="FE66" s="506"/>
      <c r="FF66" s="506"/>
      <c r="FG66" s="427" t="s">
        <v>428</v>
      </c>
      <c r="FH66" s="425"/>
      <c r="FI66" s="506"/>
      <c r="FJ66" s="506"/>
      <c r="FK66" s="506"/>
      <c r="FL66" s="506"/>
      <c r="FM66" s="506"/>
      <c r="FN66" s="506"/>
      <c r="FO66" s="427"/>
      <c r="FP66" s="425"/>
      <c r="FQ66" s="506"/>
      <c r="FR66" s="506"/>
      <c r="FS66" s="506"/>
      <c r="FT66" s="506"/>
      <c r="FU66" s="506"/>
      <c r="FV66" s="506"/>
      <c r="FW66" s="427"/>
      <c r="FX66" s="425"/>
      <c r="FY66" s="506"/>
      <c r="FZ66" s="506"/>
      <c r="GA66" s="506"/>
      <c r="GB66" s="506"/>
      <c r="GC66" s="506"/>
      <c r="GD66" s="506"/>
      <c r="GE66" s="427"/>
      <c r="GU66" s="510"/>
      <c r="HC66" s="510"/>
      <c r="HK66" s="510"/>
      <c r="HS66" s="510"/>
      <c r="IA66" s="510"/>
      <c r="II66" s="510"/>
    </row>
    <row r="67" spans="1:243">
      <c r="A67" s="1182"/>
      <c r="B67" s="1142"/>
      <c r="C67" s="51">
        <v>2</v>
      </c>
      <c r="D67" s="725" t="str">
        <f t="shared" si="78"/>
        <v>TIMPuls_2</v>
      </c>
      <c r="E67" s="23">
        <v>1085</v>
      </c>
      <c r="F67" s="1139"/>
      <c r="G67" s="1147"/>
      <c r="H67" s="478">
        <f t="shared" si="65"/>
        <v>20.25</v>
      </c>
      <c r="I67" s="478">
        <f t="shared" si="66"/>
        <v>83.699999999999989</v>
      </c>
      <c r="J67" s="715">
        <f t="shared" si="67"/>
        <v>0.25806451612903225</v>
      </c>
      <c r="K67" s="716" t="s">
        <v>457</v>
      </c>
      <c r="L67" s="715">
        <f t="shared" si="56"/>
        <v>0.5</v>
      </c>
      <c r="M67" s="715">
        <f t="shared" si="57"/>
        <v>0.569620253164557</v>
      </c>
      <c r="N67" s="715">
        <f t="shared" si="68"/>
        <v>1.0666666666666667</v>
      </c>
      <c r="O67" s="932">
        <f>DC67/(2*(CB67+CC67)*CD67-X66)</f>
        <v>0.569620253164557</v>
      </c>
      <c r="P67" s="474">
        <f t="shared" si="79"/>
        <v>0</v>
      </c>
      <c r="Q67" s="474">
        <f t="shared" si="80"/>
        <v>0</v>
      </c>
      <c r="R67" s="474"/>
      <c r="S67" s="328"/>
      <c r="T67" s="679"/>
      <c r="U67" s="947">
        <f>CQ67/(I67-H67-X67)</f>
        <v>0.37132542547705005</v>
      </c>
      <c r="V67" s="681" t="s">
        <v>417</v>
      </c>
      <c r="W67" s="478">
        <f t="shared" si="71"/>
        <v>2.2000000000000002</v>
      </c>
      <c r="X67" s="473">
        <f t="shared" si="72"/>
        <v>5.28</v>
      </c>
      <c r="Y67" s="371">
        <f t="shared" si="81"/>
        <v>9.3566375177694408E-2</v>
      </c>
      <c r="AA67" s="491">
        <v>9</v>
      </c>
      <c r="AB67" s="491">
        <v>8</v>
      </c>
      <c r="AE67" t="s">
        <v>579</v>
      </c>
      <c r="AF67"/>
      <c r="AI67" s="635"/>
      <c r="AJ67" s="635"/>
      <c r="AK67" s="494"/>
      <c r="AL67" s="497"/>
      <c r="AM67" s="88">
        <v>180</v>
      </c>
      <c r="AN67" s="88"/>
      <c r="AO67" s="88" t="s">
        <v>582</v>
      </c>
      <c r="AP67" s="88"/>
      <c r="AQ67" s="819">
        <v>63</v>
      </c>
      <c r="AR67" s="425">
        <v>76.7</v>
      </c>
      <c r="AS67" s="425">
        <v>76.7</v>
      </c>
      <c r="AT67" s="806">
        <v>119.2</v>
      </c>
      <c r="AU67" s="425">
        <v>82.8</v>
      </c>
      <c r="AV67" s="272" t="s">
        <v>1058</v>
      </c>
      <c r="AW67" s="272" t="s">
        <v>417</v>
      </c>
      <c r="AX67" s="201">
        <v>92</v>
      </c>
      <c r="AY67" s="448">
        <v>75</v>
      </c>
      <c r="AZ67" s="448"/>
      <c r="BA67" s="448"/>
      <c r="BB67" s="449"/>
      <c r="BC67" s="904">
        <v>30</v>
      </c>
      <c r="BD67" s="448"/>
      <c r="BE67" s="323"/>
      <c r="BF67" s="324"/>
      <c r="BG67" s="448"/>
      <c r="BH67" s="448"/>
      <c r="BI67" s="448"/>
      <c r="BJ67" s="731"/>
      <c r="BK67" s="448"/>
      <c r="BL67" s="448"/>
      <c r="BM67" s="448"/>
      <c r="BN67" s="731"/>
      <c r="BO67" s="448"/>
      <c r="BP67" s="448"/>
      <c r="BQ67" s="833"/>
      <c r="BR67" s="883">
        <v>1</v>
      </c>
      <c r="BS67" s="1054" t="s">
        <v>428</v>
      </c>
      <c r="BT67" s="448" t="s">
        <v>903</v>
      </c>
      <c r="BU67" s="448">
        <v>950</v>
      </c>
      <c r="BV67" s="887">
        <v>61</v>
      </c>
      <c r="BW67" s="1128"/>
      <c r="BX67" s="1113"/>
      <c r="BY67" s="1113"/>
      <c r="BZ67" s="1113"/>
      <c r="CA67" s="1122"/>
      <c r="CB67" s="509">
        <v>4.5</v>
      </c>
      <c r="CC67">
        <v>4.5</v>
      </c>
      <c r="CD67">
        <v>2.4</v>
      </c>
      <c r="CE67"/>
      <c r="CF67" s="425"/>
      <c r="CJ67" s="427"/>
      <c r="CL67" s="506"/>
      <c r="CM67" s="340"/>
      <c r="CN67" s="506"/>
      <c r="CO67" s="290"/>
      <c r="CQ67" s="376">
        <f t="shared" si="39"/>
        <v>21.599999999999998</v>
      </c>
      <c r="CR67" s="426" t="s">
        <v>493</v>
      </c>
      <c r="CS67" s="119">
        <v>36</v>
      </c>
      <c r="CT67" s="119" t="s">
        <v>423</v>
      </c>
      <c r="CU67" s="119">
        <v>150</v>
      </c>
      <c r="CV67" s="506"/>
      <c r="CW67" s="427"/>
      <c r="CX67" s="506" t="s">
        <v>580</v>
      </c>
      <c r="CY67" s="506"/>
      <c r="CZ67" s="339"/>
      <c r="DA67" s="506"/>
      <c r="DB67" s="340">
        <f t="shared" si="73"/>
        <v>37.919999999999995</v>
      </c>
      <c r="DC67" s="506">
        <f>2*CB67*CD67</f>
        <v>21.599999999999998</v>
      </c>
      <c r="DD67" s="426" t="s">
        <v>493</v>
      </c>
      <c r="DE67" s="119">
        <f>18*2</f>
        <v>36</v>
      </c>
      <c r="DF67" s="931" t="s">
        <v>423</v>
      </c>
      <c r="DG67" s="119">
        <v>220</v>
      </c>
      <c r="DI67" s="427"/>
      <c r="DJ67" s="506"/>
      <c r="DK67" s="129"/>
      <c r="DL67" s="339"/>
      <c r="DM67" s="506"/>
      <c r="DN67" s="506"/>
      <c r="DO67" s="506"/>
      <c r="DP67" s="430">
        <f>DO67</f>
        <v>0</v>
      </c>
      <c r="DQ67" s="506" t="s">
        <v>438</v>
      </c>
      <c r="DR67" s="506">
        <v>12.7</v>
      </c>
      <c r="DS67" s="506" t="s">
        <v>479</v>
      </c>
      <c r="DT67" s="506">
        <v>200</v>
      </c>
      <c r="DU67" s="506" t="s">
        <v>480</v>
      </c>
      <c r="DV67" s="427">
        <v>100</v>
      </c>
      <c r="DW67" s="506"/>
      <c r="DX67" s="129"/>
      <c r="DY67" s="339"/>
      <c r="EB67" s="427"/>
      <c r="EC67" s="506"/>
      <c r="EE67" s="506"/>
      <c r="EF67" s="339"/>
      <c r="EG67" s="506"/>
      <c r="EH67" s="506"/>
      <c r="EI67" s="506"/>
      <c r="EJ67" s="506"/>
      <c r="EK67" s="506"/>
      <c r="EL67" s="698"/>
      <c r="EM67" s="427"/>
      <c r="EN67" s="506"/>
      <c r="EO67" s="506"/>
      <c r="EP67" s="506"/>
      <c r="EQ67" s="339"/>
      <c r="ER67" s="506"/>
      <c r="ES67" s="506"/>
      <c r="ET67" s="506"/>
      <c r="EU67" s="506"/>
      <c r="EV67" s="506"/>
      <c r="EW67" s="698"/>
      <c r="EY67" s="21">
        <v>1</v>
      </c>
      <c r="EZ67" s="506">
        <v>2.4</v>
      </c>
      <c r="FA67" s="506">
        <v>2.2000000000000002</v>
      </c>
      <c r="FB67" s="506">
        <v>0</v>
      </c>
      <c r="FC67" s="506">
        <f>(CB67-EZ67)/2</f>
        <v>1.05</v>
      </c>
      <c r="FD67" s="506">
        <f t="shared" si="83"/>
        <v>5.28</v>
      </c>
      <c r="FE67" s="506"/>
      <c r="FF67" s="506"/>
      <c r="FG67" s="427" t="s">
        <v>428</v>
      </c>
      <c r="FH67" s="425"/>
      <c r="FI67" s="506"/>
      <c r="FJ67" s="506"/>
      <c r="FK67" s="506"/>
      <c r="FL67" s="506"/>
      <c r="FM67" s="506"/>
      <c r="FN67" s="506"/>
      <c r="FO67" s="427"/>
      <c r="FP67" s="425"/>
      <c r="FQ67" s="506"/>
      <c r="FR67" s="506"/>
      <c r="FS67" s="506"/>
      <c r="FT67" s="506"/>
      <c r="FU67" s="506"/>
      <c r="FV67" s="506"/>
      <c r="FW67" s="427"/>
      <c r="FX67" s="425"/>
      <c r="FY67" s="506"/>
      <c r="FZ67" s="506"/>
      <c r="GA67" s="506"/>
      <c r="GB67" s="506"/>
      <c r="GC67" s="506"/>
      <c r="GD67" s="506"/>
      <c r="GE67" s="427"/>
      <c r="GU67" s="510"/>
      <c r="HC67" s="510"/>
      <c r="HK67" s="510"/>
      <c r="HS67" s="510"/>
      <c r="IA67" s="510"/>
      <c r="II67" s="510"/>
    </row>
    <row r="68" spans="1:243">
      <c r="A68" s="1182"/>
      <c r="B68" s="1142"/>
      <c r="C68" s="51">
        <v>3</v>
      </c>
      <c r="D68" s="503" t="str">
        <f t="shared" si="78"/>
        <v>TIMPuls_3</v>
      </c>
      <c r="E68" s="537">
        <v>1085</v>
      </c>
      <c r="F68" s="1139"/>
      <c r="G68" s="1147"/>
      <c r="H68" s="24">
        <f t="shared" si="65"/>
        <v>40.5</v>
      </c>
      <c r="I68" s="24">
        <f t="shared" si="66"/>
        <v>145.80000000000001</v>
      </c>
      <c r="J68" s="4">
        <f t="shared" si="67"/>
        <v>0.27777777777777773</v>
      </c>
      <c r="K68" s="36" t="s">
        <v>468</v>
      </c>
      <c r="L68" s="4">
        <f t="shared" si="56"/>
        <v>0.625</v>
      </c>
      <c r="M68" s="4">
        <f t="shared" si="57"/>
        <v>0.7289416846652268</v>
      </c>
      <c r="N68" s="4">
        <f t="shared" si="68"/>
        <v>1</v>
      </c>
      <c r="O68" s="175">
        <f>DC68/(2*(CB68+CC68)*CD68-X67)</f>
        <v>0</v>
      </c>
      <c r="P68" s="176">
        <f t="shared" si="79"/>
        <v>1</v>
      </c>
      <c r="Q68" s="176">
        <f t="shared" si="80"/>
        <v>0</v>
      </c>
      <c r="R68" s="176"/>
      <c r="S68" s="251"/>
      <c r="T68" s="679"/>
      <c r="U68" s="947">
        <f>CQ68/(I68-H68-X68)</f>
        <v>0.4216114928169894</v>
      </c>
      <c r="V68" s="681" t="s">
        <v>417</v>
      </c>
      <c r="W68" s="22">
        <f t="shared" si="71"/>
        <v>2.2000000000000002</v>
      </c>
      <c r="X68" s="473">
        <f t="shared" si="72"/>
        <v>9.240000000000002</v>
      </c>
      <c r="Y68" s="371">
        <f t="shared" si="81"/>
        <v>9.3999552840554099E-2</v>
      </c>
      <c r="AA68" s="491">
        <v>17</v>
      </c>
      <c r="AB68" s="491">
        <v>26</v>
      </c>
      <c r="AE68" t="s">
        <v>583</v>
      </c>
      <c r="AF68"/>
      <c r="AI68" s="635"/>
      <c r="AJ68" s="635"/>
      <c r="AK68" s="494"/>
      <c r="AL68" s="497"/>
      <c r="AM68" s="88">
        <v>180</v>
      </c>
      <c r="AN68" s="88"/>
      <c r="AO68" s="88" t="s">
        <v>584</v>
      </c>
      <c r="AP68" s="819">
        <v>53</v>
      </c>
      <c r="AQ68" s="88"/>
      <c r="AR68" s="425">
        <v>49</v>
      </c>
      <c r="AS68" s="425"/>
      <c r="AT68" s="818">
        <v>66</v>
      </c>
      <c r="AU68" s="425"/>
      <c r="AV68" s="272"/>
      <c r="AW68" s="272" t="s">
        <v>417</v>
      </c>
      <c r="AX68" s="201">
        <v>150</v>
      </c>
      <c r="AY68" s="605">
        <v>100</v>
      </c>
      <c r="AZ68" s="54"/>
      <c r="BA68" s="54"/>
      <c r="BB68" s="117"/>
      <c r="BC68" s="49">
        <v>90</v>
      </c>
      <c r="BD68" s="54"/>
      <c r="BE68" s="313"/>
      <c r="BF68" s="233"/>
      <c r="BG68" s="54"/>
      <c r="BH68" s="54"/>
      <c r="BI68" s="54"/>
      <c r="BJ68" s="49"/>
      <c r="BK68" s="54"/>
      <c r="BL68" s="54"/>
      <c r="BM68" s="117"/>
      <c r="BN68" s="49"/>
      <c r="BO68" s="54"/>
      <c r="BP68" s="54"/>
      <c r="BQ68" s="117"/>
      <c r="BR68" s="894">
        <v>1</v>
      </c>
      <c r="BS68" s="887" t="s">
        <v>428</v>
      </c>
      <c r="BT68" s="54" t="s">
        <v>903</v>
      </c>
      <c r="BU68" s="54">
        <v>1180</v>
      </c>
      <c r="BV68" s="887">
        <v>107</v>
      </c>
      <c r="BW68" s="1128"/>
      <c r="BX68" s="1113"/>
      <c r="BY68" s="1113"/>
      <c r="BZ68" s="1113"/>
      <c r="CA68" s="1122"/>
      <c r="CB68" s="509">
        <v>9</v>
      </c>
      <c r="CC68">
        <v>4.5</v>
      </c>
      <c r="CD68">
        <v>2.4</v>
      </c>
      <c r="CE68"/>
      <c r="CF68" s="425"/>
      <c r="CJ68" s="427"/>
      <c r="CL68" s="506"/>
      <c r="CM68" s="340"/>
      <c r="CN68" s="506"/>
      <c r="CO68" s="290"/>
      <c r="CQ68" s="376">
        <f t="shared" si="39"/>
        <v>40.5</v>
      </c>
      <c r="CR68" s="426" t="s">
        <v>493</v>
      </c>
      <c r="CS68" s="119">
        <f>2*12.5</f>
        <v>25</v>
      </c>
      <c r="CT68" s="931" t="s">
        <v>423</v>
      </c>
      <c r="CU68" s="119">
        <f>2*12</f>
        <v>24</v>
      </c>
      <c r="CV68" s="706" t="s">
        <v>423</v>
      </c>
      <c r="CW68" s="427">
        <v>140</v>
      </c>
      <c r="CY68" s="506"/>
      <c r="CZ68" s="339"/>
      <c r="DA68" s="506"/>
      <c r="DB68" s="340">
        <f t="shared" si="73"/>
        <v>55.559999999999995</v>
      </c>
      <c r="DC68" s="506">
        <v>0</v>
      </c>
      <c r="DD68" s="712" t="s">
        <v>423</v>
      </c>
      <c r="DE68" s="119">
        <v>180</v>
      </c>
      <c r="DF68" s="119"/>
      <c r="DG68" s="119"/>
      <c r="DI68" s="427"/>
      <c r="DJ68" s="506"/>
      <c r="DK68" s="129"/>
      <c r="DL68" s="339"/>
      <c r="DM68" s="506"/>
      <c r="DN68" s="506"/>
      <c r="DO68" s="506">
        <f t="shared" ref="DO68:DO69" si="84">CB68*CC68</f>
        <v>40.5</v>
      </c>
      <c r="DP68" s="430">
        <f t="shared" ref="DP68" si="85">DO68</f>
        <v>40.5</v>
      </c>
      <c r="DQ68" s="506" t="s">
        <v>438</v>
      </c>
      <c r="DR68" s="506">
        <v>12.7</v>
      </c>
      <c r="DS68" s="506" t="s">
        <v>479</v>
      </c>
      <c r="DT68" s="506">
        <v>200</v>
      </c>
      <c r="DU68" s="506" t="s">
        <v>480</v>
      </c>
      <c r="DV68" s="427">
        <v>100</v>
      </c>
      <c r="DW68" s="506"/>
      <c r="DX68" s="129"/>
      <c r="DY68" s="339"/>
      <c r="EB68" s="427"/>
      <c r="EC68" s="506"/>
      <c r="EE68" s="506"/>
      <c r="EF68" s="339"/>
      <c r="EG68" s="506"/>
      <c r="EH68" s="506"/>
      <c r="EI68" s="506"/>
      <c r="EJ68" s="506"/>
      <c r="EK68" s="506"/>
      <c r="EL68" s="698"/>
      <c r="EM68" s="427"/>
      <c r="EN68" s="506"/>
      <c r="EO68" s="506"/>
      <c r="EP68" s="506"/>
      <c r="EQ68" s="339"/>
      <c r="ER68" s="506"/>
      <c r="ES68" s="506"/>
      <c r="ET68" s="506"/>
      <c r="EU68" s="506"/>
      <c r="EV68" s="506"/>
      <c r="EW68" s="698"/>
      <c r="EY68" s="21">
        <v>1</v>
      </c>
      <c r="EZ68" s="506">
        <v>4.2</v>
      </c>
      <c r="FA68" s="506">
        <v>2.2000000000000002</v>
      </c>
      <c r="FB68" s="506">
        <v>0</v>
      </c>
      <c r="FC68" s="506">
        <f>(CB68-EZ68)/2</f>
        <v>2.4</v>
      </c>
      <c r="FD68" s="506">
        <f t="shared" si="83"/>
        <v>9.240000000000002</v>
      </c>
      <c r="FE68" s="506"/>
      <c r="FF68" s="506"/>
      <c r="FG68" s="427" t="s">
        <v>428</v>
      </c>
      <c r="FH68" s="425"/>
      <c r="FI68" s="506"/>
      <c r="FJ68" s="506"/>
      <c r="FK68" s="506"/>
      <c r="FL68" s="506"/>
      <c r="FM68" s="506"/>
      <c r="FN68" s="506"/>
      <c r="FO68" s="427"/>
      <c r="FP68" s="425"/>
      <c r="FQ68" s="506"/>
      <c r="FR68" s="506"/>
      <c r="FS68" s="506"/>
      <c r="FT68" s="506"/>
      <c r="FU68" s="506"/>
      <c r="FV68" s="506"/>
      <c r="FW68" s="427"/>
      <c r="FX68" s="425"/>
      <c r="FY68" s="506"/>
      <c r="FZ68" s="506"/>
      <c r="GA68" s="506"/>
      <c r="GB68" s="506"/>
      <c r="GC68" s="506"/>
      <c r="GD68" s="506"/>
      <c r="GE68" s="427"/>
      <c r="GU68" s="510"/>
      <c r="HC68" s="510"/>
      <c r="HK68" s="510"/>
      <c r="HS68" s="510"/>
      <c r="IA68" s="510"/>
      <c r="II68" s="510"/>
    </row>
    <row r="69" spans="1:243" ht="15" customHeight="1" thickBot="1">
      <c r="A69" s="1183"/>
      <c r="B69" s="1143"/>
      <c r="C69" s="51">
        <v>4</v>
      </c>
      <c r="D69" s="25" t="str">
        <f t="shared" si="78"/>
        <v>TIMPuls_4</v>
      </c>
      <c r="E69" s="26">
        <v>1085</v>
      </c>
      <c r="F69" s="1140"/>
      <c r="G69" s="1174"/>
      <c r="H69" s="27">
        <f t="shared" si="65"/>
        <v>40.5</v>
      </c>
      <c r="I69" s="27">
        <f t="shared" si="66"/>
        <v>145.80000000000001</v>
      </c>
      <c r="J69" s="19">
        <f t="shared" si="67"/>
        <v>0.42699588477366246</v>
      </c>
      <c r="K69" s="37" t="s">
        <v>457</v>
      </c>
      <c r="L69" s="19">
        <f t="shared" si="56"/>
        <v>0.96074074074074067</v>
      </c>
      <c r="M69" s="19">
        <f t="shared" si="57"/>
        <v>1.1205183585313174</v>
      </c>
      <c r="N69" s="19">
        <f t="shared" si="68"/>
        <v>1.537185185185185</v>
      </c>
      <c r="O69" s="133">
        <f>DC69/(2*(CB69+CC69)*CD69-X68)</f>
        <v>0.19438444924406048</v>
      </c>
      <c r="P69" s="132">
        <f t="shared" si="79"/>
        <v>0.93333333333333324</v>
      </c>
      <c r="Q69" s="132">
        <f t="shared" si="80"/>
        <v>0</v>
      </c>
      <c r="R69" s="132"/>
      <c r="S69" s="445"/>
      <c r="T69" s="680"/>
      <c r="U69" s="948">
        <f>CQ69/(I69-H69-X69)</f>
        <v>0.64809494066208606</v>
      </c>
      <c r="V69" s="687" t="s">
        <v>417</v>
      </c>
      <c r="W69" s="27">
        <f t="shared" si="71"/>
        <v>2.2000000000000002</v>
      </c>
      <c r="X69" s="981">
        <f t="shared" si="72"/>
        <v>9.240000000000002</v>
      </c>
      <c r="Y69" s="374">
        <f t="shared" si="81"/>
        <v>9.3999552840554099E-2</v>
      </c>
      <c r="Z69" s="144"/>
      <c r="AA69" s="144">
        <v>16</v>
      </c>
      <c r="AB69" s="144">
        <v>23</v>
      </c>
      <c r="AC69" s="144"/>
      <c r="AD69" s="144"/>
      <c r="AE69" s="512" t="s">
        <v>583</v>
      </c>
      <c r="AF69" s="512"/>
      <c r="AG69" s="512"/>
      <c r="AH69" s="512"/>
      <c r="AI69" s="949"/>
      <c r="AJ69" s="949"/>
      <c r="AK69" s="479"/>
      <c r="AL69" s="499"/>
      <c r="AM69" s="89">
        <v>180</v>
      </c>
      <c r="AN69" s="89"/>
      <c r="AO69" s="89" t="s">
        <v>585</v>
      </c>
      <c r="AP69" s="820"/>
      <c r="AQ69" s="89"/>
      <c r="AR69" s="25">
        <v>76.7</v>
      </c>
      <c r="AS69" s="25"/>
      <c r="AT69" s="25">
        <v>119.2</v>
      </c>
      <c r="AU69" s="25"/>
      <c r="AV69" s="6"/>
      <c r="AW69" s="270" t="s">
        <v>417</v>
      </c>
      <c r="AX69" s="194">
        <v>65</v>
      </c>
      <c r="AY69" s="20">
        <v>50</v>
      </c>
      <c r="AZ69" s="20"/>
      <c r="BA69" s="20"/>
      <c r="BB69" s="29"/>
      <c r="BC69" s="58">
        <v>60</v>
      </c>
      <c r="BD69" s="20"/>
      <c r="BE69" s="460"/>
      <c r="BF69" s="461"/>
      <c r="BG69" s="20"/>
      <c r="BH69" s="20"/>
      <c r="BI69" s="20"/>
      <c r="BJ69" s="58"/>
      <c r="BK69" s="20"/>
      <c r="BL69" s="20"/>
      <c r="BM69" s="20"/>
      <c r="BN69" s="58"/>
      <c r="BO69" s="20"/>
      <c r="BP69" s="20"/>
      <c r="BQ69" s="839"/>
      <c r="BR69" s="895">
        <v>1</v>
      </c>
      <c r="BS69" s="1058" t="s">
        <v>428</v>
      </c>
      <c r="BT69" s="20" t="s">
        <v>903</v>
      </c>
      <c r="BU69" s="20">
        <v>1160</v>
      </c>
      <c r="BV69" s="892">
        <v>109</v>
      </c>
      <c r="BW69" s="1129"/>
      <c r="BX69" s="1130"/>
      <c r="BY69" s="1130"/>
      <c r="BZ69" s="1130"/>
      <c r="CA69" s="1131"/>
      <c r="CB69" s="509">
        <v>9</v>
      </c>
      <c r="CC69">
        <v>4.5</v>
      </c>
      <c r="CD69">
        <v>2.4</v>
      </c>
      <c r="CE69"/>
      <c r="CF69" s="425"/>
      <c r="CJ69" s="427"/>
      <c r="CL69" s="506"/>
      <c r="CM69" s="340"/>
      <c r="CN69" s="506"/>
      <c r="CO69" s="290"/>
      <c r="CQ69" s="376">
        <f t="shared" si="39"/>
        <v>62.255999999999993</v>
      </c>
      <c r="CR69" s="426" t="s">
        <v>493</v>
      </c>
      <c r="CS69" s="119">
        <f>2*18</f>
        <v>36</v>
      </c>
      <c r="CT69" s="931" t="s">
        <v>423</v>
      </c>
      <c r="CU69" s="119">
        <v>150</v>
      </c>
      <c r="CV69" s="506"/>
      <c r="CW69" s="427"/>
      <c r="CY69" s="506"/>
      <c r="CZ69" s="339"/>
      <c r="DA69" s="506"/>
      <c r="DB69" s="340">
        <f t="shared" si="73"/>
        <v>55.559999999999995</v>
      </c>
      <c r="DC69" s="506">
        <f>CC69*CD69</f>
        <v>10.799999999999999</v>
      </c>
      <c r="DD69" s="712" t="s">
        <v>423</v>
      </c>
      <c r="DE69" s="119">
        <v>180</v>
      </c>
      <c r="DF69" s="119"/>
      <c r="DG69" s="119"/>
      <c r="DI69" s="427"/>
      <c r="DJ69" s="506"/>
      <c r="DK69" s="506"/>
      <c r="DL69" s="339"/>
      <c r="DM69" s="506"/>
      <c r="DN69" s="506"/>
      <c r="DO69" s="506">
        <f t="shared" si="84"/>
        <v>40.5</v>
      </c>
      <c r="DP69" s="430">
        <f>DO69-EH69*EI69</f>
        <v>37.799999999999997</v>
      </c>
      <c r="DQ69" s="506" t="s">
        <v>438</v>
      </c>
      <c r="DR69" s="506">
        <v>12.7</v>
      </c>
      <c r="DS69" s="506" t="s">
        <v>479</v>
      </c>
      <c r="DT69" s="506">
        <v>200</v>
      </c>
      <c r="DU69" s="506" t="s">
        <v>480</v>
      </c>
      <c r="DV69" s="427">
        <v>100</v>
      </c>
      <c r="DW69" s="506"/>
      <c r="DX69" s="129"/>
      <c r="DY69" s="339"/>
      <c r="EB69" s="427"/>
      <c r="EC69" s="506">
        <v>1</v>
      </c>
      <c r="ED69" s="506" t="s">
        <v>529</v>
      </c>
      <c r="EE69" s="506"/>
      <c r="EF69" s="339"/>
      <c r="EG69" s="506"/>
      <c r="EH69" s="506">
        <f>CB69</f>
        <v>9</v>
      </c>
      <c r="EI69" s="506">
        <v>0.3</v>
      </c>
      <c r="EJ69" s="506">
        <v>0.32</v>
      </c>
      <c r="EK69" s="506"/>
      <c r="EL69" s="698" t="s">
        <v>471</v>
      </c>
      <c r="EM69" s="427">
        <f>(2*EH69*EJ69+EI69*EH69)-EN69*ET69*EU69</f>
        <v>8.2799999999999994</v>
      </c>
      <c r="EN69" s="506">
        <v>2</v>
      </c>
      <c r="EO69" s="506" t="s">
        <v>529</v>
      </c>
      <c r="EP69" s="506"/>
      <c r="EQ69" s="339"/>
      <c r="ER69" s="506"/>
      <c r="ES69" s="506">
        <f>EN69*CD69-EJ69</f>
        <v>4.4799999999999995</v>
      </c>
      <c r="ET69" s="506">
        <f>0.3</f>
        <v>0.3</v>
      </c>
      <c r="EU69" s="506">
        <v>0.3</v>
      </c>
      <c r="EV69" s="506"/>
      <c r="EW69" s="698">
        <v>4</v>
      </c>
      <c r="EX69" s="506">
        <f>ES69*2*(ET69+EU69)</f>
        <v>5.3759999999999994</v>
      </c>
      <c r="EY69" s="21">
        <v>1</v>
      </c>
      <c r="EZ69" s="506">
        <v>4.2</v>
      </c>
      <c r="FA69" s="506">
        <v>2.2000000000000002</v>
      </c>
      <c r="FB69" s="506">
        <v>0</v>
      </c>
      <c r="FC69" s="506">
        <f>(CB69-EZ69)/2</f>
        <v>2.4</v>
      </c>
      <c r="FD69" s="506">
        <f t="shared" si="83"/>
        <v>9.240000000000002</v>
      </c>
      <c r="FE69" s="506"/>
      <c r="FF69" s="506"/>
      <c r="FG69" s="427" t="s">
        <v>428</v>
      </c>
      <c r="FH69" s="425"/>
      <c r="FI69" s="506"/>
      <c r="FJ69" s="506"/>
      <c r="FK69" s="506"/>
      <c r="FL69" s="506"/>
      <c r="FM69" s="506"/>
      <c r="FN69" s="506"/>
      <c r="FO69" s="427"/>
      <c r="FP69" s="425"/>
      <c r="FQ69" s="506"/>
      <c r="FR69" s="506"/>
      <c r="FS69" s="506"/>
      <c r="FT69" s="506"/>
      <c r="FU69" s="506"/>
      <c r="FV69" s="506"/>
      <c r="FW69" s="427"/>
      <c r="FX69" s="425"/>
      <c r="FY69" s="506"/>
      <c r="FZ69" s="506"/>
      <c r="GA69" s="506"/>
      <c r="GB69" s="506"/>
      <c r="GC69" s="506"/>
      <c r="GD69" s="506"/>
      <c r="GE69" s="427"/>
      <c r="GU69" s="510"/>
      <c r="HC69" s="510"/>
      <c r="HK69" s="510"/>
      <c r="HS69" s="510"/>
      <c r="IA69" s="510"/>
      <c r="II69" s="510"/>
    </row>
    <row r="70" spans="1:243" ht="14.45" customHeight="1" thickBot="1">
      <c r="A70" s="1167" t="s">
        <v>586</v>
      </c>
      <c r="B70" s="1178" t="s">
        <v>587</v>
      </c>
      <c r="C70" s="13" t="s">
        <v>588</v>
      </c>
      <c r="D70" s="951" t="str">
        <f>CONCATENATE("SeifBois_","B27_",C70)</f>
        <v>SeifBois_B27_R60_25%</v>
      </c>
      <c r="E70" s="44">
        <v>450</v>
      </c>
      <c r="F70" s="1177" t="s">
        <v>464</v>
      </c>
      <c r="G70" s="1159">
        <v>17.5</v>
      </c>
      <c r="H70" s="14">
        <f t="shared" si="65"/>
        <v>51.5824</v>
      </c>
      <c r="I70" s="380">
        <f t="shared" si="66"/>
        <v>200.0248</v>
      </c>
      <c r="J70" s="46">
        <f t="shared" si="67"/>
        <v>0.12105998856141838</v>
      </c>
      <c r="K70" s="47" t="s">
        <v>472</v>
      </c>
      <c r="L70" s="717">
        <f>CQ70/(2*(CB70+CC70)*CD70)</f>
        <v>0.25</v>
      </c>
      <c r="M70" s="46">
        <f t="shared" si="57"/>
        <v>0.29111565280115409</v>
      </c>
      <c r="N70" s="46">
        <f t="shared" si="68"/>
        <v>0.46944306585191847</v>
      </c>
      <c r="O70" s="158">
        <f t="shared" ref="O70:O80" si="86">DC70/(2*(CB70+CC70)*CD70-X70)</f>
        <v>0</v>
      </c>
      <c r="P70" s="159">
        <f t="shared" si="79"/>
        <v>0.26617703668896664</v>
      </c>
      <c r="Q70" s="159">
        <f t="shared" si="80"/>
        <v>0</v>
      </c>
      <c r="R70" s="159">
        <f t="shared" ref="R70:R80" si="87">EM70/(EH70*2*(EI70+EJ70))</f>
        <v>0.5</v>
      </c>
      <c r="S70" s="160">
        <f t="shared" ref="S70:S80" si="88">EX70/(ES70*2*(ET70+EU70))</f>
        <v>0.76923076923076927</v>
      </c>
      <c r="T70" s="678"/>
      <c r="U70" s="285"/>
      <c r="V70" s="678" t="s">
        <v>417</v>
      </c>
      <c r="W70" s="335">
        <f t="shared" ref="W70:W80" si="89">(FA70*(FE70+1)*FD70+FI70*(FM70+1)*FL70+FQ70*(FU70+1)*FT70+FY70*(GC70+1)*GB70+GG70*(GK70+1)*GJ70+GO70*(GS70+1)*GR70+GW70*(HA70+1)*GZ70+HE70*(HI70+1)*HH70+HM70*(HQ70+1)*HP70+HU70*(HY70+1)*HX70)/X70</f>
        <v>2.3999999999999995</v>
      </c>
      <c r="X70" s="210">
        <f t="shared" ref="X70:X80" si="90">(FE70+1)*FD70+(FM70+1)*FL70+(FU70+1)*FT70+(GC70+1)*GB70+(GK70+1)*GJ70+(GS70+1)*GR70+(HA70+1)*GZ70+(HI70+1)*HH70+(HQ70+1)*HP70+(HY70+1)*HX70</f>
        <v>13.68</v>
      </c>
      <c r="Y70" s="348">
        <f t="shared" si="69"/>
        <v>0.10595168634312836</v>
      </c>
      <c r="Z70" s="644"/>
      <c r="AA70" s="644"/>
      <c r="AB70" s="644"/>
      <c r="AC70" s="644"/>
      <c r="AD70" s="644"/>
      <c r="AE70" s="644"/>
      <c r="AF70" s="644"/>
      <c r="AG70" s="644"/>
      <c r="AH70" s="644"/>
      <c r="AI70" s="645"/>
      <c r="AJ70" s="645"/>
      <c r="AK70" s="646"/>
      <c r="AL70" s="647"/>
      <c r="AM70" s="648">
        <f>480+60</f>
        <v>540</v>
      </c>
      <c r="AN70" s="648"/>
      <c r="AO70" s="648"/>
      <c r="AP70" s="648"/>
      <c r="AQ70" s="648"/>
      <c r="AR70" s="648"/>
      <c r="AS70" s="648"/>
      <c r="AT70" s="648"/>
      <c r="AU70" s="648"/>
      <c r="AV70" s="649"/>
      <c r="AW70" s="650" t="s">
        <v>484</v>
      </c>
      <c r="AX70" s="651">
        <v>240</v>
      </c>
      <c r="AY70" s="652"/>
      <c r="AZ70" s="652"/>
      <c r="BA70" s="652"/>
      <c r="BB70" s="653"/>
      <c r="BC70" s="654"/>
      <c r="BD70" s="652"/>
      <c r="BE70" s="655"/>
      <c r="BF70" s="656"/>
      <c r="BG70" s="652"/>
      <c r="BH70" s="652"/>
      <c r="BI70" s="652"/>
      <c r="BJ70" s="654"/>
      <c r="BK70" s="652"/>
      <c r="BL70" s="652"/>
      <c r="BM70" s="652"/>
      <c r="BN70" s="654"/>
      <c r="BO70" s="652"/>
      <c r="BP70" s="652"/>
      <c r="BQ70" s="842"/>
      <c r="BR70" s="654" t="s">
        <v>1013</v>
      </c>
      <c r="BS70" s="652" t="s">
        <v>553</v>
      </c>
      <c r="BT70" s="652" t="s">
        <v>428</v>
      </c>
      <c r="BU70" s="652"/>
      <c r="BV70" s="657"/>
      <c r="BW70" s="1119"/>
      <c r="BX70" s="1113"/>
      <c r="BY70" s="1113"/>
      <c r="BZ70" s="1113"/>
      <c r="CA70" s="1113"/>
      <c r="CB70" s="92">
        <v>6.26</v>
      </c>
      <c r="CC70" s="507">
        <v>8.24</v>
      </c>
      <c r="CD70" s="507">
        <v>3.34</v>
      </c>
      <c r="CE70" s="507"/>
      <c r="CF70" s="149"/>
      <c r="CG70" s="504"/>
      <c r="CH70" s="504"/>
      <c r="CI70" s="504"/>
      <c r="CJ70" s="45"/>
      <c r="CK70" s="507"/>
      <c r="CL70" s="507"/>
      <c r="CM70" s="352"/>
      <c r="CN70" s="507"/>
      <c r="CO70" s="507"/>
      <c r="CP70" s="504">
        <v>20</v>
      </c>
      <c r="CQ70" s="382">
        <f>DC70+DP70+IF(ISNUMBER(EB70),EB70,0)+EM70+EX70</f>
        <v>24.215</v>
      </c>
      <c r="CR70" s="163" t="s">
        <v>589</v>
      </c>
      <c r="CS70" s="118">
        <v>200</v>
      </c>
      <c r="CT70" s="118"/>
      <c r="CU70" s="118"/>
      <c r="CV70" s="504"/>
      <c r="CW70" s="156"/>
      <c r="CX70" s="504"/>
      <c r="CY70" s="504"/>
      <c r="CZ70" s="351"/>
      <c r="DA70" s="504"/>
      <c r="DB70" s="352">
        <f t="shared" si="73"/>
        <v>83.18</v>
      </c>
      <c r="DC70" s="504"/>
      <c r="DD70" s="149" t="s">
        <v>423</v>
      </c>
      <c r="DE70" s="504">
        <v>300</v>
      </c>
      <c r="DF70" s="504"/>
      <c r="DG70" s="504"/>
      <c r="DH70" s="504"/>
      <c r="DI70" s="45"/>
      <c r="DJ70" s="504"/>
      <c r="DK70" s="504" t="s">
        <v>572</v>
      </c>
      <c r="DL70" s="351"/>
      <c r="DM70" s="504"/>
      <c r="DN70" s="507"/>
      <c r="DO70" s="504">
        <f t="shared" si="76"/>
        <v>51.5824</v>
      </c>
      <c r="DP70" s="135">
        <f>51.82*25/84.14 *6.26/7.02</f>
        <v>13.730050377304952</v>
      </c>
      <c r="DQ70" s="504" t="s">
        <v>438</v>
      </c>
      <c r="DR70" s="504">
        <v>12.7</v>
      </c>
      <c r="DS70" s="504" t="s">
        <v>479</v>
      </c>
      <c r="DT70" s="504">
        <v>200</v>
      </c>
      <c r="DU70" s="504" t="s">
        <v>480</v>
      </c>
      <c r="DV70" s="45">
        <v>100</v>
      </c>
      <c r="DW70" s="507"/>
      <c r="DX70" s="507"/>
      <c r="DY70" s="353"/>
      <c r="DZ70" s="507"/>
      <c r="EA70" s="504">
        <f t="shared" ref="EA70:EA78" si="91">CB70*CC70</f>
        <v>51.5824</v>
      </c>
      <c r="EB70" s="45"/>
      <c r="EC70" s="504">
        <v>4</v>
      </c>
      <c r="ED70" s="504" t="s">
        <v>529</v>
      </c>
      <c r="EE70" s="504"/>
      <c r="EF70" s="353"/>
      <c r="EG70" s="507"/>
      <c r="EH70" s="701">
        <f>EM70/(EI70+EJ70)</f>
        <v>8.8362497596566669</v>
      </c>
      <c r="EI70" s="701">
        <v>0.22</v>
      </c>
      <c r="EJ70" s="702">
        <f>(0.4*(2*CC70+CB70)+0.9*CB70)/(2*(CB70+CC70))</f>
        <v>0.50793103448275867</v>
      </c>
      <c r="EK70" s="702"/>
      <c r="EL70" s="703">
        <v>2</v>
      </c>
      <c r="EM70" s="704">
        <f>CF83-DP70-EX70</f>
        <v>6.4321804284949051</v>
      </c>
      <c r="EN70" s="504">
        <v>8</v>
      </c>
      <c r="EO70" s="504"/>
      <c r="EP70" s="504"/>
      <c r="EQ70" s="351"/>
      <c r="ER70" s="504"/>
      <c r="ES70" s="504">
        <f>EX70/(2*EU70+ET70)</f>
        <v>5.0659614927501782</v>
      </c>
      <c r="ET70" s="504">
        <v>0.24</v>
      </c>
      <c r="EU70" s="504">
        <v>0.28000000000000003</v>
      </c>
      <c r="EV70" s="504"/>
      <c r="EW70" s="697" t="s">
        <v>471</v>
      </c>
      <c r="EX70" s="504">
        <f>13.64*25/84.14</f>
        <v>4.0527691942001427</v>
      </c>
      <c r="EY70" s="162">
        <f>+FE70+1</f>
        <v>3</v>
      </c>
      <c r="EZ70" s="149">
        <v>1.9</v>
      </c>
      <c r="FA70" s="504">
        <v>2.4</v>
      </c>
      <c r="FB70" s="504">
        <v>0.3</v>
      </c>
      <c r="FC70" s="504">
        <v>0.4</v>
      </c>
      <c r="FD70" s="504">
        <f t="shared" si="60"/>
        <v>4.5599999999999996</v>
      </c>
      <c r="FE70" s="504">
        <v>2</v>
      </c>
      <c r="FF70" s="504">
        <v>0.8</v>
      </c>
      <c r="FG70" s="45" t="s">
        <v>553</v>
      </c>
      <c r="FH70" s="507"/>
      <c r="FI70" s="507"/>
      <c r="FJ70" s="507"/>
      <c r="FK70" s="507"/>
      <c r="FL70" s="507"/>
      <c r="FM70" s="507"/>
      <c r="FN70" s="507"/>
      <c r="FO70" s="45"/>
      <c r="FP70" s="507"/>
      <c r="FQ70" s="507"/>
      <c r="FR70" s="507"/>
      <c r="FS70" s="507"/>
      <c r="FT70" s="507"/>
      <c r="FU70" s="507"/>
      <c r="FV70" s="507"/>
      <c r="FW70" s="507"/>
      <c r="FX70" s="507"/>
      <c r="FY70" s="507"/>
      <c r="FZ70" s="507"/>
      <c r="GA70" s="507"/>
      <c r="GB70" s="507"/>
      <c r="GC70" s="507"/>
      <c r="GD70" s="507"/>
      <c r="GE70" s="507"/>
      <c r="GU70" s="510"/>
      <c r="HC70" s="510"/>
      <c r="HK70" s="510"/>
      <c r="HS70" s="510"/>
      <c r="IA70" s="510"/>
      <c r="II70" s="510"/>
    </row>
    <row r="71" spans="1:243" ht="14.45" customHeight="1" thickBot="1">
      <c r="A71" s="1167"/>
      <c r="B71" s="1179"/>
      <c r="C71" s="51" t="s">
        <v>590</v>
      </c>
      <c r="D71" s="950" t="str">
        <f>CONCATENATE("SeifBois_","B27_",C71)</f>
        <v>SeifBois_B27_R120_25%</v>
      </c>
      <c r="E71" s="17">
        <v>450</v>
      </c>
      <c r="F71" s="1177"/>
      <c r="G71" s="1159"/>
      <c r="H71" s="15">
        <f t="shared" si="65"/>
        <v>51.5824</v>
      </c>
      <c r="I71" s="638">
        <f t="shared" si="66"/>
        <v>200.0248</v>
      </c>
      <c r="J71" s="4">
        <f t="shared" si="67"/>
        <v>0.12105998856141838</v>
      </c>
      <c r="K71" s="36" t="s">
        <v>472</v>
      </c>
      <c r="L71" s="718">
        <f t="shared" si="56"/>
        <v>0.25</v>
      </c>
      <c r="M71" s="4">
        <f t="shared" si="57"/>
        <v>0.29111565280115409</v>
      </c>
      <c r="N71" s="4">
        <f t="shared" si="68"/>
        <v>0.46944306585191847</v>
      </c>
      <c r="O71" s="436">
        <f t="shared" si="86"/>
        <v>0</v>
      </c>
      <c r="P71" s="131">
        <f t="shared" si="79"/>
        <v>0.26617703668896664</v>
      </c>
      <c r="Q71" s="131">
        <f t="shared" si="80"/>
        <v>0</v>
      </c>
      <c r="R71" s="131">
        <f t="shared" si="87"/>
        <v>0.5</v>
      </c>
      <c r="S71" s="437">
        <f t="shared" si="88"/>
        <v>0.76923076923076927</v>
      </c>
      <c r="T71" s="679"/>
      <c r="U71" s="438"/>
      <c r="V71" s="679" t="s">
        <v>417</v>
      </c>
      <c r="W71" s="525">
        <f t="shared" si="89"/>
        <v>2.3999999999999995</v>
      </c>
      <c r="X71" s="439">
        <f t="shared" si="90"/>
        <v>13.68</v>
      </c>
      <c r="Y71" s="928">
        <f t="shared" si="69"/>
        <v>0.10595168634312836</v>
      </c>
      <c r="Z71" s="933"/>
      <c r="AA71" s="933"/>
      <c r="AB71" s="933"/>
      <c r="AC71" s="933"/>
      <c r="AD71" s="933"/>
      <c r="AE71" s="933"/>
      <c r="AF71" s="933"/>
      <c r="AG71" s="933"/>
      <c r="AH71" s="933"/>
      <c r="AI71" s="934"/>
      <c r="AJ71" s="934"/>
      <c r="AK71" s="658"/>
      <c r="AL71" s="659"/>
      <c r="AM71" s="660">
        <v>720</v>
      </c>
      <c r="AN71" s="660"/>
      <c r="AO71" s="660"/>
      <c r="AP71" s="660"/>
      <c r="AQ71" s="660"/>
      <c r="AR71" s="660"/>
      <c r="AS71" s="660"/>
      <c r="AT71" s="660"/>
      <c r="AU71" s="660"/>
      <c r="AV71" s="661"/>
      <c r="AW71" s="662" t="s">
        <v>484</v>
      </c>
      <c r="AX71" s="663">
        <v>240</v>
      </c>
      <c r="AY71" s="664"/>
      <c r="AZ71" s="935"/>
      <c r="BA71" s="935"/>
      <c r="BB71" s="936"/>
      <c r="BC71" s="664"/>
      <c r="BD71" s="935"/>
      <c r="BE71" s="665"/>
      <c r="BF71" s="666"/>
      <c r="BG71" s="664"/>
      <c r="BH71" s="935"/>
      <c r="BI71" s="935"/>
      <c r="BJ71" s="664"/>
      <c r="BK71" s="935"/>
      <c r="BL71" s="935"/>
      <c r="BM71" s="935"/>
      <c r="BN71" s="664"/>
      <c r="BO71" s="935"/>
      <c r="BP71" s="935"/>
      <c r="BQ71" s="826"/>
      <c r="BR71" s="664" t="s">
        <v>1013</v>
      </c>
      <c r="BS71" s="935" t="s">
        <v>553</v>
      </c>
      <c r="BT71" s="935" t="s">
        <v>428</v>
      </c>
      <c r="BU71" s="935"/>
      <c r="BV71" s="953"/>
      <c r="BW71" s="1120"/>
      <c r="BX71" s="1113"/>
      <c r="BY71" s="1113"/>
      <c r="BZ71" s="1113"/>
      <c r="CA71" s="1113"/>
      <c r="CB71" s="509">
        <v>6.26</v>
      </c>
      <c r="CC71">
        <f>CC70</f>
        <v>8.24</v>
      </c>
      <c r="CD71">
        <f>CD70</f>
        <v>3.34</v>
      </c>
      <c r="CE71"/>
      <c r="CF71" s="425"/>
      <c r="CJ71" s="427"/>
      <c r="CM71" s="340"/>
      <c r="CO71"/>
      <c r="CP71" s="506">
        <v>20</v>
      </c>
      <c r="CQ71" s="376">
        <f t="shared" si="39"/>
        <v>24.215</v>
      </c>
      <c r="CR71" s="426" t="s">
        <v>589</v>
      </c>
      <c r="CS71" s="119">
        <v>200</v>
      </c>
      <c r="CU71" s="119"/>
      <c r="CV71" s="506"/>
      <c r="CW71" s="518"/>
      <c r="CY71" s="506"/>
      <c r="CZ71" s="339"/>
      <c r="DA71" s="506"/>
      <c r="DB71" s="340">
        <f t="shared" si="73"/>
        <v>83.18</v>
      </c>
      <c r="DC71" s="506"/>
      <c r="DD71" s="425" t="s">
        <v>423</v>
      </c>
      <c r="DE71" s="506">
        <v>300</v>
      </c>
      <c r="DI71" s="427"/>
      <c r="DJ71" s="506"/>
      <c r="DK71" s="506" t="s">
        <v>572</v>
      </c>
      <c r="DL71" s="339"/>
      <c r="DM71" s="506"/>
      <c r="DO71" s="506">
        <f t="shared" si="76"/>
        <v>51.5824</v>
      </c>
      <c r="DP71" s="430">
        <f>DP70</f>
        <v>13.730050377304952</v>
      </c>
      <c r="DQ71" s="506" t="s">
        <v>438</v>
      </c>
      <c r="DR71" s="506">
        <v>12.7</v>
      </c>
      <c r="DS71" s="506" t="s">
        <v>479</v>
      </c>
      <c r="DT71" s="506">
        <v>200</v>
      </c>
      <c r="DU71" s="506" t="s">
        <v>480</v>
      </c>
      <c r="DV71" s="427">
        <v>100</v>
      </c>
      <c r="DX71"/>
      <c r="DY71" s="341"/>
      <c r="DZ71"/>
      <c r="EA71" s="506">
        <f t="shared" si="91"/>
        <v>51.5824</v>
      </c>
      <c r="EB71" s="427"/>
      <c r="EC71" s="506">
        <v>4</v>
      </c>
      <c r="ED71" s="506" t="s">
        <v>529</v>
      </c>
      <c r="EE71" s="506"/>
      <c r="EF71" s="341"/>
      <c r="EH71" s="937">
        <f t="shared" ref="EH71" si="92">EM71/(EI71+EJ71)</f>
        <v>8.8362497596566669</v>
      </c>
      <c r="EI71" s="937">
        <v>0.22</v>
      </c>
      <c r="EJ71" s="938">
        <f t="shared" ref="EJ71" si="93">(0.4*(2*CC71+CB71)+0.9*CB71)/(2*(CB71+CC71))</f>
        <v>0.50793103448275867</v>
      </c>
      <c r="EK71" s="938"/>
      <c r="EL71" s="939" t="s">
        <v>531</v>
      </c>
      <c r="EM71" s="705">
        <f>EM70</f>
        <v>6.4321804284949051</v>
      </c>
      <c r="EN71" s="506">
        <v>8</v>
      </c>
      <c r="EO71" s="506"/>
      <c r="EP71" s="506"/>
      <c r="EQ71" s="339"/>
      <c r="ER71" s="506"/>
      <c r="ES71" s="506">
        <f t="shared" ref="ES71" si="94">EX71/(2*EU71+ET71)</f>
        <v>5.0659614927501782</v>
      </c>
      <c r="ET71" s="506">
        <v>0.24</v>
      </c>
      <c r="EU71" s="506">
        <v>0.28000000000000003</v>
      </c>
      <c r="EV71" s="506"/>
      <c r="EW71" s="698" t="s">
        <v>471</v>
      </c>
      <c r="EX71" s="506">
        <f t="shared" ref="EX71" si="95">13.64*25/84.14</f>
        <v>4.0527691942001427</v>
      </c>
      <c r="EY71" s="21">
        <f>+FE71+1</f>
        <v>3</v>
      </c>
      <c r="EZ71" s="506">
        <v>1.9</v>
      </c>
      <c r="FA71" s="506">
        <v>2.4</v>
      </c>
      <c r="FB71" s="506">
        <v>0.3</v>
      </c>
      <c r="FC71" s="506">
        <v>0.4</v>
      </c>
      <c r="FD71" s="506">
        <f t="shared" si="60"/>
        <v>4.5599999999999996</v>
      </c>
      <c r="FE71" s="506">
        <v>2</v>
      </c>
      <c r="FF71" s="506">
        <v>0.8</v>
      </c>
      <c r="FG71" s="427" t="s">
        <v>553</v>
      </c>
      <c r="FO71" s="427"/>
      <c r="GU71" s="510"/>
      <c r="HC71" s="510"/>
      <c r="HK71" s="510"/>
      <c r="HS71" s="510"/>
      <c r="IA71" s="510"/>
      <c r="II71" s="510"/>
    </row>
    <row r="72" spans="1:243" ht="14.45" customHeight="1" thickBot="1">
      <c r="A72" s="1167"/>
      <c r="B72" s="1179"/>
      <c r="C72" s="51" t="s">
        <v>591</v>
      </c>
      <c r="D72" s="950" t="str">
        <f>CONCATENATE("SeifBois_","H27_",C72)</f>
        <v>SeifBois_H27_R30_25%</v>
      </c>
      <c r="E72" s="17">
        <v>780</v>
      </c>
      <c r="F72" s="1177"/>
      <c r="G72" s="1159"/>
      <c r="H72" s="15">
        <f t="shared" si="65"/>
        <v>53.986400000000003</v>
      </c>
      <c r="I72" s="638">
        <f t="shared" si="66"/>
        <v>187.3528</v>
      </c>
      <c r="J72" s="4">
        <f t="shared" si="67"/>
        <v>0.10592317100341025</v>
      </c>
      <c r="K72" s="36" t="s">
        <v>472</v>
      </c>
      <c r="L72" s="718">
        <f t="shared" si="56"/>
        <v>0.25000003366550416</v>
      </c>
      <c r="M72" s="4">
        <f t="shared" si="57"/>
        <v>0.28603347754926089</v>
      </c>
      <c r="N72" s="4">
        <f t="shared" si="68"/>
        <v>0.36759262837247381</v>
      </c>
      <c r="O72" s="436">
        <f t="shared" si="86"/>
        <v>0.17650158074646238</v>
      </c>
      <c r="P72" s="131">
        <f t="shared" si="79"/>
        <v>0</v>
      </c>
      <c r="Q72" s="131">
        <f t="shared" si="80"/>
        <v>0</v>
      </c>
      <c r="R72" s="131">
        <f t="shared" si="87"/>
        <v>0.79629629629629628</v>
      </c>
      <c r="S72" s="437">
        <f t="shared" si="88"/>
        <v>1</v>
      </c>
      <c r="T72" s="679"/>
      <c r="U72" s="438"/>
      <c r="V72" s="679" t="s">
        <v>417</v>
      </c>
      <c r="W72" s="525">
        <f t="shared" si="89"/>
        <v>1.9863999999999997</v>
      </c>
      <c r="X72" s="439">
        <f t="shared" si="90"/>
        <v>10</v>
      </c>
      <c r="Y72" s="928">
        <f t="shared" ref="Y72" si="96">X72*SQRT(W72)/I72</f>
        <v>7.5226899955369186E-2</v>
      </c>
      <c r="Z72" s="933"/>
      <c r="AA72" s="933"/>
      <c r="AB72" s="933"/>
      <c r="AC72" s="933"/>
      <c r="AD72" s="933"/>
      <c r="AE72" s="933"/>
      <c r="AF72" s="933"/>
      <c r="AG72" s="933"/>
      <c r="AH72" s="933"/>
      <c r="AI72" s="934"/>
      <c r="AJ72" s="934"/>
      <c r="AK72" s="658"/>
      <c r="AL72" s="659"/>
      <c r="AM72" s="660">
        <v>540</v>
      </c>
      <c r="AN72" s="660"/>
      <c r="AO72" s="660"/>
      <c r="AP72" s="660"/>
      <c r="AQ72" s="660"/>
      <c r="AR72" s="660"/>
      <c r="AS72" s="660">
        <v>112</v>
      </c>
      <c r="AT72" s="660"/>
      <c r="AU72" s="660">
        <v>82.8</v>
      </c>
      <c r="AV72" s="661"/>
      <c r="AW72" s="662" t="s">
        <v>484</v>
      </c>
      <c r="AX72" s="663">
        <v>240</v>
      </c>
      <c r="AY72" s="935"/>
      <c r="AZ72" s="935"/>
      <c r="BA72" s="935"/>
      <c r="BB72" s="936"/>
      <c r="BC72" s="664"/>
      <c r="BD72" s="935"/>
      <c r="BE72" s="665"/>
      <c r="BF72" s="666"/>
      <c r="BG72" s="935"/>
      <c r="BH72" s="935"/>
      <c r="BI72" s="935"/>
      <c r="BJ72" s="664"/>
      <c r="BK72" s="935"/>
      <c r="BL72" s="935"/>
      <c r="BM72" s="935"/>
      <c r="BN72" s="664"/>
      <c r="BO72" s="935"/>
      <c r="BP72" s="935"/>
      <c r="BQ72" s="826"/>
      <c r="BR72" s="664" t="s">
        <v>1013</v>
      </c>
      <c r="BS72" s="935" t="s">
        <v>553</v>
      </c>
      <c r="BT72" s="935" t="s">
        <v>428</v>
      </c>
      <c r="BU72" s="935"/>
      <c r="BV72" s="953"/>
      <c r="BW72" s="1120"/>
      <c r="BX72" s="1113"/>
      <c r="BY72" s="1113"/>
      <c r="BZ72" s="1113"/>
      <c r="CA72" s="1113"/>
      <c r="CB72" s="509">
        <v>7.54</v>
      </c>
      <c r="CC72">
        <v>7.16</v>
      </c>
      <c r="CD72">
        <v>2.7</v>
      </c>
      <c r="CE72"/>
      <c r="CF72" s="425"/>
      <c r="CJ72" s="427"/>
      <c r="CM72" s="340"/>
      <c r="CO72"/>
      <c r="CP72" s="506">
        <v>20</v>
      </c>
      <c r="CQ72" s="376">
        <f t="shared" ref="CQ72" si="97">DC72+DP72+IF(ISNUMBER(EB72),EB72,0)+EM72+EX72</f>
        <v>19.84500267236772</v>
      </c>
      <c r="CR72" s="426" t="s">
        <v>423</v>
      </c>
      <c r="CS72" s="119">
        <v>120</v>
      </c>
      <c r="CU72" s="119"/>
      <c r="CV72" s="506"/>
      <c r="CW72" s="518"/>
      <c r="CY72" s="506"/>
      <c r="CZ72" s="339"/>
      <c r="DA72" s="506"/>
      <c r="DB72" s="340">
        <f t="shared" si="73"/>
        <v>69.38</v>
      </c>
      <c r="DC72" s="506">
        <f>27.494*25/56.13</f>
        <v>12.24567967218956</v>
      </c>
      <c r="DD72" s="425" t="s">
        <v>438</v>
      </c>
      <c r="DE72" s="506">
        <f>2*25</f>
        <v>50</v>
      </c>
      <c r="DF72" s="506" t="s">
        <v>423</v>
      </c>
      <c r="DG72" s="506">
        <v>220</v>
      </c>
      <c r="DI72" s="427"/>
      <c r="DJ72" s="506"/>
      <c r="DK72" s="506" t="s">
        <v>572</v>
      </c>
      <c r="DL72" s="339"/>
      <c r="DM72" s="506"/>
      <c r="DO72" s="506">
        <f t="shared" ref="DO72" si="98">CB72*CC72</f>
        <v>53.986400000000003</v>
      </c>
      <c r="DP72" s="430"/>
      <c r="DQ72" s="506" t="s">
        <v>438</v>
      </c>
      <c r="DR72" s="506">
        <v>12.7</v>
      </c>
      <c r="DS72" s="506" t="s">
        <v>479</v>
      </c>
      <c r="DT72" s="506">
        <v>200</v>
      </c>
      <c r="DU72" s="506" t="s">
        <v>480</v>
      </c>
      <c r="DV72" s="427">
        <v>100</v>
      </c>
      <c r="DX72"/>
      <c r="DY72" s="341"/>
      <c r="DZ72"/>
      <c r="EA72" s="506">
        <f t="shared" ref="EA72" si="99">CB72*CC72</f>
        <v>53.986400000000003</v>
      </c>
      <c r="EB72" s="427"/>
      <c r="EC72" s="506">
        <v>8</v>
      </c>
      <c r="ED72" s="506" t="s">
        <v>529</v>
      </c>
      <c r="EE72" s="506"/>
      <c r="EF72" s="341"/>
      <c r="EH72" s="938">
        <f>EM72/(EI72+2*EJ72)</f>
        <v>3.6066606175862517</v>
      </c>
      <c r="EI72" s="940">
        <v>0.22</v>
      </c>
      <c r="EJ72" s="938">
        <v>0.32</v>
      </c>
      <c r="EK72" s="938"/>
      <c r="EL72" s="939" t="s">
        <v>471</v>
      </c>
      <c r="EM72" s="705">
        <f>6.964*25/56.13</f>
        <v>3.1017281311241764</v>
      </c>
      <c r="EN72" s="506">
        <v>7</v>
      </c>
      <c r="EO72" s="506"/>
      <c r="EP72" s="506"/>
      <c r="EQ72" s="339"/>
      <c r="ER72" s="506"/>
      <c r="ES72" s="340">
        <f>EX72/(2*(ET72+EU72))</f>
        <v>4.6849946552645649</v>
      </c>
      <c r="ET72" s="506">
        <v>0.24</v>
      </c>
      <c r="EU72" s="506">
        <v>0.24</v>
      </c>
      <c r="EV72" s="506"/>
      <c r="EW72" s="698">
        <v>4</v>
      </c>
      <c r="EX72" s="506">
        <f>10.098*25/56.13</f>
        <v>4.497594869053982</v>
      </c>
      <c r="EY72" s="21">
        <v>3</v>
      </c>
      <c r="EZ72" s="506">
        <v>1.4</v>
      </c>
      <c r="FA72" s="506">
        <v>1.6</v>
      </c>
      <c r="FB72" s="506">
        <v>0.7</v>
      </c>
      <c r="FC72" s="506">
        <v>1.5</v>
      </c>
      <c r="FD72" s="506">
        <f t="shared" ref="FD72" si="100">EZ72*FA72</f>
        <v>2.2399999999999998</v>
      </c>
      <c r="FE72" s="506">
        <v>1</v>
      </c>
      <c r="FF72" s="506">
        <v>2.4</v>
      </c>
      <c r="FG72" s="427" t="s">
        <v>453</v>
      </c>
      <c r="FH72" s="425">
        <v>2.4</v>
      </c>
      <c r="FI72" s="506">
        <v>2.2999999999999998</v>
      </c>
      <c r="FJ72" s="506">
        <v>0</v>
      </c>
      <c r="FK72" s="506">
        <v>0.6</v>
      </c>
      <c r="FL72" s="506">
        <f>FH72*FI72</f>
        <v>5.52</v>
      </c>
      <c r="FO72" s="427" t="s">
        <v>553</v>
      </c>
      <c r="GU72" s="510"/>
      <c r="HC72" s="510"/>
      <c r="HK72" s="510"/>
      <c r="HS72" s="510"/>
      <c r="IA72" s="510"/>
      <c r="II72" s="510"/>
    </row>
    <row r="73" spans="1:243" ht="14.45" customHeight="1" thickBot="1">
      <c r="A73" s="1167"/>
      <c r="B73" s="1179"/>
      <c r="C73" s="51" t="s">
        <v>588</v>
      </c>
      <c r="D73" s="950" t="str">
        <f>CONCATENATE("SeifBois_","H27_",C73)</f>
        <v>SeifBois_H27_R60_25%</v>
      </c>
      <c r="E73" s="17">
        <v>780</v>
      </c>
      <c r="F73" s="1177"/>
      <c r="G73" s="1159"/>
      <c r="H73" s="15">
        <f t="shared" si="65"/>
        <v>53.986400000000003</v>
      </c>
      <c r="I73" s="638">
        <f t="shared" si="66"/>
        <v>187.3528</v>
      </c>
      <c r="J73" s="4">
        <f t="shared" si="67"/>
        <v>0.10592317100341025</v>
      </c>
      <c r="K73" s="36" t="s">
        <v>472</v>
      </c>
      <c r="L73" s="718">
        <f t="shared" si="56"/>
        <v>0.25000003366550416</v>
      </c>
      <c r="M73" s="4">
        <f t="shared" si="57"/>
        <v>0.28603347754926089</v>
      </c>
      <c r="N73" s="4">
        <f t="shared" si="68"/>
        <v>0.36759262837247381</v>
      </c>
      <c r="O73" s="436">
        <f t="shared" si="86"/>
        <v>0.17650158074646238</v>
      </c>
      <c r="P73" s="131">
        <f t="shared" si="79"/>
        <v>0</v>
      </c>
      <c r="Q73" s="131">
        <f t="shared" si="80"/>
        <v>0</v>
      </c>
      <c r="R73" s="131">
        <f t="shared" si="87"/>
        <v>0.79629629629629628</v>
      </c>
      <c r="S73" s="437">
        <f t="shared" si="88"/>
        <v>1</v>
      </c>
      <c r="T73" s="679"/>
      <c r="U73" s="438"/>
      <c r="V73" s="679" t="s">
        <v>417</v>
      </c>
      <c r="W73" s="525">
        <f t="shared" si="89"/>
        <v>1.9863999999999997</v>
      </c>
      <c r="X73" s="439">
        <f t="shared" si="90"/>
        <v>10</v>
      </c>
      <c r="Y73" s="928">
        <f t="shared" si="69"/>
        <v>7.5226899955369186E-2</v>
      </c>
      <c r="Z73" s="933"/>
      <c r="AA73" s="933"/>
      <c r="AB73" s="933"/>
      <c r="AC73" s="933"/>
      <c r="AD73" s="933"/>
      <c r="AE73" s="933"/>
      <c r="AF73" s="933"/>
      <c r="AG73" s="933"/>
      <c r="AH73" s="933"/>
      <c r="AI73" s="934"/>
      <c r="AJ73" s="934"/>
      <c r="AK73" s="658"/>
      <c r="AL73" s="659"/>
      <c r="AM73" s="660">
        <v>540</v>
      </c>
      <c r="AN73" s="660"/>
      <c r="AO73" s="660"/>
      <c r="AP73" s="660"/>
      <c r="AQ73" s="660"/>
      <c r="AR73" s="660"/>
      <c r="AS73" s="660">
        <v>112</v>
      </c>
      <c r="AT73" s="660"/>
      <c r="AU73" s="660">
        <v>82.8</v>
      </c>
      <c r="AV73" s="661"/>
      <c r="AW73" s="662" t="s">
        <v>484</v>
      </c>
      <c r="AX73" s="663">
        <v>240</v>
      </c>
      <c r="AY73" s="935"/>
      <c r="AZ73" s="935"/>
      <c r="BA73" s="935"/>
      <c r="BB73" s="936"/>
      <c r="BC73" s="664"/>
      <c r="BD73" s="935"/>
      <c r="BE73" s="665"/>
      <c r="BF73" s="666"/>
      <c r="BG73" s="935"/>
      <c r="BH73" s="935"/>
      <c r="BI73" s="935"/>
      <c r="BJ73" s="664"/>
      <c r="BK73" s="935"/>
      <c r="BL73" s="935"/>
      <c r="BM73" s="935"/>
      <c r="BN73" s="664"/>
      <c r="BO73" s="935"/>
      <c r="BP73" s="935"/>
      <c r="BQ73" s="826"/>
      <c r="BR73" s="664" t="s">
        <v>1013</v>
      </c>
      <c r="BS73" s="935" t="s">
        <v>553</v>
      </c>
      <c r="BT73" s="935" t="s">
        <v>428</v>
      </c>
      <c r="BU73" s="935"/>
      <c r="BV73" s="953"/>
      <c r="BW73" s="1120"/>
      <c r="BX73" s="1113"/>
      <c r="BY73" s="1113"/>
      <c r="BZ73" s="1113"/>
      <c r="CA73" s="1113"/>
      <c r="CB73" s="509">
        <v>7.54</v>
      </c>
      <c r="CC73">
        <v>7.16</v>
      </c>
      <c r="CD73">
        <v>2.7</v>
      </c>
      <c r="CE73"/>
      <c r="CF73" s="425"/>
      <c r="CJ73" s="427"/>
      <c r="CM73" s="340"/>
      <c r="CO73"/>
      <c r="CP73" s="506">
        <v>20</v>
      </c>
      <c r="CQ73" s="376">
        <f t="shared" si="39"/>
        <v>19.84500267236772</v>
      </c>
      <c r="CR73" s="426" t="s">
        <v>423</v>
      </c>
      <c r="CS73" s="119">
        <v>120</v>
      </c>
      <c r="CU73" s="119"/>
      <c r="CV73" s="506"/>
      <c r="CW73" s="518"/>
      <c r="CY73" s="506"/>
      <c r="CZ73" s="339"/>
      <c r="DA73" s="506"/>
      <c r="DB73" s="340">
        <f t="shared" si="73"/>
        <v>69.38</v>
      </c>
      <c r="DC73" s="506">
        <f>27.494*25/56.13</f>
        <v>12.24567967218956</v>
      </c>
      <c r="DD73" s="425" t="s">
        <v>438</v>
      </c>
      <c r="DE73" s="506">
        <v>50</v>
      </c>
      <c r="DF73" s="506" t="s">
        <v>423</v>
      </c>
      <c r="DG73" s="506">
        <v>220</v>
      </c>
      <c r="DI73" s="427"/>
      <c r="DJ73" s="506"/>
      <c r="DK73" s="506" t="s">
        <v>572</v>
      </c>
      <c r="DL73" s="339"/>
      <c r="DM73" s="506"/>
      <c r="DO73" s="506">
        <f t="shared" si="76"/>
        <v>53.986400000000003</v>
      </c>
      <c r="DP73" s="430"/>
      <c r="DQ73" s="506" t="s">
        <v>438</v>
      </c>
      <c r="DR73" s="506">
        <v>12.7</v>
      </c>
      <c r="DS73" s="506" t="s">
        <v>479</v>
      </c>
      <c r="DT73" s="506">
        <v>200</v>
      </c>
      <c r="DU73" s="506" t="s">
        <v>480</v>
      </c>
      <c r="DV73" s="427">
        <v>100</v>
      </c>
      <c r="DX73"/>
      <c r="DY73" s="341"/>
      <c r="DZ73"/>
      <c r="EA73" s="506">
        <f t="shared" si="91"/>
        <v>53.986400000000003</v>
      </c>
      <c r="EB73" s="427"/>
      <c r="EC73" s="506">
        <v>8</v>
      </c>
      <c r="ED73" s="506" t="s">
        <v>529</v>
      </c>
      <c r="EE73" s="506"/>
      <c r="EF73" s="341"/>
      <c r="EH73" s="938">
        <f>EM73/(EI73+2*EJ73)</f>
        <v>3.6066606175862517</v>
      </c>
      <c r="EI73" s="940">
        <v>0.22</v>
      </c>
      <c r="EJ73" s="938">
        <v>0.32</v>
      </c>
      <c r="EK73" s="938"/>
      <c r="EL73" s="939" t="s">
        <v>471</v>
      </c>
      <c r="EM73" s="705">
        <f>6.964*25/56.13</f>
        <v>3.1017281311241764</v>
      </c>
      <c r="EN73" s="506">
        <v>7</v>
      </c>
      <c r="EO73" s="506"/>
      <c r="EP73" s="506"/>
      <c r="EQ73" s="339"/>
      <c r="ER73" s="506"/>
      <c r="ES73" s="340">
        <f>EX73/(2*(ET73+EU73))</f>
        <v>4.6849946552645649</v>
      </c>
      <c r="ET73" s="506">
        <v>0.24</v>
      </c>
      <c r="EU73" s="506">
        <v>0.24</v>
      </c>
      <c r="EV73" s="506"/>
      <c r="EW73" s="698">
        <v>4</v>
      </c>
      <c r="EX73" s="506">
        <f>10.098*25/56.13</f>
        <v>4.497594869053982</v>
      </c>
      <c r="EY73" s="21">
        <v>3</v>
      </c>
      <c r="EZ73" s="506">
        <v>1.4</v>
      </c>
      <c r="FA73" s="506">
        <v>1.6</v>
      </c>
      <c r="FB73" s="506">
        <v>0.7</v>
      </c>
      <c r="FC73" s="506">
        <v>1.5</v>
      </c>
      <c r="FD73" s="506">
        <f t="shared" si="60"/>
        <v>2.2399999999999998</v>
      </c>
      <c r="FE73" s="506">
        <v>1</v>
      </c>
      <c r="FF73" s="506">
        <v>2.4</v>
      </c>
      <c r="FG73" s="427" t="s">
        <v>453</v>
      </c>
      <c r="FH73" s="425">
        <v>2.4</v>
      </c>
      <c r="FI73" s="506">
        <v>2.2999999999999998</v>
      </c>
      <c r="FJ73" s="506">
        <v>0</v>
      </c>
      <c r="FK73" s="506">
        <v>0.6</v>
      </c>
      <c r="FL73" s="506">
        <f>FH73*FI73</f>
        <v>5.52</v>
      </c>
      <c r="FO73" s="427" t="s">
        <v>553</v>
      </c>
      <c r="GU73" s="510"/>
      <c r="HC73" s="510"/>
      <c r="HK73" s="510"/>
      <c r="HS73" s="510"/>
      <c r="IA73" s="510"/>
      <c r="II73" s="510"/>
    </row>
    <row r="74" spans="1:243" ht="14.45" customHeight="1" thickBot="1">
      <c r="A74" s="1167"/>
      <c r="B74" s="1179"/>
      <c r="C74" s="51" t="s">
        <v>592</v>
      </c>
      <c r="D74" s="950" t="str">
        <f>CONCATENATE("SeifBois_","H27_",C74)</f>
        <v>SeifBois_H27_R90_25%</v>
      </c>
      <c r="E74" s="17">
        <v>780</v>
      </c>
      <c r="F74" s="1177"/>
      <c r="G74" s="1159"/>
      <c r="H74" s="15">
        <f t="shared" si="65"/>
        <v>53.986400000000003</v>
      </c>
      <c r="I74" s="638">
        <f t="shared" si="66"/>
        <v>187.3528</v>
      </c>
      <c r="J74" s="4">
        <f t="shared" si="67"/>
        <v>0.10592317100341025</v>
      </c>
      <c r="K74" s="36" t="s">
        <v>472</v>
      </c>
      <c r="L74" s="718">
        <f t="shared" si="56"/>
        <v>0.25000003366550416</v>
      </c>
      <c r="M74" s="4">
        <f t="shared" si="57"/>
        <v>0.28603347754926089</v>
      </c>
      <c r="N74" s="4">
        <f t="shared" si="68"/>
        <v>0.36759262837247381</v>
      </c>
      <c r="O74" s="436">
        <f t="shared" si="86"/>
        <v>0.17650158074646238</v>
      </c>
      <c r="P74" s="131">
        <f t="shared" si="79"/>
        <v>0</v>
      </c>
      <c r="Q74" s="131">
        <f t="shared" si="80"/>
        <v>0</v>
      </c>
      <c r="R74" s="131">
        <f t="shared" si="87"/>
        <v>0.79629629629629628</v>
      </c>
      <c r="S74" s="437">
        <f t="shared" si="88"/>
        <v>1</v>
      </c>
      <c r="T74" s="679"/>
      <c r="U74" s="438"/>
      <c r="V74" s="979" t="s">
        <v>417</v>
      </c>
      <c r="W74" s="525">
        <f t="shared" si="89"/>
        <v>1.9863999999999997</v>
      </c>
      <c r="X74" s="439">
        <f t="shared" si="90"/>
        <v>10</v>
      </c>
      <c r="Y74" s="928">
        <f t="shared" si="69"/>
        <v>7.5226899955369186E-2</v>
      </c>
      <c r="Z74" s="933"/>
      <c r="AA74" s="933"/>
      <c r="AB74" s="933"/>
      <c r="AC74" s="933"/>
      <c r="AD74" s="933"/>
      <c r="AE74" s="933"/>
      <c r="AF74" s="933"/>
      <c r="AG74" s="933"/>
      <c r="AH74" s="933"/>
      <c r="AI74" s="934"/>
      <c r="AJ74" s="934"/>
      <c r="AK74" s="658"/>
      <c r="AL74" s="659"/>
      <c r="AM74" s="660">
        <v>540</v>
      </c>
      <c r="AN74" s="660"/>
      <c r="AO74" s="660"/>
      <c r="AP74" s="660"/>
      <c r="AQ74" s="660"/>
      <c r="AR74" s="660"/>
      <c r="AS74" s="660">
        <v>112</v>
      </c>
      <c r="AT74" s="660"/>
      <c r="AU74" s="660">
        <v>82.8</v>
      </c>
      <c r="AV74" s="661"/>
      <c r="AW74" s="662" t="s">
        <v>484</v>
      </c>
      <c r="AX74" s="663">
        <v>240</v>
      </c>
      <c r="AY74" s="935"/>
      <c r="AZ74" s="935"/>
      <c r="BA74" s="935"/>
      <c r="BB74" s="936"/>
      <c r="BC74" s="664"/>
      <c r="BD74" s="935"/>
      <c r="BE74" s="665"/>
      <c r="BF74" s="666"/>
      <c r="BG74" s="935"/>
      <c r="BH74" s="935"/>
      <c r="BI74" s="935"/>
      <c r="BJ74" s="664"/>
      <c r="BK74" s="935"/>
      <c r="BL74" s="935"/>
      <c r="BM74" s="935"/>
      <c r="BN74" s="664"/>
      <c r="BO74" s="935"/>
      <c r="BP74" s="935"/>
      <c r="BQ74" s="826"/>
      <c r="BR74" s="664" t="s">
        <v>1013</v>
      </c>
      <c r="BS74" s="935" t="s">
        <v>553</v>
      </c>
      <c r="BT74" s="935" t="s">
        <v>428</v>
      </c>
      <c r="BU74" s="935"/>
      <c r="BV74" s="953"/>
      <c r="BW74" s="1120"/>
      <c r="BX74" s="1113"/>
      <c r="BY74" s="1113"/>
      <c r="BZ74" s="1113"/>
      <c r="CA74" s="1113"/>
      <c r="CB74" s="509">
        <v>7.54</v>
      </c>
      <c r="CC74">
        <v>7.16</v>
      </c>
      <c r="CD74">
        <v>2.7</v>
      </c>
      <c r="CE74"/>
      <c r="CF74" s="425"/>
      <c r="CJ74" s="427"/>
      <c r="CM74" s="340"/>
      <c r="CO74"/>
      <c r="CP74" s="506">
        <v>20</v>
      </c>
      <c r="CQ74" s="376">
        <f t="shared" si="39"/>
        <v>19.84500267236772</v>
      </c>
      <c r="CR74" s="426" t="s">
        <v>423</v>
      </c>
      <c r="CS74" s="119">
        <v>120</v>
      </c>
      <c r="CU74" s="119"/>
      <c r="CV74" s="506"/>
      <c r="CW74" s="518"/>
      <c r="CY74" s="506"/>
      <c r="CZ74" s="339"/>
      <c r="DA74" s="506"/>
      <c r="DB74" s="340">
        <f t="shared" si="73"/>
        <v>69.38</v>
      </c>
      <c r="DC74" s="506">
        <f>27.494*25/56.13</f>
        <v>12.24567967218956</v>
      </c>
      <c r="DD74" s="425" t="s">
        <v>438</v>
      </c>
      <c r="DE74" s="506">
        <v>50</v>
      </c>
      <c r="DF74" s="506" t="s">
        <v>423</v>
      </c>
      <c r="DG74" s="506">
        <v>220</v>
      </c>
      <c r="DI74" s="427"/>
      <c r="DJ74" s="506"/>
      <c r="DK74" s="506" t="s">
        <v>572</v>
      </c>
      <c r="DL74" s="339"/>
      <c r="DM74" s="506"/>
      <c r="DO74" s="506">
        <f t="shared" si="76"/>
        <v>53.986400000000003</v>
      </c>
      <c r="DP74" s="430"/>
      <c r="DQ74" s="506" t="s">
        <v>438</v>
      </c>
      <c r="DR74" s="506">
        <v>12.7</v>
      </c>
      <c r="DS74" s="506" t="s">
        <v>479</v>
      </c>
      <c r="DT74" s="506">
        <v>200</v>
      </c>
      <c r="DU74" s="506" t="s">
        <v>480</v>
      </c>
      <c r="DV74" s="427">
        <v>100</v>
      </c>
      <c r="DX74"/>
      <c r="DY74" s="341"/>
      <c r="DZ74"/>
      <c r="EA74" s="506">
        <f t="shared" si="91"/>
        <v>53.986400000000003</v>
      </c>
      <c r="EB74" s="427"/>
      <c r="EC74" s="506">
        <v>8</v>
      </c>
      <c r="ED74" s="506" t="s">
        <v>529</v>
      </c>
      <c r="EE74" s="506"/>
      <c r="EF74" s="341"/>
      <c r="EH74" s="938">
        <f>EM74/(EI74+2*EJ74)</f>
        <v>3.6066606175862517</v>
      </c>
      <c r="EI74" s="937">
        <v>0.22</v>
      </c>
      <c r="EJ74" s="938">
        <v>0.32</v>
      </c>
      <c r="EK74" s="938"/>
      <c r="EL74" s="938" t="s">
        <v>471</v>
      </c>
      <c r="EM74" s="705">
        <f>6.964*25/56.13</f>
        <v>3.1017281311241764</v>
      </c>
      <c r="EN74" s="506">
        <v>7</v>
      </c>
      <c r="EO74" s="506"/>
      <c r="EP74" s="506"/>
      <c r="EQ74" s="339"/>
      <c r="ER74" s="506"/>
      <c r="ES74" s="340">
        <f>EX74/(2*(ET74+EU74))</f>
        <v>4.6849946552645649</v>
      </c>
      <c r="ET74" s="506">
        <v>0.24</v>
      </c>
      <c r="EU74" s="506">
        <v>0.24</v>
      </c>
      <c r="EV74" s="506"/>
      <c r="EW74" s="698">
        <v>4</v>
      </c>
      <c r="EX74" s="506">
        <f>10.098*25/56.13</f>
        <v>4.497594869053982</v>
      </c>
      <c r="EY74" s="21">
        <v>3</v>
      </c>
      <c r="EZ74" s="506">
        <v>1.4</v>
      </c>
      <c r="FA74" s="506">
        <v>1.6</v>
      </c>
      <c r="FB74" s="506">
        <v>0.7</v>
      </c>
      <c r="FC74" s="506">
        <v>1.5</v>
      </c>
      <c r="FD74" s="506">
        <f t="shared" si="60"/>
        <v>2.2399999999999998</v>
      </c>
      <c r="FE74" s="506">
        <v>1</v>
      </c>
      <c r="FF74" s="506">
        <v>2.4</v>
      </c>
      <c r="FG74" s="427" t="s">
        <v>453</v>
      </c>
      <c r="FH74" s="506">
        <v>2.4</v>
      </c>
      <c r="FI74" s="506">
        <v>2.2999999999999998</v>
      </c>
      <c r="FJ74" s="506">
        <v>0</v>
      </c>
      <c r="FK74" s="506">
        <v>0.6</v>
      </c>
      <c r="FL74" s="506">
        <f>FH74*FI74</f>
        <v>5.52</v>
      </c>
      <c r="FO74" s="427" t="s">
        <v>553</v>
      </c>
      <c r="GU74" s="510"/>
      <c r="HC74" s="510"/>
      <c r="HK74" s="510"/>
      <c r="HS74" s="510"/>
      <c r="IA74" s="510"/>
      <c r="II74" s="510"/>
    </row>
    <row r="75" spans="1:243" ht="14.45" customHeight="1" thickBot="1">
      <c r="A75" s="1167"/>
      <c r="B75" s="1180"/>
      <c r="C75" s="952" t="s">
        <v>588</v>
      </c>
      <c r="D75" s="930" t="str">
        <f>CONCATENATE("SeifBois_","E27_",C75)</f>
        <v>SeifBois_E27_R60_25%</v>
      </c>
      <c r="E75" s="17">
        <v>350</v>
      </c>
      <c r="F75" s="1177"/>
      <c r="G75" s="1159"/>
      <c r="H75" s="15">
        <f t="shared" ref="H75" si="101">CB75*CC75</f>
        <v>57.398800000000001</v>
      </c>
      <c r="I75" s="638">
        <f t="shared" ref="I75" si="102">2*H75+2*(CB75+CC75)*CD75</f>
        <v>219.0984</v>
      </c>
      <c r="J75" s="4">
        <f t="shared" ref="J75" si="103">CQ75/I75</f>
        <v>0.11900132543186076</v>
      </c>
      <c r="K75" s="36" t="s">
        <v>472</v>
      </c>
      <c r="L75" s="718">
        <f t="shared" ref="L75" si="104">CQ75/(2*(CB75+CC75)*CD75)</f>
        <v>0.24997890716082716</v>
      </c>
      <c r="M75" s="4">
        <f t="shared" ref="M75" si="105">CQ75/(2*(CB75+CC75)*CD75-X75)</f>
        <v>0.2770752214646422</v>
      </c>
      <c r="N75" s="4">
        <f t="shared" ref="N75" si="106">CQ75/H75</f>
        <v>0.45424294584555774</v>
      </c>
      <c r="O75" s="954">
        <f t="shared" ref="O75" si="107">DC75/(2*(CB75+CC75)*CD75-X75)</f>
        <v>0</v>
      </c>
      <c r="P75" s="955">
        <f t="shared" ref="P75" si="108">DP75/H75</f>
        <v>0</v>
      </c>
      <c r="Q75" s="955">
        <f t="shared" ref="Q75" si="109">EB75/H75</f>
        <v>0</v>
      </c>
      <c r="R75" s="955">
        <f t="shared" ref="R75" si="110">EM75/(EH75*2*(EI75+EJ75))</f>
        <v>0.8666666666666667</v>
      </c>
      <c r="S75" s="956">
        <f t="shared" ref="S75" si="111">EX75/(ES75*2*(ET75+EU75))</f>
        <v>0.5</v>
      </c>
      <c r="T75" s="1094"/>
      <c r="U75" s="957"/>
      <c r="V75" s="980" t="s">
        <v>417</v>
      </c>
      <c r="W75" s="209">
        <f t="shared" ref="W75" si="112">(FA75*(FE75+1)*FD75+FI75*(FM75+1)*FL75+FQ75*(FU75+1)*FT75+FY75*(GC75+1)*GB75+GG75*(GK75+1)*GJ75+GO75*(GS75+1)*GR75+GW75*(HA75+1)*GZ75+HE75*(HI75+1)*HH75+HM75*(HQ75+1)*HP75+HU75*(HY75+1)*HX75)/X75</f>
        <v>1.7000000000000002</v>
      </c>
      <c r="X75" s="113">
        <f t="shared" ref="X75" si="113">(FE75+1)*FD75+(FM75+1)*FL75+(FU75+1)*FT75+(GC75+1)*GB75+(GK75+1)*GJ75+(GS75+1)*GR75+(HA75+1)*GZ75+(HI75+1)*HH75+(HQ75+1)*HP75+(HY75+1)*HX75</f>
        <v>10.199999999999999</v>
      </c>
      <c r="Y75" s="378">
        <f t="shared" ref="Y75" si="114">X75*SQRT(W75)/I75</f>
        <v>6.0699543705537796E-2</v>
      </c>
      <c r="Z75" s="958"/>
      <c r="AA75" s="958"/>
      <c r="AB75" s="958"/>
      <c r="AC75" s="958"/>
      <c r="AD75" s="958"/>
      <c r="AE75" s="958"/>
      <c r="AF75" s="958"/>
      <c r="AG75" s="958"/>
      <c r="AH75" s="958"/>
      <c r="AI75" s="959"/>
      <c r="AJ75" s="958"/>
      <c r="AK75" s="960"/>
      <c r="AL75" s="961"/>
      <c r="AM75" s="962">
        <v>540</v>
      </c>
      <c r="AN75" s="962"/>
      <c r="AO75" s="962"/>
      <c r="AP75" s="962"/>
      <c r="AQ75" s="962"/>
      <c r="AR75" s="962"/>
      <c r="AS75" s="962">
        <v>112</v>
      </c>
      <c r="AT75" s="962"/>
      <c r="AU75" s="962">
        <v>82.8</v>
      </c>
      <c r="AV75" s="963"/>
      <c r="AW75" s="964" t="s">
        <v>484</v>
      </c>
      <c r="AX75" s="198">
        <v>240</v>
      </c>
      <c r="AY75" s="178"/>
      <c r="AZ75" s="617"/>
      <c r="BA75" s="617"/>
      <c r="BB75" s="226"/>
      <c r="BC75" s="188"/>
      <c r="BD75" s="617"/>
      <c r="BE75" s="618"/>
      <c r="BF75" s="238"/>
      <c r="BG75" s="188"/>
      <c r="BH75" s="178"/>
      <c r="BI75" s="178"/>
      <c r="BJ75" s="188"/>
      <c r="BK75" s="178"/>
      <c r="BL75" s="178"/>
      <c r="BM75" s="178"/>
      <c r="BN75" s="188"/>
      <c r="BO75" s="178"/>
      <c r="BP75" s="178"/>
      <c r="BQ75" s="965"/>
      <c r="BR75" s="188" t="s">
        <v>1013</v>
      </c>
      <c r="BS75" s="178" t="s">
        <v>553</v>
      </c>
      <c r="BT75" s="178" t="s">
        <v>428</v>
      </c>
      <c r="BU75" s="178"/>
      <c r="BV75" s="966"/>
      <c r="BW75" s="1120"/>
      <c r="BX75" s="1113"/>
      <c r="BY75" s="1113"/>
      <c r="BZ75" s="1113"/>
      <c r="CA75" s="1113"/>
      <c r="CB75" s="967">
        <v>7.34</v>
      </c>
      <c r="CC75" s="968">
        <v>7.82</v>
      </c>
      <c r="CD75" s="968">
        <v>3.44</v>
      </c>
      <c r="CE75" s="930"/>
      <c r="CF75" s="969"/>
      <c r="CG75" s="930"/>
      <c r="CH75" s="930"/>
      <c r="CI75" s="930"/>
      <c r="CJ75" s="970"/>
      <c r="CK75" s="930"/>
      <c r="CL75" s="930"/>
      <c r="CM75" s="841"/>
      <c r="CN75" s="930"/>
      <c r="CO75" s="930"/>
      <c r="CP75" s="930">
        <v>20</v>
      </c>
      <c r="CQ75" s="971">
        <f t="shared" si="39"/>
        <v>26.073</v>
      </c>
      <c r="CR75" s="972" t="s">
        <v>589</v>
      </c>
      <c r="CS75" s="973">
        <v>200</v>
      </c>
      <c r="CT75" s="973"/>
      <c r="CU75" s="973"/>
      <c r="CV75" s="930"/>
      <c r="CW75" s="970"/>
      <c r="CX75" s="930"/>
      <c r="CY75" s="930"/>
      <c r="CZ75" s="974"/>
      <c r="DA75" s="930"/>
      <c r="DB75" s="841">
        <f t="shared" si="73"/>
        <v>94.100799999999992</v>
      </c>
      <c r="DC75" s="930"/>
      <c r="DD75" s="972" t="s">
        <v>438</v>
      </c>
      <c r="DE75" s="973">
        <v>50</v>
      </c>
      <c r="DF75" s="930" t="s">
        <v>423</v>
      </c>
      <c r="DG75" s="930">
        <v>260</v>
      </c>
      <c r="DH75" s="930"/>
      <c r="DI75" s="970"/>
      <c r="DJ75" s="930"/>
      <c r="DK75" s="930" t="s">
        <v>572</v>
      </c>
      <c r="DL75" s="974"/>
      <c r="DM75" s="930"/>
      <c r="DN75" s="930"/>
      <c r="DO75" s="930">
        <f t="shared" si="76"/>
        <v>57.398800000000001</v>
      </c>
      <c r="DP75" s="975"/>
      <c r="DQ75" s="930" t="s">
        <v>438</v>
      </c>
      <c r="DR75" s="930">
        <v>12.7</v>
      </c>
      <c r="DS75" s="930" t="s">
        <v>479</v>
      </c>
      <c r="DT75" s="930">
        <v>200</v>
      </c>
      <c r="DU75" s="930" t="s">
        <v>480</v>
      </c>
      <c r="DV75" s="970">
        <v>100</v>
      </c>
      <c r="DW75" s="930"/>
      <c r="DX75" s="930"/>
      <c r="DY75" s="974"/>
      <c r="DZ75" s="930"/>
      <c r="EA75" s="930">
        <f t="shared" si="91"/>
        <v>57.398800000000001</v>
      </c>
      <c r="EB75" s="970"/>
      <c r="EC75" s="930">
        <v>13</v>
      </c>
      <c r="ED75" s="930" t="s">
        <v>529</v>
      </c>
      <c r="EE75" s="930"/>
      <c r="EF75" s="974"/>
      <c r="EG75" s="930"/>
      <c r="EH75" s="229">
        <f t="shared" ref="EH75" si="115">EM75/(2*EJ75+EI75)</f>
        <v>15.365384615384615</v>
      </c>
      <c r="EI75" s="841">
        <v>0.16</v>
      </c>
      <c r="EJ75" s="841">
        <v>0.44</v>
      </c>
      <c r="EK75" s="841">
        <v>0.2</v>
      </c>
      <c r="EL75" s="1069" t="s">
        <v>594</v>
      </c>
      <c r="EM75" s="970">
        <v>15.98</v>
      </c>
      <c r="EN75" s="930">
        <v>6</v>
      </c>
      <c r="EO75" s="930"/>
      <c r="EP75" s="930"/>
      <c r="EQ75" s="974"/>
      <c r="ER75" s="930"/>
      <c r="ES75" s="229">
        <f t="shared" ref="ES75" si="116">EX75/(EU75+ET75)</f>
        <v>18.023214285714285</v>
      </c>
      <c r="ET75" s="930">
        <v>0.24</v>
      </c>
      <c r="EU75" s="930">
        <v>0.32</v>
      </c>
      <c r="EV75" s="930">
        <v>0.32</v>
      </c>
      <c r="EW75" s="976" t="s">
        <v>531</v>
      </c>
      <c r="EX75" s="930">
        <v>10.093</v>
      </c>
      <c r="EY75" s="977">
        <f t="shared" ref="EY75" si="117">+FE75+1</f>
        <v>2</v>
      </c>
      <c r="EZ75" s="930">
        <v>3</v>
      </c>
      <c r="FA75" s="930">
        <v>1.7</v>
      </c>
      <c r="FB75" s="930">
        <v>0.4</v>
      </c>
      <c r="FC75" s="930">
        <v>0.4</v>
      </c>
      <c r="FD75" s="930">
        <f t="shared" si="60"/>
        <v>5.0999999999999996</v>
      </c>
      <c r="FE75" s="930">
        <v>1</v>
      </c>
      <c r="FF75" s="930">
        <v>0.6</v>
      </c>
      <c r="FG75" s="970" t="s">
        <v>553</v>
      </c>
      <c r="FH75" s="978"/>
      <c r="FI75" s="978"/>
      <c r="FJ75" s="978"/>
      <c r="FK75" s="978"/>
      <c r="FL75" s="978"/>
      <c r="FM75" s="978"/>
      <c r="FN75" s="978"/>
      <c r="FO75" s="970"/>
      <c r="FP75" s="978"/>
      <c r="FQ75" s="978"/>
      <c r="FR75" s="978"/>
      <c r="FS75" s="978"/>
      <c r="FT75" s="978"/>
      <c r="FU75" s="978"/>
      <c r="FV75" s="978"/>
      <c r="FW75" s="978"/>
      <c r="FX75" s="978"/>
      <c r="FY75" s="978"/>
      <c r="FZ75" s="978"/>
      <c r="GA75" s="978"/>
      <c r="GB75" s="978"/>
      <c r="GC75" s="978"/>
      <c r="GD75" s="978"/>
      <c r="GE75" s="978"/>
      <c r="GU75" s="510"/>
      <c r="HC75" s="510"/>
      <c r="HK75" s="510"/>
      <c r="HS75" s="510"/>
      <c r="IA75" s="510"/>
      <c r="II75" s="510"/>
    </row>
    <row r="76" spans="1:243" ht="14.45" customHeight="1" thickBot="1">
      <c r="A76" s="1168"/>
      <c r="B76" s="1175" t="s">
        <v>593</v>
      </c>
      <c r="C76" s="427" t="s">
        <v>993</v>
      </c>
      <c r="D76" s="943" t="str">
        <f t="shared" ref="D76:D78" si="118">CONCATENATE("SeifBois_","E",C76)</f>
        <v>SeifBois_E11a</v>
      </c>
      <c r="E76" s="944">
        <v>350</v>
      </c>
      <c r="F76" s="1147"/>
      <c r="G76" s="1147"/>
      <c r="H76" s="209">
        <f t="shared" si="65"/>
        <v>55.748000000000005</v>
      </c>
      <c r="I76" s="372">
        <f t="shared" si="66"/>
        <v>209.50240000000002</v>
      </c>
      <c r="J76" s="945">
        <f t="shared" si="67"/>
        <v>0.22015022262274797</v>
      </c>
      <c r="K76" s="946" t="s">
        <v>472</v>
      </c>
      <c r="L76" s="945">
        <f t="shared" si="56"/>
        <v>0.47060191987462041</v>
      </c>
      <c r="M76" s="945">
        <f t="shared" si="57"/>
        <v>0.52526922866670311</v>
      </c>
      <c r="N76" s="945">
        <f t="shared" si="68"/>
        <v>0.82733012843510079</v>
      </c>
      <c r="O76" s="436">
        <f t="shared" si="86"/>
        <v>0</v>
      </c>
      <c r="P76" s="131">
        <f t="shared" si="79"/>
        <v>0</v>
      </c>
      <c r="Q76" s="131">
        <f t="shared" si="80"/>
        <v>0</v>
      </c>
      <c r="R76" s="131">
        <f t="shared" si="87"/>
        <v>0.5</v>
      </c>
      <c r="S76" s="437">
        <f t="shared" si="88"/>
        <v>0.3838264077085215</v>
      </c>
      <c r="T76" s="679"/>
      <c r="U76" s="438"/>
      <c r="V76" s="679" t="s">
        <v>417</v>
      </c>
      <c r="W76" s="525">
        <f t="shared" si="89"/>
        <v>1.7000000000000002</v>
      </c>
      <c r="X76" s="439">
        <f t="shared" si="90"/>
        <v>10.199999999999999</v>
      </c>
      <c r="Y76" s="928">
        <f t="shared" si="69"/>
        <v>6.3479811718688661E-2</v>
      </c>
      <c r="Z76" s="933"/>
      <c r="AA76" s="933"/>
      <c r="AB76" s="933"/>
      <c r="AC76" s="933"/>
      <c r="AD76" s="933"/>
      <c r="AE76" s="933" t="s">
        <v>998</v>
      </c>
      <c r="AF76" s="933"/>
      <c r="AG76" s="933"/>
      <c r="AH76" s="933"/>
      <c r="AI76" s="934">
        <v>0.25</v>
      </c>
      <c r="AJ76" s="934"/>
      <c r="AK76" s="658"/>
      <c r="AL76" s="659"/>
      <c r="AM76" s="660">
        <v>240</v>
      </c>
      <c r="AN76" s="660"/>
      <c r="AO76" s="660"/>
      <c r="AP76" s="660"/>
      <c r="AQ76" s="660"/>
      <c r="AR76" s="660"/>
      <c r="AS76" s="660">
        <v>112</v>
      </c>
      <c r="AT76" s="660"/>
      <c r="AU76" s="660">
        <v>82.8</v>
      </c>
      <c r="AV76" s="661"/>
      <c r="AW76" s="662" t="s">
        <v>484</v>
      </c>
      <c r="AX76" s="1108">
        <v>100</v>
      </c>
      <c r="AY76" s="935"/>
      <c r="AZ76" s="935"/>
      <c r="BA76" s="935"/>
      <c r="BB76" s="936"/>
      <c r="BC76" s="664"/>
      <c r="BD76" s="935"/>
      <c r="BE76" s="665"/>
      <c r="BF76" s="666"/>
      <c r="BG76" s="935"/>
      <c r="BH76" s="935"/>
      <c r="BI76" s="935"/>
      <c r="BJ76" s="664">
        <f>'Char measurement'!C340</f>
        <v>55.761904761904759</v>
      </c>
      <c r="BK76" s="935">
        <f>'Char measurement'!C339</f>
        <v>33</v>
      </c>
      <c r="BL76" s="935">
        <f>'Char measurement'!C338</f>
        <v>76</v>
      </c>
      <c r="BM76" s="935"/>
      <c r="BN76" s="664">
        <f>'Char measurement'!C334</f>
        <v>50.75</v>
      </c>
      <c r="BO76" s="935">
        <f>'Char measurement'!C339</f>
        <v>33</v>
      </c>
      <c r="BP76" s="935">
        <f>'Char measurement'!C332</f>
        <v>64</v>
      </c>
      <c r="BQ76" s="826"/>
      <c r="BR76" s="664" t="s">
        <v>1013</v>
      </c>
      <c r="BS76" s="935" t="s">
        <v>553</v>
      </c>
      <c r="BT76" s="935" t="s">
        <v>428</v>
      </c>
      <c r="BU76" s="935"/>
      <c r="BV76" s="826"/>
      <c r="BW76" s="1121"/>
      <c r="BX76" s="1113"/>
      <c r="BY76" s="1113"/>
      <c r="BZ76" s="1113"/>
      <c r="CA76" s="1122"/>
      <c r="CB76" s="509">
        <v>7.24</v>
      </c>
      <c r="CC76">
        <v>7.7</v>
      </c>
      <c r="CD76">
        <v>3.28</v>
      </c>
      <c r="CE76"/>
      <c r="CF76" s="425"/>
      <c r="CJ76" s="427"/>
      <c r="CM76" s="340"/>
      <c r="CO76"/>
      <c r="CP76" s="506">
        <v>20</v>
      </c>
      <c r="CQ76" s="376">
        <f t="shared" si="39"/>
        <v>46.122</v>
      </c>
      <c r="CR76" s="426" t="s">
        <v>589</v>
      </c>
      <c r="CS76" s="119">
        <v>200</v>
      </c>
      <c r="CU76" s="119"/>
      <c r="CV76" s="506"/>
      <c r="CW76" s="518"/>
      <c r="CY76" s="506"/>
      <c r="CZ76" s="339"/>
      <c r="DA76" s="506"/>
      <c r="DB76" s="340">
        <f t="shared" si="73"/>
        <v>87.806399999999996</v>
      </c>
      <c r="DC76" s="506"/>
      <c r="DD76" s="425" t="s">
        <v>438</v>
      </c>
      <c r="DE76" s="506">
        <v>50</v>
      </c>
      <c r="DF76" s="506" t="s">
        <v>423</v>
      </c>
      <c r="DG76" s="506">
        <v>260</v>
      </c>
      <c r="DI76" s="427"/>
      <c r="DJ76" s="506"/>
      <c r="DK76" s="506" t="s">
        <v>572</v>
      </c>
      <c r="DL76" s="339"/>
      <c r="DM76" s="506"/>
      <c r="DO76" s="506">
        <f t="shared" si="76"/>
        <v>55.748000000000005</v>
      </c>
      <c r="DP76" s="430"/>
      <c r="DQ76" s="506" t="s">
        <v>438</v>
      </c>
      <c r="DR76" s="506">
        <v>12.7</v>
      </c>
      <c r="DS76" s="506" t="s">
        <v>479</v>
      </c>
      <c r="DT76" s="506">
        <v>200</v>
      </c>
      <c r="DU76" s="506" t="s">
        <v>480</v>
      </c>
      <c r="DV76" s="427">
        <v>100</v>
      </c>
      <c r="DX76"/>
      <c r="DY76" s="341"/>
      <c r="DZ76"/>
      <c r="EA76" s="506">
        <f t="shared" si="91"/>
        <v>55.748000000000005</v>
      </c>
      <c r="EB76" s="427"/>
      <c r="EC76" s="506">
        <v>11</v>
      </c>
      <c r="ED76" s="506" t="s">
        <v>529</v>
      </c>
      <c r="EE76" s="506"/>
      <c r="EF76" s="341"/>
      <c r="EH76" s="116">
        <f>EM76/(2*EK76+EI76)</f>
        <v>67.79285714285713</v>
      </c>
      <c r="EI76" s="340">
        <v>0.16</v>
      </c>
      <c r="EJ76" s="340">
        <v>0.4</v>
      </c>
      <c r="EK76" s="340">
        <v>0.2</v>
      </c>
      <c r="EL76" s="698" t="s">
        <v>471</v>
      </c>
      <c r="EM76" s="427">
        <v>37.963999999999999</v>
      </c>
      <c r="EN76" s="506">
        <v>6</v>
      </c>
      <c r="EO76" s="506"/>
      <c r="EP76" s="506"/>
      <c r="EQ76" s="339"/>
      <c r="ER76" s="506"/>
      <c r="ES76" s="116">
        <f>CD76*EN76</f>
        <v>19.68</v>
      </c>
      <c r="ET76" s="506">
        <v>0.24</v>
      </c>
      <c r="EU76" s="506">
        <f>(0.28*3+0.32*3)/6</f>
        <v>0.3</v>
      </c>
      <c r="EV76" s="506">
        <v>0.2</v>
      </c>
      <c r="EW76" s="698" t="s">
        <v>471</v>
      </c>
      <c r="EX76" s="506">
        <v>8.1579999999999995</v>
      </c>
      <c r="EY76" s="21">
        <f t="shared" ref="EY76:EY78" si="119">+FE76+1</f>
        <v>2</v>
      </c>
      <c r="EZ76" s="506">
        <v>3</v>
      </c>
      <c r="FA76" s="506">
        <v>1.7</v>
      </c>
      <c r="FB76" s="1107">
        <v>1.1000000000000001</v>
      </c>
      <c r="FC76" s="506">
        <v>0.4</v>
      </c>
      <c r="FD76" s="506">
        <f t="shared" si="60"/>
        <v>5.0999999999999996</v>
      </c>
      <c r="FE76" s="506">
        <v>1</v>
      </c>
      <c r="FF76" s="506">
        <v>0.6</v>
      </c>
      <c r="FG76" s="427" t="s">
        <v>553</v>
      </c>
      <c r="FH76" s="506"/>
      <c r="FI76" s="506"/>
      <c r="FJ76" s="506"/>
      <c r="FK76" s="506"/>
      <c r="FL76" s="506"/>
      <c r="FO76" s="427"/>
      <c r="GU76" s="510"/>
      <c r="HC76" s="510"/>
      <c r="HK76" s="510"/>
      <c r="HS76" s="510"/>
      <c r="IA76" s="510"/>
      <c r="II76" s="510"/>
    </row>
    <row r="77" spans="1:243" ht="14.45" customHeight="1" thickBot="1">
      <c r="A77" s="1168"/>
      <c r="B77" s="1175"/>
      <c r="C77" s="427" t="s">
        <v>994</v>
      </c>
      <c r="D77" s="929" t="str">
        <f t="shared" si="118"/>
        <v>SeifBois_E11b</v>
      </c>
      <c r="E77" s="17">
        <v>530</v>
      </c>
      <c r="F77" s="1147"/>
      <c r="G77" s="1147"/>
      <c r="H77" s="15">
        <f t="shared" si="65"/>
        <v>55.748000000000005</v>
      </c>
      <c r="I77" s="638">
        <f t="shared" si="66"/>
        <v>209.50240000000002</v>
      </c>
      <c r="J77" s="4">
        <f t="shared" si="67"/>
        <v>0.22015022262274797</v>
      </c>
      <c r="K77" s="36" t="s">
        <v>472</v>
      </c>
      <c r="L77" s="4">
        <f t="shared" si="56"/>
        <v>0.47060191987462041</v>
      </c>
      <c r="M77" s="4">
        <f t="shared" si="57"/>
        <v>0.52526922866670311</v>
      </c>
      <c r="N77" s="4">
        <f t="shared" si="68"/>
        <v>0.82733012843510079</v>
      </c>
      <c r="O77" s="436">
        <f t="shared" si="86"/>
        <v>0</v>
      </c>
      <c r="P77" s="131">
        <f t="shared" si="79"/>
        <v>0</v>
      </c>
      <c r="Q77" s="131">
        <f t="shared" si="80"/>
        <v>0</v>
      </c>
      <c r="R77" s="131">
        <f t="shared" si="87"/>
        <v>0.5</v>
      </c>
      <c r="S77" s="437">
        <f t="shared" si="88"/>
        <v>0.3838264077085215</v>
      </c>
      <c r="T77" s="679"/>
      <c r="U77" s="438"/>
      <c r="V77" s="679" t="s">
        <v>417</v>
      </c>
      <c r="W77" s="525">
        <f t="shared" si="89"/>
        <v>1.7000000000000002</v>
      </c>
      <c r="X77" s="439">
        <f t="shared" si="90"/>
        <v>10.199999999999999</v>
      </c>
      <c r="Y77" s="928">
        <f t="shared" si="69"/>
        <v>6.3479811718688661E-2</v>
      </c>
      <c r="Z77" s="933"/>
      <c r="AA77" s="933"/>
      <c r="AB77" s="933"/>
      <c r="AC77" s="933"/>
      <c r="AD77" s="933"/>
      <c r="AE77" s="489"/>
      <c r="AF77" s="933"/>
      <c r="AG77" s="933"/>
      <c r="AH77" s="933"/>
      <c r="AI77" s="934">
        <v>0.25</v>
      </c>
      <c r="AJ77" s="934"/>
      <c r="AK77" s="658"/>
      <c r="AL77" s="659"/>
      <c r="AM77" s="660">
        <v>240</v>
      </c>
      <c r="AN77" s="660"/>
      <c r="AO77" s="660"/>
      <c r="AP77" s="660"/>
      <c r="AQ77" s="660"/>
      <c r="AR77" s="660"/>
      <c r="AS77" s="660">
        <v>112</v>
      </c>
      <c r="AT77" s="660"/>
      <c r="AU77" s="660">
        <v>82.8</v>
      </c>
      <c r="AV77" s="661"/>
      <c r="AW77" s="662" t="s">
        <v>484</v>
      </c>
      <c r="AX77" s="663">
        <v>240</v>
      </c>
      <c r="AY77" s="935"/>
      <c r="AZ77" s="935"/>
      <c r="BA77" s="935"/>
      <c r="BB77" s="936"/>
      <c r="BC77" s="664"/>
      <c r="BD77" s="935"/>
      <c r="BE77" s="665"/>
      <c r="BF77" s="666"/>
      <c r="BG77" s="935"/>
      <c r="BH77" s="935"/>
      <c r="BI77" s="935"/>
      <c r="BJ77" s="664"/>
      <c r="BK77" s="935"/>
      <c r="BL77" s="935"/>
      <c r="BM77" s="935"/>
      <c r="BN77" s="664"/>
      <c r="BO77" s="935"/>
      <c r="BP77" s="935"/>
      <c r="BQ77" s="826"/>
      <c r="BR77" s="664" t="s">
        <v>1013</v>
      </c>
      <c r="BS77" s="935" t="s">
        <v>553</v>
      </c>
      <c r="BT77" s="935" t="s">
        <v>428</v>
      </c>
      <c r="BU77" s="935"/>
      <c r="BV77" s="826"/>
      <c r="BW77" s="1121"/>
      <c r="BX77" s="1113"/>
      <c r="BY77" s="1113"/>
      <c r="BZ77" s="1113"/>
      <c r="CA77" s="1122"/>
      <c r="CB77" s="509">
        <v>7.24</v>
      </c>
      <c r="CC77">
        <v>7.7</v>
      </c>
      <c r="CD77">
        <v>3.28</v>
      </c>
      <c r="CE77"/>
      <c r="CF77" s="425"/>
      <c r="CJ77" s="427"/>
      <c r="CM77" s="340"/>
      <c r="CO77"/>
      <c r="CP77" s="506">
        <v>20</v>
      </c>
      <c r="CQ77" s="376">
        <f t="shared" si="39"/>
        <v>46.122</v>
      </c>
      <c r="CR77" s="426" t="s">
        <v>589</v>
      </c>
      <c r="CS77" s="119">
        <v>200</v>
      </c>
      <c r="CU77" s="119"/>
      <c r="CV77" s="506"/>
      <c r="CW77" s="518"/>
      <c r="CY77" s="506"/>
      <c r="CZ77" s="339"/>
      <c r="DA77" s="506"/>
      <c r="DB77" s="340">
        <f t="shared" si="73"/>
        <v>87.806399999999996</v>
      </c>
      <c r="DC77" s="506"/>
      <c r="DD77" s="425" t="s">
        <v>438</v>
      </c>
      <c r="DE77" s="506">
        <v>50</v>
      </c>
      <c r="DF77" s="506" t="s">
        <v>423</v>
      </c>
      <c r="DG77" s="506">
        <v>260</v>
      </c>
      <c r="DI77" s="427"/>
      <c r="DJ77" s="506"/>
      <c r="DK77" s="506" t="s">
        <v>572</v>
      </c>
      <c r="DL77" s="339"/>
      <c r="DM77" s="506"/>
      <c r="DO77" s="506">
        <f t="shared" si="76"/>
        <v>55.748000000000005</v>
      </c>
      <c r="DP77" s="430"/>
      <c r="DQ77" s="506" t="s">
        <v>438</v>
      </c>
      <c r="DR77" s="506">
        <v>12.7</v>
      </c>
      <c r="DS77" s="506" t="s">
        <v>479</v>
      </c>
      <c r="DT77" s="506">
        <v>200</v>
      </c>
      <c r="DU77" s="506" t="s">
        <v>480</v>
      </c>
      <c r="DV77" s="427">
        <v>100</v>
      </c>
      <c r="DX77"/>
      <c r="DY77" s="341"/>
      <c r="DZ77"/>
      <c r="EA77" s="506">
        <f t="shared" si="91"/>
        <v>55.748000000000005</v>
      </c>
      <c r="EB77" s="427"/>
      <c r="EC77" s="506">
        <v>13</v>
      </c>
      <c r="ED77" s="506" t="s">
        <v>529</v>
      </c>
      <c r="EE77" s="506"/>
      <c r="EF77" s="341"/>
      <c r="EH77" s="116">
        <f t="shared" ref="EH77:EH78" si="120">EM77/(2*EK77+EI77)</f>
        <v>67.79285714285713</v>
      </c>
      <c r="EI77" s="340">
        <v>0.16</v>
      </c>
      <c r="EJ77" s="340">
        <v>0.4</v>
      </c>
      <c r="EK77" s="340">
        <v>0.2</v>
      </c>
      <c r="EL77" s="698" t="s">
        <v>471</v>
      </c>
      <c r="EM77" s="427">
        <v>37.963999999999999</v>
      </c>
      <c r="EN77" s="506">
        <v>6</v>
      </c>
      <c r="EO77" s="506"/>
      <c r="EP77" s="506"/>
      <c r="EQ77" s="339"/>
      <c r="ER77" s="506"/>
      <c r="ES77" s="116">
        <f t="shared" ref="ES77:ES78" si="121">CD77*EN77</f>
        <v>19.68</v>
      </c>
      <c r="ET77" s="506">
        <v>0.24</v>
      </c>
      <c r="EU77" s="506">
        <f>EU76</f>
        <v>0.3</v>
      </c>
      <c r="EV77" s="506">
        <v>0.2</v>
      </c>
      <c r="EW77" s="698" t="s">
        <v>471</v>
      </c>
      <c r="EX77" s="506">
        <v>8.1579999999999995</v>
      </c>
      <c r="EY77" s="21">
        <f t="shared" si="119"/>
        <v>2</v>
      </c>
      <c r="EZ77" s="506">
        <v>3</v>
      </c>
      <c r="FA77" s="506">
        <v>1.7</v>
      </c>
      <c r="FB77" s="1107">
        <v>1.1000000000000001</v>
      </c>
      <c r="FC77" s="506">
        <v>0.4</v>
      </c>
      <c r="FD77" s="506">
        <f t="shared" si="60"/>
        <v>5.0999999999999996</v>
      </c>
      <c r="FE77" s="506">
        <v>1</v>
      </c>
      <c r="FF77" s="506">
        <v>0.6</v>
      </c>
      <c r="FG77" s="427" t="s">
        <v>553</v>
      </c>
      <c r="FH77" s="506"/>
      <c r="FI77" s="506"/>
      <c r="FJ77" s="506"/>
      <c r="FK77" s="506"/>
      <c r="FL77" s="506"/>
      <c r="FO77" s="427"/>
      <c r="GU77" s="510"/>
      <c r="HC77" s="510"/>
      <c r="HK77" s="510"/>
      <c r="HS77" s="510"/>
      <c r="IA77" s="510"/>
      <c r="II77" s="510"/>
    </row>
    <row r="78" spans="1:243" ht="14.45" customHeight="1" thickBot="1">
      <c r="A78" s="1168"/>
      <c r="B78" s="1175"/>
      <c r="C78" s="427" t="s">
        <v>995</v>
      </c>
      <c r="D78" s="929" t="str">
        <f t="shared" si="118"/>
        <v>SeifBois_E11c</v>
      </c>
      <c r="E78" s="17">
        <v>350</v>
      </c>
      <c r="F78" s="1147"/>
      <c r="G78" s="1147"/>
      <c r="H78" s="15">
        <f t="shared" si="65"/>
        <v>55.748000000000005</v>
      </c>
      <c r="I78" s="638">
        <f t="shared" si="66"/>
        <v>209.50240000000002</v>
      </c>
      <c r="J78" s="4">
        <f t="shared" si="67"/>
        <v>0.22015022262274797</v>
      </c>
      <c r="K78" s="36" t="s">
        <v>472</v>
      </c>
      <c r="L78" s="4">
        <f t="shared" si="56"/>
        <v>0.47060191987462041</v>
      </c>
      <c r="M78" s="4">
        <f t="shared" si="57"/>
        <v>0.52526922866670311</v>
      </c>
      <c r="N78" s="4">
        <f t="shared" si="68"/>
        <v>0.82733012843510079</v>
      </c>
      <c r="O78" s="436">
        <f t="shared" si="86"/>
        <v>0</v>
      </c>
      <c r="P78" s="131">
        <f t="shared" si="79"/>
        <v>0</v>
      </c>
      <c r="Q78" s="131">
        <f t="shared" si="80"/>
        <v>0</v>
      </c>
      <c r="R78" s="131">
        <f t="shared" si="87"/>
        <v>0.5</v>
      </c>
      <c r="S78" s="437">
        <f t="shared" si="88"/>
        <v>0.3838264077085215</v>
      </c>
      <c r="T78" s="679"/>
      <c r="U78" s="438"/>
      <c r="V78" s="679" t="s">
        <v>417</v>
      </c>
      <c r="W78" s="525">
        <f t="shared" si="89"/>
        <v>1.7000000000000002</v>
      </c>
      <c r="X78" s="439">
        <f t="shared" si="90"/>
        <v>10.199999999999999</v>
      </c>
      <c r="Y78" s="928">
        <f t="shared" si="69"/>
        <v>6.3479811718688661E-2</v>
      </c>
      <c r="Z78" s="489"/>
      <c r="AA78" s="489"/>
      <c r="AB78" s="489"/>
      <c r="AC78" s="489"/>
      <c r="AD78" s="489"/>
      <c r="AE78" s="489"/>
      <c r="AF78" s="489"/>
      <c r="AG78" s="489"/>
      <c r="AH78" s="489"/>
      <c r="AI78" s="492">
        <v>0.25</v>
      </c>
      <c r="AJ78" s="492"/>
      <c r="AK78" s="440"/>
      <c r="AL78" s="497"/>
      <c r="AM78" s="88">
        <v>240</v>
      </c>
      <c r="AN78" s="88"/>
      <c r="AO78" s="88"/>
      <c r="AP78" s="88"/>
      <c r="AQ78" s="88"/>
      <c r="AR78" s="821"/>
      <c r="AS78" s="821">
        <v>112</v>
      </c>
      <c r="AT78" s="821"/>
      <c r="AU78" s="821">
        <v>82.8</v>
      </c>
      <c r="AV78" s="265"/>
      <c r="AW78" s="667" t="s">
        <v>484</v>
      </c>
      <c r="AX78" s="668">
        <v>240</v>
      </c>
      <c r="AY78" s="941"/>
      <c r="AZ78" s="941"/>
      <c r="BA78" s="941"/>
      <c r="BB78" s="942"/>
      <c r="BC78" s="669"/>
      <c r="BD78" s="941"/>
      <c r="BE78" s="670"/>
      <c r="BF78" s="671"/>
      <c r="BG78" s="941"/>
      <c r="BH78" s="941"/>
      <c r="BI78" s="941"/>
      <c r="BJ78" s="669"/>
      <c r="BK78" s="941"/>
      <c r="BL78" s="941"/>
      <c r="BM78" s="941"/>
      <c r="BN78" s="669"/>
      <c r="BO78" s="941"/>
      <c r="BP78" s="941"/>
      <c r="BQ78" s="824"/>
      <c r="BR78" s="669" t="s">
        <v>1013</v>
      </c>
      <c r="BS78" s="941" t="s">
        <v>553</v>
      </c>
      <c r="BT78" s="941" t="s">
        <v>428</v>
      </c>
      <c r="BU78" s="941"/>
      <c r="BV78" s="824"/>
      <c r="BW78" s="1121"/>
      <c r="BX78" s="1113"/>
      <c r="BY78" s="1113"/>
      <c r="BZ78" s="1113"/>
      <c r="CA78" s="1122"/>
      <c r="CB78" s="509">
        <v>7.24</v>
      </c>
      <c r="CC78">
        <v>7.7</v>
      </c>
      <c r="CD78">
        <v>3.28</v>
      </c>
      <c r="CE78"/>
      <c r="CF78" s="425"/>
      <c r="CJ78" s="427"/>
      <c r="CM78" s="340"/>
      <c r="CO78"/>
      <c r="CP78" s="506">
        <v>20</v>
      </c>
      <c r="CQ78" s="376">
        <f t="shared" si="39"/>
        <v>46.122</v>
      </c>
      <c r="CR78" s="426" t="s">
        <v>589</v>
      </c>
      <c r="CS78" s="119">
        <v>200</v>
      </c>
      <c r="CU78" s="119"/>
      <c r="CV78" s="506"/>
      <c r="CW78" s="518"/>
      <c r="CY78" s="506"/>
      <c r="CZ78" s="339"/>
      <c r="DA78" s="506"/>
      <c r="DB78" s="340">
        <f t="shared" si="73"/>
        <v>87.806399999999996</v>
      </c>
      <c r="DC78" s="506"/>
      <c r="DD78" s="425" t="s">
        <v>438</v>
      </c>
      <c r="DE78" s="506">
        <v>50</v>
      </c>
      <c r="DF78" s="506" t="s">
        <v>423</v>
      </c>
      <c r="DG78" s="506">
        <v>260</v>
      </c>
      <c r="DI78" s="427"/>
      <c r="DJ78" s="506"/>
      <c r="DK78" s="506" t="s">
        <v>572</v>
      </c>
      <c r="DL78" s="339"/>
      <c r="DM78" s="506"/>
      <c r="DO78" s="506">
        <f t="shared" si="76"/>
        <v>55.748000000000005</v>
      </c>
      <c r="DP78" s="430"/>
      <c r="DQ78" s="506" t="s">
        <v>438</v>
      </c>
      <c r="DR78" s="506">
        <v>12.7</v>
      </c>
      <c r="DS78" s="506" t="s">
        <v>479</v>
      </c>
      <c r="DT78" s="506">
        <v>200</v>
      </c>
      <c r="DU78" s="506" t="s">
        <v>480</v>
      </c>
      <c r="DV78" s="427">
        <v>100</v>
      </c>
      <c r="DX78"/>
      <c r="DY78" s="341"/>
      <c r="DZ78"/>
      <c r="EA78" s="506">
        <f t="shared" si="91"/>
        <v>55.748000000000005</v>
      </c>
      <c r="EB78" s="427"/>
      <c r="EC78" s="506">
        <v>13</v>
      </c>
      <c r="ED78" s="506" t="s">
        <v>529</v>
      </c>
      <c r="EE78" s="506"/>
      <c r="EF78" s="341"/>
      <c r="EH78" s="116">
        <f t="shared" si="120"/>
        <v>67.79285714285713</v>
      </c>
      <c r="EI78" s="340">
        <v>0.16</v>
      </c>
      <c r="EJ78" s="340">
        <v>0.4</v>
      </c>
      <c r="EK78" s="340">
        <v>0.2</v>
      </c>
      <c r="EL78" s="698" t="s">
        <v>471</v>
      </c>
      <c r="EM78" s="427">
        <v>37.963999999999999</v>
      </c>
      <c r="EN78" s="506">
        <v>6</v>
      </c>
      <c r="EO78" s="506"/>
      <c r="EP78" s="506"/>
      <c r="EQ78" s="339"/>
      <c r="ER78" s="506"/>
      <c r="ES78" s="116">
        <f t="shared" si="121"/>
        <v>19.68</v>
      </c>
      <c r="ET78" s="506">
        <v>0.24</v>
      </c>
      <c r="EU78" s="506">
        <f>EU77</f>
        <v>0.3</v>
      </c>
      <c r="EV78" s="506">
        <v>0.2</v>
      </c>
      <c r="EW78" s="698" t="s">
        <v>471</v>
      </c>
      <c r="EX78" s="506">
        <v>8.1579999999999995</v>
      </c>
      <c r="EY78" s="21">
        <f t="shared" si="119"/>
        <v>2</v>
      </c>
      <c r="EZ78" s="506">
        <v>3</v>
      </c>
      <c r="FA78" s="506">
        <v>1.7</v>
      </c>
      <c r="FB78" s="1107">
        <v>1.1000000000000001</v>
      </c>
      <c r="FC78" s="506">
        <v>0.4</v>
      </c>
      <c r="FD78" s="506">
        <f t="shared" si="60"/>
        <v>5.0999999999999996</v>
      </c>
      <c r="FE78" s="506">
        <v>1</v>
      </c>
      <c r="FF78" s="506">
        <v>0.6</v>
      </c>
      <c r="FG78" s="427" t="s">
        <v>553</v>
      </c>
      <c r="FH78" s="506"/>
      <c r="FI78" s="506"/>
      <c r="FJ78" s="506"/>
      <c r="FK78" s="506"/>
      <c r="FL78" s="506"/>
      <c r="FO78" s="427"/>
      <c r="GU78" s="510"/>
      <c r="HC78" s="510"/>
      <c r="HK78" s="510"/>
      <c r="HS78" s="510"/>
      <c r="IA78" s="510"/>
      <c r="II78" s="510"/>
    </row>
    <row r="79" spans="1:243" ht="14.45" customHeight="1" thickBot="1">
      <c r="A79" s="1168"/>
      <c r="B79" s="1175"/>
      <c r="C79" s="427">
        <v>11</v>
      </c>
      <c r="D79" s="929" t="str">
        <f>CONCATENATE("SeifBois_","H",C79)</f>
        <v>SeifBois_H11</v>
      </c>
      <c r="E79" s="17">
        <v>780</v>
      </c>
      <c r="F79" s="1147"/>
      <c r="G79" s="1147"/>
      <c r="H79" s="15">
        <f t="shared" si="65"/>
        <v>53.482000000000006</v>
      </c>
      <c r="I79" s="638">
        <f t="shared" si="66"/>
        <v>183.33260000000001</v>
      </c>
      <c r="J79" s="4">
        <f t="shared" si="67"/>
        <v>0.24711917029486294</v>
      </c>
      <c r="K79" s="36" t="s">
        <v>472</v>
      </c>
      <c r="L79" s="4">
        <f t="shared" si="56"/>
        <v>0.59324120122668211</v>
      </c>
      <c r="M79" s="4">
        <f t="shared" si="57"/>
        <v>0.68262702543070053</v>
      </c>
      <c r="N79" s="4">
        <f t="shared" si="68"/>
        <v>0.84710743801652866</v>
      </c>
      <c r="O79" s="436">
        <f>DC79/(2*(CB79+CC79)*CD79-X79)</f>
        <v>0.4180139403272029</v>
      </c>
      <c r="P79" s="131">
        <f t="shared" si="79"/>
        <v>0</v>
      </c>
      <c r="Q79" s="131">
        <f t="shared" si="80"/>
        <v>0</v>
      </c>
      <c r="R79" s="131">
        <f t="shared" si="87"/>
        <v>0.80769230769230771</v>
      </c>
      <c r="S79" s="437">
        <f t="shared" si="88"/>
        <v>0.75</v>
      </c>
      <c r="T79" s="679"/>
      <c r="U79" s="438"/>
      <c r="V79" s="679" t="s">
        <v>417</v>
      </c>
      <c r="W79" s="525">
        <f t="shared" si="89"/>
        <v>1.9863999999999997</v>
      </c>
      <c r="X79" s="439">
        <f t="shared" si="90"/>
        <v>10</v>
      </c>
      <c r="Y79" s="928">
        <f t="shared" ref="Y79" si="122">X79*SQRT(W79)/I79</f>
        <v>7.6876509371264529E-2</v>
      </c>
      <c r="Z79" s="489"/>
      <c r="AA79" s="489"/>
      <c r="AB79" s="489"/>
      <c r="AC79" s="489"/>
      <c r="AD79" s="489"/>
      <c r="AE79" s="489" t="s">
        <v>996</v>
      </c>
      <c r="AF79" s="489"/>
      <c r="AG79" s="489"/>
      <c r="AH79" s="489"/>
      <c r="AI79" s="492">
        <v>0.25</v>
      </c>
      <c r="AJ79" s="492"/>
      <c r="AK79" s="440"/>
      <c r="AL79" s="497"/>
      <c r="AM79" s="88">
        <v>240</v>
      </c>
      <c r="AN79" s="88"/>
      <c r="AO79" s="88"/>
      <c r="AP79" s="88"/>
      <c r="AQ79" s="88"/>
      <c r="AR79" s="821"/>
      <c r="AS79" s="821">
        <v>112</v>
      </c>
      <c r="AT79" s="821"/>
      <c r="AU79" s="821">
        <v>82.8</v>
      </c>
      <c r="AV79" s="265"/>
      <c r="AW79" s="667" t="s">
        <v>484</v>
      </c>
      <c r="AX79" s="668">
        <v>240</v>
      </c>
      <c r="AY79" s="941"/>
      <c r="AZ79" s="941"/>
      <c r="BA79" s="941"/>
      <c r="BB79" s="942"/>
      <c r="BC79" s="669"/>
      <c r="BD79" s="941"/>
      <c r="BE79" s="670"/>
      <c r="BF79" s="671"/>
      <c r="BG79" s="941"/>
      <c r="BH79" s="941"/>
      <c r="BI79" s="941"/>
      <c r="BJ79" s="669"/>
      <c r="BK79" s="941"/>
      <c r="BL79" s="941"/>
      <c r="BM79" s="941"/>
      <c r="BN79" s="669"/>
      <c r="BO79" s="941"/>
      <c r="BP79" s="941"/>
      <c r="BQ79" s="824"/>
      <c r="BR79" s="669" t="s">
        <v>1013</v>
      </c>
      <c r="BS79" s="941" t="s">
        <v>553</v>
      </c>
      <c r="BT79" s="941" t="s">
        <v>428</v>
      </c>
      <c r="BU79" s="941"/>
      <c r="BV79" s="824"/>
      <c r="BW79" s="1121"/>
      <c r="BX79" s="1113"/>
      <c r="BY79" s="1113"/>
      <c r="BZ79" s="1113"/>
      <c r="CA79" s="1122"/>
      <c r="CB79" s="509">
        <v>7.48</v>
      </c>
      <c r="CC79">
        <v>7.15</v>
      </c>
      <c r="CD79">
        <v>2.61</v>
      </c>
      <c r="CE79"/>
      <c r="CF79" s="425"/>
      <c r="CJ79" s="427"/>
      <c r="CM79" s="340"/>
      <c r="CO79"/>
      <c r="CP79" s="506">
        <v>20</v>
      </c>
      <c r="CQ79" s="376">
        <f t="shared" ref="CQ79" si="123">DC79+DP79+IF(ISNUMBER(EB79),EB79,0)+EM79+EX79</f>
        <v>45.304999999999993</v>
      </c>
      <c r="CR79" s="426" t="s">
        <v>423</v>
      </c>
      <c r="CS79" s="119">
        <v>120</v>
      </c>
      <c r="CU79" s="119"/>
      <c r="CV79" s="506"/>
      <c r="CW79" s="518"/>
      <c r="CY79" s="506"/>
      <c r="CZ79" s="339"/>
      <c r="DA79" s="506"/>
      <c r="DB79" s="340">
        <f t="shared" si="73"/>
        <v>66.368600000000001</v>
      </c>
      <c r="DC79" s="506">
        <v>27.742999999999999</v>
      </c>
      <c r="DD79" s="425" t="s">
        <v>438</v>
      </c>
      <c r="DE79" s="506">
        <f>2*25</f>
        <v>50</v>
      </c>
      <c r="DF79" s="506" t="s">
        <v>423</v>
      </c>
      <c r="DG79" s="506">
        <v>220</v>
      </c>
      <c r="DI79" s="427"/>
      <c r="DJ79" s="506"/>
      <c r="DK79" s="506" t="s">
        <v>572</v>
      </c>
      <c r="DL79" s="339"/>
      <c r="DM79" s="506"/>
      <c r="DO79" s="506">
        <f t="shared" ref="DO79" si="124">CB79*CC79</f>
        <v>53.482000000000006</v>
      </c>
      <c r="DP79" s="430"/>
      <c r="DQ79" s="506" t="s">
        <v>438</v>
      </c>
      <c r="DR79" s="506">
        <v>12.7</v>
      </c>
      <c r="DS79" s="506" t="s">
        <v>479</v>
      </c>
      <c r="DT79" s="506">
        <v>200</v>
      </c>
      <c r="DU79" s="506" t="s">
        <v>480</v>
      </c>
      <c r="DV79" s="427">
        <v>100</v>
      </c>
      <c r="DX79"/>
      <c r="DY79" s="341"/>
      <c r="DZ79"/>
      <c r="EA79" s="506">
        <f t="shared" ref="EA79" si="125">CB79*CC79</f>
        <v>53.482000000000006</v>
      </c>
      <c r="EB79" s="427"/>
      <c r="EC79" s="506">
        <v>4</v>
      </c>
      <c r="ED79" s="506" t="s">
        <v>529</v>
      </c>
      <c r="EE79" s="506"/>
      <c r="EF79" s="341"/>
      <c r="EH79" s="116">
        <f t="shared" ref="EH79" si="126">EM79/(2*EJ79+EI79)</f>
        <v>9.2547619047619047</v>
      </c>
      <c r="EI79" s="340">
        <v>0.2</v>
      </c>
      <c r="EJ79" s="340">
        <v>0.32</v>
      </c>
      <c r="EK79" s="340">
        <v>0.18</v>
      </c>
      <c r="EL79" s="698" t="s">
        <v>471</v>
      </c>
      <c r="EM79" s="427">
        <v>7.774</v>
      </c>
      <c r="EN79" s="506">
        <v>6</v>
      </c>
      <c r="EO79" s="506"/>
      <c r="EP79" s="506"/>
      <c r="EQ79" s="339"/>
      <c r="ER79" s="506"/>
      <c r="ES79" s="116">
        <f t="shared" ref="ES79" si="127">EX79/(EU79+2*ET79)</f>
        <v>13.594444444444445</v>
      </c>
      <c r="ET79" s="506">
        <v>0.24</v>
      </c>
      <c r="EU79" s="506">
        <v>0.24</v>
      </c>
      <c r="EV79" s="506"/>
      <c r="EW79" s="698" t="s">
        <v>1000</v>
      </c>
      <c r="EX79" s="506">
        <v>9.7880000000000003</v>
      </c>
      <c r="EY79" s="21">
        <v>3</v>
      </c>
      <c r="EZ79" s="506">
        <v>1.4</v>
      </c>
      <c r="FA79" s="506">
        <v>1.6</v>
      </c>
      <c r="FB79" s="506">
        <v>0.7</v>
      </c>
      <c r="FC79" s="506">
        <v>1.5</v>
      </c>
      <c r="FD79" s="506">
        <f t="shared" ref="FD79" si="128">EZ79*FA79</f>
        <v>2.2399999999999998</v>
      </c>
      <c r="FE79" s="506">
        <v>1</v>
      </c>
      <c r="FF79" s="506">
        <v>2.4</v>
      </c>
      <c r="FG79" s="427" t="s">
        <v>453</v>
      </c>
      <c r="FH79" s="506">
        <v>2.4</v>
      </c>
      <c r="FI79" s="506">
        <v>2.2999999999999998</v>
      </c>
      <c r="FJ79" s="506">
        <v>0</v>
      </c>
      <c r="FK79" s="506">
        <v>0.6</v>
      </c>
      <c r="FL79" s="506">
        <f>FH79*FI79</f>
        <v>5.52</v>
      </c>
      <c r="FO79" s="427" t="s">
        <v>553</v>
      </c>
      <c r="GU79" s="510"/>
      <c r="HC79" s="510"/>
      <c r="HK79" s="510"/>
      <c r="HS79" s="510"/>
      <c r="IA79" s="510"/>
      <c r="II79" s="510"/>
    </row>
    <row r="80" spans="1:243" ht="14.45" customHeight="1" thickBot="1">
      <c r="A80" s="1169"/>
      <c r="B80" s="1175"/>
      <c r="C80" s="427">
        <v>11</v>
      </c>
      <c r="D80" s="1070" t="str">
        <f>CONCATENATE("SeifBois_","B",C80)</f>
        <v>SeifBois_B11</v>
      </c>
      <c r="E80" s="1071">
        <v>450</v>
      </c>
      <c r="F80" s="1147"/>
      <c r="G80" s="1147"/>
      <c r="H80" s="713">
        <f t="shared" si="65"/>
        <v>37.35</v>
      </c>
      <c r="I80" s="714">
        <f t="shared" si="66"/>
        <v>160.20400000000001</v>
      </c>
      <c r="J80" s="715">
        <f t="shared" si="67"/>
        <v>0.35704476792090084</v>
      </c>
      <c r="K80" s="716" t="s">
        <v>472</v>
      </c>
      <c r="L80" s="715">
        <f t="shared" si="56"/>
        <v>0.66897455089820357</v>
      </c>
      <c r="M80" s="715">
        <f t="shared" si="57"/>
        <v>0.76568858427928888</v>
      </c>
      <c r="N80" s="715">
        <f t="shared" si="68"/>
        <v>1.5314591700133868</v>
      </c>
      <c r="O80" s="436">
        <f t="shared" si="86"/>
        <v>0</v>
      </c>
      <c r="P80" s="131">
        <f t="shared" si="79"/>
        <v>1</v>
      </c>
      <c r="Q80" s="131">
        <f t="shared" si="80"/>
        <v>0</v>
      </c>
      <c r="R80" s="131">
        <f t="shared" si="87"/>
        <v>0.8758486905916586</v>
      </c>
      <c r="S80" s="437">
        <f t="shared" si="88"/>
        <v>0.5</v>
      </c>
      <c r="T80" s="679"/>
      <c r="U80" s="438"/>
      <c r="V80" s="679" t="s">
        <v>417</v>
      </c>
      <c r="W80" s="525">
        <f t="shared" si="89"/>
        <v>1.8</v>
      </c>
      <c r="X80" s="439">
        <f t="shared" si="90"/>
        <v>10.8</v>
      </c>
      <c r="Y80" s="928">
        <f t="shared" ref="Y80" si="129">X80*SQRT(W80)/I80</f>
        <v>9.0445435158913873E-2</v>
      </c>
      <c r="Z80" s="489"/>
      <c r="AA80" s="489"/>
      <c r="AB80" s="489"/>
      <c r="AC80" s="489"/>
      <c r="AD80" s="489"/>
      <c r="AE80" s="489" t="s">
        <v>997</v>
      </c>
      <c r="AF80" s="489"/>
      <c r="AG80" s="489"/>
      <c r="AH80" s="489"/>
      <c r="AI80" s="492">
        <v>0.25</v>
      </c>
      <c r="AJ80" s="492"/>
      <c r="AK80" s="440"/>
      <c r="AL80" s="497"/>
      <c r="AM80" s="88">
        <v>240</v>
      </c>
      <c r="AN80" s="88"/>
      <c r="AO80" s="88"/>
      <c r="AP80" s="88"/>
      <c r="AQ80" s="88"/>
      <c r="AR80" s="821"/>
      <c r="AS80" s="821"/>
      <c r="AT80" s="821"/>
      <c r="AU80" s="821"/>
      <c r="AV80" s="265"/>
      <c r="AW80" s="667" t="s">
        <v>484</v>
      </c>
      <c r="AX80" s="668">
        <v>240</v>
      </c>
      <c r="AY80" s="941"/>
      <c r="AZ80" s="941"/>
      <c r="BA80" s="941"/>
      <c r="BB80" s="942"/>
      <c r="BC80" s="669"/>
      <c r="BD80" s="941"/>
      <c r="BE80" s="670"/>
      <c r="BF80" s="671"/>
      <c r="BG80" s="941"/>
      <c r="BH80" s="941"/>
      <c r="BI80" s="941"/>
      <c r="BJ80" s="669"/>
      <c r="BK80" s="941"/>
      <c r="BL80" s="941"/>
      <c r="BM80" s="941"/>
      <c r="BN80" s="669"/>
      <c r="BO80" s="941"/>
      <c r="BP80" s="941"/>
      <c r="BQ80" s="824"/>
      <c r="BR80" s="669" t="s">
        <v>1013</v>
      </c>
      <c r="BS80" s="941" t="s">
        <v>553</v>
      </c>
      <c r="BT80" s="941" t="s">
        <v>428</v>
      </c>
      <c r="BU80" s="941"/>
      <c r="BV80" s="824"/>
      <c r="BW80" s="1123"/>
      <c r="BX80" s="1113"/>
      <c r="BY80" s="1113"/>
      <c r="BZ80" s="1113"/>
      <c r="CA80" s="1122"/>
      <c r="CB80" s="509">
        <v>4.5</v>
      </c>
      <c r="CC80">
        <v>8.3000000000000007</v>
      </c>
      <c r="CD80">
        <v>3.34</v>
      </c>
      <c r="CE80"/>
      <c r="CF80" s="425"/>
      <c r="CJ80" s="427"/>
      <c r="CM80" s="340"/>
      <c r="CO80"/>
      <c r="CP80" s="506">
        <v>20</v>
      </c>
      <c r="CQ80" s="376">
        <f t="shared" ref="CQ80" si="130">DC80+DP80+IF(ISNUMBER(EB80),EB80,0)+EM80+EX80</f>
        <v>57.2</v>
      </c>
      <c r="CR80" s="426" t="s">
        <v>589</v>
      </c>
      <c r="CS80" s="119">
        <v>200</v>
      </c>
      <c r="CU80" s="119"/>
      <c r="CV80" s="506"/>
      <c r="CW80" s="518"/>
      <c r="CY80" s="506"/>
      <c r="CZ80" s="339"/>
      <c r="DA80" s="506"/>
      <c r="DB80" s="340">
        <f t="shared" si="73"/>
        <v>74.704000000000008</v>
      </c>
      <c r="DC80" s="506"/>
      <c r="DD80" s="425" t="s">
        <v>423</v>
      </c>
      <c r="DE80" s="506">
        <v>300</v>
      </c>
      <c r="DI80" s="427"/>
      <c r="DJ80" s="506"/>
      <c r="DK80" s="506" t="s">
        <v>572</v>
      </c>
      <c r="DL80" s="339"/>
      <c r="DM80" s="506"/>
      <c r="DO80" s="506">
        <f t="shared" ref="DO80" si="131">CB80*CC80</f>
        <v>37.35</v>
      </c>
      <c r="DP80" s="430">
        <f>DO80</f>
        <v>37.35</v>
      </c>
      <c r="DQ80" s="506" t="s">
        <v>438</v>
      </c>
      <c r="DR80" s="506">
        <v>12.7</v>
      </c>
      <c r="DS80" s="506" t="s">
        <v>479</v>
      </c>
      <c r="DT80" s="506">
        <v>200</v>
      </c>
      <c r="DU80" s="506" t="s">
        <v>480</v>
      </c>
      <c r="DV80" s="427">
        <v>100</v>
      </c>
      <c r="DX80"/>
      <c r="DY80" s="341"/>
      <c r="DZ80"/>
      <c r="EA80" s="506">
        <f t="shared" ref="EA80" si="132">CB80*CC80</f>
        <v>37.35</v>
      </c>
      <c r="EB80" s="427"/>
      <c r="EC80" s="506">
        <v>4</v>
      </c>
      <c r="ED80" s="506" t="s">
        <v>529</v>
      </c>
      <c r="EE80" s="506"/>
      <c r="EF80" s="341"/>
      <c r="EH80" s="116">
        <f t="shared" ref="EH80" si="133">EM80/(2*EJ80+EI80)</f>
        <v>6.1165005537098587</v>
      </c>
      <c r="EI80" s="340">
        <v>0.16</v>
      </c>
      <c r="EJ80" s="340">
        <f>(0.4*(2*CC80+CB80)+0.88*CB80)/(2*(CB80+CC80))</f>
        <v>0.48437500000000006</v>
      </c>
      <c r="EK80" s="340"/>
      <c r="EL80" s="698" t="s">
        <v>531</v>
      </c>
      <c r="EM80" s="427">
        <f>57.2-EX80-DP80</f>
        <v>6.9040000000000035</v>
      </c>
      <c r="EN80" s="506">
        <v>8</v>
      </c>
      <c r="EO80" s="506"/>
      <c r="EP80" s="506"/>
      <c r="EQ80" s="339"/>
      <c r="ER80" s="506"/>
      <c r="ES80" s="116">
        <f>EX80/(EU80+ET80)</f>
        <v>24.896153846153844</v>
      </c>
      <c r="ET80" s="506">
        <v>0.24</v>
      </c>
      <c r="EU80" s="506">
        <v>0.28000000000000003</v>
      </c>
      <c r="EV80" s="506">
        <v>0.18</v>
      </c>
      <c r="EW80" s="698" t="s">
        <v>471</v>
      </c>
      <c r="EX80" s="506">
        <v>12.946</v>
      </c>
      <c r="EY80" s="21">
        <v>3</v>
      </c>
      <c r="EZ80" s="506">
        <v>2</v>
      </c>
      <c r="FA80" s="506">
        <v>1.8</v>
      </c>
      <c r="FB80" s="506">
        <v>1</v>
      </c>
      <c r="FC80" s="506">
        <v>0.4</v>
      </c>
      <c r="FD80" s="506">
        <f t="shared" si="60"/>
        <v>3.6</v>
      </c>
      <c r="FE80" s="506">
        <v>2</v>
      </c>
      <c r="FF80" s="506">
        <v>0.7</v>
      </c>
      <c r="FG80" s="427" t="s">
        <v>553</v>
      </c>
      <c r="FH80" s="506"/>
      <c r="FI80" s="506"/>
      <c r="FJ80" s="506"/>
      <c r="FK80" s="506"/>
      <c r="FL80" s="506"/>
      <c r="FO80" s="427"/>
      <c r="GU80" s="510"/>
      <c r="HC80" s="510"/>
      <c r="HK80" s="510"/>
      <c r="HS80" s="510"/>
      <c r="IA80" s="510"/>
      <c r="II80" s="510"/>
    </row>
    <row r="81" spans="1:243" ht="15" customHeight="1" thickBot="1">
      <c r="A81" s="1072" t="s">
        <v>595</v>
      </c>
      <c r="B81" s="38"/>
      <c r="C81" s="38">
        <f>COUNT(C8:C69)</f>
        <v>62</v>
      </c>
      <c r="D81" s="275"/>
      <c r="E81" s="248"/>
      <c r="F81" s="1073"/>
      <c r="G81" s="1073"/>
      <c r="H81" s="1074"/>
      <c r="I81" s="1074"/>
      <c r="J81" s="39"/>
      <c r="K81" s="199">
        <f>C81-COUNT(K8:K69)</f>
        <v>48</v>
      </c>
      <c r="L81" s="192"/>
      <c r="M81" s="192"/>
      <c r="N81" s="192"/>
      <c r="O81" s="173"/>
      <c r="P81" s="174"/>
      <c r="Q81" s="174"/>
      <c r="R81" s="174"/>
      <c r="S81" s="451"/>
      <c r="T81" s="451"/>
      <c r="U81" s="451"/>
      <c r="V81" s="451"/>
      <c r="W81" s="1074"/>
      <c r="X81" s="281"/>
      <c r="Y81" s="1075"/>
      <c r="Z81" s="1076"/>
      <c r="AA81" s="1076"/>
      <c r="AB81" s="1076"/>
      <c r="AC81" s="1076"/>
      <c r="AD81" s="1076"/>
      <c r="AE81" s="1076"/>
      <c r="AF81" s="1076"/>
      <c r="AG81" s="1076"/>
      <c r="AH81" s="1076"/>
      <c r="AI81" s="1076"/>
      <c r="AJ81" s="1076"/>
      <c r="AK81" s="1073"/>
      <c r="AL81" s="90"/>
      <c r="AM81" s="90"/>
      <c r="AN81" s="90"/>
      <c r="AO81" s="90"/>
      <c r="AP81" s="90"/>
      <c r="AQ81" s="90"/>
      <c r="AR81" s="90"/>
      <c r="AS81" s="90"/>
      <c r="AT81" s="90"/>
      <c r="AU81" s="90"/>
      <c r="AV81" s="1077"/>
      <c r="AW81" s="1078"/>
      <c r="AX81" s="1079"/>
      <c r="AY81" s="1080"/>
      <c r="AZ81" s="1080"/>
      <c r="BA81" s="1080"/>
      <c r="BB81" s="281"/>
      <c r="BC81" s="1081"/>
      <c r="BD81" s="1080"/>
      <c r="BE81" s="1080"/>
      <c r="BF81" s="281"/>
      <c r="BG81" s="1080"/>
      <c r="BH81" s="1080"/>
      <c r="BI81" s="1080"/>
      <c r="BJ81" s="1081"/>
      <c r="BK81" s="1080"/>
      <c r="BL81" s="1080"/>
      <c r="BM81" s="1080"/>
      <c r="BN81" s="1081"/>
      <c r="BO81" s="1080"/>
      <c r="BP81" s="1080"/>
      <c r="BQ81" s="1075"/>
      <c r="BR81" s="1081"/>
      <c r="BS81" s="1080"/>
      <c r="BT81" s="1080"/>
      <c r="BU81" s="1080"/>
      <c r="BV81" s="1075"/>
      <c r="BW81" s="1116"/>
      <c r="BX81" s="1117"/>
      <c r="BY81" s="1117"/>
      <c r="BZ81" s="1117"/>
      <c r="CA81" s="1118"/>
      <c r="CB81" s="100"/>
      <c r="CC81" s="514"/>
      <c r="CD81" s="514"/>
      <c r="CE81" s="514"/>
      <c r="CF81" s="338"/>
      <c r="CG81" s="338"/>
      <c r="CH81" s="338"/>
      <c r="CI81" s="338"/>
      <c r="CJ81" s="338"/>
      <c r="CK81" s="514"/>
      <c r="CL81" s="514"/>
      <c r="CM81" s="514"/>
      <c r="CN81" s="514"/>
      <c r="CO81" s="514"/>
      <c r="CP81" s="338"/>
      <c r="CQ81" s="1082"/>
      <c r="CR81" s="166"/>
      <c r="CS81" s="166"/>
      <c r="CT81" s="166"/>
      <c r="CU81" s="166"/>
      <c r="CV81" s="338"/>
      <c r="CW81" s="514"/>
      <c r="CX81" s="338"/>
      <c r="CY81" s="338"/>
      <c r="CZ81" s="365"/>
      <c r="DA81" s="514"/>
      <c r="DB81" s="366"/>
      <c r="DC81" s="338"/>
      <c r="DD81" s="215"/>
      <c r="DE81" s="338"/>
      <c r="DF81" s="338"/>
      <c r="DG81" s="338"/>
      <c r="DH81" s="338"/>
      <c r="DI81" s="338"/>
      <c r="DJ81" s="514"/>
      <c r="DK81" s="514"/>
      <c r="DL81" s="365"/>
      <c r="DM81" s="514"/>
      <c r="DN81" s="514"/>
      <c r="DO81" s="514"/>
      <c r="DP81" s="166"/>
      <c r="DQ81" s="338"/>
      <c r="DR81" s="338"/>
      <c r="DS81" s="338"/>
      <c r="DT81" s="338"/>
      <c r="DU81" s="338"/>
      <c r="DV81" s="338"/>
      <c r="DW81" s="514"/>
      <c r="DX81" s="514"/>
      <c r="DY81" s="367"/>
      <c r="DZ81" s="514"/>
      <c r="EA81" s="338"/>
      <c r="EB81" s="338"/>
      <c r="EC81" s="338"/>
      <c r="ED81" s="514"/>
      <c r="EE81" s="338"/>
      <c r="EF81" s="367"/>
      <c r="EG81" s="514"/>
      <c r="EH81" s="514"/>
      <c r="EI81" s="514"/>
      <c r="EJ81" s="514"/>
      <c r="EK81" s="514"/>
      <c r="EL81" s="711"/>
      <c r="EM81" s="514"/>
      <c r="EN81" s="514"/>
      <c r="EO81" s="514"/>
      <c r="EP81" s="514"/>
      <c r="EQ81" s="365"/>
      <c r="ER81" s="514"/>
      <c r="ES81" s="514"/>
      <c r="ET81" s="514"/>
      <c r="EU81" s="514"/>
      <c r="EV81" s="514"/>
      <c r="EW81" s="696"/>
      <c r="EX81" s="514"/>
      <c r="EY81" s="1082"/>
      <c r="EZ81" s="514"/>
      <c r="FA81" s="514"/>
      <c r="FB81" s="514"/>
      <c r="FC81" s="514"/>
      <c r="FD81" s="514"/>
      <c r="FE81" s="514"/>
      <c r="FF81" s="514"/>
      <c r="FG81" s="514"/>
      <c r="FH81" s="514"/>
      <c r="FI81" s="514"/>
      <c r="FJ81" s="514"/>
      <c r="FK81" s="514"/>
      <c r="FL81" s="514"/>
      <c r="FM81" s="514"/>
      <c r="FN81" s="514"/>
      <c r="FO81" s="514"/>
      <c r="FP81" s="514"/>
      <c r="FQ81" s="514"/>
      <c r="FR81" s="514"/>
      <c r="FS81" s="514"/>
      <c r="FT81" s="514"/>
      <c r="FU81" s="514"/>
      <c r="FV81" s="514"/>
      <c r="FW81" s="514"/>
      <c r="FX81" s="514"/>
      <c r="FY81" s="514"/>
      <c r="FZ81" s="514"/>
      <c r="GA81" s="514"/>
      <c r="GB81" s="514"/>
      <c r="GC81" s="514"/>
      <c r="GD81" s="514"/>
      <c r="GE81" s="514"/>
      <c r="GF81" s="512"/>
      <c r="GG81" s="512"/>
      <c r="GH81" s="512"/>
      <c r="GI81" s="512"/>
      <c r="GJ81" s="512"/>
      <c r="GK81" s="512"/>
      <c r="GL81" s="512"/>
      <c r="GM81" s="512"/>
      <c r="GN81" s="512"/>
      <c r="GO81" s="512"/>
      <c r="GP81" s="512"/>
      <c r="GQ81" s="512"/>
      <c r="GR81" s="512"/>
      <c r="GS81" s="512"/>
      <c r="GT81" s="512"/>
      <c r="GU81" s="513"/>
      <c r="GV81" s="512"/>
      <c r="GW81" s="512"/>
      <c r="GX81" s="512"/>
      <c r="GY81" s="512"/>
      <c r="GZ81" s="512"/>
      <c r="HA81" s="512"/>
      <c r="HB81" s="512"/>
      <c r="HC81" s="513"/>
      <c r="HD81" s="512"/>
      <c r="HE81" s="512"/>
      <c r="HF81" s="512"/>
      <c r="HG81" s="512"/>
      <c r="HH81" s="512"/>
      <c r="HI81" s="512"/>
      <c r="HJ81" s="512"/>
      <c r="HK81" s="513"/>
      <c r="HL81" s="512"/>
      <c r="HM81" s="512"/>
      <c r="HN81" s="512"/>
      <c r="HO81" s="512"/>
      <c r="HP81" s="512"/>
      <c r="HQ81" s="512"/>
      <c r="HR81" s="512"/>
      <c r="HS81" s="513"/>
      <c r="HT81" s="512"/>
      <c r="HU81" s="512"/>
      <c r="HV81" s="512"/>
      <c r="HW81" s="512"/>
      <c r="HX81" s="512"/>
      <c r="HY81" s="512"/>
      <c r="HZ81" s="512"/>
      <c r="IA81" s="513"/>
      <c r="IB81" s="512"/>
      <c r="IC81" s="512"/>
      <c r="ID81" s="512"/>
      <c r="IE81" s="512"/>
      <c r="IF81" s="512"/>
      <c r="IG81" s="512"/>
      <c r="IH81" s="512"/>
      <c r="II81" s="513"/>
    </row>
    <row r="82" spans="1:243" ht="16.5" customHeight="1">
      <c r="A82" t="s">
        <v>596</v>
      </c>
      <c r="DC82" s="433"/>
    </row>
    <row r="83" spans="1:243" ht="17.45" customHeight="1" thickBot="1">
      <c r="A83" t="s">
        <v>597</v>
      </c>
      <c r="E83" t="s">
        <v>598</v>
      </c>
      <c r="CB83" s="548">
        <f>19250/(CB76*CC76)</f>
        <v>345.30386740331488</v>
      </c>
      <c r="CC83" t="s">
        <v>999</v>
      </c>
      <c r="CE83" s="506">
        <f>2*(CB71+CC71)*CD71</f>
        <v>96.86</v>
      </c>
      <c r="CF83" s="506">
        <f>CE83*25%</f>
        <v>24.215</v>
      </c>
      <c r="DC83" s="433"/>
      <c r="EF83" t="s">
        <v>599</v>
      </c>
      <c r="EG83" s="506">
        <f>13+9*7.4</f>
        <v>79.600000000000009</v>
      </c>
      <c r="EH83" s="340">
        <v>0.18</v>
      </c>
      <c r="EI83" s="340">
        <v>0.56000000000000005</v>
      </c>
      <c r="EJ83" s="340">
        <v>0.56000000000000005</v>
      </c>
      <c r="EK83" s="700" t="s">
        <v>471</v>
      </c>
      <c r="EL83">
        <f>EG83*(2*EI83+EH83)</f>
        <v>103.48000000000002</v>
      </c>
      <c r="EO83">
        <f>45.305-27.743-7.774</f>
        <v>9.7880000000000003</v>
      </c>
      <c r="ER83" s="506">
        <f>EN76*CD76</f>
        <v>19.68</v>
      </c>
      <c r="ES83" s="506">
        <v>0.24</v>
      </c>
      <c r="ET83" s="506">
        <v>0.34</v>
      </c>
      <c r="EU83" s="506"/>
      <c r="EV83" s="698">
        <v>2</v>
      </c>
      <c r="EW83">
        <f>ER83*(ES83+ET83)</f>
        <v>11.414400000000001</v>
      </c>
    </row>
    <row r="84" spans="1:243" ht="16.5" customHeight="1">
      <c r="A84" t="s">
        <v>600</v>
      </c>
      <c r="K84" s="535"/>
      <c r="L84" s="535"/>
      <c r="M84" s="535"/>
      <c r="N84" s="535"/>
      <c r="O84" s="177"/>
      <c r="P84" s="80"/>
      <c r="Q84" s="177"/>
      <c r="R84" s="131"/>
      <c r="S84" s="131"/>
      <c r="T84" s="131"/>
      <c r="U84" s="131"/>
      <c r="V84" s="131"/>
      <c r="W84" s="129"/>
      <c r="AY84" s="186"/>
      <c r="BP84" s="157"/>
      <c r="BQ84" s="157"/>
      <c r="BR84" s="157"/>
      <c r="BS84" s="157"/>
      <c r="BT84" s="157"/>
      <c r="BU84" s="157"/>
      <c r="BV84" s="535"/>
      <c r="BW84" s="384"/>
      <c r="BX84" s="384"/>
      <c r="CE84" s="506">
        <f>2*(CB72+CC72)*CD72</f>
        <v>79.38</v>
      </c>
      <c r="DA84" s="343"/>
      <c r="DC84" s="433"/>
      <c r="DO84" s="506"/>
      <c r="EF84" t="s">
        <v>601</v>
      </c>
      <c r="EG84">
        <f>2*(CB70+CC70)- (0.2+0.2+0.3+0.2+0.3)-(0.2+0.3*2+0.1+0.1+0.4+0.2)</f>
        <v>26.2</v>
      </c>
      <c r="EH84">
        <f>(0.2*(2*CC70+CB70)+0.1*CB70)/(2*(CB70+CC70))</f>
        <v>0.17841379310344832</v>
      </c>
      <c r="EI84">
        <f>(0.4*(2*CC70+CB70)+0.9*CB70)/(2*(CB70+CC70))</f>
        <v>0.50793103448275867</v>
      </c>
      <c r="EK84" s="698" t="s">
        <v>531</v>
      </c>
      <c r="EL84">
        <v>20.309999999999999</v>
      </c>
      <c r="EM84" s="704">
        <f>20.31*25/84.14</f>
        <v>6.0345852151176604</v>
      </c>
      <c r="ER84">
        <f>6*(CD70-0.4)+2*(CD70-0.88)</f>
        <v>22.560000000000002</v>
      </c>
      <c r="ES84">
        <f>(0.3*2+0.4+0.1*3+0.2*2)/EN70</f>
        <v>0.21250000000000002</v>
      </c>
      <c r="ET84">
        <f>(0.2*5+0.3*3)/8</f>
        <v>0.23749999999999999</v>
      </c>
      <c r="EW84" s="504">
        <v>13.64</v>
      </c>
    </row>
    <row r="85" spans="1:243">
      <c r="K85" s="535"/>
      <c r="L85" s="535"/>
      <c r="M85" s="535"/>
      <c r="N85" s="535"/>
      <c r="O85" s="177"/>
      <c r="P85" s="80"/>
      <c r="Q85" s="177"/>
      <c r="R85" s="177"/>
      <c r="S85" s="177"/>
      <c r="T85" s="177"/>
      <c r="U85" s="177"/>
      <c r="V85" s="177"/>
      <c r="W85" s="129"/>
      <c r="BP85" s="28"/>
      <c r="BQ85" s="28"/>
      <c r="BR85" s="28"/>
      <c r="BS85" s="28"/>
      <c r="BT85" s="28"/>
      <c r="BU85" s="28"/>
      <c r="BV85" s="535"/>
      <c r="BW85" s="384"/>
      <c r="BX85" s="384"/>
      <c r="DC85" s="433"/>
      <c r="EF85" t="s">
        <v>602</v>
      </c>
      <c r="EG85">
        <f>CB73-EU73-2*0.2+2*(CC73-ET73-0.2)+CC73-2*ET73-0.2-3.4</f>
        <v>23.42</v>
      </c>
      <c r="EH85">
        <f>(0.1*(EH73-3.6)+0.2*3.6)/EH73</f>
        <v>0.1998153245261344</v>
      </c>
      <c r="EI85">
        <f>(0.4*(EH73-3.6)+0.5*3.6)/EH73</f>
        <v>0.49981532452613442</v>
      </c>
      <c r="EL85" s="427">
        <v>6.9640000000000004</v>
      </c>
      <c r="ER85" s="506">
        <f>EN73*CD73</f>
        <v>18.900000000000002</v>
      </c>
      <c r="ES85" s="506">
        <v>0.3</v>
      </c>
      <c r="ET85" s="506">
        <v>0.3</v>
      </c>
      <c r="EU85" s="506"/>
      <c r="EV85" s="698"/>
      <c r="EW85" s="506">
        <v>10.098000000000001</v>
      </c>
    </row>
    <row r="86" spans="1:243">
      <c r="A86" t="s">
        <v>603</v>
      </c>
      <c r="K86" s="535"/>
      <c r="L86" s="535"/>
      <c r="M86" s="535"/>
      <c r="N86" s="535"/>
      <c r="O86" s="177"/>
      <c r="P86" s="80"/>
      <c r="Q86" s="177"/>
      <c r="R86" s="177"/>
      <c r="S86" s="177"/>
      <c r="T86" s="177"/>
      <c r="U86" s="177"/>
      <c r="V86" s="177"/>
      <c r="W86" s="129"/>
      <c r="BP86" s="28"/>
      <c r="BQ86" s="28"/>
      <c r="BR86" s="28"/>
      <c r="BS86" s="28"/>
      <c r="BT86" s="28"/>
      <c r="BU86" s="28"/>
      <c r="BV86" s="535"/>
      <c r="BW86" s="384"/>
      <c r="BX86" s="384"/>
      <c r="DC86" s="433"/>
    </row>
    <row r="87" spans="1:243">
      <c r="A87" s="535" t="s">
        <v>604</v>
      </c>
      <c r="B87" s="535" t="s">
        <v>605</v>
      </c>
      <c r="K87" s="535"/>
      <c r="L87" s="535"/>
      <c r="M87" s="535"/>
      <c r="N87" s="535"/>
      <c r="O87" s="177"/>
      <c r="P87" s="80"/>
      <c r="Q87" s="177"/>
      <c r="R87" s="177"/>
      <c r="S87" s="177"/>
      <c r="T87" s="177"/>
      <c r="U87" s="177"/>
      <c r="V87" s="177"/>
      <c r="W87" s="321" t="s">
        <v>606</v>
      </c>
      <c r="BP87" s="28"/>
      <c r="BQ87" s="28"/>
      <c r="BR87" s="28"/>
      <c r="BS87" s="28"/>
      <c r="BT87" s="28"/>
      <c r="BU87" s="28"/>
      <c r="BV87" s="535"/>
      <c r="BW87" s="340"/>
      <c r="BX87" s="340"/>
      <c r="DC87" s="433"/>
      <c r="EC87">
        <v>9</v>
      </c>
      <c r="EF87" t="s">
        <v>599</v>
      </c>
      <c r="EH87">
        <f>7.32*EC87</f>
        <v>65.88</v>
      </c>
      <c r="EI87">
        <v>0.16</v>
      </c>
      <c r="EJ87">
        <v>0.2</v>
      </c>
      <c r="EK87" s="698" t="s">
        <v>471</v>
      </c>
      <c r="EL87">
        <f>7.32*((EC87-2)*(2*EJ87+EI87)+2*(EJ87+0.06))</f>
        <v>32.500800000000005</v>
      </c>
      <c r="EM87" t="s">
        <v>992</v>
      </c>
      <c r="ER87" s="245">
        <f>ES76</f>
        <v>19.68</v>
      </c>
      <c r="ES87">
        <v>0.24</v>
      </c>
      <c r="ET87">
        <v>0.22</v>
      </c>
      <c r="EU87">
        <f>(0.14*4+ES87*2+ET87*8)*3.028</f>
        <v>8.4783999999999988</v>
      </c>
    </row>
    <row r="88" spans="1:243" ht="38.1" customHeight="1">
      <c r="A88" s="535" t="s">
        <v>607</v>
      </c>
      <c r="B88" s="1124" t="s">
        <v>608</v>
      </c>
      <c r="C88" s="1113"/>
      <c r="D88" s="1113"/>
      <c r="E88" s="1113"/>
      <c r="F88" s="1113"/>
      <c r="G88" s="1113"/>
      <c r="H88" s="1112"/>
      <c r="I88" s="1112"/>
      <c r="J88" s="1113"/>
      <c r="K88" s="535"/>
      <c r="L88" s="535"/>
      <c r="M88" s="535"/>
      <c r="N88" s="535"/>
      <c r="O88" s="177"/>
      <c r="P88" s="80"/>
      <c r="Q88" s="177"/>
      <c r="R88" s="177"/>
      <c r="S88" s="177"/>
      <c r="T88" s="177"/>
      <c r="U88" s="177"/>
      <c r="V88" s="177"/>
      <c r="W88" s="322" t="s">
        <v>609</v>
      </c>
      <c r="X88" s="539"/>
      <c r="Y88" s="539"/>
      <c r="Z88" s="145"/>
      <c r="AA88" s="145"/>
      <c r="AB88" s="214"/>
      <c r="AC88" s="214"/>
      <c r="AD88" s="214"/>
      <c r="AE88" s="145"/>
      <c r="AF88" s="145"/>
      <c r="AG88" s="145"/>
      <c r="AH88" s="145"/>
      <c r="AI88" s="145"/>
      <c r="AJ88" s="145"/>
      <c r="AK88" s="48"/>
      <c r="BP88" s="28"/>
      <c r="BQ88" s="28"/>
      <c r="BR88" s="28"/>
      <c r="BS88" s="28"/>
      <c r="BT88" s="28"/>
      <c r="BU88" s="28"/>
      <c r="BV88" s="535"/>
      <c r="BW88" s="340"/>
      <c r="BX88" s="340"/>
      <c r="DC88" s="433"/>
    </row>
    <row r="89" spans="1:243">
      <c r="A89" s="535" t="s">
        <v>610</v>
      </c>
      <c r="B89" s="535" t="s">
        <v>611</v>
      </c>
      <c r="K89" s="535"/>
      <c r="L89" s="535"/>
      <c r="M89" s="535"/>
      <c r="N89" s="535"/>
      <c r="O89" s="177"/>
      <c r="P89" s="80"/>
      <c r="Q89" s="177"/>
      <c r="R89" s="177"/>
      <c r="S89" s="177"/>
      <c r="T89" s="177"/>
      <c r="U89" s="177"/>
      <c r="V89" s="177"/>
      <c r="W89" s="321" t="s">
        <v>612</v>
      </c>
      <c r="BP89" s="28"/>
      <c r="BQ89" s="28"/>
      <c r="BR89" s="28"/>
      <c r="BS89" s="28"/>
      <c r="BT89" s="28"/>
      <c r="BU89" s="28"/>
      <c r="DC89" s="433"/>
    </row>
    <row r="90" spans="1:243" ht="15.75" thickBot="1">
      <c r="A90" s="535"/>
      <c r="B90" s="535"/>
      <c r="W90" s="321"/>
      <c r="BP90" s="28"/>
      <c r="BQ90" s="28"/>
      <c r="BR90" s="28"/>
      <c r="BS90" s="28"/>
      <c r="BT90" s="28"/>
      <c r="BU90" s="28"/>
      <c r="DC90" s="433"/>
    </row>
    <row r="91" spans="1:243" ht="14.45" customHeight="1" thickBot="1">
      <c r="A91" s="95"/>
      <c r="B91" s="95"/>
      <c r="C91" s="45" t="s">
        <v>588</v>
      </c>
      <c r="D91" s="643" t="str">
        <f>CONCATENATE("SeifBois_","B27_",C91)</f>
        <v>SeifBois_B27_R60_25%</v>
      </c>
      <c r="E91" s="44">
        <v>450</v>
      </c>
      <c r="F91" s="512"/>
      <c r="G91" s="512"/>
      <c r="H91" s="14">
        <f t="shared" ref="H91" si="134">CA91*CB91</f>
        <v>57.844799999999999</v>
      </c>
      <c r="I91" s="380">
        <f>2*H91+2*(CA91+CB91)*CC91</f>
        <v>217.62639999999999</v>
      </c>
      <c r="J91" s="46">
        <f>CP91/I91</f>
        <v>0.11710119664334721</v>
      </c>
      <c r="K91" s="47" t="s">
        <v>472</v>
      </c>
      <c r="L91" s="717">
        <f t="shared" ref="L91" si="135">CP91/(2*(CA91+CB91)*CC91)</f>
        <v>0.25000109735820369</v>
      </c>
      <c r="M91" s="46">
        <f>CP91/(2*(CA91+CB91)*CC91-X91)</f>
        <v>0.28875182264917532</v>
      </c>
      <c r="N91" s="46">
        <f>CP91/H91</f>
        <v>0.44056357462008233</v>
      </c>
      <c r="O91" s="158">
        <f>DB91/(2*(CA91+CB91)*CC91-X91)</f>
        <v>0</v>
      </c>
      <c r="P91" s="159">
        <f>DO91/H91</f>
        <v>0.26617703668896664</v>
      </c>
      <c r="Q91" s="159">
        <f>EA91/H91</f>
        <v>0</v>
      </c>
      <c r="R91" s="159">
        <f t="shared" ref="R91" si="136">EL91/(EG91*2*(EH91+EI91))</f>
        <v>0.50000000000000011</v>
      </c>
      <c r="S91" s="160">
        <f t="shared" ref="S91" si="137">EW91/(ER91*2*(ES91+ET91))</f>
        <v>0.76923076923076927</v>
      </c>
      <c r="T91" s="160"/>
      <c r="U91" s="285"/>
      <c r="V91" s="678" t="s">
        <v>417</v>
      </c>
      <c r="W91" s="335">
        <f>(EZ91*(FD91+1)*FC91+FH91*(FL91+1)*FK91+FP91*(FT91+1)*FS91+FX91*(GB91+1)*GA91+GF91*(GJ91+1)*GI91+GN91*(GR91+1)*GQ91+GV91*(GZ91+1)*GY91+HD91*(HH91+1)*HG91+HL91*(HP91+1)*HO91+HT91*(HX91+1)*HW91)/X91</f>
        <v>2.3999999999999995</v>
      </c>
      <c r="X91" s="335">
        <f t="shared" ref="X91" si="138">(FD91+1)*FC91+(FL91+1)*FK91+(FT91+1)*FS91+(GB91+1)*GA91+(GJ91+1)*GI91+(GR91+1)*GQ91+(GZ91+1)*GY91+(HH91+1)*HG91+(HP91+1)*HO91+(HX91+1)*HW91</f>
        <v>13.68</v>
      </c>
      <c r="Y91" s="586">
        <f t="shared" ref="Y91" si="139">X91*SQRT(W91)/I91</f>
        <v>9.7382325262224539E-2</v>
      </c>
      <c r="Z91" s="644"/>
      <c r="AA91" s="644"/>
      <c r="AB91" s="644"/>
      <c r="AC91" s="644"/>
      <c r="AD91" s="644"/>
      <c r="AE91" s="644"/>
      <c r="AF91" s="644"/>
      <c r="AG91" s="644"/>
      <c r="AH91" s="644"/>
      <c r="AI91" s="645">
        <v>0.35</v>
      </c>
      <c r="AJ91" s="645"/>
      <c r="AK91" s="646"/>
      <c r="AL91" s="647"/>
      <c r="AM91" s="648">
        <v>480</v>
      </c>
      <c r="AN91" s="648"/>
      <c r="AO91" s="648"/>
      <c r="AP91" s="648"/>
      <c r="AQ91" s="648"/>
      <c r="AR91" s="648"/>
      <c r="AS91" s="648"/>
      <c r="AT91" s="648"/>
      <c r="AU91" s="648"/>
      <c r="AV91" s="649"/>
      <c r="AW91" s="650" t="s">
        <v>484</v>
      </c>
      <c r="AX91" s="651">
        <v>240</v>
      </c>
      <c r="AY91" s="652"/>
      <c r="AZ91" s="652"/>
      <c r="BA91" s="652"/>
      <c r="BB91" s="653"/>
      <c r="BC91" s="654"/>
      <c r="BD91" s="652"/>
      <c r="BE91" s="655"/>
      <c r="BF91" s="656"/>
      <c r="BG91" s="652"/>
      <c r="BH91" s="652"/>
      <c r="BI91" s="652"/>
      <c r="BJ91" s="654"/>
      <c r="BK91" s="652"/>
      <c r="BL91" s="652"/>
      <c r="BM91" s="652"/>
      <c r="BN91" s="654"/>
      <c r="BO91" s="652"/>
      <c r="BP91" s="652"/>
      <c r="BQ91" s="657"/>
      <c r="BR91" s="826"/>
      <c r="BS91" s="826"/>
      <c r="BT91" s="826"/>
      <c r="BU91" s="826"/>
      <c r="BV91" s="512"/>
      <c r="BW91" s="512"/>
      <c r="BX91" s="512"/>
      <c r="BY91" s="512"/>
      <c r="BZ91" s="512"/>
      <c r="CA91" s="92">
        <v>7.02</v>
      </c>
      <c r="CB91" s="507">
        <v>8.24</v>
      </c>
      <c r="CC91" s="507">
        <v>3.34</v>
      </c>
      <c r="CD91" s="507"/>
      <c r="CE91" s="149"/>
      <c r="CF91" s="504"/>
      <c r="CG91" s="504"/>
      <c r="CH91" s="504"/>
      <c r="CI91" s="45"/>
      <c r="CJ91" s="507"/>
      <c r="CK91" s="507"/>
      <c r="CL91" s="352"/>
      <c r="CM91" s="507"/>
      <c r="CN91" s="507"/>
      <c r="CO91" s="504">
        <v>20</v>
      </c>
      <c r="CP91" s="382">
        <f t="shared" ref="CP91" si="140">DB91+DO91+IF(ISNUMBER(EA91),EA91,0)+EL91+EW91</f>
        <v>25.484311861183738</v>
      </c>
      <c r="CQ91" s="163" t="s">
        <v>589</v>
      </c>
      <c r="CR91" s="118">
        <v>200</v>
      </c>
      <c r="CS91" s="118"/>
      <c r="CT91" s="118"/>
      <c r="CU91" s="504"/>
      <c r="CV91" s="156"/>
      <c r="CW91" s="504"/>
      <c r="CX91" s="504"/>
      <c r="CY91" s="351"/>
      <c r="CZ91" s="504"/>
      <c r="DA91" s="352">
        <f t="shared" ref="DA91" si="141">2*(CA91+CB91)*CC91-$X$51</f>
        <v>93.941039999999987</v>
      </c>
      <c r="DB91" s="504"/>
      <c r="DC91" s="149" t="s">
        <v>423</v>
      </c>
      <c r="DD91" s="504">
        <v>300</v>
      </c>
      <c r="DE91" s="504"/>
      <c r="DF91" s="504"/>
      <c r="DG91" s="504"/>
      <c r="DH91" s="45"/>
      <c r="DI91" s="504"/>
      <c r="DJ91" s="504" t="s">
        <v>572</v>
      </c>
      <c r="DK91" s="351"/>
      <c r="DL91" s="504"/>
      <c r="DM91" s="507"/>
      <c r="DN91" s="504">
        <f t="shared" ref="DN91" si="142">CA91*CB91</f>
        <v>57.844799999999999</v>
      </c>
      <c r="DO91" s="135">
        <f>51.82*25/84.14</f>
        <v>15.396957451865937</v>
      </c>
      <c r="DP91" s="504" t="s">
        <v>438</v>
      </c>
      <c r="DQ91" s="504">
        <v>12.7</v>
      </c>
      <c r="DR91" s="504" t="s">
        <v>479</v>
      </c>
      <c r="DS91" s="504">
        <v>200</v>
      </c>
      <c r="DT91" s="504" t="s">
        <v>480</v>
      </c>
      <c r="DU91" s="45">
        <v>100</v>
      </c>
      <c r="DV91" s="507"/>
      <c r="DW91" s="507"/>
      <c r="DX91" s="353"/>
      <c r="DY91" s="507"/>
      <c r="DZ91" s="504">
        <f>CA91*CB91</f>
        <v>57.844799999999999</v>
      </c>
      <c r="EA91" s="45"/>
      <c r="EB91" s="504">
        <v>4</v>
      </c>
      <c r="EC91" s="504" t="s">
        <v>529</v>
      </c>
      <c r="ED91" s="504"/>
      <c r="EE91" s="353"/>
      <c r="EF91" s="507"/>
      <c r="EG91" s="701">
        <f>EL91/(EH91+EI91)</f>
        <v>8.2102468200188561</v>
      </c>
      <c r="EH91" s="701">
        <v>0.22</v>
      </c>
      <c r="EI91" s="702">
        <f>(0.4*(2*CB91+CA91)+0.9*CA91)/(2*(CA91+CB91))</f>
        <v>0.51500655307994758</v>
      </c>
      <c r="EJ91" s="702"/>
      <c r="EK91" s="703">
        <v>2</v>
      </c>
      <c r="EL91" s="704">
        <f>20.31*25/84.14</f>
        <v>6.0345852151176604</v>
      </c>
      <c r="EM91" s="504">
        <v>8</v>
      </c>
      <c r="EN91" s="504"/>
      <c r="EO91" s="504"/>
      <c r="EP91" s="351"/>
      <c r="EQ91" s="504"/>
      <c r="ER91" s="504">
        <f>EW91/(2*ET91+ES91)</f>
        <v>5.0659614927501782</v>
      </c>
      <c r="ES91" s="504">
        <v>0.24</v>
      </c>
      <c r="ET91" s="504">
        <v>0.28000000000000003</v>
      </c>
      <c r="EU91" s="504"/>
      <c r="EV91" s="697" t="s">
        <v>471</v>
      </c>
      <c r="EW91" s="504">
        <f>13.64*25/84.14</f>
        <v>4.0527691942001427</v>
      </c>
      <c r="EX91" s="162">
        <f>+FD91+1</f>
        <v>3</v>
      </c>
      <c r="EY91" s="149">
        <v>1.9</v>
      </c>
      <c r="EZ91" s="504">
        <v>2.4</v>
      </c>
      <c r="FA91" s="504">
        <v>0.3</v>
      </c>
      <c r="FB91" s="504">
        <v>0.4</v>
      </c>
      <c r="FC91" s="504">
        <f t="shared" ref="FC91" si="143">EY91*EZ91</f>
        <v>4.5599999999999996</v>
      </c>
      <c r="FD91" s="504">
        <v>2</v>
      </c>
      <c r="FE91" s="504">
        <v>0.8</v>
      </c>
      <c r="FF91" s="45" t="s">
        <v>553</v>
      </c>
      <c r="FG91" s="507"/>
      <c r="FH91" s="507"/>
      <c r="FI91" s="507"/>
      <c r="FJ91" s="507"/>
      <c r="FK91" s="507"/>
      <c r="FL91" s="507"/>
      <c r="FM91" s="507"/>
      <c r="FN91" s="427"/>
      <c r="FO91" s="507"/>
      <c r="FP91" s="507"/>
      <c r="FQ91" s="507"/>
      <c r="FR91" s="507"/>
      <c r="FS91" s="507"/>
      <c r="FT91" s="507"/>
      <c r="FU91" s="507"/>
      <c r="FV91" s="507"/>
      <c r="FW91" s="507"/>
      <c r="FX91" s="507"/>
      <c r="FY91" s="507"/>
      <c r="FZ91" s="507"/>
      <c r="GA91" s="507"/>
      <c r="GB91" s="507"/>
      <c r="GC91" s="507"/>
      <c r="GD91" s="507"/>
      <c r="GT91" s="510"/>
      <c r="HB91" s="510"/>
      <c r="HJ91" s="510"/>
      <c r="HR91" s="510"/>
      <c r="HZ91" s="510"/>
      <c r="IH91" s="510"/>
    </row>
    <row r="92" spans="1:243" ht="15.75" thickBot="1">
      <c r="AW92" t="s">
        <v>613</v>
      </c>
      <c r="AX92" s="301">
        <v>175</v>
      </c>
      <c r="AY92" s="302">
        <v>104</v>
      </c>
      <c r="AZ92" s="302">
        <v>71</v>
      </c>
      <c r="BA92" s="302">
        <v>119</v>
      </c>
      <c r="BB92" s="303">
        <v>0.67</v>
      </c>
      <c r="BC92" s="304">
        <v>97</v>
      </c>
      <c r="BD92" s="302">
        <v>86</v>
      </c>
      <c r="BE92" s="320">
        <v>119</v>
      </c>
      <c r="BF92" s="305">
        <v>0.52</v>
      </c>
      <c r="DC92" s="433"/>
    </row>
    <row r="93" spans="1:243">
      <c r="DC93" s="433"/>
    </row>
    <row r="95" spans="1:243">
      <c r="J95" s="556"/>
      <c r="DC95" s="433"/>
    </row>
    <row r="96" spans="1:243">
      <c r="J96" s="556"/>
      <c r="DC96" s="433"/>
    </row>
    <row r="97" spans="10:107">
      <c r="J97" s="556"/>
      <c r="DC97" s="433"/>
    </row>
    <row r="98" spans="10:107">
      <c r="J98" s="80"/>
      <c r="DC98" s="433"/>
    </row>
    <row r="99" spans="10:107">
      <c r="J99" s="80"/>
      <c r="DC99" s="433"/>
    </row>
  </sheetData>
  <mergeCells count="135">
    <mergeCell ref="I28:I31"/>
    <mergeCell ref="J28:J31"/>
    <mergeCell ref="H51:H55"/>
    <mergeCell ref="I51:I55"/>
    <mergeCell ref="X51:X53"/>
    <mergeCell ref="G32:G36"/>
    <mergeCell ref="G38:G42"/>
    <mergeCell ref="E4:G4"/>
    <mergeCell ref="BJ4:BM4"/>
    <mergeCell ref="X28:X31"/>
    <mergeCell ref="AM4:AX4"/>
    <mergeCell ref="H4:I4"/>
    <mergeCell ref="Y28:Y31"/>
    <mergeCell ref="F32:F36"/>
    <mergeCell ref="F38:F42"/>
    <mergeCell ref="F43:F45"/>
    <mergeCell ref="T4:U4"/>
    <mergeCell ref="DD4:DI4"/>
    <mergeCell ref="DQ4:DV4"/>
    <mergeCell ref="DW4:EB4"/>
    <mergeCell ref="BR4:BV4"/>
    <mergeCell ref="Z3:BV3"/>
    <mergeCell ref="BW3:CA3"/>
    <mergeCell ref="BW4:CA7"/>
    <mergeCell ref="BW65:CA69"/>
    <mergeCell ref="BW58:CA59"/>
    <mergeCell ref="BW28:CA31"/>
    <mergeCell ref="BW57:CA57"/>
    <mergeCell ref="BW8:CA12"/>
    <mergeCell ref="BW27:CA27"/>
    <mergeCell ref="FH4:FO4"/>
    <mergeCell ref="Z4:AK4"/>
    <mergeCell ref="J4:S4"/>
    <mergeCell ref="W28:W31"/>
    <mergeCell ref="A3:D4"/>
    <mergeCell ref="BC4:BE4"/>
    <mergeCell ref="BG4:BI4"/>
    <mergeCell ref="EC4:EM4"/>
    <mergeCell ref="CR4:CW4"/>
    <mergeCell ref="EY3:II3"/>
    <mergeCell ref="CB3:CP3"/>
    <mergeCell ref="E3:Y3"/>
    <mergeCell ref="CQ3:EX3"/>
    <mergeCell ref="BN4:BQ4"/>
    <mergeCell ref="HL4:HS4"/>
    <mergeCell ref="HT4:IA4"/>
    <mergeCell ref="IB4:II4"/>
    <mergeCell ref="GV4:HC4"/>
    <mergeCell ref="HD4:HK4"/>
    <mergeCell ref="GF4:GM4"/>
    <mergeCell ref="GN4:GU4"/>
    <mergeCell ref="FP4:FW4"/>
    <mergeCell ref="FX4:GE4"/>
    <mergeCell ref="CF4:CJ4"/>
    <mergeCell ref="EZ4:FG4"/>
    <mergeCell ref="AY4:BB4"/>
    <mergeCell ref="A16:A21"/>
    <mergeCell ref="B16:B21"/>
    <mergeCell ref="A8:A15"/>
    <mergeCell ref="B8:B12"/>
    <mergeCell ref="B13:B15"/>
    <mergeCell ref="H28:H31"/>
    <mergeCell ref="F16:F21"/>
    <mergeCell ref="N28:N31"/>
    <mergeCell ref="L28:L31"/>
    <mergeCell ref="M28:M31"/>
    <mergeCell ref="E28:E31"/>
    <mergeCell ref="A27:A31"/>
    <mergeCell ref="G13:G15"/>
    <mergeCell ref="F22:F26"/>
    <mergeCell ref="G28:G31"/>
    <mergeCell ref="F28:F31"/>
    <mergeCell ref="B28:B31"/>
    <mergeCell ref="EN4:EX4"/>
    <mergeCell ref="DJ4:DP4"/>
    <mergeCell ref="CX4:DC4"/>
    <mergeCell ref="CB4:CE4"/>
    <mergeCell ref="CK4:CP4"/>
    <mergeCell ref="A32:A36"/>
    <mergeCell ref="A38:A42"/>
    <mergeCell ref="B38:B42"/>
    <mergeCell ref="E38:E42"/>
    <mergeCell ref="A22:A26"/>
    <mergeCell ref="A65:A69"/>
    <mergeCell ref="B65:B69"/>
    <mergeCell ref="F65:F69"/>
    <mergeCell ref="A51:A55"/>
    <mergeCell ref="B51:B55"/>
    <mergeCell ref="A56:A57"/>
    <mergeCell ref="B56:B57"/>
    <mergeCell ref="F60:F64"/>
    <mergeCell ref="A60:A64"/>
    <mergeCell ref="B60:B64"/>
    <mergeCell ref="G70:G80"/>
    <mergeCell ref="F46:F47"/>
    <mergeCell ref="F51:F55"/>
    <mergeCell ref="A46:A50"/>
    <mergeCell ref="B46:B50"/>
    <mergeCell ref="E46:E47"/>
    <mergeCell ref="A43:A45"/>
    <mergeCell ref="B43:B45"/>
    <mergeCell ref="E43:E45"/>
    <mergeCell ref="G46:G47"/>
    <mergeCell ref="A70:A80"/>
    <mergeCell ref="A58:A59"/>
    <mergeCell ref="B58:B59"/>
    <mergeCell ref="G65:G69"/>
    <mergeCell ref="B76:B80"/>
    <mergeCell ref="G43:G45"/>
    <mergeCell ref="F70:F80"/>
    <mergeCell ref="B70:B75"/>
    <mergeCell ref="BW81:CA81"/>
    <mergeCell ref="BW70:CA80"/>
    <mergeCell ref="B88:J88"/>
    <mergeCell ref="BW13:CA15"/>
    <mergeCell ref="BW16:CA21"/>
    <mergeCell ref="BW22:CA26"/>
    <mergeCell ref="BW32:CA36"/>
    <mergeCell ref="BW37:CA37"/>
    <mergeCell ref="BW38:CA42"/>
    <mergeCell ref="BW43:CA45"/>
    <mergeCell ref="E51:E55"/>
    <mergeCell ref="G51:G55"/>
    <mergeCell ref="B32:B36"/>
    <mergeCell ref="E32:E36"/>
    <mergeCell ref="W51:W53"/>
    <mergeCell ref="G16:G21"/>
    <mergeCell ref="BW51:CA55"/>
    <mergeCell ref="B22:B26"/>
    <mergeCell ref="E22:E26"/>
    <mergeCell ref="BW60:CA64"/>
    <mergeCell ref="BW46:CA50"/>
    <mergeCell ref="G60:G64"/>
    <mergeCell ref="BW56:CA56"/>
    <mergeCell ref="Y51:Y53"/>
  </mergeCells>
  <conditionalFormatting sqref="E8:E28 E32:E80">
    <cfRule type="colorScale" priority="1423">
      <colorScale>
        <cfvo type="min"/>
        <cfvo type="percentile" val="50"/>
        <cfvo type="max"/>
        <color rgb="FF63BE7B"/>
        <color rgb="FFFFEB84"/>
        <color rgb="FFF8696B"/>
      </colorScale>
    </cfRule>
  </conditionalFormatting>
  <conditionalFormatting sqref="H8:H28 H32:H80">
    <cfRule type="colorScale" priority="1425">
      <colorScale>
        <cfvo type="min"/>
        <cfvo type="percentile" val="50"/>
        <cfvo type="max"/>
        <color rgb="FF63BE7B"/>
        <color rgb="FFFFEB84"/>
        <color rgb="FFF8696B"/>
      </colorScale>
    </cfRule>
  </conditionalFormatting>
  <conditionalFormatting sqref="I8:I28 I32:I80">
    <cfRule type="colorScale" priority="1427">
      <colorScale>
        <cfvo type="min"/>
        <cfvo type="percentile" val="50"/>
        <cfvo type="max"/>
        <color rgb="FF63BE7B"/>
        <color rgb="FFFFEB84"/>
        <color rgb="FFF8696B"/>
      </colorScale>
    </cfRule>
  </conditionalFormatting>
  <conditionalFormatting sqref="J8:J28 J32:J80">
    <cfRule type="colorScale" priority="1429">
      <colorScale>
        <cfvo type="min"/>
        <cfvo type="percentile" val="50"/>
        <cfvo type="max"/>
        <color rgb="FF63BE7B"/>
        <color rgb="FFFFEB84"/>
        <color rgb="FFF8696B"/>
      </colorScale>
    </cfRule>
  </conditionalFormatting>
  <conditionalFormatting sqref="J8:J80">
    <cfRule type="colorScale" priority="1431">
      <colorScale>
        <cfvo type="min"/>
        <cfvo type="percentile" val="50"/>
        <cfvo type="max"/>
        <color rgb="FF63BE7B"/>
        <color rgb="FFFFEB84"/>
        <color rgb="FFF8696B"/>
      </colorScale>
    </cfRule>
  </conditionalFormatting>
  <conditionalFormatting sqref="J95:J99">
    <cfRule type="colorScale" priority="532">
      <colorScale>
        <cfvo type="min"/>
        <cfvo type="percentile" val="50"/>
        <cfvo type="max"/>
        <color rgb="FF63BE7B"/>
        <color rgb="FFFFEB84"/>
        <color rgb="FFF8696B"/>
      </colorScale>
    </cfRule>
  </conditionalFormatting>
  <conditionalFormatting sqref="L8:L80">
    <cfRule type="colorScale" priority="1432">
      <colorScale>
        <cfvo type="min"/>
        <cfvo type="percentile" val="50"/>
        <cfvo type="max"/>
        <color rgb="FF63BE7B"/>
        <color rgb="FFFFEB84"/>
        <color rgb="FFF8696B"/>
      </colorScale>
    </cfRule>
  </conditionalFormatting>
  <conditionalFormatting sqref="M8:M80">
    <cfRule type="colorScale" priority="1433">
      <colorScale>
        <cfvo type="min"/>
        <cfvo type="percentile" val="50"/>
        <cfvo type="max"/>
        <color rgb="FF63BE7B"/>
        <color rgb="FFFFEB84"/>
        <color rgb="FFF8696B"/>
      </colorScale>
    </cfRule>
  </conditionalFormatting>
  <conditionalFormatting sqref="N8:N80">
    <cfRule type="colorScale" priority="1434">
      <colorScale>
        <cfvo type="min"/>
        <cfvo type="percentile" val="50"/>
        <cfvo type="max"/>
        <color rgb="FF63BE7B"/>
        <color rgb="FFFFEB84"/>
        <color rgb="FFF8696B"/>
      </colorScale>
    </cfRule>
  </conditionalFormatting>
  <conditionalFormatting sqref="O8:O80">
    <cfRule type="colorScale" priority="1435">
      <colorScale>
        <cfvo type="min"/>
        <cfvo type="percentile" val="50"/>
        <cfvo type="max"/>
        <color rgb="FF63BE7B"/>
        <color rgb="FFFFEB84"/>
        <color rgb="FFF8696B"/>
      </colorScale>
    </cfRule>
  </conditionalFormatting>
  <conditionalFormatting sqref="P8:P80">
    <cfRule type="colorScale" priority="1436">
      <colorScale>
        <cfvo type="min"/>
        <cfvo type="percentile" val="50"/>
        <cfvo type="max"/>
        <color rgb="FF63BE7B"/>
        <color rgb="FFFFEB84"/>
        <color rgb="FFF8696B"/>
      </colorScale>
    </cfRule>
  </conditionalFormatting>
  <conditionalFormatting sqref="Q8:Q80">
    <cfRule type="colorScale" priority="1437">
      <colorScale>
        <cfvo type="min"/>
        <cfvo type="percentile" val="50"/>
        <cfvo type="max"/>
        <color rgb="FF63BE7B"/>
        <color rgb="FFFFEB84"/>
        <color rgb="FFF8696B"/>
      </colorScale>
    </cfRule>
  </conditionalFormatting>
  <conditionalFormatting sqref="R8:R80">
    <cfRule type="colorScale" priority="1438">
      <colorScale>
        <cfvo type="min"/>
        <cfvo type="percentile" val="50"/>
        <cfvo type="max"/>
        <color rgb="FF63BE7B"/>
        <color rgb="FFFFEB84"/>
        <color rgb="FFF8696B"/>
      </colorScale>
    </cfRule>
  </conditionalFormatting>
  <conditionalFormatting sqref="Y8:Y80">
    <cfRule type="colorScale" priority="1440">
      <colorScale>
        <cfvo type="min"/>
        <cfvo type="percentile" val="50"/>
        <cfvo type="max"/>
        <color rgb="FFF8696B"/>
        <color rgb="FFFCFCFF"/>
        <color rgb="FF63BE7B"/>
      </colorScale>
    </cfRule>
  </conditionalFormatting>
  <conditionalFormatting sqref="Z8:Z69">
    <cfRule type="colorScale" priority="464">
      <colorScale>
        <cfvo type="min"/>
        <cfvo type="percentile" val="50"/>
        <cfvo type="max"/>
        <color rgb="FF63BE7B"/>
        <color rgb="FFFFEB84"/>
        <color rgb="FFF8696B"/>
      </colorScale>
    </cfRule>
  </conditionalFormatting>
  <conditionalFormatting sqref="Z46:Z69">
    <cfRule type="colorScale" priority="745">
      <colorScale>
        <cfvo type="min"/>
        <cfvo type="percentile" val="50"/>
        <cfvo type="max"/>
        <color rgb="FF63BE7B"/>
        <color rgb="FFFFEB84"/>
        <color rgb="FFF8696B"/>
      </colorScale>
    </cfRule>
  </conditionalFormatting>
  <conditionalFormatting sqref="Z70:Z74 Z76:Z77">
    <cfRule type="colorScale" priority="359">
      <colorScale>
        <cfvo type="min"/>
        <cfvo type="percentile" val="50"/>
        <cfvo type="max"/>
        <color rgb="FF63BE7B"/>
        <color rgb="FFFFEB84"/>
        <color rgb="FFF8696B"/>
      </colorScale>
    </cfRule>
    <cfRule type="colorScale" priority="349">
      <colorScale>
        <cfvo type="min"/>
        <cfvo type="percentile" val="50"/>
        <cfvo type="max"/>
        <color rgb="FF63BE7B"/>
        <color rgb="FFFFEB84"/>
        <color rgb="FFF8696B"/>
      </colorScale>
    </cfRule>
  </conditionalFormatting>
  <conditionalFormatting sqref="Z75">
    <cfRule type="colorScale" priority="46">
      <colorScale>
        <cfvo type="min"/>
        <cfvo type="percentile" val="50"/>
        <cfvo type="max"/>
        <color rgb="FF63BE7B"/>
        <color rgb="FFFFEB84"/>
        <color rgb="FFF8696B"/>
      </colorScale>
    </cfRule>
    <cfRule type="colorScale" priority="47">
      <colorScale>
        <cfvo type="min"/>
        <cfvo type="percentile" val="50"/>
        <cfvo type="max"/>
        <color rgb="FF63BE7B"/>
        <color rgb="FFFFEB84"/>
        <color rgb="FFF8696B"/>
      </colorScale>
    </cfRule>
  </conditionalFormatting>
  <conditionalFormatting sqref="Z78:Z80">
    <cfRule type="colorScale" priority="1442">
      <colorScale>
        <cfvo type="min"/>
        <cfvo type="percentile" val="50"/>
        <cfvo type="max"/>
        <color rgb="FF63BE7B"/>
        <color rgb="FFFFEB84"/>
        <color rgb="FFF8696B"/>
      </colorScale>
    </cfRule>
    <cfRule type="colorScale" priority="1441">
      <colorScale>
        <cfvo type="min"/>
        <cfvo type="percentile" val="50"/>
        <cfvo type="max"/>
        <color rgb="FF63BE7B"/>
        <color rgb="FFFFEB84"/>
        <color rgb="FFF8696B"/>
      </colorScale>
    </cfRule>
  </conditionalFormatting>
  <conditionalFormatting sqref="Z64:AB64 AE64 AE69 Z69:AB69">
    <cfRule type="colorScale" priority="688">
      <colorScale>
        <cfvo type="min"/>
        <cfvo type="percentile" val="50"/>
        <cfvo type="max"/>
        <color rgb="FFF8696B"/>
        <color rgb="FFFCFCFF"/>
        <color rgb="FF63BE7B"/>
      </colorScale>
    </cfRule>
  </conditionalFormatting>
  <conditionalFormatting sqref="Z70:AB74 AE70:AE74 AE76 Z76:AB77">
    <cfRule type="colorScale" priority="356">
      <colorScale>
        <cfvo type="min"/>
        <cfvo type="percentile" val="50"/>
        <cfvo type="max"/>
        <color rgb="FFF8696B"/>
        <color rgb="FFFCFCFF"/>
        <color rgb="FF63BE7B"/>
      </colorScale>
    </cfRule>
  </conditionalFormatting>
  <conditionalFormatting sqref="Z75:AB75 AE75">
    <cfRule type="colorScale" priority="48">
      <colorScale>
        <cfvo type="min"/>
        <cfvo type="percentile" val="50"/>
        <cfvo type="max"/>
        <color rgb="FFF8696B"/>
        <color rgb="FFFCFCFF"/>
        <color rgb="FF63BE7B"/>
      </colorScale>
    </cfRule>
  </conditionalFormatting>
  <conditionalFormatting sqref="Z78:AB80 AE77:AE80">
    <cfRule type="colorScale" priority="1443">
      <colorScale>
        <cfvo type="min"/>
        <cfvo type="percentile" val="50"/>
        <cfvo type="max"/>
        <color rgb="FFF8696B"/>
        <color rgb="FFFCFCFF"/>
        <color rgb="FF63BE7B"/>
      </colorScale>
    </cfRule>
  </conditionalFormatting>
  <conditionalFormatting sqref="AA8:AA69">
    <cfRule type="colorScale" priority="743">
      <colorScale>
        <cfvo type="min"/>
        <cfvo type="percentile" val="50"/>
        <cfvo type="max"/>
        <color rgb="FF63BE7B"/>
        <color rgb="FFFFEB84"/>
        <color rgb="FFF8696B"/>
      </colorScale>
    </cfRule>
  </conditionalFormatting>
  <conditionalFormatting sqref="AA37">
    <cfRule type="colorScale" priority="474">
      <colorScale>
        <cfvo type="min"/>
        <cfvo type="percentile" val="50"/>
        <cfvo type="max"/>
        <color rgb="FF63BE7B"/>
        <color rgb="FFFFEB84"/>
        <color rgb="FFF8696B"/>
      </colorScale>
    </cfRule>
    <cfRule type="colorScale" priority="473">
      <colorScale>
        <cfvo type="min"/>
        <cfvo type="percentile" val="50"/>
        <cfvo type="max"/>
        <color rgb="FF63BE7B"/>
        <color rgb="FFFFEB84"/>
        <color rgb="FFF8696B"/>
      </colorScale>
    </cfRule>
  </conditionalFormatting>
  <conditionalFormatting sqref="AA65:AA69">
    <cfRule type="colorScale" priority="207">
      <colorScale>
        <cfvo type="min"/>
        <cfvo type="percentile" val="50"/>
        <cfvo type="max"/>
        <color rgb="FF63BE7B"/>
        <color rgb="FFFFEB84"/>
        <color rgb="FFF8696B"/>
      </colorScale>
    </cfRule>
    <cfRule type="colorScale" priority="208">
      <colorScale>
        <cfvo type="min"/>
        <cfvo type="percentile" val="50"/>
        <cfvo type="max"/>
        <color rgb="FF63BE7B"/>
        <color rgb="FFFFEB84"/>
        <color rgb="FFF8696B"/>
      </colorScale>
    </cfRule>
  </conditionalFormatting>
  <conditionalFormatting sqref="AA70:AA74 AA76:AA77">
    <cfRule type="colorScale" priority="358">
      <colorScale>
        <cfvo type="min"/>
        <cfvo type="percentile" val="50"/>
        <cfvo type="max"/>
        <color rgb="FF63BE7B"/>
        <color rgb="FFFFEB84"/>
        <color rgb="FFF8696B"/>
      </colorScale>
    </cfRule>
    <cfRule type="colorScale" priority="355">
      <colorScale>
        <cfvo type="min"/>
        <cfvo type="percentile" val="50"/>
        <cfvo type="max"/>
        <color rgb="FF63BE7B"/>
        <color rgb="FFFFEB84"/>
        <color rgb="FFF8696B"/>
      </colorScale>
    </cfRule>
  </conditionalFormatting>
  <conditionalFormatting sqref="AA75">
    <cfRule type="colorScale" priority="50">
      <colorScale>
        <cfvo type="min"/>
        <cfvo type="percentile" val="50"/>
        <cfvo type="max"/>
        <color rgb="FF63BE7B"/>
        <color rgb="FFFFEB84"/>
        <color rgb="FFF8696B"/>
      </colorScale>
    </cfRule>
    <cfRule type="colorScale" priority="49">
      <colorScale>
        <cfvo type="min"/>
        <cfvo type="percentile" val="50"/>
        <cfvo type="max"/>
        <color rgb="FF63BE7B"/>
        <color rgb="FFFFEB84"/>
        <color rgb="FFF8696B"/>
      </colorScale>
    </cfRule>
  </conditionalFormatting>
  <conditionalFormatting sqref="AA78:AA80">
    <cfRule type="colorScale" priority="1445">
      <colorScale>
        <cfvo type="min"/>
        <cfvo type="percentile" val="50"/>
        <cfvo type="max"/>
        <color rgb="FF63BE7B"/>
        <color rgb="FFFFEB84"/>
        <color rgb="FFF8696B"/>
      </colorScale>
    </cfRule>
    <cfRule type="colorScale" priority="1446">
      <colorScale>
        <cfvo type="min"/>
        <cfvo type="percentile" val="50"/>
        <cfvo type="max"/>
        <color rgb="FF63BE7B"/>
        <color rgb="FFFFEB84"/>
        <color rgb="FFF8696B"/>
      </colorScale>
    </cfRule>
  </conditionalFormatting>
  <conditionalFormatting sqref="AB70:AB74 AE70:AE74 AE76 AB76:AB77">
    <cfRule type="colorScale" priority="354">
      <colorScale>
        <cfvo type="min"/>
        <cfvo type="percentile" val="50"/>
        <cfvo type="max"/>
        <color rgb="FF63BE7B"/>
        <color rgb="FFFFEB84"/>
        <color rgb="FFF8696B"/>
      </colorScale>
    </cfRule>
    <cfRule type="colorScale" priority="353">
      <colorScale>
        <cfvo type="min"/>
        <cfvo type="percentile" val="50"/>
        <cfvo type="max"/>
        <color rgb="FF63BE7B"/>
        <color rgb="FFFFEB84"/>
        <color rgb="FFF8696B"/>
      </colorScale>
    </cfRule>
  </conditionalFormatting>
  <conditionalFormatting sqref="AB75 AE75">
    <cfRule type="colorScale" priority="52">
      <colorScale>
        <cfvo type="min"/>
        <cfvo type="percentile" val="50"/>
        <cfvo type="max"/>
        <color rgb="FF63BE7B"/>
        <color rgb="FFFFEB84"/>
        <color rgb="FFF8696B"/>
      </colorScale>
    </cfRule>
    <cfRule type="colorScale" priority="51">
      <colorScale>
        <cfvo type="min"/>
        <cfvo type="percentile" val="50"/>
        <cfvo type="max"/>
        <color rgb="FF63BE7B"/>
        <color rgb="FFFFEB84"/>
        <color rgb="FFF8696B"/>
      </colorScale>
    </cfRule>
  </conditionalFormatting>
  <conditionalFormatting sqref="AB78:AB80 AE77:AE80">
    <cfRule type="colorScale" priority="1448">
      <colorScale>
        <cfvo type="min"/>
        <cfvo type="percentile" val="50"/>
        <cfvo type="max"/>
        <color rgb="FF63BE7B"/>
        <color rgb="FFFFEB84"/>
        <color rgb="FFF8696B"/>
      </colorScale>
    </cfRule>
    <cfRule type="colorScale" priority="1447">
      <colorScale>
        <cfvo type="min"/>
        <cfvo type="percentile" val="50"/>
        <cfvo type="max"/>
        <color rgb="FF63BE7B"/>
        <color rgb="FFFFEB84"/>
        <color rgb="FFF8696B"/>
      </colorScale>
    </cfRule>
  </conditionalFormatting>
  <conditionalFormatting sqref="AC8:AD69">
    <cfRule type="colorScale" priority="451">
      <colorScale>
        <cfvo type="min"/>
        <cfvo type="percentile" val="50"/>
        <cfvo type="max"/>
        <color rgb="FFF8696B"/>
        <color rgb="FFFCFCFF"/>
        <color rgb="FF63BE7B"/>
      </colorScale>
    </cfRule>
    <cfRule type="colorScale" priority="449">
      <colorScale>
        <cfvo type="min"/>
        <cfvo type="percentile" val="50"/>
        <cfvo type="max"/>
        <color rgb="FF63BE7B"/>
        <color rgb="FFFFEB84"/>
        <color rgb="FFF8696B"/>
      </colorScale>
    </cfRule>
  </conditionalFormatting>
  <conditionalFormatting sqref="AC64:AD64 AC69:AD69">
    <cfRule type="colorScale" priority="452">
      <colorScale>
        <cfvo type="min"/>
        <cfvo type="percentile" val="50"/>
        <cfvo type="max"/>
        <color rgb="FFF8696B"/>
        <color rgb="FFFCFCFF"/>
        <color rgb="FF63BE7B"/>
      </colorScale>
    </cfRule>
  </conditionalFormatting>
  <conditionalFormatting sqref="AC70:AD74 AC76:AD77">
    <cfRule type="colorScale" priority="341">
      <colorScale>
        <cfvo type="min"/>
        <cfvo type="percentile" val="50"/>
        <cfvo type="max"/>
        <color rgb="FF63BE7B"/>
        <color rgb="FFFFEB84"/>
        <color rgb="FFF8696B"/>
      </colorScale>
    </cfRule>
    <cfRule type="colorScale" priority="343">
      <colorScale>
        <cfvo type="min"/>
        <cfvo type="percentile" val="50"/>
        <cfvo type="max"/>
        <color rgb="FFF8696B"/>
        <color rgb="FFFCFCFF"/>
        <color rgb="FF63BE7B"/>
      </colorScale>
    </cfRule>
    <cfRule type="colorScale" priority="342">
      <colorScale>
        <cfvo type="min"/>
        <cfvo type="percentile" val="50"/>
        <cfvo type="max"/>
        <color rgb="FF63BE7B"/>
        <color rgb="FFFFEB84"/>
        <color rgb="FFF8696B"/>
      </colorScale>
    </cfRule>
  </conditionalFormatting>
  <conditionalFormatting sqref="AC75:AD75">
    <cfRule type="colorScale" priority="53">
      <colorScale>
        <cfvo type="min"/>
        <cfvo type="percentile" val="50"/>
        <cfvo type="max"/>
        <color rgb="FF63BE7B"/>
        <color rgb="FFFFEB84"/>
        <color rgb="FFF8696B"/>
      </colorScale>
    </cfRule>
    <cfRule type="colorScale" priority="54">
      <colorScale>
        <cfvo type="min"/>
        <cfvo type="percentile" val="50"/>
        <cfvo type="max"/>
        <color rgb="FF63BE7B"/>
        <color rgb="FFFFEB84"/>
        <color rgb="FFF8696B"/>
      </colorScale>
    </cfRule>
    <cfRule type="colorScale" priority="55">
      <colorScale>
        <cfvo type="min"/>
        <cfvo type="percentile" val="50"/>
        <cfvo type="max"/>
        <color rgb="FFF8696B"/>
        <color rgb="FFFCFCFF"/>
        <color rgb="FF63BE7B"/>
      </colorScale>
    </cfRule>
  </conditionalFormatting>
  <conditionalFormatting sqref="AC78:AD80">
    <cfRule type="colorScale" priority="1453">
      <colorScale>
        <cfvo type="min"/>
        <cfvo type="percentile" val="50"/>
        <cfvo type="max"/>
        <color rgb="FFF8696B"/>
        <color rgb="FFFCFCFF"/>
        <color rgb="FF63BE7B"/>
      </colorScale>
    </cfRule>
    <cfRule type="colorScale" priority="1452">
      <colorScale>
        <cfvo type="min"/>
        <cfvo type="percentile" val="50"/>
        <cfvo type="max"/>
        <color rgb="FF63BE7B"/>
        <color rgb="FFFFEB84"/>
        <color rgb="FFF8696B"/>
      </colorScale>
    </cfRule>
    <cfRule type="colorScale" priority="1451">
      <colorScale>
        <cfvo type="min"/>
        <cfvo type="percentile" val="50"/>
        <cfvo type="max"/>
        <color rgb="FF63BE7B"/>
        <color rgb="FFFFEB84"/>
        <color rgb="FFF8696B"/>
      </colorScale>
    </cfRule>
  </conditionalFormatting>
  <conditionalFormatting sqref="AC81:AD81 AC5:AC7 AC8:AD69">
    <cfRule type="colorScale" priority="448">
      <colorScale>
        <cfvo type="min"/>
        <cfvo type="percentile" val="50"/>
        <cfvo type="max"/>
        <color rgb="FF63BE7B"/>
        <color rgb="FFFFEB84"/>
        <color rgb="FFF8696B"/>
      </colorScale>
    </cfRule>
  </conditionalFormatting>
  <conditionalFormatting sqref="AD6">
    <cfRule type="colorScale" priority="212">
      <colorScale>
        <cfvo type="min"/>
        <cfvo type="percentile" val="50"/>
        <cfvo type="max"/>
        <color rgb="FF63BE7B"/>
        <color rgb="FFFFEB84"/>
        <color rgb="FFF8696B"/>
      </colorScale>
    </cfRule>
  </conditionalFormatting>
  <conditionalFormatting sqref="AE5:AF5">
    <cfRule type="colorScale" priority="495">
      <colorScale>
        <cfvo type="min"/>
        <cfvo type="percentile" val="50"/>
        <cfvo type="max"/>
        <color rgb="FF63BE7B"/>
        <color rgb="FFFFEB84"/>
        <color rgb="FFF8696B"/>
      </colorScale>
    </cfRule>
  </conditionalFormatting>
  <conditionalFormatting sqref="AE7:AF7">
    <cfRule type="colorScale" priority="494">
      <colorScale>
        <cfvo type="min"/>
        <cfvo type="percentile" val="50"/>
        <cfvo type="max"/>
        <color rgb="FF63BE7B"/>
        <color rgb="FFFFEB84"/>
        <color rgb="FFF8696B"/>
      </colorScale>
    </cfRule>
  </conditionalFormatting>
  <conditionalFormatting sqref="AE62:AF63 AE81 AB81 AE67:AF68 AB5:AB69 AE64:AE66 AE68:AE69 AE8:AE61">
    <cfRule type="colorScale" priority="496">
      <colorScale>
        <cfvo type="min"/>
        <cfvo type="percentile" val="50"/>
        <cfvo type="max"/>
        <color rgb="FF63BE7B"/>
        <color rgb="FFFFEB84"/>
        <color rgb="FFF8696B"/>
      </colorScale>
    </cfRule>
  </conditionalFormatting>
  <conditionalFormatting sqref="AE62:AF64 AB8:AB69 AE65:AE66 AE67:AF69 AE8:AE61">
    <cfRule type="colorScale" priority="497">
      <colorScale>
        <cfvo type="min"/>
        <cfvo type="percentile" val="50"/>
        <cfvo type="max"/>
        <color rgb="FF63BE7B"/>
        <color rgb="FFFFEB84"/>
        <color rgb="FFF8696B"/>
      </colorScale>
    </cfRule>
  </conditionalFormatting>
  <conditionalFormatting sqref="AE62:AF64 AE65:AE66 Z8:AB69 AE67:AF69 AE8:AE61">
    <cfRule type="colorScale" priority="535">
      <colorScale>
        <cfvo type="min"/>
        <cfvo type="percentile" val="50"/>
        <cfvo type="max"/>
        <color rgb="FFF8696B"/>
        <color rgb="FFFCFCFF"/>
        <color rgb="FF63BE7B"/>
      </colorScale>
    </cfRule>
  </conditionalFormatting>
  <conditionalFormatting sqref="AF61">
    <cfRule type="colorScale" priority="456">
      <colorScale>
        <cfvo type="min"/>
        <cfvo type="percentile" val="50"/>
        <cfvo type="max"/>
        <color rgb="FFF8696B"/>
        <color rgb="FFFCFCFF"/>
        <color rgb="FF63BE7B"/>
      </colorScale>
    </cfRule>
    <cfRule type="colorScale" priority="455">
      <colorScale>
        <cfvo type="min"/>
        <cfvo type="percentile" val="50"/>
        <cfvo type="max"/>
        <color rgb="FF63BE7B"/>
        <color rgb="FFFFEB84"/>
        <color rgb="FFF8696B"/>
      </colorScale>
    </cfRule>
    <cfRule type="colorScale" priority="454">
      <colorScale>
        <cfvo type="min"/>
        <cfvo type="percentile" val="50"/>
        <cfvo type="max"/>
        <color rgb="FF63BE7B"/>
        <color rgb="FFFFEB84"/>
        <color rgb="FFF8696B"/>
      </colorScale>
    </cfRule>
  </conditionalFormatting>
  <conditionalFormatting sqref="AF66">
    <cfRule type="colorScale" priority="209">
      <colorScale>
        <cfvo type="min"/>
        <cfvo type="percentile" val="50"/>
        <cfvo type="max"/>
        <color rgb="FF63BE7B"/>
        <color rgb="FFFFEB84"/>
        <color rgb="FFF8696B"/>
      </colorScale>
    </cfRule>
    <cfRule type="colorScale" priority="210">
      <colorScale>
        <cfvo type="min"/>
        <cfvo type="percentile" val="50"/>
        <cfvo type="max"/>
        <color rgb="FF63BE7B"/>
        <color rgb="FFFFEB84"/>
        <color rgb="FFF8696B"/>
      </colorScale>
    </cfRule>
    <cfRule type="colorScale" priority="211">
      <colorScale>
        <cfvo type="min"/>
        <cfvo type="percentile" val="50"/>
        <cfvo type="max"/>
        <color rgb="FFF8696B"/>
        <color rgb="FFFCFCFF"/>
        <color rgb="FF63BE7B"/>
      </colorScale>
    </cfRule>
  </conditionalFormatting>
  <conditionalFormatting sqref="AF69 AF64">
    <cfRule type="colorScale" priority="453">
      <colorScale>
        <cfvo type="min"/>
        <cfvo type="percentile" val="50"/>
        <cfvo type="max"/>
        <color rgb="FF63BE7B"/>
        <color rgb="FFFFEB84"/>
        <color rgb="FFF8696B"/>
      </colorScale>
    </cfRule>
  </conditionalFormatting>
  <conditionalFormatting sqref="AG5:AH5">
    <cfRule type="colorScale" priority="90">
      <colorScale>
        <cfvo type="min"/>
        <cfvo type="percentile" val="50"/>
        <cfvo type="max"/>
        <color rgb="FF63BE7B"/>
        <color rgb="FFFFEB84"/>
        <color rgb="FFF8696B"/>
      </colorScale>
    </cfRule>
  </conditionalFormatting>
  <conditionalFormatting sqref="AG7:AH7">
    <cfRule type="colorScale" priority="89">
      <colorScale>
        <cfvo type="min"/>
        <cfvo type="percentile" val="50"/>
        <cfvo type="max"/>
        <color rgb="FF63BE7B"/>
        <color rgb="FFFFEB84"/>
        <color rgb="FFF8696B"/>
      </colorScale>
    </cfRule>
  </conditionalFormatting>
  <conditionalFormatting sqref="AG61:AH61">
    <cfRule type="colorScale" priority="86">
      <colorScale>
        <cfvo type="min"/>
        <cfvo type="percentile" val="50"/>
        <cfvo type="max"/>
        <color rgb="FF63BE7B"/>
        <color rgb="FFFFEB84"/>
        <color rgb="FFF8696B"/>
      </colorScale>
    </cfRule>
    <cfRule type="colorScale" priority="87">
      <colorScale>
        <cfvo type="min"/>
        <cfvo type="percentile" val="50"/>
        <cfvo type="max"/>
        <color rgb="FF63BE7B"/>
        <color rgb="FFFFEB84"/>
        <color rgb="FFF8696B"/>
      </colorScale>
    </cfRule>
    <cfRule type="colorScale" priority="88">
      <colorScale>
        <cfvo type="min"/>
        <cfvo type="percentile" val="50"/>
        <cfvo type="max"/>
        <color rgb="FFF8696B"/>
        <color rgb="FFFCFCFF"/>
        <color rgb="FF63BE7B"/>
      </colorScale>
    </cfRule>
  </conditionalFormatting>
  <conditionalFormatting sqref="AG62:AH63 AG67:AH68">
    <cfRule type="colorScale" priority="91">
      <colorScale>
        <cfvo type="min"/>
        <cfvo type="percentile" val="50"/>
        <cfvo type="max"/>
        <color rgb="FF63BE7B"/>
        <color rgb="FFFFEB84"/>
        <color rgb="FFF8696B"/>
      </colorScale>
    </cfRule>
  </conditionalFormatting>
  <conditionalFormatting sqref="AG62:AH64 AG67:AH69">
    <cfRule type="colorScale" priority="92">
      <colorScale>
        <cfvo type="min"/>
        <cfvo type="percentile" val="50"/>
        <cfvo type="max"/>
        <color rgb="FF63BE7B"/>
        <color rgb="FFFFEB84"/>
        <color rgb="FFF8696B"/>
      </colorScale>
    </cfRule>
    <cfRule type="colorScale" priority="94">
      <colorScale>
        <cfvo type="min"/>
        <cfvo type="percentile" val="50"/>
        <cfvo type="max"/>
        <color rgb="FFF8696B"/>
        <color rgb="FFFCFCFF"/>
        <color rgb="FF63BE7B"/>
      </colorScale>
    </cfRule>
  </conditionalFormatting>
  <conditionalFormatting sqref="AG64:AH64 AG69:AH69">
    <cfRule type="colorScale" priority="85">
      <colorScale>
        <cfvo type="min"/>
        <cfvo type="percentile" val="50"/>
        <cfvo type="max"/>
        <color rgb="FF63BE7B"/>
        <color rgb="FFFFEB84"/>
        <color rgb="FFF8696B"/>
      </colorScale>
    </cfRule>
  </conditionalFormatting>
  <conditionalFormatting sqref="AG66:AH66">
    <cfRule type="colorScale" priority="82">
      <colorScale>
        <cfvo type="min"/>
        <cfvo type="percentile" val="50"/>
        <cfvo type="max"/>
        <color rgb="FF63BE7B"/>
        <color rgb="FFFFEB84"/>
        <color rgb="FFF8696B"/>
      </colorScale>
    </cfRule>
    <cfRule type="colorScale" priority="83">
      <colorScale>
        <cfvo type="min"/>
        <cfvo type="percentile" val="50"/>
        <cfvo type="max"/>
        <color rgb="FF63BE7B"/>
        <color rgb="FFFFEB84"/>
        <color rgb="FFF8696B"/>
      </colorScale>
    </cfRule>
    <cfRule type="colorScale" priority="84">
      <colorScale>
        <cfvo type="min"/>
        <cfvo type="percentile" val="50"/>
        <cfvo type="max"/>
        <color rgb="FFF8696B"/>
        <color rgb="FFFCFCFF"/>
        <color rgb="FF63BE7B"/>
      </colorScale>
    </cfRule>
  </conditionalFormatting>
  <conditionalFormatting sqref="AI5">
    <cfRule type="colorScale" priority="80">
      <colorScale>
        <cfvo type="min"/>
        <cfvo type="percentile" val="50"/>
        <cfvo type="max"/>
        <color rgb="FF63BE7B"/>
        <color rgb="FFFFEB84"/>
        <color rgb="FFF8696B"/>
      </colorScale>
    </cfRule>
  </conditionalFormatting>
  <conditionalFormatting sqref="AI7">
    <cfRule type="colorScale" priority="79">
      <colorScale>
        <cfvo type="min"/>
        <cfvo type="percentile" val="50"/>
        <cfvo type="max"/>
        <color rgb="FF63BE7B"/>
        <color rgb="FFFFEB84"/>
        <color rgb="FFF8696B"/>
      </colorScale>
    </cfRule>
  </conditionalFormatting>
  <conditionalFormatting sqref="AJ5">
    <cfRule type="colorScale" priority="443">
      <colorScale>
        <cfvo type="min"/>
        <cfvo type="percentile" val="50"/>
        <cfvo type="max"/>
        <color rgb="FF63BE7B"/>
        <color rgb="FFFFEB84"/>
        <color rgb="FFF8696B"/>
      </colorScale>
    </cfRule>
  </conditionalFormatting>
  <conditionalFormatting sqref="AJ7">
    <cfRule type="colorScale" priority="442">
      <colorScale>
        <cfvo type="min"/>
        <cfvo type="percentile" val="50"/>
        <cfvo type="max"/>
        <color rgb="FF63BE7B"/>
        <color rgb="FFFFEB84"/>
        <color rgb="FFF8696B"/>
      </colorScale>
    </cfRule>
  </conditionalFormatting>
  <conditionalFormatting sqref="AK8:AK69">
    <cfRule type="colorScale" priority="794">
      <colorScale>
        <cfvo type="min"/>
        <cfvo type="percentile" val="50"/>
        <cfvo type="max"/>
        <color rgb="FF63BE7B"/>
        <color rgb="FFFFEB84"/>
        <color rgb="FFF8696B"/>
      </colorScale>
    </cfRule>
  </conditionalFormatting>
  <conditionalFormatting sqref="AK70:AK74 AK76:AK77">
    <cfRule type="colorScale" priority="368">
      <colorScale>
        <cfvo type="min"/>
        <cfvo type="percentile" val="50"/>
        <cfvo type="max"/>
        <color rgb="FF63BE7B"/>
        <color rgb="FFFFEB84"/>
        <color rgb="FFF8696B"/>
      </colorScale>
    </cfRule>
  </conditionalFormatting>
  <conditionalFormatting sqref="AK75">
    <cfRule type="colorScale" priority="56">
      <colorScale>
        <cfvo type="min"/>
        <cfvo type="percentile" val="50"/>
        <cfvo type="max"/>
        <color rgb="FF63BE7B"/>
        <color rgb="FFFFEB84"/>
        <color rgb="FFF8696B"/>
      </colorScale>
    </cfRule>
  </conditionalFormatting>
  <conditionalFormatting sqref="AK78:AK80">
    <cfRule type="colorScale" priority="1463">
      <colorScale>
        <cfvo type="min"/>
        <cfvo type="percentile" val="50"/>
        <cfvo type="max"/>
        <color rgb="FF63BE7B"/>
        <color rgb="FFFFEB84"/>
        <color rgb="FFF8696B"/>
      </colorScale>
    </cfRule>
  </conditionalFormatting>
  <conditionalFormatting sqref="AM8:AM80">
    <cfRule type="colorScale" priority="1464">
      <colorScale>
        <cfvo type="min"/>
        <cfvo type="percentile" val="50"/>
        <cfvo type="max"/>
        <color rgb="FF63BE7B"/>
        <color rgb="FFFFEB84"/>
        <color rgb="FFF8696B"/>
      </colorScale>
    </cfRule>
  </conditionalFormatting>
  <conditionalFormatting sqref="AW8:AW80">
    <cfRule type="containsText" dxfId="6" priority="275" operator="containsText" text="Y">
      <formula>NOT(ISERROR(SEARCH("Y",AW8)))</formula>
    </cfRule>
    <cfRule type="containsText" dxfId="5" priority="276" operator="containsText" text="N">
      <formula>NOT(ISERROR(SEARCH("N",AW8)))</formula>
    </cfRule>
  </conditionalFormatting>
  <conditionalFormatting sqref="AY8:AY58 AY60:AY69">
    <cfRule type="colorScale" priority="461">
      <colorScale>
        <cfvo type="min"/>
        <cfvo type="percentile" val="50"/>
        <cfvo type="max"/>
        <color rgb="FF63BE7B"/>
        <color rgb="FFFFEB84"/>
        <color rgb="FFF8696B"/>
      </colorScale>
    </cfRule>
  </conditionalFormatting>
  <conditionalFormatting sqref="AY8:AY69 AY81">
    <cfRule type="colorScale" priority="416">
      <colorScale>
        <cfvo type="min"/>
        <cfvo type="percentile" val="50"/>
        <cfvo type="max"/>
        <color rgb="FF63BE7B"/>
        <color rgb="FFFFEB84"/>
        <color rgb="FFF8696B"/>
      </colorScale>
    </cfRule>
  </conditionalFormatting>
  <conditionalFormatting sqref="AY59">
    <cfRule type="colorScale" priority="431">
      <colorScale>
        <cfvo type="min"/>
        <cfvo type="percentile" val="50"/>
        <cfvo type="max"/>
        <color rgb="FF63BE7B"/>
        <color rgb="FFFFEB84"/>
        <color rgb="FFF8696B"/>
      </colorScale>
    </cfRule>
  </conditionalFormatting>
  <conditionalFormatting sqref="AY70:AY74 AY76:AY77">
    <cfRule type="colorScale" priority="348">
      <colorScale>
        <cfvo type="min"/>
        <cfvo type="percentile" val="50"/>
        <cfvo type="max"/>
        <color rgb="FF63BE7B"/>
        <color rgb="FFFFEB84"/>
        <color rgb="FFF8696B"/>
      </colorScale>
    </cfRule>
    <cfRule type="colorScale" priority="339">
      <colorScale>
        <cfvo type="min"/>
        <cfvo type="percentile" val="50"/>
        <cfvo type="max"/>
        <color rgb="FF63BE7B"/>
        <color rgb="FFFFEB84"/>
        <color rgb="FFF8696B"/>
      </colorScale>
    </cfRule>
  </conditionalFormatting>
  <conditionalFormatting sqref="AY75">
    <cfRule type="colorScale" priority="28">
      <colorScale>
        <cfvo type="min"/>
        <cfvo type="percentile" val="50"/>
        <cfvo type="max"/>
        <color rgb="FF63BE7B"/>
        <color rgb="FFFFEB84"/>
        <color rgb="FFF8696B"/>
      </colorScale>
    </cfRule>
    <cfRule type="colorScale" priority="35">
      <colorScale>
        <cfvo type="min"/>
        <cfvo type="percentile" val="50"/>
        <cfvo type="max"/>
        <color rgb="FF63BE7B"/>
        <color rgb="FFFFEB84"/>
        <color rgb="FFF8696B"/>
      </colorScale>
    </cfRule>
  </conditionalFormatting>
  <conditionalFormatting sqref="AY78:AY80">
    <cfRule type="colorScale" priority="1466">
      <colorScale>
        <cfvo type="min"/>
        <cfvo type="percentile" val="50"/>
        <cfvo type="max"/>
        <color rgb="FF63BE7B"/>
        <color rgb="FFFFEB84"/>
        <color rgb="FFF8696B"/>
      </colorScale>
    </cfRule>
  </conditionalFormatting>
  <conditionalFormatting sqref="AY8:BB19 AY20:BA21 AY22:BB58 AY60:BB69">
    <cfRule type="colorScale" priority="757">
      <colorScale>
        <cfvo type="min"/>
        <cfvo type="percentile" val="50"/>
        <cfvo type="max"/>
        <color rgb="FF63BE7B"/>
        <color rgb="FFFFEB84"/>
        <color rgb="FFF8696B"/>
      </colorScale>
    </cfRule>
  </conditionalFormatting>
  <conditionalFormatting sqref="AY8:BB69">
    <cfRule type="colorScale" priority="417">
      <colorScale>
        <cfvo type="min"/>
        <cfvo type="percentile" val="50"/>
        <cfvo type="max"/>
        <color rgb="FF63BE7B"/>
        <color rgb="FFFFEB84"/>
        <color rgb="FFF8696B"/>
      </colorScale>
    </cfRule>
  </conditionalFormatting>
  <conditionalFormatting sqref="AY59:BB59">
    <cfRule type="colorScale" priority="432">
      <colorScale>
        <cfvo type="min"/>
        <cfvo type="percentile" val="50"/>
        <cfvo type="max"/>
        <color rgb="FF63BE7B"/>
        <color rgb="FFFFEB84"/>
        <color rgb="FFF8696B"/>
      </colorScale>
    </cfRule>
  </conditionalFormatting>
  <conditionalFormatting sqref="AY70:BB71">
    <cfRule type="colorScale" priority="360">
      <colorScale>
        <cfvo type="min"/>
        <cfvo type="percentile" val="50"/>
        <cfvo type="max"/>
        <color rgb="FF63BE7B"/>
        <color rgb="FFFFEB84"/>
        <color rgb="FFF8696B"/>
      </colorScale>
    </cfRule>
  </conditionalFormatting>
  <conditionalFormatting sqref="AY70:BB74 AY76:BB77">
    <cfRule type="colorScale" priority="340">
      <colorScale>
        <cfvo type="min"/>
        <cfvo type="percentile" val="50"/>
        <cfvo type="max"/>
        <color rgb="FF63BE7B"/>
        <color rgb="FFFFEB84"/>
        <color rgb="FFF8696B"/>
      </colorScale>
    </cfRule>
  </conditionalFormatting>
  <conditionalFormatting sqref="AY72:BB72">
    <cfRule type="colorScale" priority="206">
      <colorScale>
        <cfvo type="min"/>
        <cfvo type="percentile" val="50"/>
        <cfvo type="max"/>
        <color rgb="FF63BE7B"/>
        <color rgb="FFFFEB84"/>
        <color rgb="FFF8696B"/>
      </colorScale>
    </cfRule>
  </conditionalFormatting>
  <conditionalFormatting sqref="AY73:BB74 AY76:BB77">
    <cfRule type="colorScale" priority="307">
      <colorScale>
        <cfvo type="min"/>
        <cfvo type="percentile" val="50"/>
        <cfvo type="max"/>
        <color rgb="FF63BE7B"/>
        <color rgb="FFFFEB84"/>
        <color rgb="FFF8696B"/>
      </colorScale>
    </cfRule>
  </conditionalFormatting>
  <conditionalFormatting sqref="AY75:BB75">
    <cfRule type="colorScale" priority="29">
      <colorScale>
        <cfvo type="min"/>
        <cfvo type="percentile" val="50"/>
        <cfvo type="max"/>
        <color rgb="FF63BE7B"/>
        <color rgb="FFFFEB84"/>
        <color rgb="FFF8696B"/>
      </colorScale>
    </cfRule>
    <cfRule type="colorScale" priority="36">
      <colorScale>
        <cfvo type="min"/>
        <cfvo type="percentile" val="50"/>
        <cfvo type="max"/>
        <color rgb="FF63BE7B"/>
        <color rgb="FFFFEB84"/>
        <color rgb="FFF8696B"/>
      </colorScale>
    </cfRule>
  </conditionalFormatting>
  <conditionalFormatting sqref="AY78:BB80">
    <cfRule type="colorScale" priority="1467">
      <colorScale>
        <cfvo type="min"/>
        <cfvo type="percentile" val="50"/>
        <cfvo type="max"/>
        <color rgb="FF63BE7B"/>
        <color rgb="FFFFEB84"/>
        <color rgb="FFF8696B"/>
      </colorScale>
    </cfRule>
  </conditionalFormatting>
  <conditionalFormatting sqref="AZ8:AZ69 AZ81">
    <cfRule type="colorScale" priority="413">
      <colorScale>
        <cfvo type="min"/>
        <cfvo type="percentile" val="50"/>
        <cfvo type="max"/>
        <color rgb="FF63BE7B"/>
        <color rgb="FFFFEB84"/>
        <color rgb="FFF8696B"/>
      </colorScale>
    </cfRule>
  </conditionalFormatting>
  <conditionalFormatting sqref="AZ70:AZ74 AZ76:AZ77">
    <cfRule type="colorScale" priority="336">
      <colorScale>
        <cfvo type="min"/>
        <cfvo type="percentile" val="50"/>
        <cfvo type="max"/>
        <color rgb="FF63BE7B"/>
        <color rgb="FFFFEB84"/>
        <color rgb="FFF8696B"/>
      </colorScale>
    </cfRule>
  </conditionalFormatting>
  <conditionalFormatting sqref="AZ75">
    <cfRule type="colorScale" priority="57">
      <colorScale>
        <cfvo type="min"/>
        <cfvo type="percentile" val="50"/>
        <cfvo type="max"/>
        <color rgb="FF63BE7B"/>
        <color rgb="FFFFEB84"/>
        <color rgb="FFF8696B"/>
      </colorScale>
    </cfRule>
  </conditionalFormatting>
  <conditionalFormatting sqref="AZ78:AZ80">
    <cfRule type="colorScale" priority="1469">
      <colorScale>
        <cfvo type="min"/>
        <cfvo type="percentile" val="50"/>
        <cfvo type="max"/>
        <color rgb="FF63BE7B"/>
        <color rgb="FFFFEB84"/>
        <color rgb="FFF8696B"/>
      </colorScale>
    </cfRule>
  </conditionalFormatting>
  <conditionalFormatting sqref="BA8:BA58 BA60:BA69">
    <cfRule type="colorScale" priority="460">
      <colorScale>
        <cfvo type="min"/>
        <cfvo type="percentile" val="50"/>
        <cfvo type="max"/>
        <color rgb="FF63BE7B"/>
        <color rgb="FFFFEB84"/>
        <color rgb="FFF8696B"/>
      </colorScale>
    </cfRule>
  </conditionalFormatting>
  <conditionalFormatting sqref="BA8:BA69 BA81">
    <cfRule type="colorScale" priority="414">
      <colorScale>
        <cfvo type="min"/>
        <cfvo type="percentile" val="50"/>
        <cfvo type="max"/>
        <color rgb="FF63BE7B"/>
        <color rgb="FFFFEB84"/>
        <color rgb="FFF8696B"/>
      </colorScale>
    </cfRule>
  </conditionalFormatting>
  <conditionalFormatting sqref="BA59">
    <cfRule type="colorScale" priority="430">
      <colorScale>
        <cfvo type="min"/>
        <cfvo type="percentile" val="50"/>
        <cfvo type="max"/>
        <color rgb="FF63BE7B"/>
        <color rgb="FFFFEB84"/>
        <color rgb="FFF8696B"/>
      </colorScale>
    </cfRule>
  </conditionalFormatting>
  <conditionalFormatting sqref="BA70:BA74 BA76:BA77">
    <cfRule type="colorScale" priority="347">
      <colorScale>
        <cfvo type="min"/>
        <cfvo type="percentile" val="50"/>
        <cfvo type="max"/>
        <color rgb="FF63BE7B"/>
        <color rgb="FFFFEB84"/>
        <color rgb="FFF8696B"/>
      </colorScale>
    </cfRule>
    <cfRule type="colorScale" priority="337">
      <colorScale>
        <cfvo type="min"/>
        <cfvo type="percentile" val="50"/>
        <cfvo type="max"/>
        <color rgb="FF63BE7B"/>
        <color rgb="FFFFEB84"/>
        <color rgb="FFF8696B"/>
      </colorScale>
    </cfRule>
  </conditionalFormatting>
  <conditionalFormatting sqref="BA75">
    <cfRule type="colorScale" priority="27">
      <colorScale>
        <cfvo type="min"/>
        <cfvo type="percentile" val="50"/>
        <cfvo type="max"/>
        <color rgb="FF63BE7B"/>
        <color rgb="FFFFEB84"/>
        <color rgb="FFF8696B"/>
      </colorScale>
    </cfRule>
    <cfRule type="colorScale" priority="37">
      <colorScale>
        <cfvo type="min"/>
        <cfvo type="percentile" val="50"/>
        <cfvo type="max"/>
        <color rgb="FF63BE7B"/>
        <color rgb="FFFFEB84"/>
        <color rgb="FFF8696B"/>
      </colorScale>
    </cfRule>
  </conditionalFormatting>
  <conditionalFormatting sqref="BA78:BA80">
    <cfRule type="colorScale" priority="1471">
      <colorScale>
        <cfvo type="min"/>
        <cfvo type="percentile" val="50"/>
        <cfvo type="max"/>
        <color rgb="FF63BE7B"/>
        <color rgb="FFFFEB84"/>
        <color rgb="FFF8696B"/>
      </colorScale>
    </cfRule>
  </conditionalFormatting>
  <conditionalFormatting sqref="BB8:BB58 BB60:BB69">
    <cfRule type="colorScale" priority="792">
      <colorScale>
        <cfvo type="min"/>
        <cfvo type="percentile" val="50"/>
        <cfvo type="max"/>
        <color rgb="FF63BE7B"/>
        <color rgb="FFFFEB84"/>
        <color rgb="FFF8696B"/>
      </colorScale>
    </cfRule>
  </conditionalFormatting>
  <conditionalFormatting sqref="BB8:BB69 BB81">
    <cfRule type="colorScale" priority="415">
      <colorScale>
        <cfvo type="min"/>
        <cfvo type="percentile" val="50"/>
        <cfvo type="max"/>
        <color rgb="FF63BE7B"/>
        <color rgb="FFFFEB84"/>
        <color rgb="FFF8696B"/>
      </colorScale>
    </cfRule>
  </conditionalFormatting>
  <conditionalFormatting sqref="BB20:BB21">
    <cfRule type="colorScale" priority="481">
      <colorScale>
        <cfvo type="min"/>
        <cfvo type="percentile" val="50"/>
        <cfvo type="max"/>
        <color rgb="FF63BE7B"/>
        <color rgb="FFFFEB84"/>
        <color rgb="FFF8696B"/>
      </colorScale>
    </cfRule>
  </conditionalFormatting>
  <conditionalFormatting sqref="BB59">
    <cfRule type="colorScale" priority="435">
      <colorScale>
        <cfvo type="min"/>
        <cfvo type="percentile" val="50"/>
        <cfvo type="max"/>
        <color rgb="FF63BE7B"/>
        <color rgb="FFFFEB84"/>
        <color rgb="FFF8696B"/>
      </colorScale>
    </cfRule>
  </conditionalFormatting>
  <conditionalFormatting sqref="BB70:BB74 BB76:BB77">
    <cfRule type="colorScale" priority="367">
      <colorScale>
        <cfvo type="min"/>
        <cfvo type="percentile" val="50"/>
        <cfvo type="max"/>
        <color rgb="FF63BE7B"/>
        <color rgb="FFFFEB84"/>
        <color rgb="FFF8696B"/>
      </colorScale>
    </cfRule>
    <cfRule type="colorScale" priority="338">
      <colorScale>
        <cfvo type="min"/>
        <cfvo type="percentile" val="50"/>
        <cfvo type="max"/>
        <color rgb="FF63BE7B"/>
        <color rgb="FFFFEB84"/>
        <color rgb="FFF8696B"/>
      </colorScale>
    </cfRule>
  </conditionalFormatting>
  <conditionalFormatting sqref="BB75">
    <cfRule type="colorScale" priority="38">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BB78:BB80">
    <cfRule type="colorScale" priority="1473">
      <colorScale>
        <cfvo type="min"/>
        <cfvo type="percentile" val="50"/>
        <cfvo type="max"/>
        <color rgb="FF63BE7B"/>
        <color rgb="FFFFEB84"/>
        <color rgb="FFF8696B"/>
      </colorScale>
    </cfRule>
  </conditionalFormatting>
  <conditionalFormatting sqref="BC8:BC38 BC43:BC58 BC60:BC69">
    <cfRule type="colorScale" priority="798">
      <colorScale>
        <cfvo type="min"/>
        <cfvo type="percentile" val="50"/>
        <cfvo type="max"/>
        <color rgb="FF63BE7B"/>
        <color rgb="FFFFEB84"/>
        <color rgb="FFF8696B"/>
      </colorScale>
    </cfRule>
  </conditionalFormatting>
  <conditionalFormatting sqref="BC8:BC58 BC60:BC69">
    <cfRule type="colorScale" priority="459">
      <colorScale>
        <cfvo type="min"/>
        <cfvo type="percentile" val="50"/>
        <cfvo type="max"/>
        <color rgb="FF63BE7B"/>
        <color rgb="FFFFEB84"/>
        <color rgb="FFF8696B"/>
      </colorScale>
    </cfRule>
  </conditionalFormatting>
  <conditionalFormatting sqref="BC8:BC69 BC81">
    <cfRule type="colorScale" priority="412">
      <colorScale>
        <cfvo type="min"/>
        <cfvo type="percentile" val="50"/>
        <cfvo type="max"/>
        <color rgb="FF63BE7B"/>
        <color rgb="FFFFEB84"/>
        <color rgb="FFF8696B"/>
      </colorScale>
    </cfRule>
  </conditionalFormatting>
  <conditionalFormatting sqref="BC39:BC42">
    <cfRule type="colorScale" priority="462">
      <colorScale>
        <cfvo type="min"/>
        <cfvo type="percentile" val="50"/>
        <cfvo type="max"/>
        <color rgb="FF63BE7B"/>
        <color rgb="FFFFEB84"/>
        <color rgb="FFF8696B"/>
      </colorScale>
    </cfRule>
    <cfRule type="colorScale" priority="463">
      <colorScale>
        <cfvo type="min"/>
        <cfvo type="percentile" val="50"/>
        <cfvo type="max"/>
        <color rgb="FF63BE7B"/>
        <color rgb="FFFFEB84"/>
        <color rgb="FFF8696B"/>
      </colorScale>
    </cfRule>
  </conditionalFormatting>
  <conditionalFormatting sqref="BC59">
    <cfRule type="colorScale" priority="429">
      <colorScale>
        <cfvo type="min"/>
        <cfvo type="percentile" val="50"/>
        <cfvo type="max"/>
        <color rgb="FF63BE7B"/>
        <color rgb="FFFFEB84"/>
        <color rgb="FFF8696B"/>
      </colorScale>
    </cfRule>
    <cfRule type="colorScale" priority="436">
      <colorScale>
        <cfvo type="min"/>
        <cfvo type="percentile" val="50"/>
        <cfvo type="max"/>
        <color rgb="FF63BE7B"/>
        <color rgb="FFFFEB84"/>
        <color rgb="FFF8696B"/>
      </colorScale>
    </cfRule>
  </conditionalFormatting>
  <conditionalFormatting sqref="BC70:BC74 BC76:BC77">
    <cfRule type="colorScale" priority="369">
      <colorScale>
        <cfvo type="min"/>
        <cfvo type="percentile" val="50"/>
        <cfvo type="max"/>
        <color rgb="FF63BE7B"/>
        <color rgb="FFFFEB84"/>
        <color rgb="FFF8696B"/>
      </colorScale>
    </cfRule>
    <cfRule type="colorScale" priority="335">
      <colorScale>
        <cfvo type="min"/>
        <cfvo type="percentile" val="50"/>
        <cfvo type="max"/>
        <color rgb="FF63BE7B"/>
        <color rgb="FFFFEB84"/>
        <color rgb="FFF8696B"/>
      </colorScale>
    </cfRule>
    <cfRule type="colorScale" priority="346">
      <colorScale>
        <cfvo type="min"/>
        <cfvo type="percentile" val="50"/>
        <cfvo type="max"/>
        <color rgb="FF63BE7B"/>
        <color rgb="FFFFEB84"/>
        <color rgb="FFF8696B"/>
      </colorScale>
    </cfRule>
  </conditionalFormatting>
  <conditionalFormatting sqref="BC75">
    <cfRule type="colorScale" priority="26">
      <colorScale>
        <cfvo type="min"/>
        <cfvo type="percentile" val="50"/>
        <cfvo type="max"/>
        <color rgb="FF63BE7B"/>
        <color rgb="FFFFEB84"/>
        <color rgb="FFF8696B"/>
      </colorScale>
    </cfRule>
    <cfRule type="colorScale" priority="58">
      <colorScale>
        <cfvo type="min"/>
        <cfvo type="percentile" val="50"/>
        <cfvo type="max"/>
        <color rgb="FF63BE7B"/>
        <color rgb="FFFFEB84"/>
        <color rgb="FFF8696B"/>
      </colorScale>
    </cfRule>
    <cfRule type="colorScale" priority="33">
      <colorScale>
        <cfvo type="min"/>
        <cfvo type="percentile" val="50"/>
        <cfvo type="max"/>
        <color rgb="FF63BE7B"/>
        <color rgb="FFFFEB84"/>
        <color rgb="FFF8696B"/>
      </colorScale>
    </cfRule>
  </conditionalFormatting>
  <conditionalFormatting sqref="BC78:BC80">
    <cfRule type="colorScale" priority="1475">
      <colorScale>
        <cfvo type="min"/>
        <cfvo type="percentile" val="50"/>
        <cfvo type="max"/>
        <color rgb="FF63BE7B"/>
        <color rgb="FFFFEB84"/>
        <color rgb="FFF8696B"/>
      </colorScale>
    </cfRule>
    <cfRule type="colorScale" priority="1476">
      <colorScale>
        <cfvo type="min"/>
        <cfvo type="percentile" val="50"/>
        <cfvo type="max"/>
        <color rgb="FF63BE7B"/>
        <color rgb="FFFFEB84"/>
        <color rgb="FFF8696B"/>
      </colorScale>
    </cfRule>
    <cfRule type="colorScale" priority="1477">
      <colorScale>
        <cfvo type="min"/>
        <cfvo type="percentile" val="50"/>
        <cfvo type="max"/>
        <color rgb="FF63BE7B"/>
        <color rgb="FFFFEB84"/>
        <color rgb="FFF8696B"/>
      </colorScale>
    </cfRule>
  </conditionalFormatting>
  <conditionalFormatting sqref="BD8:BD58 BD60:BD69">
    <cfRule type="colorScale" priority="800">
      <colorScale>
        <cfvo type="min"/>
        <cfvo type="percentile" val="50"/>
        <cfvo type="max"/>
        <color rgb="FF63BE7B"/>
        <color rgb="FFFFEB84"/>
        <color rgb="FFF8696B"/>
      </colorScale>
    </cfRule>
  </conditionalFormatting>
  <conditionalFormatting sqref="BD8:BD69">
    <cfRule type="colorScale" priority="411">
      <colorScale>
        <cfvo type="min"/>
        <cfvo type="percentile" val="50"/>
        <cfvo type="max"/>
        <color rgb="FF63BE7B"/>
        <color rgb="FFFFEB84"/>
        <color rgb="FFF8696B"/>
      </colorScale>
    </cfRule>
  </conditionalFormatting>
  <conditionalFormatting sqref="BD59">
    <cfRule type="colorScale" priority="437">
      <colorScale>
        <cfvo type="min"/>
        <cfvo type="percentile" val="50"/>
        <cfvo type="max"/>
        <color rgb="FF63BE7B"/>
        <color rgb="FFFFEB84"/>
        <color rgb="FFF8696B"/>
      </colorScale>
    </cfRule>
  </conditionalFormatting>
  <conditionalFormatting sqref="BD70:BD74 BD76:BD77">
    <cfRule type="colorScale" priority="334">
      <colorScale>
        <cfvo type="min"/>
        <cfvo type="percentile" val="50"/>
        <cfvo type="max"/>
        <color rgb="FF63BE7B"/>
        <color rgb="FFFFEB84"/>
        <color rgb="FFF8696B"/>
      </colorScale>
    </cfRule>
    <cfRule type="colorScale" priority="370">
      <colorScale>
        <cfvo type="min"/>
        <cfvo type="percentile" val="50"/>
        <cfvo type="max"/>
        <color rgb="FF63BE7B"/>
        <color rgb="FFFFEB84"/>
        <color rgb="FFF8696B"/>
      </colorScale>
    </cfRule>
  </conditionalFormatting>
  <conditionalFormatting sqref="BD75">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FEB84"/>
        <color rgb="FFF8696B"/>
      </colorScale>
    </cfRule>
  </conditionalFormatting>
  <conditionalFormatting sqref="BD78:BD80">
    <cfRule type="colorScale" priority="1478">
      <colorScale>
        <cfvo type="min"/>
        <cfvo type="percentile" val="50"/>
        <cfvo type="max"/>
        <color rgb="FF63BE7B"/>
        <color rgb="FFFFEB84"/>
        <color rgb="FFF8696B"/>
      </colorScale>
    </cfRule>
  </conditionalFormatting>
  <conditionalFormatting sqref="BE8:BE36 BE57:BE58 BE38:BE55 BE60:BE69">
    <cfRule type="colorScale" priority="761">
      <colorScale>
        <cfvo type="min"/>
        <cfvo type="percentile" val="50"/>
        <cfvo type="max"/>
        <color rgb="FF63BE7B"/>
        <color rgb="FFFFEB84"/>
        <color rgb="FFF8696B"/>
      </colorScale>
    </cfRule>
  </conditionalFormatting>
  <conditionalFormatting sqref="BE8:BE58 BE60:BE69">
    <cfRule type="colorScale" priority="458">
      <colorScale>
        <cfvo type="min"/>
        <cfvo type="percentile" val="50"/>
        <cfvo type="max"/>
        <color rgb="FF63BE7B"/>
        <color rgb="FFFFEB84"/>
        <color rgb="FFF8696B"/>
      </colorScale>
    </cfRule>
  </conditionalFormatting>
  <conditionalFormatting sqref="BE8:BE69 BE81">
    <cfRule type="colorScale" priority="410">
      <colorScale>
        <cfvo type="min"/>
        <cfvo type="percentile" val="50"/>
        <cfvo type="max"/>
        <color rgb="FF63BE7B"/>
        <color rgb="FFFFEB84"/>
        <color rgb="FFF8696B"/>
      </colorScale>
    </cfRule>
  </conditionalFormatting>
  <conditionalFormatting sqref="BE37">
    <cfRule type="colorScale" priority="476">
      <colorScale>
        <cfvo type="min"/>
        <cfvo type="percentile" val="50"/>
        <cfvo type="max"/>
        <color rgb="FF63BE7B"/>
        <color rgb="FFFFEB84"/>
        <color rgb="FFF8696B"/>
      </colorScale>
    </cfRule>
  </conditionalFormatting>
  <conditionalFormatting sqref="BE59">
    <cfRule type="colorScale" priority="428">
      <colorScale>
        <cfvo type="min"/>
        <cfvo type="percentile" val="50"/>
        <cfvo type="max"/>
        <color rgb="FF63BE7B"/>
        <color rgb="FFFFEB84"/>
        <color rgb="FFF8696B"/>
      </colorScale>
    </cfRule>
    <cfRule type="colorScale" priority="433">
      <colorScale>
        <cfvo type="min"/>
        <cfvo type="percentile" val="50"/>
        <cfvo type="max"/>
        <color rgb="FF63BE7B"/>
        <color rgb="FFFFEB84"/>
        <color rgb="FFF8696B"/>
      </colorScale>
    </cfRule>
  </conditionalFormatting>
  <conditionalFormatting sqref="BE70:BE74 BE76:BE77">
    <cfRule type="colorScale" priority="345">
      <colorScale>
        <cfvo type="min"/>
        <cfvo type="percentile" val="50"/>
        <cfvo type="max"/>
        <color rgb="FF63BE7B"/>
        <color rgb="FFFFEB84"/>
        <color rgb="FFF8696B"/>
      </colorScale>
    </cfRule>
    <cfRule type="colorScale" priority="333">
      <colorScale>
        <cfvo type="min"/>
        <cfvo type="percentile" val="50"/>
        <cfvo type="max"/>
        <color rgb="FF63BE7B"/>
        <color rgb="FFFFEB84"/>
        <color rgb="FFF8696B"/>
      </colorScale>
    </cfRule>
    <cfRule type="colorScale" priority="361">
      <colorScale>
        <cfvo type="min"/>
        <cfvo type="percentile" val="50"/>
        <cfvo type="max"/>
        <color rgb="FF63BE7B"/>
        <color rgb="FFFFEB84"/>
        <color rgb="FFF8696B"/>
      </colorScale>
    </cfRule>
  </conditionalFormatting>
  <conditionalFormatting sqref="BE75">
    <cfRule type="colorScale" priority="30">
      <colorScale>
        <cfvo type="min"/>
        <cfvo type="percentile" val="50"/>
        <cfvo type="max"/>
        <color rgb="FF63BE7B"/>
        <color rgb="FFFFEB84"/>
        <color rgb="FFF8696B"/>
      </colorScale>
    </cfRule>
    <cfRule type="colorScale" priority="59">
      <colorScale>
        <cfvo type="min"/>
        <cfvo type="percentile" val="50"/>
        <cfvo type="max"/>
        <color rgb="FF63BE7B"/>
        <color rgb="FFFFEB84"/>
        <color rgb="FFF8696B"/>
      </colorScale>
    </cfRule>
    <cfRule type="colorScale" priority="25">
      <colorScale>
        <cfvo type="min"/>
        <cfvo type="percentile" val="50"/>
        <cfvo type="max"/>
        <color rgb="FF63BE7B"/>
        <color rgb="FFFFEB84"/>
        <color rgb="FFF8696B"/>
      </colorScale>
    </cfRule>
  </conditionalFormatting>
  <conditionalFormatting sqref="BE78:BE80">
    <cfRule type="colorScale" priority="1482">
      <colorScale>
        <cfvo type="min"/>
        <cfvo type="percentile" val="50"/>
        <cfvo type="max"/>
        <color rgb="FF63BE7B"/>
        <color rgb="FFFFEB84"/>
        <color rgb="FFF8696B"/>
      </colorScale>
    </cfRule>
    <cfRule type="colorScale" priority="1481">
      <colorScale>
        <cfvo type="min"/>
        <cfvo type="percentile" val="50"/>
        <cfvo type="max"/>
        <color rgb="FF63BE7B"/>
        <color rgb="FFFFEB84"/>
        <color rgb="FFF8696B"/>
      </colorScale>
    </cfRule>
    <cfRule type="colorScale" priority="1480">
      <colorScale>
        <cfvo type="min"/>
        <cfvo type="percentile" val="50"/>
        <cfvo type="max"/>
        <color rgb="FF63BE7B"/>
        <color rgb="FFFFEB84"/>
        <color rgb="FFF8696B"/>
      </colorScale>
    </cfRule>
  </conditionalFormatting>
  <conditionalFormatting sqref="BF8:BF58 BF60:BF69">
    <cfRule type="colorScale" priority="780">
      <colorScale>
        <cfvo type="min"/>
        <cfvo type="percentile" val="50"/>
        <cfvo type="max"/>
        <color rgb="FF63BE7B"/>
        <color rgb="FFFFEB84"/>
        <color rgb="FFF8696B"/>
      </colorScale>
    </cfRule>
  </conditionalFormatting>
  <conditionalFormatting sqref="BF8:BF69 BF81">
    <cfRule type="colorScale" priority="409">
      <colorScale>
        <cfvo type="min"/>
        <cfvo type="percentile" val="50"/>
        <cfvo type="max"/>
        <color rgb="FF63BE7B"/>
        <color rgb="FFFFEB84"/>
        <color rgb="FFF8696B"/>
      </colorScale>
    </cfRule>
  </conditionalFormatting>
  <conditionalFormatting sqref="BF59">
    <cfRule type="colorScale" priority="434">
      <colorScale>
        <cfvo type="min"/>
        <cfvo type="percentile" val="50"/>
        <cfvo type="max"/>
        <color rgb="FF63BE7B"/>
        <color rgb="FFFFEB84"/>
        <color rgb="FFF8696B"/>
      </colorScale>
    </cfRule>
  </conditionalFormatting>
  <conditionalFormatting sqref="BF70:BF74 BF76:BF77">
    <cfRule type="colorScale" priority="365">
      <colorScale>
        <cfvo type="min"/>
        <cfvo type="percentile" val="50"/>
        <cfvo type="max"/>
        <color rgb="FF63BE7B"/>
        <color rgb="FFFFEB84"/>
        <color rgb="FFF8696B"/>
      </colorScale>
    </cfRule>
    <cfRule type="colorScale" priority="332">
      <colorScale>
        <cfvo type="min"/>
        <cfvo type="percentile" val="50"/>
        <cfvo type="max"/>
        <color rgb="FF63BE7B"/>
        <color rgb="FFFFEB84"/>
        <color rgb="FFF8696B"/>
      </colorScale>
    </cfRule>
  </conditionalFormatting>
  <conditionalFormatting sqref="BF75">
    <cfRule type="colorScale" priority="40">
      <colorScale>
        <cfvo type="min"/>
        <cfvo type="percentile" val="50"/>
        <cfvo type="max"/>
        <color rgb="FF63BE7B"/>
        <color rgb="FFFFEB84"/>
        <color rgb="FFF8696B"/>
      </colorScale>
    </cfRule>
    <cfRule type="colorScale" priority="31">
      <colorScale>
        <cfvo type="min"/>
        <cfvo type="percentile" val="50"/>
        <cfvo type="max"/>
        <color rgb="FF63BE7B"/>
        <color rgb="FFFFEB84"/>
        <color rgb="FFF8696B"/>
      </colorScale>
    </cfRule>
  </conditionalFormatting>
  <conditionalFormatting sqref="BF78:BF80">
    <cfRule type="colorScale" priority="1484">
      <colorScale>
        <cfvo type="min"/>
        <cfvo type="percentile" val="50"/>
        <cfvo type="max"/>
        <color rgb="FF63BE7B"/>
        <color rgb="FFFFEB84"/>
        <color rgb="FFF8696B"/>
      </colorScale>
    </cfRule>
  </conditionalFormatting>
  <conditionalFormatting sqref="BG8:BG69 BG81">
    <cfRule type="colorScale" priority="408">
      <colorScale>
        <cfvo type="min"/>
        <cfvo type="percentile" val="50"/>
        <cfvo type="max"/>
        <color rgb="FF63BE7B"/>
        <color rgb="FFFFEB84"/>
        <color rgb="FFF8696B"/>
      </colorScale>
    </cfRule>
  </conditionalFormatting>
  <conditionalFormatting sqref="BG70:BG74 BG76:BG77">
    <cfRule type="colorScale" priority="331">
      <colorScale>
        <cfvo type="min"/>
        <cfvo type="percentile" val="50"/>
        <cfvo type="max"/>
        <color rgb="FF63BE7B"/>
        <color rgb="FFFFEB84"/>
        <color rgb="FFF8696B"/>
      </colorScale>
    </cfRule>
  </conditionalFormatting>
  <conditionalFormatting sqref="BG75">
    <cfRule type="colorScale" priority="60">
      <colorScale>
        <cfvo type="min"/>
        <cfvo type="percentile" val="50"/>
        <cfvo type="max"/>
        <color rgb="FF63BE7B"/>
        <color rgb="FFFFEB84"/>
        <color rgb="FFF8696B"/>
      </colorScale>
    </cfRule>
  </conditionalFormatting>
  <conditionalFormatting sqref="BG78:BG80">
    <cfRule type="colorScale" priority="1486">
      <colorScale>
        <cfvo type="min"/>
        <cfvo type="percentile" val="50"/>
        <cfvo type="max"/>
        <color rgb="FF63BE7B"/>
        <color rgb="FFFFEB84"/>
        <color rgb="FFF8696B"/>
      </colorScale>
    </cfRule>
  </conditionalFormatting>
  <conditionalFormatting sqref="BG8:BI69">
    <cfRule type="colorScale" priority="765">
      <colorScale>
        <cfvo type="min"/>
        <cfvo type="percentile" val="50"/>
        <cfvo type="max"/>
        <color rgb="FF63BE7B"/>
        <color rgb="FFFFEB84"/>
        <color rgb="FFF8696B"/>
      </colorScale>
    </cfRule>
  </conditionalFormatting>
  <conditionalFormatting sqref="BG70:BI74 BG76:BI77">
    <cfRule type="colorScale" priority="362">
      <colorScale>
        <cfvo type="min"/>
        <cfvo type="percentile" val="50"/>
        <cfvo type="max"/>
        <color rgb="FF63BE7B"/>
        <color rgb="FFFFEB84"/>
        <color rgb="FFF8696B"/>
      </colorScale>
    </cfRule>
  </conditionalFormatting>
  <conditionalFormatting sqref="BG75:BI75">
    <cfRule type="colorScale" priority="61">
      <colorScale>
        <cfvo type="min"/>
        <cfvo type="percentile" val="50"/>
        <cfvo type="max"/>
        <color rgb="FF63BE7B"/>
        <color rgb="FFFFEB84"/>
        <color rgb="FFF8696B"/>
      </colorScale>
    </cfRule>
  </conditionalFormatting>
  <conditionalFormatting sqref="BG78:BI80">
    <cfRule type="colorScale" priority="1487">
      <colorScale>
        <cfvo type="min"/>
        <cfvo type="percentile" val="50"/>
        <cfvo type="max"/>
        <color rgb="FF63BE7B"/>
        <color rgb="FFFFEB84"/>
        <color rgb="FFF8696B"/>
      </colorScale>
    </cfRule>
  </conditionalFormatting>
  <conditionalFormatting sqref="BH8:BH69 BH81">
    <cfRule type="colorScale" priority="407">
      <colorScale>
        <cfvo type="min"/>
        <cfvo type="percentile" val="50"/>
        <cfvo type="max"/>
        <color rgb="FF63BE7B"/>
        <color rgb="FFFFEB84"/>
        <color rgb="FFF8696B"/>
      </colorScale>
    </cfRule>
  </conditionalFormatting>
  <conditionalFormatting sqref="BH70:BH74 BH76:BH77">
    <cfRule type="colorScale" priority="330">
      <colorScale>
        <cfvo type="min"/>
        <cfvo type="percentile" val="50"/>
        <cfvo type="max"/>
        <color rgb="FF63BE7B"/>
        <color rgb="FFFFEB84"/>
        <color rgb="FFF8696B"/>
      </colorScale>
    </cfRule>
  </conditionalFormatting>
  <conditionalFormatting sqref="BH75">
    <cfRule type="colorScale" priority="62">
      <colorScale>
        <cfvo type="min"/>
        <cfvo type="percentile" val="50"/>
        <cfvo type="max"/>
        <color rgb="FF63BE7B"/>
        <color rgb="FFFFEB84"/>
        <color rgb="FFF8696B"/>
      </colorScale>
    </cfRule>
  </conditionalFormatting>
  <conditionalFormatting sqref="BH78:BH80">
    <cfRule type="colorScale" priority="1489">
      <colorScale>
        <cfvo type="min"/>
        <cfvo type="percentile" val="50"/>
        <cfvo type="max"/>
        <color rgb="FF63BE7B"/>
        <color rgb="FFFFEB84"/>
        <color rgb="FFF8696B"/>
      </colorScale>
    </cfRule>
  </conditionalFormatting>
  <conditionalFormatting sqref="BI8:BI69 BI81">
    <cfRule type="colorScale" priority="406">
      <colorScale>
        <cfvo type="min"/>
        <cfvo type="percentile" val="50"/>
        <cfvo type="max"/>
        <color rgb="FF63BE7B"/>
        <color rgb="FFFFEB84"/>
        <color rgb="FFF8696B"/>
      </colorScale>
    </cfRule>
  </conditionalFormatting>
  <conditionalFormatting sqref="BI70:BI74 BI76:BI77">
    <cfRule type="colorScale" priority="329">
      <colorScale>
        <cfvo type="min"/>
        <cfvo type="percentile" val="50"/>
        <cfvo type="max"/>
        <color rgb="FF63BE7B"/>
        <color rgb="FFFFEB84"/>
        <color rgb="FFF8696B"/>
      </colorScale>
    </cfRule>
  </conditionalFormatting>
  <conditionalFormatting sqref="BI75">
    <cfRule type="colorScale" priority="63">
      <colorScale>
        <cfvo type="min"/>
        <cfvo type="percentile" val="50"/>
        <cfvo type="max"/>
        <color rgb="FF63BE7B"/>
        <color rgb="FFFFEB84"/>
        <color rgb="FFF8696B"/>
      </colorScale>
    </cfRule>
  </conditionalFormatting>
  <conditionalFormatting sqref="BI78:BI80">
    <cfRule type="colorScale" priority="1491">
      <colorScale>
        <cfvo type="min"/>
        <cfvo type="percentile" val="50"/>
        <cfvo type="max"/>
        <color rgb="FF63BE7B"/>
        <color rgb="FFFFEB84"/>
        <color rgb="FFF8696B"/>
      </colorScale>
    </cfRule>
  </conditionalFormatting>
  <conditionalFormatting sqref="BJ8:BJ53 BJ81 BJ55:BJ69">
    <cfRule type="colorScale" priority="405">
      <colorScale>
        <cfvo type="min"/>
        <cfvo type="percentile" val="50"/>
        <cfvo type="max"/>
        <color rgb="FF63BE7B"/>
        <color rgb="FFFFEB84"/>
        <color rgb="FFF8696B"/>
      </colorScale>
    </cfRule>
  </conditionalFormatting>
  <conditionalFormatting sqref="BJ8:BJ69 BJ81">
    <cfRule type="colorScale" priority="393">
      <colorScale>
        <cfvo type="min"/>
        <cfvo type="percentile" val="50"/>
        <cfvo type="max"/>
        <color rgb="FF63BE7B"/>
        <color rgb="FFFFEB84"/>
        <color rgb="FFF8696B"/>
      </colorScale>
    </cfRule>
  </conditionalFormatting>
  <conditionalFormatting sqref="BJ54">
    <cfRule type="colorScale" priority="396">
      <colorScale>
        <cfvo type="min"/>
        <cfvo type="percentile" val="50"/>
        <cfvo type="max"/>
        <color rgb="FF63BE7B"/>
        <color rgb="FFFFEB84"/>
        <color rgb="FFF8696B"/>
      </colorScale>
    </cfRule>
  </conditionalFormatting>
  <conditionalFormatting sqref="BJ70:BJ74 BJ76:BJ77">
    <cfRule type="colorScale" priority="328">
      <colorScale>
        <cfvo type="min"/>
        <cfvo type="percentile" val="50"/>
        <cfvo type="max"/>
        <color rgb="FF63BE7B"/>
        <color rgb="FFFFEB84"/>
        <color rgb="FFF8696B"/>
      </colorScale>
    </cfRule>
    <cfRule type="colorScale" priority="320">
      <colorScale>
        <cfvo type="min"/>
        <cfvo type="percentile" val="50"/>
        <cfvo type="max"/>
        <color rgb="FF63BE7B"/>
        <color rgb="FFFFEB84"/>
        <color rgb="FFF8696B"/>
      </colorScale>
    </cfRule>
  </conditionalFormatting>
  <conditionalFormatting sqref="BJ75">
    <cfRule type="colorScale" priority="64">
      <colorScale>
        <cfvo type="min"/>
        <cfvo type="percentile" val="50"/>
        <cfvo type="max"/>
        <color rgb="FF63BE7B"/>
        <color rgb="FFFFEB84"/>
        <color rgb="FFF8696B"/>
      </colorScale>
    </cfRule>
    <cfRule type="colorScale" priority="65">
      <colorScale>
        <cfvo type="min"/>
        <cfvo type="percentile" val="50"/>
        <cfvo type="max"/>
        <color rgb="FF63BE7B"/>
        <color rgb="FFFFEB84"/>
        <color rgb="FFF8696B"/>
      </colorScale>
    </cfRule>
  </conditionalFormatting>
  <conditionalFormatting sqref="BJ78:BJ80">
    <cfRule type="colorScale" priority="1495">
      <colorScale>
        <cfvo type="min"/>
        <cfvo type="percentile" val="50"/>
        <cfvo type="max"/>
        <color rgb="FF63BE7B"/>
        <color rgb="FFFFEB84"/>
        <color rgb="FFF8696B"/>
      </colorScale>
    </cfRule>
    <cfRule type="colorScale" priority="1496">
      <colorScale>
        <cfvo type="min"/>
        <cfvo type="percentile" val="50"/>
        <cfvo type="max"/>
        <color rgb="FF63BE7B"/>
        <color rgb="FFFFEB84"/>
        <color rgb="FFF8696B"/>
      </colorScale>
    </cfRule>
  </conditionalFormatting>
  <conditionalFormatting sqref="BJ54:BL54">
    <cfRule type="colorScale" priority="397">
      <colorScale>
        <cfvo type="min"/>
        <cfvo type="percentile" val="50"/>
        <cfvo type="max"/>
        <color rgb="FF63BE7B"/>
        <color rgb="FFFFEB84"/>
        <color rgb="FFF8696B"/>
      </colorScale>
    </cfRule>
  </conditionalFormatting>
  <conditionalFormatting sqref="BJ8:BM53 BM54 BJ55:BM69">
    <cfRule type="colorScale" priority="767">
      <colorScale>
        <cfvo type="min"/>
        <cfvo type="percentile" val="50"/>
        <cfvo type="max"/>
        <color rgb="FF63BE7B"/>
        <color rgb="FFFFEB84"/>
        <color rgb="FFF8696B"/>
      </colorScale>
    </cfRule>
  </conditionalFormatting>
  <conditionalFormatting sqref="BJ70:BM74 BJ76:BM77">
    <cfRule type="colorScale" priority="363">
      <colorScale>
        <cfvo type="min"/>
        <cfvo type="percentile" val="50"/>
        <cfvo type="max"/>
        <color rgb="FF63BE7B"/>
        <color rgb="FFFFEB84"/>
        <color rgb="FFF8696B"/>
      </colorScale>
    </cfRule>
  </conditionalFormatting>
  <conditionalFormatting sqref="BJ75:BM75">
    <cfRule type="colorScale" priority="66">
      <colorScale>
        <cfvo type="min"/>
        <cfvo type="percentile" val="50"/>
        <cfvo type="max"/>
        <color rgb="FF63BE7B"/>
        <color rgb="FFFFEB84"/>
        <color rgb="FFF8696B"/>
      </colorScale>
    </cfRule>
  </conditionalFormatting>
  <conditionalFormatting sqref="BJ78:BM80">
    <cfRule type="colorScale" priority="1497">
      <colorScale>
        <cfvo type="min"/>
        <cfvo type="percentile" val="50"/>
        <cfvo type="max"/>
        <color rgb="FF63BE7B"/>
        <color rgb="FFFFEB84"/>
        <color rgb="FFF8696B"/>
      </colorScale>
    </cfRule>
  </conditionalFormatting>
  <conditionalFormatting sqref="BK8:BK53 BK81 BK55:BK69">
    <cfRule type="colorScale" priority="404">
      <colorScale>
        <cfvo type="min"/>
        <cfvo type="percentile" val="50"/>
        <cfvo type="max"/>
        <color rgb="FF63BE7B"/>
        <color rgb="FFFFEB84"/>
        <color rgb="FFF8696B"/>
      </colorScale>
    </cfRule>
  </conditionalFormatting>
  <conditionalFormatting sqref="BK8:BK69 BK81">
    <cfRule type="colorScale" priority="392">
      <colorScale>
        <cfvo type="min"/>
        <cfvo type="percentile" val="50"/>
        <cfvo type="max"/>
        <color rgb="FF63BE7B"/>
        <color rgb="FFFFEB84"/>
        <color rgb="FFF8696B"/>
      </colorScale>
    </cfRule>
  </conditionalFormatting>
  <conditionalFormatting sqref="BK54">
    <cfRule type="colorScale" priority="395">
      <colorScale>
        <cfvo type="min"/>
        <cfvo type="percentile" val="50"/>
        <cfvo type="max"/>
        <color rgb="FF63BE7B"/>
        <color rgb="FFFFEB84"/>
        <color rgb="FFF8696B"/>
      </colorScale>
    </cfRule>
  </conditionalFormatting>
  <conditionalFormatting sqref="BK70:BK74 BK76:BK77">
    <cfRule type="colorScale" priority="327">
      <colorScale>
        <cfvo type="min"/>
        <cfvo type="percentile" val="50"/>
        <cfvo type="max"/>
        <color rgb="FF63BE7B"/>
        <color rgb="FFFFEB84"/>
        <color rgb="FFF8696B"/>
      </colorScale>
    </cfRule>
    <cfRule type="colorScale" priority="319">
      <colorScale>
        <cfvo type="min"/>
        <cfvo type="percentile" val="50"/>
        <cfvo type="max"/>
        <color rgb="FF63BE7B"/>
        <color rgb="FFFFEB84"/>
        <color rgb="FFF8696B"/>
      </colorScale>
    </cfRule>
  </conditionalFormatting>
  <conditionalFormatting sqref="BK75">
    <cfRule type="colorScale" priority="68">
      <colorScale>
        <cfvo type="min"/>
        <cfvo type="percentile" val="50"/>
        <cfvo type="max"/>
        <color rgb="FF63BE7B"/>
        <color rgb="FFFFEB84"/>
        <color rgb="FFF8696B"/>
      </colorScale>
    </cfRule>
    <cfRule type="colorScale" priority="67">
      <colorScale>
        <cfvo type="min"/>
        <cfvo type="percentile" val="50"/>
        <cfvo type="max"/>
        <color rgb="FF63BE7B"/>
        <color rgb="FFFFEB84"/>
        <color rgb="FFF8696B"/>
      </colorScale>
    </cfRule>
  </conditionalFormatting>
  <conditionalFormatting sqref="BK78:BK80">
    <cfRule type="colorScale" priority="1501">
      <colorScale>
        <cfvo type="min"/>
        <cfvo type="percentile" val="50"/>
        <cfvo type="max"/>
        <color rgb="FF63BE7B"/>
        <color rgb="FFFFEB84"/>
        <color rgb="FFF8696B"/>
      </colorScale>
    </cfRule>
    <cfRule type="colorScale" priority="1502">
      <colorScale>
        <cfvo type="min"/>
        <cfvo type="percentile" val="50"/>
        <cfvo type="max"/>
        <color rgb="FF63BE7B"/>
        <color rgb="FFFFEB84"/>
        <color rgb="FFF8696B"/>
      </colorScale>
    </cfRule>
  </conditionalFormatting>
  <conditionalFormatting sqref="BL8:BL53 BL81 BL55:BL69">
    <cfRule type="colorScale" priority="403">
      <colorScale>
        <cfvo type="min"/>
        <cfvo type="percentile" val="50"/>
        <cfvo type="max"/>
        <color rgb="FF63BE7B"/>
        <color rgb="FFFFEB84"/>
        <color rgb="FFF8696B"/>
      </colorScale>
    </cfRule>
  </conditionalFormatting>
  <conditionalFormatting sqref="BL8:BL69 BL81">
    <cfRule type="colorScale" priority="391">
      <colorScale>
        <cfvo type="min"/>
        <cfvo type="percentile" val="50"/>
        <cfvo type="max"/>
        <color rgb="FF63BE7B"/>
        <color rgb="FFFFEB84"/>
        <color rgb="FFF8696B"/>
      </colorScale>
    </cfRule>
  </conditionalFormatting>
  <conditionalFormatting sqref="BL54">
    <cfRule type="colorScale" priority="394">
      <colorScale>
        <cfvo type="min"/>
        <cfvo type="percentile" val="50"/>
        <cfvo type="max"/>
        <color rgb="FF63BE7B"/>
        <color rgb="FFFFEB84"/>
        <color rgb="FFF8696B"/>
      </colorScale>
    </cfRule>
  </conditionalFormatting>
  <conditionalFormatting sqref="BL70:BL74 BL76:BL77">
    <cfRule type="colorScale" priority="318">
      <colorScale>
        <cfvo type="min"/>
        <cfvo type="percentile" val="50"/>
        <cfvo type="max"/>
        <color rgb="FF63BE7B"/>
        <color rgb="FFFFEB84"/>
        <color rgb="FFF8696B"/>
      </colorScale>
    </cfRule>
    <cfRule type="colorScale" priority="326">
      <colorScale>
        <cfvo type="min"/>
        <cfvo type="percentile" val="50"/>
        <cfvo type="max"/>
        <color rgb="FF63BE7B"/>
        <color rgb="FFFFEB84"/>
        <color rgb="FFF8696B"/>
      </colorScale>
    </cfRule>
  </conditionalFormatting>
  <conditionalFormatting sqref="BL75">
    <cfRule type="colorScale" priority="69">
      <colorScale>
        <cfvo type="min"/>
        <cfvo type="percentile" val="50"/>
        <cfvo type="max"/>
        <color rgb="FF63BE7B"/>
        <color rgb="FFFFEB84"/>
        <color rgb="FFF8696B"/>
      </colorScale>
    </cfRule>
    <cfRule type="colorScale" priority="70">
      <colorScale>
        <cfvo type="min"/>
        <cfvo type="percentile" val="50"/>
        <cfvo type="max"/>
        <color rgb="FF63BE7B"/>
        <color rgb="FFFFEB84"/>
        <color rgb="FFF8696B"/>
      </colorScale>
    </cfRule>
  </conditionalFormatting>
  <conditionalFormatting sqref="BL78:BL80">
    <cfRule type="colorScale" priority="1506">
      <colorScale>
        <cfvo type="min"/>
        <cfvo type="percentile" val="50"/>
        <cfvo type="max"/>
        <color rgb="FF63BE7B"/>
        <color rgb="FFFFEB84"/>
        <color rgb="FFF8696B"/>
      </colorScale>
    </cfRule>
    <cfRule type="colorScale" priority="1507">
      <colorScale>
        <cfvo type="min"/>
        <cfvo type="percentile" val="50"/>
        <cfvo type="max"/>
        <color rgb="FF63BE7B"/>
        <color rgb="FFFFEB84"/>
        <color rgb="FFF8696B"/>
      </colorScale>
    </cfRule>
  </conditionalFormatting>
  <conditionalFormatting sqref="BM8:BM69 BM81">
    <cfRule type="colorScale" priority="402">
      <colorScale>
        <cfvo type="min"/>
        <cfvo type="percentile" val="50"/>
        <cfvo type="max"/>
        <color rgb="FF63BE7B"/>
        <color rgb="FFFFEB84"/>
        <color rgb="FFF8696B"/>
      </colorScale>
    </cfRule>
  </conditionalFormatting>
  <conditionalFormatting sqref="BM70:BM74 BM76:BM77">
    <cfRule type="colorScale" priority="325">
      <colorScale>
        <cfvo type="min"/>
        <cfvo type="percentile" val="50"/>
        <cfvo type="max"/>
        <color rgb="FF63BE7B"/>
        <color rgb="FFFFEB84"/>
        <color rgb="FFF8696B"/>
      </colorScale>
    </cfRule>
  </conditionalFormatting>
  <conditionalFormatting sqref="BM75">
    <cfRule type="colorScale" priority="71">
      <colorScale>
        <cfvo type="min"/>
        <cfvo type="percentile" val="50"/>
        <cfvo type="max"/>
        <color rgb="FF63BE7B"/>
        <color rgb="FFFFEB84"/>
        <color rgb="FFF8696B"/>
      </colorScale>
    </cfRule>
  </conditionalFormatting>
  <conditionalFormatting sqref="BM78:BM80">
    <cfRule type="colorScale" priority="1509">
      <colorScale>
        <cfvo type="min"/>
        <cfvo type="percentile" val="50"/>
        <cfvo type="max"/>
        <color rgb="FF63BE7B"/>
        <color rgb="FFFFEB84"/>
        <color rgb="FFF8696B"/>
      </colorScale>
    </cfRule>
  </conditionalFormatting>
  <conditionalFormatting sqref="BN8:BN69 BN81">
    <cfRule type="colorScale" priority="401">
      <colorScale>
        <cfvo type="min"/>
        <cfvo type="percentile" val="50"/>
        <cfvo type="max"/>
        <color rgb="FF63BE7B"/>
        <color rgb="FFFFEB84"/>
        <color rgb="FFF8696B"/>
      </colorScale>
    </cfRule>
  </conditionalFormatting>
  <conditionalFormatting sqref="BN70:BN74 BN76:BN77">
    <cfRule type="colorScale" priority="324">
      <colorScale>
        <cfvo type="min"/>
        <cfvo type="percentile" val="50"/>
        <cfvo type="max"/>
        <color rgb="FF63BE7B"/>
        <color rgb="FFFFEB84"/>
        <color rgb="FFF8696B"/>
      </colorScale>
    </cfRule>
  </conditionalFormatting>
  <conditionalFormatting sqref="BN75">
    <cfRule type="colorScale" priority="72">
      <colorScale>
        <cfvo type="min"/>
        <cfvo type="percentile" val="50"/>
        <cfvo type="max"/>
        <color rgb="FF63BE7B"/>
        <color rgb="FFFFEB84"/>
        <color rgb="FFF8696B"/>
      </colorScale>
    </cfRule>
  </conditionalFormatting>
  <conditionalFormatting sqref="BN78:BN80">
    <cfRule type="colorScale" priority="1511">
      <colorScale>
        <cfvo type="min"/>
        <cfvo type="percentile" val="50"/>
        <cfvo type="max"/>
        <color rgb="FF63BE7B"/>
        <color rgb="FFFFEB84"/>
        <color rgb="FFF8696B"/>
      </colorScale>
    </cfRule>
  </conditionalFormatting>
  <conditionalFormatting sqref="BN8:BP8 BN9 BN10:BP69">
    <cfRule type="colorScale" priority="769">
      <colorScale>
        <cfvo type="min"/>
        <cfvo type="percentile" val="50"/>
        <cfvo type="max"/>
        <color rgb="FF63BE7B"/>
        <color rgb="FFFFEB84"/>
        <color rgb="FFF8696B"/>
      </colorScale>
    </cfRule>
  </conditionalFormatting>
  <conditionalFormatting sqref="BN70:BP74 BN76:BP77">
    <cfRule type="colorScale" priority="364">
      <colorScale>
        <cfvo type="min"/>
        <cfvo type="percentile" val="50"/>
        <cfvo type="max"/>
        <color rgb="FF63BE7B"/>
        <color rgb="FFFFEB84"/>
        <color rgb="FFF8696B"/>
      </colorScale>
    </cfRule>
  </conditionalFormatting>
  <conditionalFormatting sqref="BN75:BP75">
    <cfRule type="colorScale" priority="73">
      <colorScale>
        <cfvo type="min"/>
        <cfvo type="percentile" val="50"/>
        <cfvo type="max"/>
        <color rgb="FF63BE7B"/>
        <color rgb="FFFFEB84"/>
        <color rgb="FFF8696B"/>
      </colorScale>
    </cfRule>
  </conditionalFormatting>
  <conditionalFormatting sqref="BN78:BP80">
    <cfRule type="colorScale" priority="1512">
      <colorScale>
        <cfvo type="min"/>
        <cfvo type="percentile" val="50"/>
        <cfvo type="max"/>
        <color rgb="FF63BE7B"/>
        <color rgb="FFFFEB84"/>
        <color rgb="FFF8696B"/>
      </colorScale>
    </cfRule>
  </conditionalFormatting>
  <conditionalFormatting sqref="BO8:BO69 BO81">
    <cfRule type="colorScale" priority="400">
      <colorScale>
        <cfvo type="min"/>
        <cfvo type="percentile" val="50"/>
        <cfvo type="max"/>
        <color rgb="FF63BE7B"/>
        <color rgb="FFFFEB84"/>
        <color rgb="FFF8696B"/>
      </colorScale>
    </cfRule>
  </conditionalFormatting>
  <conditionalFormatting sqref="BO70:BO74 BO76:BO77">
    <cfRule type="colorScale" priority="323">
      <colorScale>
        <cfvo type="min"/>
        <cfvo type="percentile" val="50"/>
        <cfvo type="max"/>
        <color rgb="FF63BE7B"/>
        <color rgb="FFFFEB84"/>
        <color rgb="FFF8696B"/>
      </colorScale>
    </cfRule>
  </conditionalFormatting>
  <conditionalFormatting sqref="BO75">
    <cfRule type="colorScale" priority="74">
      <colorScale>
        <cfvo type="min"/>
        <cfvo type="percentile" val="50"/>
        <cfvo type="max"/>
        <color rgb="FF63BE7B"/>
        <color rgb="FFFFEB84"/>
        <color rgb="FFF8696B"/>
      </colorScale>
    </cfRule>
  </conditionalFormatting>
  <conditionalFormatting sqref="BO78:BO80">
    <cfRule type="colorScale" priority="1514">
      <colorScale>
        <cfvo type="min"/>
        <cfvo type="percentile" val="50"/>
        <cfvo type="max"/>
        <color rgb="FF63BE7B"/>
        <color rgb="FFFFEB84"/>
        <color rgb="FFF8696B"/>
      </colorScale>
    </cfRule>
  </conditionalFormatting>
  <conditionalFormatting sqref="BP8:BP69 BP81">
    <cfRule type="colorScale" priority="399">
      <colorScale>
        <cfvo type="min"/>
        <cfvo type="percentile" val="50"/>
        <cfvo type="max"/>
        <color rgb="FF63BE7B"/>
        <color rgb="FFFFEB84"/>
        <color rgb="FFF8696B"/>
      </colorScale>
    </cfRule>
  </conditionalFormatting>
  <conditionalFormatting sqref="BP70:BP74 BP76:BP77">
    <cfRule type="colorScale" priority="322">
      <colorScale>
        <cfvo type="min"/>
        <cfvo type="percentile" val="50"/>
        <cfvo type="max"/>
        <color rgb="FF63BE7B"/>
        <color rgb="FFFFEB84"/>
        <color rgb="FFF8696B"/>
      </colorScale>
    </cfRule>
  </conditionalFormatting>
  <conditionalFormatting sqref="BP75">
    <cfRule type="colorScale" priority="75">
      <colorScale>
        <cfvo type="min"/>
        <cfvo type="percentile" val="50"/>
        <cfvo type="max"/>
        <color rgb="FF63BE7B"/>
        <color rgb="FFFFEB84"/>
        <color rgb="FFF8696B"/>
      </colorScale>
    </cfRule>
  </conditionalFormatting>
  <conditionalFormatting sqref="BP78:BP80">
    <cfRule type="colorScale" priority="1516">
      <colorScale>
        <cfvo type="min"/>
        <cfvo type="percentile" val="50"/>
        <cfvo type="max"/>
        <color rgb="FF63BE7B"/>
        <color rgb="FFFFEB84"/>
        <color rgb="FFF8696B"/>
      </colorScale>
    </cfRule>
  </conditionalFormatting>
  <conditionalFormatting sqref="BQ24">
    <cfRule type="colorScale" priority="1291">
      <colorScale>
        <cfvo type="min"/>
        <cfvo type="percentile" val="50"/>
        <cfvo type="max"/>
        <color rgb="FF63BE7B"/>
        <color rgb="FFFFEB84"/>
        <color rgb="FFF8696B"/>
      </colorScale>
    </cfRule>
  </conditionalFormatting>
  <conditionalFormatting sqref="BU8:BU80">
    <cfRule type="colorScale" priority="1517">
      <colorScale>
        <cfvo type="min"/>
        <cfvo type="percentile" val="50"/>
        <cfvo type="max"/>
        <color rgb="FF63BE7B"/>
        <color rgb="FFFFEB84"/>
        <color rgb="FFF8696B"/>
      </colorScale>
    </cfRule>
  </conditionalFormatting>
  <conditionalFormatting sqref="BV8:BV80">
    <cfRule type="colorScale" priority="1518">
      <colorScale>
        <cfvo type="min"/>
        <cfvo type="percentile" val="50"/>
        <cfvo type="max"/>
        <color rgb="FF63BE7B"/>
        <color rgb="FFFFEB84"/>
        <color rgb="FFF8696B"/>
      </colorScale>
    </cfRule>
  </conditionalFormatting>
  <hyperlinks>
    <hyperlink ref="B8" r:id="rId1" display="C:\Users\francois.consigny\Zotero\storage\IQFADI85\McGregor CJ. Contribution of cross-laminated timbe.pdf" xr:uid="{00000000-0004-0000-0100-000000000000}"/>
    <hyperlink ref="B13" r:id="rId2" display="C:\Users\francois.consigny\Zotero\storage\BSYP8FPX\Medina Hevia - 2015 - Fire Resistance of Partially Protected Cross-Lamin.pdf" xr:uid="{00000000-0004-0000-0100-000001000000}"/>
    <hyperlink ref="A16" r:id="rId3" display="NRCC &amp; NIST" xr:uid="{00000000-0004-0000-0100-000002000000}"/>
    <hyperlink ref="A22" r:id="rId4" display="NRCC Room" xr:uid="{00000000-0004-0000-0100-000003000000}"/>
    <hyperlink ref="D27" r:id="rId5" display="../../../../../../../:b:/r/sites/01_EXT_DSSF_These_Francois_Consigny_571/Documents partages/Biblio/Recap Experiments/Su et Muradori - 2015 - Fire demonstration cross-laminated timber staire.pdf?csf=1&amp;web=1&amp;e=U45kRs" xr:uid="{00000000-0004-0000-0100-000004000000}"/>
    <hyperlink ref="B28" r:id="rId6" xr:uid="{00000000-0004-0000-0100-000005000000}"/>
    <hyperlink ref="D28" r:id="rId7" xr:uid="{00000000-0004-0000-0100-000006000000}"/>
    <hyperlink ref="D29" r:id="rId8" xr:uid="{00000000-0004-0000-0100-000007000000}"/>
    <hyperlink ref="D30" r:id="rId9" xr:uid="{00000000-0004-0000-0100-000008000000}"/>
    <hyperlink ref="D31" r:id="rId10" xr:uid="{00000000-0004-0000-0100-000009000000}"/>
    <hyperlink ref="A32" r:id="rId11" display="C:\Users\Francois.CONSIGNY\Zotero\storage\RT5JE3LH\Hadden et al. - 2017 - Effects of exposed cross laminated timber on compa.pdf" xr:uid="{00000000-0004-0000-0100-00000A000000}"/>
    <hyperlink ref="A38" r:id="rId12" display="NRCC Room" xr:uid="{00000000-0004-0000-0100-00000C000000}"/>
    <hyperlink ref="A43" r:id="rId13" xr:uid="{00000000-0004-0000-0100-00000D000000}"/>
    <hyperlink ref="A46" r:id="rId14" display="C:\Users\Francois.CONSIGNY\Zotero\storage\RHVGV2IT\Su et al. - 2023 - Large-scale fire tests of a mass timber building s.pdf" xr:uid="{00000000-0004-0000-0100-00000E000000}"/>
    <hyperlink ref="A51" r:id="rId15" xr:uid="{00000000-0004-0000-0100-00000F000000}"/>
    <hyperlink ref="D56" r:id="rId16" display="../../../../../../../:b:/r/sites/01_EXT_DSSF_These_Francois_Consigny_571/Documents partages/Biblio/Recap Experiments/Kotsovinos et al. - 2023 - Fire dynamics inside a large and open-plan compart.pdf?csf=1&amp;web=1&amp;e=69tC2T" xr:uid="{00000000-0004-0000-0100-000010000000}"/>
    <hyperlink ref="D57" r:id="rId17" display="../../../../../../../:b:/r/sites/01_EXT_DSSF_These_Francois_Consigny_571/Documents partages/Biblio/Recap Experiments/Kotsovinos et al. - 2023 - Impact of ventilation on the fire dynamics of an o.pdf?csf=1&amp;web=1&amp;e=YmRwgA" xr:uid="{00000000-0004-0000-0100-000011000000}"/>
    <hyperlink ref="D58" r:id="rId18" display="../../../../../../../:b:/r/sites/01_EXT_DSSF_These_Francois_Consigny_571/Documents partages/Biblio/Recap Experiments/B%C3%B8e et al. - 2023 - Fire spread in a large compartment with exposed cr.pdf?csf=1&amp;web=1&amp;e=igVXKA" xr:uid="{00000000-0004-0000-0100-000012000000}"/>
    <hyperlink ref="D59" r:id="rId19" display="../../../../../../../:b:/r/sites/01_EXT_DSSF_These_Francois_Consigny_571/Documents partages/Biblio/Recap Experiments/B%C3%B8e et al. - 2023 - Fire spread in a large compartment with exposed cr2.pdf?csf=1&amp;web=1&amp;e=URt2YZ" xr:uid="{00000000-0004-0000-0100-000013000000}"/>
    <hyperlink ref="A60" r:id="rId20" xr:uid="{00000000-0004-0000-0100-000014000000}"/>
    <hyperlink ref="W87" r:id="rId21" xr:uid="{00000000-0004-0000-0100-000015000000}"/>
    <hyperlink ref="W88" r:id="rId22" xr:uid="{00000000-0004-0000-0100-000016000000}"/>
    <hyperlink ref="W89" r:id="rId23" xr:uid="{00000000-0004-0000-0100-000017000000}"/>
    <hyperlink ref="A65:A69" r:id="rId24" display="Technical University Zurich" xr:uid="{CC5CFB0D-A1D0-48C8-82EF-FE83B756E0BE}"/>
    <hyperlink ref="B8:B12" r:id="rId25" display="../../../../../../../:b:/r/sites/01_EXT_DSSF_These_Francois_Consigny_571/Documents partages/Biblio/Recap Experiments/McGregor - 2013 - Contribution of cross laminated timber panels to room fires.pdf?csf=1&amp;web=1&amp;e=5f8IX8" xr:uid="{EDCE3D66-0F6C-4EEB-BDBA-46E37E254A87}"/>
    <hyperlink ref="B13:B15" r:id="rId26" display="../../../../../../../:b:/r/sites/01_EXT_DSSF_These_Francois_Consigny_571/Documents partages/Biblio/Recap Experiments/Medina Hevia - 2015 - Fire Resistance of Partially Protected Cross-Lamin.pdf?csf=1&amp;web=1&amp;e=TPJI9Q" xr:uid="{F26B7A60-6958-4976-BFF3-C688B49C741D}"/>
    <hyperlink ref="A16:A21" r:id="rId27" display="NRCC&amp;NIST" xr:uid="{B35FFB47-F5C2-4563-A64F-E1B01A64F6EA}"/>
    <hyperlink ref="A22:A26" r:id="rId28" display="NRCC_Room" xr:uid="{A65D2365-5DE7-45A2-985B-9A473B14839F}"/>
    <hyperlink ref="A32:A36" r:id="rId29" display="../../../../../../../:b:/r/sites/01_EXT_DSSF_These_Francois_Consigny_571/Documents partages/Biblio/Recap Experiments/Hadden et al. - 2017 - Effects of exposed cross laminated timber on compa.pdf?csf=1&amp;web=1&amp;e=FTFxT2" xr:uid="{58F31B3C-B537-44FE-BABC-9EB1A127A6DA}"/>
    <hyperlink ref="D37" r:id="rId30" display="../../../../../../../:b:/r/sites/01_EXT_DSSF_These_Francois_Consigny_571/Documents partages/Biblio/Recap Experiments/Emberley et al. - 2017 - Description of small and large-scale cross laminat.pdf?csf=1&amp;web=1&amp;e=aP9RA8" xr:uid="{00000000-0004-0000-0100-00000B000000}"/>
    <hyperlink ref="A38:A42" r:id="rId31" display="USDA" xr:uid="{CA094006-06AF-4301-BC58-AF924A355223}"/>
    <hyperlink ref="A43:A45" r:id="rId32" display="Cerib" xr:uid="{C74D8782-6DA9-43FD-ABAB-F34DAD30BDA2}"/>
    <hyperlink ref="A46:A50" r:id="rId33" display="NRCC_LS" xr:uid="{B8F2FC83-B20C-43D8-96F5-0898AFF4C059}"/>
    <hyperlink ref="A51:A55" r:id="rId34" display="RISE" xr:uid="{B4305535-F852-43C5-908E-5310A2DF699C}"/>
    <hyperlink ref="A60:A64" r:id="rId35" display="AdivBois" xr:uid="{B72AF6B0-90DC-40DC-BD24-4FF05CB36840}"/>
    <hyperlink ref="B28:B31" r:id="rId36" display="Su&amp;Lougheed" xr:uid="{C8055017-6C7D-4BB3-8B94-20A7B73022CA}"/>
  </hyperlinks>
  <pageMargins left="0.70866141732283472" right="0.70866141732283472" top="0.74803149606299213" bottom="0.74803149606299213" header="0.31496062992125984" footer="0.31496062992125984"/>
  <pageSetup paperSize="9" orientation="portrait" r:id="rId37"/>
  <legacyDrawing r:id="rId3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X260"/>
  <sheetViews>
    <sheetView topLeftCell="Y3" zoomScaleNormal="100" workbookViewId="0">
      <pane ySplit="615" topLeftCell="A44" activePane="bottomLeft"/>
      <selection activeCell="AN12" sqref="AN1:AO1048576"/>
      <selection pane="bottomLeft" activeCell="AF53" sqref="AF53"/>
    </sheetView>
  </sheetViews>
  <sheetFormatPr baseColWidth="10" defaultColWidth="11.42578125" defaultRowHeight="15"/>
  <cols>
    <col min="1" max="1" width="18.85546875" bestFit="1" customWidth="1"/>
    <col min="5" max="25" width="11.42578125" customWidth="1"/>
    <col min="27" max="27" width="16" bestFit="1" customWidth="1"/>
  </cols>
  <sheetData>
    <row r="1" spans="1:50" ht="15.75" customHeight="1" thickBot="1">
      <c r="A1" t="s">
        <v>614</v>
      </c>
      <c r="B1" s="480" t="s">
        <v>615</v>
      </c>
      <c r="C1" s="480" t="s">
        <v>616</v>
      </c>
      <c r="D1" s="480" t="s">
        <v>617</v>
      </c>
      <c r="E1" s="480" t="s">
        <v>618</v>
      </c>
      <c r="F1" s="480" t="s">
        <v>619</v>
      </c>
      <c r="G1" s="480" t="s">
        <v>620</v>
      </c>
      <c r="H1" s="480" t="s">
        <v>621</v>
      </c>
      <c r="I1" s="480" t="s">
        <v>622</v>
      </c>
      <c r="J1" s="480" t="s">
        <v>623</v>
      </c>
      <c r="K1" s="480" t="s">
        <v>624</v>
      </c>
      <c r="L1" s="480" t="s">
        <v>625</v>
      </c>
      <c r="M1" s="480" t="s">
        <v>626</v>
      </c>
      <c r="N1" s="480" t="s">
        <v>627</v>
      </c>
      <c r="O1" s="480" t="s">
        <v>628</v>
      </c>
      <c r="P1" s="480" t="s">
        <v>629</v>
      </c>
      <c r="Q1" s="480" t="s">
        <v>630</v>
      </c>
      <c r="R1" s="480" t="s">
        <v>631</v>
      </c>
      <c r="S1" s="480" t="s">
        <v>632</v>
      </c>
      <c r="T1" s="480" t="s">
        <v>633</v>
      </c>
      <c r="U1" s="481" t="s">
        <v>634</v>
      </c>
      <c r="V1" s="481" t="s">
        <v>635</v>
      </c>
      <c r="W1" s="481" t="s">
        <v>636</v>
      </c>
      <c r="X1" s="481" t="s">
        <v>637</v>
      </c>
      <c r="Y1" s="481" t="s">
        <v>638</v>
      </c>
      <c r="Z1" t="s">
        <v>639</v>
      </c>
      <c r="AA1" t="s">
        <v>640</v>
      </c>
      <c r="AB1" s="421" t="s">
        <v>641</v>
      </c>
      <c r="AC1" t="s">
        <v>642</v>
      </c>
      <c r="AD1" t="s">
        <v>643</v>
      </c>
      <c r="AE1" t="s">
        <v>643</v>
      </c>
      <c r="AF1" t="s">
        <v>644</v>
      </c>
      <c r="AG1" t="s">
        <v>645</v>
      </c>
      <c r="AH1" t="s">
        <v>646</v>
      </c>
      <c r="AI1" t="s">
        <v>647</v>
      </c>
      <c r="AJ1" t="s">
        <v>648</v>
      </c>
      <c r="AK1" t="s">
        <v>880</v>
      </c>
      <c r="AL1" t="s">
        <v>881</v>
      </c>
      <c r="AM1" t="s">
        <v>882</v>
      </c>
      <c r="AN1" t="s">
        <v>873</v>
      </c>
      <c r="AO1" t="s">
        <v>649</v>
      </c>
      <c r="AP1" t="s">
        <v>792</v>
      </c>
      <c r="AQ1" t="s">
        <v>793</v>
      </c>
      <c r="AR1" t="s">
        <v>874</v>
      </c>
      <c r="AT1" t="s">
        <v>794</v>
      </c>
    </row>
    <row r="2" spans="1:50">
      <c r="A2" s="92" t="str">
        <f>Recap!D8</f>
        <v>McGregor_1</v>
      </c>
      <c r="B2" s="557">
        <f>Recap!AY8</f>
        <v>26</v>
      </c>
      <c r="C2" s="557">
        <f>Recap!AZ8</f>
        <v>6</v>
      </c>
      <c r="D2" s="557">
        <f>Recap!BA8</f>
        <v>60</v>
      </c>
      <c r="E2" s="558"/>
      <c r="F2" s="558"/>
      <c r="G2" s="558"/>
      <c r="H2" s="557">
        <f>Recap!BC8</f>
        <v>34</v>
      </c>
      <c r="I2" s="557">
        <f>Recap!BD8</f>
        <v>12</v>
      </c>
      <c r="J2" s="557">
        <f>Recap!BE8</f>
        <v>55</v>
      </c>
      <c r="K2" s="558"/>
      <c r="L2" s="558"/>
      <c r="M2" s="558"/>
      <c r="N2" s="557">
        <f>Recap!BJ8</f>
        <v>0</v>
      </c>
      <c r="O2" s="557">
        <f>Recap!BK8</f>
        <v>0</v>
      </c>
      <c r="P2" s="557">
        <f>Recap!BL8</f>
        <v>0</v>
      </c>
      <c r="Q2" s="557"/>
      <c r="R2" s="557"/>
      <c r="S2" s="557"/>
      <c r="T2" s="557">
        <f>Recap!BN8</f>
        <v>0</v>
      </c>
      <c r="U2" s="557">
        <f>Recap!BO8</f>
        <v>0</v>
      </c>
      <c r="V2" s="557">
        <f>Recap!BP8</f>
        <v>0</v>
      </c>
      <c r="W2" s="557"/>
      <c r="X2" s="557"/>
      <c r="Y2" s="557"/>
      <c r="Z2" s="263" t="str">
        <f>Recap!AW8</f>
        <v>N</v>
      </c>
      <c r="AA2" s="508"/>
      <c r="AB2" s="257"/>
      <c r="AN2" s="506" t="s">
        <v>1055</v>
      </c>
      <c r="AO2" s="506"/>
      <c r="AQ2" s="984" t="s">
        <v>935</v>
      </c>
      <c r="AR2" s="506" t="s">
        <v>875</v>
      </c>
      <c r="AS2" s="740" t="s">
        <v>812</v>
      </c>
      <c r="AT2" s="530" t="s">
        <v>796</v>
      </c>
      <c r="AU2" s="530" t="s">
        <v>879</v>
      </c>
      <c r="AV2" s="530"/>
      <c r="AW2" s="530"/>
      <c r="AX2" s="530"/>
    </row>
    <row r="3" spans="1:50">
      <c r="A3" s="509" t="str">
        <f>Recap!D9</f>
        <v>McGregor_2</v>
      </c>
      <c r="B3" s="559">
        <f>Recap!AY9</f>
        <v>0</v>
      </c>
      <c r="C3" s="559">
        <f>Recap!AZ9</f>
        <v>0</v>
      </c>
      <c r="D3" s="559">
        <f>Recap!BA9</f>
        <v>0</v>
      </c>
      <c r="E3" s="559"/>
      <c r="F3" s="559"/>
      <c r="G3" s="559"/>
      <c r="H3" s="559">
        <f>Recap!BC9</f>
        <v>0</v>
      </c>
      <c r="I3" s="559">
        <f>Recap!BD9</f>
        <v>0</v>
      </c>
      <c r="J3" s="559">
        <f>Recap!BE9</f>
        <v>0</v>
      </c>
      <c r="K3" s="559"/>
      <c r="L3" s="559"/>
      <c r="M3" s="559"/>
      <c r="N3" s="559">
        <f>Recap!BJ9</f>
        <v>0</v>
      </c>
      <c r="O3" s="559">
        <f>Recap!BK9</f>
        <v>0</v>
      </c>
      <c r="P3" s="559">
        <f>Recap!BL9</f>
        <v>0</v>
      </c>
      <c r="Q3" s="559"/>
      <c r="R3" s="559"/>
      <c r="S3" s="559"/>
      <c r="T3" s="559">
        <f>Recap!BN9</f>
        <v>0</v>
      </c>
      <c r="U3" s="559">
        <f>Recap!BO9</f>
        <v>0</v>
      </c>
      <c r="V3" s="559">
        <f>Recap!BP9</f>
        <v>0</v>
      </c>
      <c r="W3" s="559"/>
      <c r="X3" s="559"/>
      <c r="Y3" s="559"/>
      <c r="Z3" s="265" t="str">
        <f>Recap!AW9</f>
        <v>Y</v>
      </c>
      <c r="AA3" s="510"/>
      <c r="AN3" s="506" t="s">
        <v>797</v>
      </c>
      <c r="AO3" s="506" t="s">
        <v>797</v>
      </c>
      <c r="AP3" t="s">
        <v>599</v>
      </c>
      <c r="AQ3" s="985"/>
      <c r="AS3" s="741" t="s">
        <v>813</v>
      </c>
      <c r="AT3" t="s">
        <v>798</v>
      </c>
      <c r="AU3" t="s">
        <v>799</v>
      </c>
    </row>
    <row r="4" spans="1:50">
      <c r="A4" s="509" t="str">
        <f>Recap!D10</f>
        <v>McGregor_3</v>
      </c>
      <c r="B4" s="559">
        <f>Recap!AY10</f>
        <v>30</v>
      </c>
      <c r="C4" s="559">
        <f>Recap!AZ10</f>
        <v>22.5</v>
      </c>
      <c r="D4" s="559">
        <f>Recap!BA10</f>
        <v>40</v>
      </c>
      <c r="E4" s="559"/>
      <c r="F4" s="559"/>
      <c r="G4" s="559"/>
      <c r="H4" s="559">
        <f>Recap!BC10</f>
        <v>20</v>
      </c>
      <c r="I4" s="559">
        <f>Recap!BD10</f>
        <v>15</v>
      </c>
      <c r="J4" s="559">
        <f>Recap!BE10</f>
        <v>40</v>
      </c>
      <c r="K4" s="559"/>
      <c r="L4" s="559"/>
      <c r="M4" s="559"/>
      <c r="N4" s="559">
        <f>Recap!BJ10</f>
        <v>0</v>
      </c>
      <c r="O4" s="559">
        <f>Recap!BK10</f>
        <v>0</v>
      </c>
      <c r="P4" s="559">
        <f>Recap!BL10</f>
        <v>0</v>
      </c>
      <c r="Q4" s="559"/>
      <c r="R4" s="559"/>
      <c r="S4" s="559"/>
      <c r="T4" s="559">
        <f>Recap!BN10</f>
        <v>0</v>
      </c>
      <c r="U4" s="559">
        <f>Recap!BO10</f>
        <v>0</v>
      </c>
      <c r="V4" s="559">
        <f>Recap!BP10</f>
        <v>0</v>
      </c>
      <c r="W4" s="559"/>
      <c r="X4" s="559"/>
      <c r="Y4" s="559"/>
      <c r="Z4" s="265" t="str">
        <f>Recap!AW10</f>
        <v>Y</v>
      </c>
      <c r="AA4" s="510"/>
      <c r="AN4" s="506"/>
      <c r="AO4" s="506"/>
      <c r="AQ4" s="986" t="s">
        <v>936</v>
      </c>
      <c r="AS4" s="742" t="s">
        <v>814</v>
      </c>
      <c r="AT4" t="s">
        <v>800</v>
      </c>
      <c r="AU4" t="s">
        <v>801</v>
      </c>
    </row>
    <row r="5" spans="1:50">
      <c r="A5" s="509" t="str">
        <f>Recap!D11</f>
        <v>McGregor_4</v>
      </c>
      <c r="B5" s="559">
        <f>Recap!AY11</f>
        <v>0</v>
      </c>
      <c r="C5" s="559">
        <f>Recap!AZ11</f>
        <v>0</v>
      </c>
      <c r="D5" s="559">
        <f>Recap!BA11</f>
        <v>0</v>
      </c>
      <c r="E5" s="563"/>
      <c r="F5" s="563"/>
      <c r="G5" s="563"/>
      <c r="H5" s="559">
        <f>Recap!BC11</f>
        <v>0</v>
      </c>
      <c r="I5" s="559">
        <f>Recap!BD11</f>
        <v>0</v>
      </c>
      <c r="J5" s="559">
        <f>Recap!BE11</f>
        <v>0</v>
      </c>
      <c r="K5" s="563"/>
      <c r="L5" s="563"/>
      <c r="M5" s="563"/>
      <c r="N5" s="559">
        <f>Recap!BJ11</f>
        <v>0</v>
      </c>
      <c r="O5" s="559">
        <f>Recap!BK11</f>
        <v>0</v>
      </c>
      <c r="P5" s="559">
        <f>Recap!BL11</f>
        <v>0</v>
      </c>
      <c r="Q5" s="559"/>
      <c r="R5" s="559"/>
      <c r="S5" s="559"/>
      <c r="T5" s="559">
        <f>Recap!BN11</f>
        <v>0</v>
      </c>
      <c r="U5" s="559">
        <f>Recap!BO11</f>
        <v>0</v>
      </c>
      <c r="V5" s="559">
        <f>Recap!BP11</f>
        <v>0</v>
      </c>
      <c r="W5" s="559"/>
      <c r="X5" s="559"/>
      <c r="Y5" s="559"/>
      <c r="Z5" s="265" t="str">
        <f>Recap!AW11</f>
        <v>Y</v>
      </c>
      <c r="AA5" s="510"/>
      <c r="AN5" s="506"/>
      <c r="AO5" s="506"/>
      <c r="AQ5" s="987" t="s">
        <v>937</v>
      </c>
      <c r="AS5" s="743" t="s">
        <v>815</v>
      </c>
      <c r="AT5" t="s">
        <v>802</v>
      </c>
      <c r="AU5" t="s">
        <v>803</v>
      </c>
    </row>
    <row r="6" spans="1:50" ht="15.75" customHeight="1" thickBot="1">
      <c r="A6" s="511" t="str">
        <f>Recap!D12</f>
        <v>McGregor_5</v>
      </c>
      <c r="B6" s="560">
        <f>Recap!AY12</f>
        <v>62</v>
      </c>
      <c r="C6" s="560">
        <f>Recap!AZ12</f>
        <v>40</v>
      </c>
      <c r="D6" s="560">
        <f>Recap!BA12</f>
        <v>70</v>
      </c>
      <c r="E6" s="560"/>
      <c r="F6" s="560"/>
      <c r="G6" s="560"/>
      <c r="H6" s="560">
        <f>Recap!BC12</f>
        <v>67</v>
      </c>
      <c r="I6" s="560">
        <f>Recap!BD12</f>
        <v>40</v>
      </c>
      <c r="J6" s="560">
        <f>Recap!BE12</f>
        <v>80</v>
      </c>
      <c r="K6" s="560"/>
      <c r="L6" s="560"/>
      <c r="M6" s="560"/>
      <c r="N6" s="560">
        <f>Recap!BJ12</f>
        <v>0</v>
      </c>
      <c r="O6" s="560">
        <f>Recap!BK12</f>
        <v>0</v>
      </c>
      <c r="P6" s="560">
        <f>Recap!BL12</f>
        <v>0</v>
      </c>
      <c r="Q6" s="560"/>
      <c r="R6" s="560"/>
      <c r="S6" s="560"/>
      <c r="T6" s="560">
        <f>Recap!BN12</f>
        <v>0</v>
      </c>
      <c r="U6" s="560">
        <f>Recap!BO12</f>
        <v>0</v>
      </c>
      <c r="V6" s="560">
        <f>Recap!BP12</f>
        <v>0</v>
      </c>
      <c r="W6" s="560"/>
      <c r="X6" s="560"/>
      <c r="Y6" s="560"/>
      <c r="Z6" s="266" t="str">
        <f>Recap!AW12</f>
        <v>N</v>
      </c>
      <c r="AA6" s="513"/>
      <c r="AB6" s="261"/>
      <c r="AN6" s="506" t="s">
        <v>795</v>
      </c>
      <c r="AO6" s="506"/>
      <c r="AQ6" s="988" t="s">
        <v>938</v>
      </c>
      <c r="AR6" s="506" t="s">
        <v>875</v>
      </c>
      <c r="AS6" s="744" t="s">
        <v>816</v>
      </c>
      <c r="AT6" t="s">
        <v>797</v>
      </c>
      <c r="AU6" t="s">
        <v>878</v>
      </c>
    </row>
    <row r="7" spans="1:50">
      <c r="A7" s="92" t="str">
        <f>Recap!D13</f>
        <v>Medina_1</v>
      </c>
      <c r="B7" s="557">
        <f>Recap!AY13</f>
        <v>74.5</v>
      </c>
      <c r="C7" s="557">
        <f>Recap!AZ13</f>
        <v>71</v>
      </c>
      <c r="D7" s="557">
        <f>Recap!BA13</f>
        <v>80</v>
      </c>
      <c r="E7" s="557"/>
      <c r="F7" s="557"/>
      <c r="G7" s="557"/>
      <c r="H7" s="557">
        <f>Recap!BC13</f>
        <v>37</v>
      </c>
      <c r="I7" s="557">
        <f>Recap!BD13</f>
        <v>33</v>
      </c>
      <c r="J7" s="557">
        <f>Recap!BE13</f>
        <v>41</v>
      </c>
      <c r="K7" s="558"/>
      <c r="L7" s="558"/>
      <c r="M7" s="558"/>
      <c r="N7" s="557">
        <f>Recap!BJ13</f>
        <v>0</v>
      </c>
      <c r="O7" s="557">
        <f>Recap!BK13</f>
        <v>0</v>
      </c>
      <c r="P7" s="557">
        <f>Recap!BL13</f>
        <v>0</v>
      </c>
      <c r="Q7" s="557"/>
      <c r="R7" s="557"/>
      <c r="S7" s="557"/>
      <c r="T7" s="557">
        <f>Recap!BN13</f>
        <v>0</v>
      </c>
      <c r="U7" s="557">
        <f>Recap!BO13</f>
        <v>0</v>
      </c>
      <c r="V7" s="557">
        <f>Recap!BP13</f>
        <v>0</v>
      </c>
      <c r="W7" s="557"/>
      <c r="X7" s="557"/>
      <c r="Y7" s="557"/>
      <c r="Z7" s="263" t="str">
        <f>Recap!AW13</f>
        <v>N</v>
      </c>
      <c r="AA7" s="508"/>
      <c r="AN7" s="506" t="s">
        <v>1055</v>
      </c>
      <c r="AO7" s="506"/>
      <c r="AQ7" s="989" t="s">
        <v>939</v>
      </c>
      <c r="AR7" s="506" t="s">
        <v>875</v>
      </c>
      <c r="AS7" s="745" t="s">
        <v>817</v>
      </c>
      <c r="AT7" t="s">
        <v>914</v>
      </c>
      <c r="AU7" t="s">
        <v>913</v>
      </c>
    </row>
    <row r="8" spans="1:50">
      <c r="A8" s="509" t="str">
        <f>Recap!D14</f>
        <v>Medina_2</v>
      </c>
      <c r="B8" s="559">
        <f>Recap!AY14</f>
        <v>56</v>
      </c>
      <c r="C8" s="559">
        <f>Recap!AZ14</f>
        <v>54</v>
      </c>
      <c r="D8" s="559">
        <f>Recap!BA14</f>
        <v>60</v>
      </c>
      <c r="E8" s="559"/>
      <c r="F8" s="559"/>
      <c r="G8" s="559"/>
      <c r="H8" s="559">
        <f>Recap!BC14</f>
        <v>11.5</v>
      </c>
      <c r="I8" s="559">
        <f>Recap!BD14</f>
        <v>11</v>
      </c>
      <c r="J8" s="559">
        <f>Recap!BE14</f>
        <v>12</v>
      </c>
      <c r="K8" s="563"/>
      <c r="L8" s="563"/>
      <c r="M8" s="563"/>
      <c r="N8" s="559">
        <f>Recap!BJ14</f>
        <v>0</v>
      </c>
      <c r="O8" s="559">
        <f>Recap!BK14</f>
        <v>0</v>
      </c>
      <c r="P8" s="559">
        <f>Recap!BL14</f>
        <v>0</v>
      </c>
      <c r="Q8" s="559"/>
      <c r="R8" s="559"/>
      <c r="S8" s="559"/>
      <c r="T8" s="559">
        <f>Recap!BN14</f>
        <v>0</v>
      </c>
      <c r="U8" s="559">
        <f>Recap!BO14</f>
        <v>0</v>
      </c>
      <c r="V8" s="559">
        <f>Recap!BP14</f>
        <v>0</v>
      </c>
      <c r="W8" s="559"/>
      <c r="X8" s="559"/>
      <c r="Y8" s="559"/>
      <c r="Z8" s="265" t="str">
        <f>Recap!AW14</f>
        <v>N</v>
      </c>
      <c r="AA8" s="510"/>
      <c r="AN8" s="506" t="s">
        <v>1055</v>
      </c>
      <c r="AO8" s="506"/>
      <c r="AQ8" s="990" t="s">
        <v>940</v>
      </c>
      <c r="AR8" s="506" t="s">
        <v>875</v>
      </c>
      <c r="AS8" s="746" t="s">
        <v>818</v>
      </c>
      <c r="AT8" t="s">
        <v>805</v>
      </c>
      <c r="AU8" t="s">
        <v>876</v>
      </c>
    </row>
    <row r="9" spans="1:50" ht="15.75" customHeight="1" thickBot="1">
      <c r="A9" s="511" t="str">
        <f>Recap!D15</f>
        <v>Medina_3</v>
      </c>
      <c r="B9" s="560">
        <f>Recap!AY15</f>
        <v>33.25</v>
      </c>
      <c r="C9" s="560">
        <f>Recap!AZ15</f>
        <v>21</v>
      </c>
      <c r="D9" s="560">
        <f>Recap!BA15</f>
        <v>44</v>
      </c>
      <c r="E9" s="560"/>
      <c r="F9" s="560"/>
      <c r="G9" s="560"/>
      <c r="H9" s="560">
        <f>Recap!BC15</f>
        <v>0</v>
      </c>
      <c r="I9" s="560">
        <f>Recap!BD15</f>
        <v>0</v>
      </c>
      <c r="J9" s="560">
        <f>Recap!BE15</f>
        <v>0</v>
      </c>
      <c r="K9" s="564"/>
      <c r="L9" s="564"/>
      <c r="M9" s="564"/>
      <c r="N9" s="560">
        <f>Recap!BJ15</f>
        <v>0</v>
      </c>
      <c r="O9" s="560">
        <f>Recap!BK15</f>
        <v>0</v>
      </c>
      <c r="P9" s="560">
        <f>Recap!BL15</f>
        <v>0</v>
      </c>
      <c r="Q9" s="560"/>
      <c r="R9" s="560"/>
      <c r="S9" s="560"/>
      <c r="T9" s="560">
        <f>Recap!BN15</f>
        <v>0</v>
      </c>
      <c r="U9" s="560">
        <f>Recap!BO15</f>
        <v>0</v>
      </c>
      <c r="V9" s="560">
        <f>Recap!BP15</f>
        <v>0</v>
      </c>
      <c r="W9" s="560"/>
      <c r="X9" s="560"/>
      <c r="Y9" s="560"/>
      <c r="Z9" s="266" t="str">
        <f>Recap!AW15</f>
        <v>Y</v>
      </c>
      <c r="AA9" s="513"/>
      <c r="AN9" s="506"/>
      <c r="AO9" s="506"/>
      <c r="AQ9" s="991" t="s">
        <v>941</v>
      </c>
      <c r="AR9" s="506" t="s">
        <v>875</v>
      </c>
      <c r="AS9" s="747" t="s">
        <v>819</v>
      </c>
      <c r="AT9" t="s">
        <v>806</v>
      </c>
      <c r="AU9" t="s">
        <v>877</v>
      </c>
    </row>
    <row r="10" spans="1:50">
      <c r="A10" s="92" t="str">
        <f>Recap!D16</f>
        <v>NRCC&amp;NIST_1</v>
      </c>
      <c r="B10" s="557">
        <f>Recap!AY16</f>
        <v>0</v>
      </c>
      <c r="C10" s="557">
        <f>Recap!AZ16</f>
        <v>0</v>
      </c>
      <c r="D10" s="557">
        <f>Recap!BA16</f>
        <v>0</v>
      </c>
      <c r="E10" s="558"/>
      <c r="F10" s="558"/>
      <c r="G10" s="558"/>
      <c r="H10" s="557">
        <f>Recap!BC16</f>
        <v>0</v>
      </c>
      <c r="I10" s="557">
        <f>Recap!BD16</f>
        <v>0</v>
      </c>
      <c r="J10" s="557">
        <f>Recap!BE16</f>
        <v>0</v>
      </c>
      <c r="K10" s="558"/>
      <c r="L10" s="558"/>
      <c r="M10" s="558"/>
      <c r="N10" s="557">
        <f>Recap!BJ16</f>
        <v>0</v>
      </c>
      <c r="O10" s="557">
        <f>Recap!BK16</f>
        <v>0</v>
      </c>
      <c r="P10" s="557">
        <f>Recap!BL16</f>
        <v>0</v>
      </c>
      <c r="Q10" s="557"/>
      <c r="R10" s="557"/>
      <c r="S10" s="557"/>
      <c r="T10" s="557">
        <f>Recap!BN16</f>
        <v>0</v>
      </c>
      <c r="U10" s="557">
        <f>Recap!BO16</f>
        <v>0</v>
      </c>
      <c r="V10" s="557">
        <f>Recap!BP16</f>
        <v>0</v>
      </c>
      <c r="W10" s="557"/>
      <c r="X10" s="557"/>
      <c r="Y10" s="557"/>
      <c r="Z10" s="263" t="str">
        <f>Recap!AW16</f>
        <v>Y</v>
      </c>
      <c r="AA10" s="508"/>
      <c r="AN10" s="506" t="s">
        <v>797</v>
      </c>
      <c r="AO10" s="506" t="s">
        <v>797</v>
      </c>
      <c r="AP10" t="s">
        <v>599</v>
      </c>
      <c r="AQ10" s="992"/>
      <c r="AS10" s="748" t="s">
        <v>820</v>
      </c>
    </row>
    <row r="11" spans="1:50">
      <c r="A11" s="509" t="str">
        <f>Recap!D17</f>
        <v>NRCC&amp;NIST_2</v>
      </c>
      <c r="B11" s="559">
        <f>Recap!AY17</f>
        <v>0</v>
      </c>
      <c r="C11" s="559">
        <f>Recap!AZ17</f>
        <v>0</v>
      </c>
      <c r="D11" s="559">
        <f>Recap!BA17</f>
        <v>0</v>
      </c>
      <c r="E11" s="563"/>
      <c r="F11" s="563"/>
      <c r="G11" s="563"/>
      <c r="H11" s="559">
        <f>Recap!BC17</f>
        <v>0</v>
      </c>
      <c r="I11" s="559">
        <f>Recap!BD17</f>
        <v>0.1</v>
      </c>
      <c r="J11" s="559">
        <f>Recap!BE17</f>
        <v>10</v>
      </c>
      <c r="K11" s="563"/>
      <c r="L11" s="563"/>
      <c r="M11" s="563"/>
      <c r="N11" s="559">
        <f>Recap!BJ17</f>
        <v>0</v>
      </c>
      <c r="O11" s="559">
        <f>Recap!BK17</f>
        <v>0</v>
      </c>
      <c r="P11" s="559">
        <f>Recap!BL17</f>
        <v>0</v>
      </c>
      <c r="Q11" s="559"/>
      <c r="R11" s="559"/>
      <c r="S11" s="559"/>
      <c r="T11" s="559">
        <f>Recap!BN17</f>
        <v>0</v>
      </c>
      <c r="U11" s="559">
        <f>Recap!BO17</f>
        <v>0</v>
      </c>
      <c r="V11" s="559">
        <f>Recap!BP17</f>
        <v>0</v>
      </c>
      <c r="W11" s="559"/>
      <c r="X11" s="559"/>
      <c r="Y11" s="559"/>
      <c r="Z11" s="265" t="str">
        <f>Recap!AW17</f>
        <v>Y</v>
      </c>
      <c r="AA11" s="510"/>
      <c r="AN11" s="506"/>
      <c r="AO11" s="506"/>
      <c r="AQ11" s="993" t="s">
        <v>942</v>
      </c>
      <c r="AS11" s="749" t="s">
        <v>821</v>
      </c>
    </row>
    <row r="12" spans="1:50">
      <c r="A12" s="509" t="str">
        <f>Recap!D18</f>
        <v>NRCC&amp;NIST_3</v>
      </c>
      <c r="B12" s="559">
        <f>Recap!AY18</f>
        <v>27.5</v>
      </c>
      <c r="C12" s="559">
        <f>Recap!AZ18</f>
        <v>20</v>
      </c>
      <c r="D12" s="559">
        <f>Recap!BA18</f>
        <v>35</v>
      </c>
      <c r="E12" s="559"/>
      <c r="F12" s="559"/>
      <c r="G12" s="559"/>
      <c r="H12" s="559">
        <f>Recap!BC18</f>
        <v>0</v>
      </c>
      <c r="I12" s="559">
        <f>Recap!BD18</f>
        <v>0</v>
      </c>
      <c r="J12" s="559">
        <f>Recap!BE18</f>
        <v>0</v>
      </c>
      <c r="K12" s="563"/>
      <c r="L12" s="563"/>
      <c r="M12" s="563"/>
      <c r="N12" s="559">
        <f>Recap!BJ18</f>
        <v>0</v>
      </c>
      <c r="O12" s="559">
        <f>Recap!BK18</f>
        <v>0</v>
      </c>
      <c r="P12" s="559">
        <f>Recap!BL18</f>
        <v>0</v>
      </c>
      <c r="Q12" s="559"/>
      <c r="R12" s="559"/>
      <c r="S12" s="559"/>
      <c r="T12" s="559">
        <f>Recap!BN18</f>
        <v>0</v>
      </c>
      <c r="U12" s="559">
        <f>Recap!BO18</f>
        <v>0</v>
      </c>
      <c r="V12" s="559">
        <f>Recap!BP18</f>
        <v>0</v>
      </c>
      <c r="W12" s="559"/>
      <c r="X12" s="559"/>
      <c r="Y12" s="559"/>
      <c r="Z12" s="265" t="str">
        <f>Recap!AW18</f>
        <v>Y</v>
      </c>
      <c r="AA12" s="510"/>
      <c r="AN12" s="506" t="s">
        <v>795</v>
      </c>
      <c r="AO12" s="506"/>
      <c r="AQ12" s="994" t="s">
        <v>943</v>
      </c>
      <c r="AR12" s="506" t="s">
        <v>875</v>
      </c>
      <c r="AS12" s="750" t="s">
        <v>822</v>
      </c>
    </row>
    <row r="13" spans="1:50">
      <c r="A13" s="509" t="str">
        <f>Recap!D19</f>
        <v>NRCC&amp;NIST_4</v>
      </c>
      <c r="B13" s="559">
        <f>Recap!AY19</f>
        <v>0</v>
      </c>
      <c r="C13" s="559">
        <f>Recap!AZ19</f>
        <v>0</v>
      </c>
      <c r="D13" s="559">
        <f>Recap!BA19</f>
        <v>0</v>
      </c>
      <c r="E13" s="563"/>
      <c r="F13" s="563"/>
      <c r="G13" s="563"/>
      <c r="H13" s="559">
        <f>Recap!BC19</f>
        <v>78.625</v>
      </c>
      <c r="I13" s="559">
        <f>Recap!BD19</f>
        <v>68</v>
      </c>
      <c r="J13" s="559">
        <f>Recap!BE19</f>
        <v>90</v>
      </c>
      <c r="K13" s="559"/>
      <c r="L13" s="559"/>
      <c r="M13" s="559"/>
      <c r="N13" s="559">
        <f>Recap!BJ19</f>
        <v>0</v>
      </c>
      <c r="O13" s="559">
        <f>Recap!BK19</f>
        <v>0</v>
      </c>
      <c r="P13" s="559">
        <f>Recap!BL19</f>
        <v>0</v>
      </c>
      <c r="Q13" s="559"/>
      <c r="R13" s="559"/>
      <c r="S13" s="559"/>
      <c r="T13" s="559">
        <f>Recap!BN19</f>
        <v>0</v>
      </c>
      <c r="U13" s="559">
        <f>Recap!BO19</f>
        <v>0</v>
      </c>
      <c r="V13" s="559">
        <f>Recap!BP19</f>
        <v>0</v>
      </c>
      <c r="W13" s="559"/>
      <c r="X13" s="559"/>
      <c r="Y13" s="559"/>
      <c r="Z13" s="265" t="str">
        <f>Recap!AW19</f>
        <v>N</v>
      </c>
      <c r="AA13" s="510"/>
      <c r="AN13" s="506" t="s">
        <v>795</v>
      </c>
      <c r="AO13" s="506"/>
      <c r="AQ13" s="995" t="s">
        <v>944</v>
      </c>
      <c r="AR13" s="506" t="s">
        <v>875</v>
      </c>
      <c r="AS13" s="751" t="s">
        <v>823</v>
      </c>
    </row>
    <row r="14" spans="1:50">
      <c r="A14" s="509" t="str">
        <f>Recap!D20</f>
        <v>NRCC&amp;NIST_5</v>
      </c>
      <c r="B14" s="559">
        <f>Recap!AY20</f>
        <v>131.28125</v>
      </c>
      <c r="C14" s="559">
        <f>Recap!AZ20</f>
        <v>102</v>
      </c>
      <c r="D14" s="559">
        <f>Recap!BA20</f>
        <v>141</v>
      </c>
      <c r="E14" s="559"/>
      <c r="F14" s="559"/>
      <c r="G14" s="559"/>
      <c r="H14" s="559">
        <f>Recap!BC20</f>
        <v>61.28125</v>
      </c>
      <c r="I14" s="559">
        <f>Recap!BD20</f>
        <v>25</v>
      </c>
      <c r="J14" s="559">
        <f>Recap!BE20</f>
        <v>79</v>
      </c>
      <c r="K14" s="563"/>
      <c r="L14" s="563"/>
      <c r="M14" s="563"/>
      <c r="N14" s="559">
        <f>Recap!BJ20</f>
        <v>0</v>
      </c>
      <c r="O14" s="559">
        <f>Recap!BK20</f>
        <v>0</v>
      </c>
      <c r="P14" s="559">
        <f>Recap!BL20</f>
        <v>0</v>
      </c>
      <c r="Q14" s="559"/>
      <c r="R14" s="559"/>
      <c r="S14" s="559"/>
      <c r="T14" s="559">
        <f>Recap!BN20</f>
        <v>0</v>
      </c>
      <c r="U14" s="559">
        <f>Recap!BO20</f>
        <v>0</v>
      </c>
      <c r="V14" s="559">
        <f>Recap!BP20</f>
        <v>0</v>
      </c>
      <c r="W14" s="559"/>
      <c r="X14" s="559"/>
      <c r="Y14" s="559"/>
      <c r="Z14" s="265" t="str">
        <f>Recap!AW20</f>
        <v>N</v>
      </c>
      <c r="AA14" s="510"/>
      <c r="AB14" s="261"/>
      <c r="AN14" s="506" t="s">
        <v>1055</v>
      </c>
      <c r="AO14" s="506"/>
      <c r="AQ14" s="996" t="s">
        <v>945</v>
      </c>
      <c r="AR14" s="506" t="s">
        <v>875</v>
      </c>
      <c r="AS14" s="752" t="s">
        <v>824</v>
      </c>
    </row>
    <row r="15" spans="1:50" ht="15.75" customHeight="1" thickBot="1">
      <c r="A15" s="511" t="str">
        <f>Recap!D21</f>
        <v>NRCC&amp;NIST_6</v>
      </c>
      <c r="B15" s="560">
        <f>Recap!AY21</f>
        <v>122.53125</v>
      </c>
      <c r="C15" s="560">
        <f>Recap!AZ21</f>
        <v>88</v>
      </c>
      <c r="D15" s="560">
        <f>Recap!BA21</f>
        <v>143</v>
      </c>
      <c r="E15" s="560"/>
      <c r="F15" s="560"/>
      <c r="G15" s="560"/>
      <c r="H15" s="560">
        <f>Recap!BC21</f>
        <v>127.51612903225806</v>
      </c>
      <c r="I15" s="560">
        <f>Recap!BD21</f>
        <v>13</v>
      </c>
      <c r="J15" s="560">
        <f>Recap!BE21</f>
        <v>154</v>
      </c>
      <c r="K15" s="560"/>
      <c r="L15" s="560"/>
      <c r="M15" s="560"/>
      <c r="N15" s="560">
        <f>Recap!BJ21</f>
        <v>0</v>
      </c>
      <c r="O15" s="560">
        <f>Recap!BK21</f>
        <v>0</v>
      </c>
      <c r="P15" s="560">
        <f>Recap!BL21</f>
        <v>0</v>
      </c>
      <c r="Q15" s="560"/>
      <c r="R15" s="560"/>
      <c r="S15" s="560"/>
      <c r="T15" s="560">
        <f>Recap!BN21</f>
        <v>0</v>
      </c>
      <c r="U15" s="560">
        <f>Recap!BO21</f>
        <v>0</v>
      </c>
      <c r="V15" s="560">
        <f>Recap!BP21</f>
        <v>0</v>
      </c>
      <c r="W15" s="560"/>
      <c r="X15" s="560"/>
      <c r="Y15" s="560"/>
      <c r="Z15" s="266" t="str">
        <f>Recap!AW21</f>
        <v>N</v>
      </c>
      <c r="AA15" s="513"/>
      <c r="AN15" s="506" t="s">
        <v>807</v>
      </c>
      <c r="AO15" s="506"/>
      <c r="AQ15" s="997" t="s">
        <v>946</v>
      </c>
      <c r="AS15" s="753" t="s">
        <v>825</v>
      </c>
    </row>
    <row r="16" spans="1:50">
      <c r="A16" s="92" t="str">
        <f>Recap!D22</f>
        <v>NRCC_Room_1</v>
      </c>
      <c r="B16" s="557">
        <f>Recap!AY22</f>
        <v>0</v>
      </c>
      <c r="C16" s="557">
        <f>Recap!AZ22</f>
        <v>0</v>
      </c>
      <c r="D16" s="557">
        <f>Recap!BA22</f>
        <v>0</v>
      </c>
      <c r="E16" s="557"/>
      <c r="F16" s="557"/>
      <c r="G16" s="557"/>
      <c r="H16" s="557">
        <f>Recap!BC22</f>
        <v>0</v>
      </c>
      <c r="I16" s="557">
        <f>Recap!BD22</f>
        <v>0</v>
      </c>
      <c r="J16" s="557">
        <f>Recap!BE22</f>
        <v>0</v>
      </c>
      <c r="K16" s="557"/>
      <c r="L16" s="557"/>
      <c r="M16" s="557"/>
      <c r="N16" s="557">
        <f>Recap!BJ22</f>
        <v>0</v>
      </c>
      <c r="O16" s="557">
        <f>Recap!BK22</f>
        <v>0</v>
      </c>
      <c r="P16" s="557">
        <f>Recap!BL22</f>
        <v>0</v>
      </c>
      <c r="Q16" s="557"/>
      <c r="R16" s="557"/>
      <c r="S16" s="557"/>
      <c r="T16" s="557">
        <f>Recap!BN22</f>
        <v>0</v>
      </c>
      <c r="U16" s="557">
        <f>Recap!BO22</f>
        <v>0</v>
      </c>
      <c r="V16" s="557">
        <f>Recap!BP22</f>
        <v>0</v>
      </c>
      <c r="W16" s="557"/>
      <c r="X16" s="557"/>
      <c r="Y16" s="557"/>
      <c r="Z16" s="263" t="str">
        <f>Recap!AW22</f>
        <v>Y</v>
      </c>
      <c r="AA16" s="508"/>
      <c r="AN16" s="506" t="s">
        <v>797</v>
      </c>
      <c r="AO16" s="506" t="s">
        <v>797</v>
      </c>
      <c r="AP16" t="s">
        <v>599</v>
      </c>
      <c r="AQ16" s="992"/>
      <c r="AS16" s="754" t="s">
        <v>826</v>
      </c>
    </row>
    <row r="17" spans="1:45">
      <c r="A17" s="509" t="str">
        <f>Recap!D23</f>
        <v>NRCC_Room_2</v>
      </c>
      <c r="B17" s="559">
        <f>Recap!AY23</f>
        <v>68.3125</v>
      </c>
      <c r="C17" s="559">
        <f>Recap!AZ23</f>
        <v>50</v>
      </c>
      <c r="D17" s="559">
        <f>Recap!BA23</f>
        <v>95</v>
      </c>
      <c r="E17" s="559"/>
      <c r="F17" s="559"/>
      <c r="G17" s="559"/>
      <c r="H17" s="559">
        <f>Recap!BC23</f>
        <v>52.5</v>
      </c>
      <c r="I17" s="559">
        <f>Recap!BD23</f>
        <v>45</v>
      </c>
      <c r="J17" s="559">
        <f>Recap!BE23</f>
        <v>63</v>
      </c>
      <c r="K17" s="559"/>
      <c r="L17" s="559"/>
      <c r="M17" s="559"/>
      <c r="N17" s="559">
        <f>Recap!BJ23</f>
        <v>0</v>
      </c>
      <c r="O17" s="559">
        <f>Recap!BK23</f>
        <v>0</v>
      </c>
      <c r="P17" s="559">
        <f>Recap!BL23</f>
        <v>0</v>
      </c>
      <c r="Q17" s="559"/>
      <c r="R17" s="559"/>
      <c r="S17" s="559"/>
      <c r="T17" s="559">
        <f>Recap!BN23</f>
        <v>0</v>
      </c>
      <c r="U17" s="559">
        <f>Recap!BO23</f>
        <v>0</v>
      </c>
      <c r="V17" s="559">
        <f>Recap!BP23</f>
        <v>0</v>
      </c>
      <c r="W17" s="559"/>
      <c r="X17" s="559"/>
      <c r="Y17" s="559"/>
      <c r="Z17" s="265" t="str">
        <f>Recap!AW23</f>
        <v>Y</v>
      </c>
      <c r="AA17" s="510"/>
      <c r="AN17" s="506" t="s">
        <v>807</v>
      </c>
      <c r="AO17" s="506"/>
      <c r="AQ17" s="998" t="s">
        <v>947</v>
      </c>
      <c r="AR17" s="506" t="s">
        <v>875</v>
      </c>
      <c r="AS17" s="755" t="s">
        <v>827</v>
      </c>
    </row>
    <row r="18" spans="1:45">
      <c r="A18" s="509" t="str">
        <f>Recap!D24</f>
        <v>NRCC_Room_3</v>
      </c>
      <c r="B18" s="559">
        <f>Recap!AY24</f>
        <v>46.615384615384613</v>
      </c>
      <c r="C18" s="559">
        <f>Recap!AZ24</f>
        <v>0</v>
      </c>
      <c r="D18" s="559">
        <f>Recap!BA24</f>
        <v>83</v>
      </c>
      <c r="E18" s="563"/>
      <c r="F18" s="563"/>
      <c r="G18" s="563"/>
      <c r="H18" s="559">
        <f>Recap!BC24</f>
        <v>32.75</v>
      </c>
      <c r="I18" s="559">
        <f>Recap!BD24</f>
        <v>0</v>
      </c>
      <c r="J18" s="559">
        <f>Recap!BE24</f>
        <v>66</v>
      </c>
      <c r="K18" s="563"/>
      <c r="L18" s="563"/>
      <c r="M18" s="563"/>
      <c r="N18" s="559">
        <f>Recap!BJ24</f>
        <v>121.95833333333333</v>
      </c>
      <c r="O18" s="559">
        <f>Recap!BK24</f>
        <v>103.5</v>
      </c>
      <c r="P18" s="559">
        <f>Recap!BL24</f>
        <v>161</v>
      </c>
      <c r="Q18" s="559"/>
      <c r="R18" s="559"/>
      <c r="S18" s="559"/>
      <c r="T18" s="559">
        <f>Recap!BN24</f>
        <v>108.375</v>
      </c>
      <c r="U18" s="559">
        <f>Recap!BO24</f>
        <v>92</v>
      </c>
      <c r="V18" s="559">
        <f>Recap!BP24</f>
        <v>162.5</v>
      </c>
      <c r="W18" s="559"/>
      <c r="X18" s="559"/>
      <c r="Y18" s="559"/>
      <c r="Z18" s="265" t="str">
        <f>Recap!AW24</f>
        <v>N</v>
      </c>
      <c r="AA18" s="510"/>
      <c r="AN18" s="506" t="s">
        <v>807</v>
      </c>
      <c r="AO18" s="506"/>
      <c r="AP18" s="756"/>
      <c r="AQ18" s="999" t="s">
        <v>948</v>
      </c>
      <c r="AR18" s="506" t="s">
        <v>875</v>
      </c>
      <c r="AS18" s="757" t="s">
        <v>828</v>
      </c>
    </row>
    <row r="19" spans="1:45">
      <c r="A19" s="509" t="str">
        <f>Recap!D25</f>
        <v>NRCC_Room_4</v>
      </c>
      <c r="B19" s="559">
        <f>Recap!AY25</f>
        <v>25.725000000000001</v>
      </c>
      <c r="C19" s="559">
        <f>Recap!AZ25</f>
        <v>0</v>
      </c>
      <c r="D19" s="559">
        <f>Recap!BA25</f>
        <v>45</v>
      </c>
      <c r="E19" s="563"/>
      <c r="F19" s="563"/>
      <c r="G19" s="563"/>
      <c r="H19" s="559">
        <f>Recap!BC25</f>
        <v>54.0625</v>
      </c>
      <c r="I19" s="559">
        <f>Recap!BD25</f>
        <v>47</v>
      </c>
      <c r="J19" s="559">
        <f>Recap!BE25</f>
        <v>66</v>
      </c>
      <c r="K19" s="559"/>
      <c r="L19" s="559"/>
      <c r="M19" s="559"/>
      <c r="N19" s="559">
        <f>Recap!BJ25</f>
        <v>78.150000000000006</v>
      </c>
      <c r="O19" s="559">
        <f>Recap!BK25</f>
        <v>69</v>
      </c>
      <c r="P19" s="559">
        <f>Recap!BL25</f>
        <v>82</v>
      </c>
      <c r="Q19" s="559"/>
      <c r="R19" s="559"/>
      <c r="S19" s="559"/>
      <c r="T19" s="559">
        <f>Recap!BN25</f>
        <v>74.5625</v>
      </c>
      <c r="U19" s="559">
        <f>Recap!BO25</f>
        <v>62.5</v>
      </c>
      <c r="V19" s="559">
        <f>Recap!BP25</f>
        <v>93.5</v>
      </c>
      <c r="W19" s="559"/>
      <c r="X19" s="559"/>
      <c r="Y19" s="559"/>
      <c r="Z19" s="265" t="str">
        <f>Recap!AW25</f>
        <v>Y</v>
      </c>
      <c r="AA19" s="510"/>
      <c r="AN19" s="506" t="s">
        <v>807</v>
      </c>
      <c r="AO19" s="506"/>
      <c r="AP19" s="756"/>
      <c r="AQ19" s="1000" t="s">
        <v>949</v>
      </c>
      <c r="AS19" s="758" t="s">
        <v>829</v>
      </c>
    </row>
    <row r="20" spans="1:45" ht="15.75" customHeight="1" thickBot="1">
      <c r="A20" s="511" t="str">
        <f>Recap!D26</f>
        <v>NRCC_Room_5</v>
      </c>
      <c r="B20" s="560">
        <f>Recap!AY26</f>
        <v>88.625</v>
      </c>
      <c r="C20" s="560">
        <f>Recap!AZ26</f>
        <v>81</v>
      </c>
      <c r="D20" s="560">
        <f>Recap!BA26</f>
        <v>109</v>
      </c>
      <c r="E20" s="560"/>
      <c r="F20" s="560"/>
      <c r="G20" s="560"/>
      <c r="H20" s="560">
        <f>Recap!BC26</f>
        <v>77.5</v>
      </c>
      <c r="I20" s="560">
        <f>Recap!BD26</f>
        <v>70</v>
      </c>
      <c r="J20" s="560">
        <f>Recap!BE26</f>
        <v>90</v>
      </c>
      <c r="K20" s="560"/>
      <c r="L20" s="560"/>
      <c r="M20" s="560"/>
      <c r="N20" s="560">
        <f>Recap!BJ26</f>
        <v>0</v>
      </c>
      <c r="O20" s="560">
        <f>Recap!BK26</f>
        <v>0</v>
      </c>
      <c r="P20" s="560">
        <f>Recap!BL26</f>
        <v>0</v>
      </c>
      <c r="Q20" s="560"/>
      <c r="R20" s="560"/>
      <c r="S20" s="560"/>
      <c r="T20" s="560">
        <f>Recap!BN26</f>
        <v>0</v>
      </c>
      <c r="U20" s="560">
        <f>Recap!BO26</f>
        <v>0</v>
      </c>
      <c r="V20" s="560">
        <f>Recap!BP26</f>
        <v>0</v>
      </c>
      <c r="W20" s="560"/>
      <c r="X20" s="560"/>
      <c r="Y20" s="560"/>
      <c r="Z20" s="266" t="str">
        <f>Recap!AW26</f>
        <v>N</v>
      </c>
      <c r="AA20" s="513"/>
      <c r="AN20" s="506" t="s">
        <v>807</v>
      </c>
      <c r="AO20" s="506"/>
      <c r="AQ20" s="1001" t="s">
        <v>950</v>
      </c>
      <c r="AR20" s="506" t="s">
        <v>875</v>
      </c>
      <c r="AS20" s="759" t="s">
        <v>830</v>
      </c>
    </row>
    <row r="21" spans="1:45" ht="15.75" customHeight="1" thickBot="1">
      <c r="A21" s="100" t="str">
        <f>Recap!D27</f>
        <v>NRCC_Elevator_1</v>
      </c>
      <c r="B21" s="561">
        <f>Recap!AY27</f>
        <v>5</v>
      </c>
      <c r="C21" s="561">
        <f>Recap!AZ27</f>
        <v>0.1</v>
      </c>
      <c r="D21" s="561">
        <f>Recap!BA27</f>
        <v>25</v>
      </c>
      <c r="E21" s="565"/>
      <c r="F21" s="565"/>
      <c r="G21" s="565"/>
      <c r="H21" s="561">
        <f>Recap!BC27</f>
        <v>70</v>
      </c>
      <c r="I21" s="561">
        <f>Recap!BD27</f>
        <v>35</v>
      </c>
      <c r="J21" s="561">
        <f>Recap!BE27</f>
        <v>80</v>
      </c>
      <c r="K21" s="565"/>
      <c r="L21" s="565"/>
      <c r="M21" s="565"/>
      <c r="N21" s="561">
        <f>Recap!BJ27</f>
        <v>0</v>
      </c>
      <c r="O21" s="561">
        <f>Recap!BK27</f>
        <v>0</v>
      </c>
      <c r="P21" s="561">
        <f>Recap!BL27</f>
        <v>0</v>
      </c>
      <c r="Q21" s="561"/>
      <c r="R21" s="561"/>
      <c r="S21" s="561"/>
      <c r="T21" s="561">
        <f>Recap!BN27</f>
        <v>0</v>
      </c>
      <c r="U21" s="561">
        <f>Recap!BO27</f>
        <v>0</v>
      </c>
      <c r="V21" s="561">
        <f>Recap!BP27</f>
        <v>0</v>
      </c>
      <c r="W21" s="561"/>
      <c r="X21" s="561"/>
      <c r="Y21" s="561"/>
      <c r="Z21" s="268" t="str">
        <f>Recap!AW27</f>
        <v>N</v>
      </c>
      <c r="AA21" s="515"/>
      <c r="AN21" s="506" t="s">
        <v>807</v>
      </c>
      <c r="AO21" s="506"/>
      <c r="AQ21" s="1002" t="s">
        <v>951</v>
      </c>
      <c r="AR21" s="506" t="s">
        <v>875</v>
      </c>
      <c r="AS21" s="760" t="s">
        <v>831</v>
      </c>
    </row>
    <row r="22" spans="1:45">
      <c r="A22" s="92" t="str">
        <f>Recap!D28</f>
        <v>NRCC_Encaps_LWF1</v>
      </c>
      <c r="B22" s="557">
        <f>Recap!AY28</f>
        <v>0</v>
      </c>
      <c r="C22" s="557">
        <f>Recap!AZ28</f>
        <v>0</v>
      </c>
      <c r="D22" s="557">
        <f>Recap!BA28</f>
        <v>0</v>
      </c>
      <c r="E22" s="557"/>
      <c r="F22" s="557"/>
      <c r="G22" s="557"/>
      <c r="H22" s="557">
        <f>Recap!BC28</f>
        <v>0</v>
      </c>
      <c r="I22" s="557">
        <f>Recap!BD28</f>
        <v>0</v>
      </c>
      <c r="J22" s="557">
        <f>Recap!BE28</f>
        <v>0</v>
      </c>
      <c r="K22" s="557"/>
      <c r="L22" s="557"/>
      <c r="M22" s="557"/>
      <c r="N22" s="557">
        <f>Recap!BJ28</f>
        <v>0</v>
      </c>
      <c r="O22" s="557">
        <f>Recap!BK28</f>
        <v>0</v>
      </c>
      <c r="P22" s="557">
        <f>Recap!BL28</f>
        <v>0</v>
      </c>
      <c r="Q22" s="557"/>
      <c r="R22" s="557"/>
      <c r="S22" s="557"/>
      <c r="T22" s="557">
        <f>Recap!BN28</f>
        <v>0</v>
      </c>
      <c r="U22" s="557">
        <f>Recap!BO28</f>
        <v>0</v>
      </c>
      <c r="V22" s="557">
        <f>Recap!BP28</f>
        <v>0</v>
      </c>
      <c r="W22" s="557"/>
      <c r="X22" s="557"/>
      <c r="Y22" s="557"/>
      <c r="Z22" s="623" t="str">
        <f>Recap!AW28</f>
        <v>'</v>
      </c>
      <c r="AA22" s="508"/>
      <c r="AN22" s="506"/>
      <c r="AO22" s="506"/>
      <c r="AP22" t="s">
        <v>599</v>
      </c>
      <c r="AQ22" s="992"/>
      <c r="AS22" s="761" t="s">
        <v>832</v>
      </c>
    </row>
    <row r="23" spans="1:45">
      <c r="A23" s="509" t="str">
        <f>Recap!D29</f>
        <v>NRCC_Encaps_CLT</v>
      </c>
      <c r="B23" s="559">
        <f>Recap!AY29</f>
        <v>0</v>
      </c>
      <c r="C23" s="559">
        <f>Recap!AZ29</f>
        <v>0</v>
      </c>
      <c r="D23" s="559">
        <f>Recap!BA29</f>
        <v>0</v>
      </c>
      <c r="E23" s="559"/>
      <c r="F23" s="559"/>
      <c r="G23" s="559"/>
      <c r="H23" s="559">
        <f>Recap!BC29</f>
        <v>0</v>
      </c>
      <c r="I23" s="559">
        <f>Recap!BD29</f>
        <v>0</v>
      </c>
      <c r="J23" s="559">
        <f>Recap!BE29</f>
        <v>0</v>
      </c>
      <c r="K23" s="559"/>
      <c r="L23" s="559"/>
      <c r="M23" s="559"/>
      <c r="N23" s="559">
        <f>Recap!BJ29</f>
        <v>0</v>
      </c>
      <c r="O23" s="559">
        <f>Recap!BK29</f>
        <v>0</v>
      </c>
      <c r="P23" s="559">
        <f>Recap!BL29</f>
        <v>0</v>
      </c>
      <c r="Q23" s="559"/>
      <c r="R23" s="559"/>
      <c r="S23" s="559"/>
      <c r="T23" s="559">
        <f>Recap!BN29</f>
        <v>0</v>
      </c>
      <c r="U23" s="559">
        <f>Recap!BO29</f>
        <v>0</v>
      </c>
      <c r="V23" s="559">
        <f>Recap!BP29</f>
        <v>0</v>
      </c>
      <c r="W23" s="559"/>
      <c r="X23" s="559"/>
      <c r="Y23" s="559"/>
      <c r="Z23" s="624" t="str">
        <f>Recap!AW29</f>
        <v>'</v>
      </c>
      <c r="AA23" s="510"/>
      <c r="AN23" s="506"/>
      <c r="AO23" s="506"/>
      <c r="AP23" t="s">
        <v>599</v>
      </c>
      <c r="AQ23" s="1003"/>
      <c r="AS23" s="762" t="s">
        <v>833</v>
      </c>
    </row>
    <row r="24" spans="1:45">
      <c r="A24" s="509" t="str">
        <f>Recap!D30</f>
        <v>NRCC_Encaps_LSF</v>
      </c>
      <c r="B24" s="559">
        <f>Recap!AY30</f>
        <v>0</v>
      </c>
      <c r="C24" s="559">
        <f>Recap!AZ30</f>
        <v>0</v>
      </c>
      <c r="D24" s="559">
        <f>Recap!BA30</f>
        <v>0</v>
      </c>
      <c r="E24" s="559"/>
      <c r="F24" s="559"/>
      <c r="G24" s="559"/>
      <c r="H24" s="559">
        <f>Recap!BC30</f>
        <v>0</v>
      </c>
      <c r="I24" s="559">
        <f>Recap!BD30</f>
        <v>0</v>
      </c>
      <c r="J24" s="559">
        <f>Recap!BE30</f>
        <v>0</v>
      </c>
      <c r="K24" s="559"/>
      <c r="L24" s="559"/>
      <c r="M24" s="559"/>
      <c r="N24" s="559">
        <f>Recap!BJ30</f>
        <v>0</v>
      </c>
      <c r="O24" s="559">
        <f>Recap!BK30</f>
        <v>0</v>
      </c>
      <c r="P24" s="559">
        <f>Recap!BL30</f>
        <v>0</v>
      </c>
      <c r="Q24" s="559"/>
      <c r="R24" s="559"/>
      <c r="S24" s="559"/>
      <c r="T24" s="559">
        <f>Recap!BN30</f>
        <v>0</v>
      </c>
      <c r="U24" s="559">
        <f>Recap!BO30</f>
        <v>0</v>
      </c>
      <c r="V24" s="559">
        <f>Recap!BP30</f>
        <v>0</v>
      </c>
      <c r="W24" s="559"/>
      <c r="X24" s="559"/>
      <c r="Y24" s="559"/>
      <c r="Z24" s="624" t="str">
        <f>Recap!AW30</f>
        <v>'</v>
      </c>
      <c r="AA24" s="510"/>
      <c r="AN24" s="506"/>
      <c r="AO24" s="506"/>
      <c r="AP24" t="s">
        <v>599</v>
      </c>
      <c r="AQ24" s="1003"/>
      <c r="AS24" s="763" t="s">
        <v>834</v>
      </c>
    </row>
    <row r="25" spans="1:45" ht="15.75" customHeight="1" thickBot="1">
      <c r="A25" s="511" t="str">
        <f>Recap!D31</f>
        <v>NRCC_Encaps_LWF2</v>
      </c>
      <c r="B25" s="560">
        <f>Recap!AY31</f>
        <v>0</v>
      </c>
      <c r="C25" s="560">
        <f>Recap!AZ31</f>
        <v>0</v>
      </c>
      <c r="D25" s="560">
        <f>Recap!BA31</f>
        <v>0</v>
      </c>
      <c r="E25" s="560"/>
      <c r="F25" s="560"/>
      <c r="G25" s="560"/>
      <c r="H25" s="560">
        <f>Recap!BC31</f>
        <v>0</v>
      </c>
      <c r="I25" s="560">
        <f>Recap!BD31</f>
        <v>0</v>
      </c>
      <c r="J25" s="560">
        <f>Recap!BE31</f>
        <v>0</v>
      </c>
      <c r="K25" s="560"/>
      <c r="L25" s="560"/>
      <c r="M25" s="560"/>
      <c r="N25" s="560">
        <f>Recap!BJ31</f>
        <v>0</v>
      </c>
      <c r="O25" s="560">
        <f>Recap!BK31</f>
        <v>0</v>
      </c>
      <c r="P25" s="560">
        <f>Recap!BL31</f>
        <v>0</v>
      </c>
      <c r="Q25" s="560"/>
      <c r="R25" s="560"/>
      <c r="S25" s="560"/>
      <c r="T25" s="560">
        <f>Recap!BN31</f>
        <v>0</v>
      </c>
      <c r="U25" s="560">
        <f>Recap!BO31</f>
        <v>0</v>
      </c>
      <c r="V25" s="560">
        <f>Recap!BP31</f>
        <v>0</v>
      </c>
      <c r="W25" s="560"/>
      <c r="X25" s="560"/>
      <c r="Y25" s="560"/>
      <c r="Z25" s="625" t="str">
        <f>Recap!AW31</f>
        <v>'</v>
      </c>
      <c r="AA25" s="513"/>
      <c r="AN25" s="506"/>
      <c r="AO25" s="506"/>
      <c r="AP25" t="s">
        <v>599</v>
      </c>
      <c r="AQ25" s="1004"/>
      <c r="AS25" s="764" t="s">
        <v>835</v>
      </c>
    </row>
    <row r="26" spans="1:45">
      <c r="A26" s="92" t="str">
        <f>Recap!D32</f>
        <v>Edimb_1</v>
      </c>
      <c r="B26" s="557">
        <f>Recap!AY32</f>
        <v>39.322580645161288</v>
      </c>
      <c r="C26" s="557">
        <f>Recap!AZ32</f>
        <v>29.491935483870968</v>
      </c>
      <c r="D26" s="557">
        <f>Recap!BA32</f>
        <v>53</v>
      </c>
      <c r="E26" s="557"/>
      <c r="F26" s="557"/>
      <c r="G26" s="557"/>
      <c r="H26" s="557">
        <f>Recap!BC32</f>
        <v>0</v>
      </c>
      <c r="I26" s="557">
        <f>Recap!BD32</f>
        <v>0</v>
      </c>
      <c r="J26" s="557">
        <f>Recap!BE32</f>
        <v>0</v>
      </c>
      <c r="K26" s="558"/>
      <c r="L26" s="558"/>
      <c r="M26" s="558"/>
      <c r="N26" s="557">
        <f>Recap!BJ32</f>
        <v>0</v>
      </c>
      <c r="O26" s="557">
        <f>Recap!BK32</f>
        <v>0</v>
      </c>
      <c r="P26" s="557">
        <f>Recap!BL32</f>
        <v>0</v>
      </c>
      <c r="Q26" s="557"/>
      <c r="R26" s="557"/>
      <c r="S26" s="557"/>
      <c r="T26" s="557">
        <f>Recap!BN32</f>
        <v>0</v>
      </c>
      <c r="U26" s="557">
        <f>Recap!BO32</f>
        <v>0</v>
      </c>
      <c r="V26" s="557">
        <f>Recap!BP32</f>
        <v>0</v>
      </c>
      <c r="W26" s="557"/>
      <c r="X26" s="557"/>
      <c r="Y26" s="557"/>
      <c r="Z26" s="263" t="str">
        <f>Recap!AW32</f>
        <v>N</v>
      </c>
      <c r="AA26" s="508"/>
      <c r="AN26" s="506"/>
      <c r="AO26" s="506"/>
      <c r="AQ26" s="1005" t="s">
        <v>952</v>
      </c>
      <c r="AS26" s="765" t="s">
        <v>836</v>
      </c>
    </row>
    <row r="27" spans="1:45">
      <c r="A27" s="509" t="str">
        <f>Recap!D33</f>
        <v>Edimb_2</v>
      </c>
      <c r="B27" s="559">
        <f>Recap!AY33</f>
        <v>35.852941176470587</v>
      </c>
      <c r="C27" s="559">
        <f>Recap!AZ33</f>
        <v>26.889705882352942</v>
      </c>
      <c r="D27" s="559">
        <f>Recap!BA33</f>
        <v>53</v>
      </c>
      <c r="E27" s="559"/>
      <c r="F27" s="559"/>
      <c r="G27" s="559"/>
      <c r="H27" s="559">
        <f>Recap!BC33</f>
        <v>0</v>
      </c>
      <c r="I27" s="559">
        <f>Recap!BD33</f>
        <v>0</v>
      </c>
      <c r="J27" s="559">
        <f>Recap!BE33</f>
        <v>0</v>
      </c>
      <c r="K27" s="563"/>
      <c r="L27" s="563"/>
      <c r="M27" s="563"/>
      <c r="N27" s="559">
        <f>Recap!BJ33</f>
        <v>0</v>
      </c>
      <c r="O27" s="559">
        <f>Recap!BK33</f>
        <v>0</v>
      </c>
      <c r="P27" s="559">
        <f>Recap!BL33</f>
        <v>0</v>
      </c>
      <c r="Q27" s="559"/>
      <c r="R27" s="559"/>
      <c r="S27" s="559"/>
      <c r="T27" s="559">
        <f>Recap!BN33</f>
        <v>0</v>
      </c>
      <c r="U27" s="559">
        <f>Recap!BO33</f>
        <v>0</v>
      </c>
      <c r="V27" s="559">
        <f>Recap!BP33</f>
        <v>0</v>
      </c>
      <c r="W27" s="559"/>
      <c r="X27" s="559"/>
      <c r="Y27" s="559"/>
      <c r="Z27" s="265" t="str">
        <f>Recap!AW33</f>
        <v>N</v>
      </c>
      <c r="AA27" s="510"/>
      <c r="AN27" s="506" t="s">
        <v>795</v>
      </c>
      <c r="AO27" s="506"/>
      <c r="AQ27" s="1006" t="s">
        <v>953</v>
      </c>
      <c r="AS27" s="766" t="s">
        <v>837</v>
      </c>
    </row>
    <row r="28" spans="1:45">
      <c r="A28" s="509" t="str">
        <f>Recap!D34</f>
        <v>Edimb_3</v>
      </c>
      <c r="B28" s="559">
        <f>Recap!AY34</f>
        <v>11</v>
      </c>
      <c r="C28" s="559">
        <f>Recap!AZ34</f>
        <v>8.25</v>
      </c>
      <c r="D28" s="559">
        <f>Recap!BA34</f>
        <v>15</v>
      </c>
      <c r="E28" s="559"/>
      <c r="F28" s="559"/>
      <c r="G28" s="559"/>
      <c r="H28" s="559">
        <f>Recap!BC34</f>
        <v>10</v>
      </c>
      <c r="I28" s="559">
        <f>Recap!BD34</f>
        <v>7.5</v>
      </c>
      <c r="J28" s="559">
        <f>Recap!BE34</f>
        <v>13</v>
      </c>
      <c r="K28" s="559"/>
      <c r="L28" s="559"/>
      <c r="M28" s="559"/>
      <c r="N28" s="559">
        <f>Recap!BJ34</f>
        <v>0</v>
      </c>
      <c r="O28" s="559">
        <f>Recap!BK34</f>
        <v>0</v>
      </c>
      <c r="P28" s="559">
        <f>Recap!BL34</f>
        <v>0</v>
      </c>
      <c r="Q28" s="559"/>
      <c r="R28" s="559"/>
      <c r="S28" s="559"/>
      <c r="T28" s="559">
        <f>Recap!BN34</f>
        <v>0</v>
      </c>
      <c r="U28" s="559">
        <f>Recap!BO34</f>
        <v>0</v>
      </c>
      <c r="V28" s="559">
        <f>Recap!BP34</f>
        <v>0</v>
      </c>
      <c r="W28" s="559"/>
      <c r="X28" s="559"/>
      <c r="Y28" s="559"/>
      <c r="Z28" s="265" t="str">
        <f>Recap!AW34</f>
        <v>Y</v>
      </c>
      <c r="AA28" s="510"/>
      <c r="AN28" s="506"/>
      <c r="AO28" s="506"/>
      <c r="AQ28" s="1007" t="s">
        <v>954</v>
      </c>
      <c r="AS28" s="767" t="s">
        <v>838</v>
      </c>
    </row>
    <row r="29" spans="1:45">
      <c r="A29" s="509" t="str">
        <f>Recap!D35</f>
        <v>Edimb_4</v>
      </c>
      <c r="B29" s="559">
        <f>Recap!AY35</f>
        <v>30.105263157894736</v>
      </c>
      <c r="C29" s="559">
        <f>Recap!AZ35</f>
        <v>22.578947368421051</v>
      </c>
      <c r="D29" s="559">
        <f>Recap!BA35</f>
        <v>44</v>
      </c>
      <c r="E29" s="559"/>
      <c r="F29" s="559"/>
      <c r="G29" s="559"/>
      <c r="H29" s="559">
        <f>Recap!BC35</f>
        <v>27.368421052631575</v>
      </c>
      <c r="I29" s="559">
        <f>Recap!BD35</f>
        <v>20.526315789473681</v>
      </c>
      <c r="J29" s="559">
        <f>Recap!BE35</f>
        <v>40</v>
      </c>
      <c r="K29" s="559"/>
      <c r="L29" s="559"/>
      <c r="M29" s="559"/>
      <c r="N29" s="559">
        <f>Recap!BJ35</f>
        <v>0</v>
      </c>
      <c r="O29" s="559">
        <f>Recap!BK35</f>
        <v>0</v>
      </c>
      <c r="P29" s="559">
        <f>Recap!BL35</f>
        <v>0</v>
      </c>
      <c r="Q29" s="559"/>
      <c r="R29" s="559"/>
      <c r="S29" s="559"/>
      <c r="T29" s="559">
        <f>Recap!BN35</f>
        <v>0</v>
      </c>
      <c r="U29" s="559">
        <f>Recap!BO35</f>
        <v>0</v>
      </c>
      <c r="V29" s="559">
        <f>Recap!BP35</f>
        <v>0</v>
      </c>
      <c r="W29" s="559"/>
      <c r="X29" s="559"/>
      <c r="Y29" s="559"/>
      <c r="Z29" s="265" t="str">
        <f>Recap!AW35</f>
        <v>Y</v>
      </c>
      <c r="AA29" s="510"/>
      <c r="AN29" s="506" t="s">
        <v>795</v>
      </c>
      <c r="AO29" s="506" t="s">
        <v>808</v>
      </c>
      <c r="AQ29" s="1008" t="s">
        <v>955</v>
      </c>
      <c r="AS29" s="768" t="s">
        <v>839</v>
      </c>
    </row>
    <row r="30" spans="1:45" ht="15.75" customHeight="1" thickBot="1">
      <c r="A30" s="511" t="str">
        <f>Recap!D36</f>
        <v>Edimb_5</v>
      </c>
      <c r="B30" s="560">
        <f>Recap!AY36</f>
        <v>39.684210526315788</v>
      </c>
      <c r="C30" s="560">
        <f>Recap!AZ36</f>
        <v>29.763157894736842</v>
      </c>
      <c r="D30" s="560">
        <f>Recap!BA36</f>
        <v>58</v>
      </c>
      <c r="E30" s="560"/>
      <c r="F30" s="560"/>
      <c r="G30" s="560"/>
      <c r="H30" s="560">
        <f>Recap!BC36</f>
        <v>36.07655502392344</v>
      </c>
      <c r="I30" s="560">
        <f>Recap!BD36</f>
        <v>27.057416267942578</v>
      </c>
      <c r="J30" s="560">
        <f>Recap!BE36</f>
        <v>52.727272727272727</v>
      </c>
      <c r="K30" s="560"/>
      <c r="L30" s="560"/>
      <c r="M30" s="560"/>
      <c r="N30" s="560">
        <f>Recap!BJ36</f>
        <v>0</v>
      </c>
      <c r="O30" s="560">
        <f>Recap!BK36</f>
        <v>0</v>
      </c>
      <c r="P30" s="560">
        <f>Recap!BL36</f>
        <v>0</v>
      </c>
      <c r="Q30" s="560"/>
      <c r="R30" s="560"/>
      <c r="S30" s="560"/>
      <c r="T30" s="560">
        <f>Recap!BN36</f>
        <v>0</v>
      </c>
      <c r="U30" s="560">
        <f>Recap!BO36</f>
        <v>0</v>
      </c>
      <c r="V30" s="560">
        <f>Recap!BP36</f>
        <v>0</v>
      </c>
      <c r="W30" s="560"/>
      <c r="X30" s="560"/>
      <c r="Y30" s="560"/>
      <c r="Z30" s="266" t="str">
        <f>Recap!AW36</f>
        <v>N</v>
      </c>
      <c r="AA30" s="513"/>
      <c r="AN30" s="506"/>
      <c r="AO30" s="506"/>
      <c r="AQ30" s="1009" t="s">
        <v>956</v>
      </c>
      <c r="AS30" s="769" t="s">
        <v>840</v>
      </c>
    </row>
    <row r="31" spans="1:45" ht="15.75" customHeight="1" thickBot="1">
      <c r="A31" s="100" t="str">
        <f>Recap!D37</f>
        <v>Emb_1</v>
      </c>
      <c r="B31" s="561">
        <f>Recap!AY37</f>
        <v>15</v>
      </c>
      <c r="C31" s="561">
        <f>Recap!AZ37</f>
        <v>11.25</v>
      </c>
      <c r="D31" s="561">
        <f>Recap!BA37</f>
        <v>20</v>
      </c>
      <c r="E31" s="561"/>
      <c r="F31" s="561"/>
      <c r="G31" s="561"/>
      <c r="H31" s="561">
        <f>Recap!BC37</f>
        <v>15</v>
      </c>
      <c r="I31" s="561">
        <f>Recap!BD37</f>
        <v>11.25</v>
      </c>
      <c r="J31" s="561">
        <f>Recap!BE37</f>
        <v>20</v>
      </c>
      <c r="K31" s="561"/>
      <c r="L31" s="561"/>
      <c r="M31" s="561"/>
      <c r="N31" s="561">
        <f>Recap!BJ37</f>
        <v>0</v>
      </c>
      <c r="O31" s="561">
        <f>Recap!BK37</f>
        <v>0</v>
      </c>
      <c r="P31" s="561">
        <f>Recap!BL37</f>
        <v>0</v>
      </c>
      <c r="Q31" s="561"/>
      <c r="R31" s="561"/>
      <c r="S31" s="561"/>
      <c r="T31" s="561">
        <f>Recap!BN37</f>
        <v>0</v>
      </c>
      <c r="U31" s="561">
        <f>Recap!BO37</f>
        <v>0</v>
      </c>
      <c r="V31" s="561">
        <f>Recap!BP37</f>
        <v>0</v>
      </c>
      <c r="W31" s="561"/>
      <c r="X31" s="561"/>
      <c r="Y31" s="561"/>
      <c r="Z31" s="268" t="str">
        <f>Recap!AW37</f>
        <v>Y</v>
      </c>
      <c r="AA31" s="515"/>
      <c r="AN31" s="506"/>
      <c r="AO31" s="506"/>
      <c r="AQ31" s="1010" t="s">
        <v>957</v>
      </c>
      <c r="AS31" s="770" t="s">
        <v>841</v>
      </c>
    </row>
    <row r="32" spans="1:45">
      <c r="A32" s="92" t="str">
        <f>Recap!D38</f>
        <v>USDA_1</v>
      </c>
      <c r="B32" s="557">
        <f>Recap!AY38</f>
        <v>0</v>
      </c>
      <c r="C32" s="557">
        <f>Recap!AZ38</f>
        <v>0</v>
      </c>
      <c r="D32" s="557">
        <f>Recap!BA38</f>
        <v>0</v>
      </c>
      <c r="E32" s="1068"/>
      <c r="F32" s="1068"/>
      <c r="G32" s="1068"/>
      <c r="H32" s="557">
        <f>Recap!BC38</f>
        <v>0</v>
      </c>
      <c r="I32" s="557">
        <f>Recap!BD38</f>
        <v>0</v>
      </c>
      <c r="J32" s="557">
        <f>Recap!BE38</f>
        <v>0</v>
      </c>
      <c r="K32" s="1068"/>
      <c r="L32" s="1068"/>
      <c r="M32" s="1068"/>
      <c r="N32" s="557">
        <f>Recap!BJ38</f>
        <v>0</v>
      </c>
      <c r="O32" s="557">
        <f>Recap!BK38</f>
        <v>0</v>
      </c>
      <c r="P32" s="557">
        <f>Recap!BL38</f>
        <v>0</v>
      </c>
      <c r="Q32" s="557"/>
      <c r="R32" s="557"/>
      <c r="S32" s="557"/>
      <c r="T32" s="557">
        <f>Recap!BN38</f>
        <v>0</v>
      </c>
      <c r="U32" s="557">
        <f>Recap!BO38</f>
        <v>0</v>
      </c>
      <c r="V32" s="557">
        <f>Recap!BP38</f>
        <v>0</v>
      </c>
      <c r="W32" s="557"/>
      <c r="X32" s="557"/>
      <c r="Y32" s="557"/>
      <c r="Z32" s="263" t="str">
        <f>Recap!AW38</f>
        <v>Y</v>
      </c>
      <c r="AA32" s="508"/>
      <c r="AN32" s="506" t="s">
        <v>804</v>
      </c>
      <c r="AO32" s="506" t="s">
        <v>804</v>
      </c>
      <c r="AP32" t="s">
        <v>599</v>
      </c>
      <c r="AQ32" s="992"/>
      <c r="AR32" s="506"/>
      <c r="AS32" s="771" t="s">
        <v>842</v>
      </c>
    </row>
    <row r="33" spans="1:45">
      <c r="A33" s="509" t="str">
        <f>Recap!D39</f>
        <v>USDA_2</v>
      </c>
      <c r="B33" s="559">
        <f>Recap!AY39</f>
        <v>0</v>
      </c>
      <c r="C33" s="559">
        <f>Recap!AZ39</f>
        <v>0</v>
      </c>
      <c r="D33" s="559">
        <f>Recap!BA39</f>
        <v>0</v>
      </c>
      <c r="E33" s="636"/>
      <c r="F33" s="636"/>
      <c r="G33" s="636"/>
      <c r="H33" s="559">
        <f>Recap!BC39</f>
        <v>23</v>
      </c>
      <c r="I33" s="559">
        <f>Recap!BD39</f>
        <v>23</v>
      </c>
      <c r="J33" s="559">
        <f>Recap!BE39</f>
        <v>23</v>
      </c>
      <c r="K33" s="640"/>
      <c r="L33" s="640"/>
      <c r="M33" s="640"/>
      <c r="N33" s="559">
        <f>Recap!BJ39</f>
        <v>0</v>
      </c>
      <c r="O33" s="559">
        <f>Recap!BK39</f>
        <v>0</v>
      </c>
      <c r="P33" s="559">
        <f>Recap!BL39</f>
        <v>0</v>
      </c>
      <c r="Q33" s="559"/>
      <c r="R33" s="559"/>
      <c r="S33" s="559"/>
      <c r="T33" s="559">
        <f>Recap!BN39</f>
        <v>0</v>
      </c>
      <c r="U33" s="559">
        <f>Recap!BO39</f>
        <v>0</v>
      </c>
      <c r="V33" s="559">
        <f>Recap!BP39</f>
        <v>0</v>
      </c>
      <c r="W33" s="559"/>
      <c r="X33" s="559"/>
      <c r="Y33" s="559"/>
      <c r="Z33" s="265" t="str">
        <f>Recap!AW39</f>
        <v>Y</v>
      </c>
      <c r="AA33" s="510"/>
      <c r="AN33" s="506"/>
      <c r="AO33" s="506"/>
      <c r="AQ33" s="1011" t="s">
        <v>958</v>
      </c>
      <c r="AS33" s="772" t="s">
        <v>843</v>
      </c>
    </row>
    <row r="34" spans="1:45">
      <c r="A34" s="509" t="str">
        <f>Recap!D40</f>
        <v>USDA_3</v>
      </c>
      <c r="B34" s="559">
        <f>Recap!AY40</f>
        <v>32.666666666666664</v>
      </c>
      <c r="C34" s="559">
        <f>Recap!AZ40</f>
        <v>23</v>
      </c>
      <c r="D34" s="559">
        <f>Recap!BA40</f>
        <v>50</v>
      </c>
      <c r="E34" s="640"/>
      <c r="F34" s="640"/>
      <c r="G34" s="640"/>
      <c r="H34" s="559">
        <f>Recap!BC40</f>
        <v>0</v>
      </c>
      <c r="I34" s="559">
        <f>Recap!BD40</f>
        <v>0</v>
      </c>
      <c r="J34" s="559">
        <f>Recap!BE40</f>
        <v>0</v>
      </c>
      <c r="K34" s="636"/>
      <c r="L34" s="636"/>
      <c r="M34" s="636"/>
      <c r="N34" s="559">
        <f>Recap!BJ40</f>
        <v>0</v>
      </c>
      <c r="O34" s="559">
        <f>Recap!BK40</f>
        <v>0</v>
      </c>
      <c r="P34" s="559">
        <f>Recap!BL40</f>
        <v>0</v>
      </c>
      <c r="Q34" s="559"/>
      <c r="R34" s="559"/>
      <c r="S34" s="559"/>
      <c r="T34" s="559">
        <f>Recap!BN40</f>
        <v>0</v>
      </c>
      <c r="U34" s="559">
        <f>Recap!BO40</f>
        <v>0</v>
      </c>
      <c r="V34" s="559">
        <f>Recap!BP40</f>
        <v>0</v>
      </c>
      <c r="W34" s="559"/>
      <c r="X34" s="559"/>
      <c r="Y34" s="559"/>
      <c r="Z34" s="265" t="str">
        <f>Recap!AW40</f>
        <v>Y</v>
      </c>
      <c r="AA34" s="510"/>
      <c r="AN34" s="506" t="s">
        <v>795</v>
      </c>
      <c r="AO34" s="506"/>
      <c r="AP34" s="756"/>
      <c r="AQ34" s="1012" t="s">
        <v>959</v>
      </c>
      <c r="AR34" s="506" t="s">
        <v>875</v>
      </c>
      <c r="AS34" s="773" t="s">
        <v>844</v>
      </c>
    </row>
    <row r="35" spans="1:45">
      <c r="A35" s="509" t="str">
        <f>Recap!D41</f>
        <v>USDA_4</v>
      </c>
      <c r="B35" s="559">
        <f>Recap!AY41</f>
        <v>0.5</v>
      </c>
      <c r="C35" s="559">
        <f>Recap!AZ41</f>
        <v>0</v>
      </c>
      <c r="D35" s="559">
        <f>Recap!BA41</f>
        <v>0</v>
      </c>
      <c r="E35" s="636"/>
      <c r="F35" s="636"/>
      <c r="G35" s="636"/>
      <c r="H35" s="559">
        <f>Recap!BC41</f>
        <v>0.5</v>
      </c>
      <c r="I35" s="559">
        <f>Recap!BD41</f>
        <v>0</v>
      </c>
      <c r="J35" s="559">
        <f>Recap!BE41</f>
        <v>0</v>
      </c>
      <c r="K35" s="636"/>
      <c r="L35" s="636"/>
      <c r="M35" s="636"/>
      <c r="N35" s="559">
        <f>Recap!BJ41</f>
        <v>0</v>
      </c>
      <c r="O35" s="559">
        <f>Recap!BK41</f>
        <v>0</v>
      </c>
      <c r="P35" s="559">
        <f>Recap!BL41</f>
        <v>0</v>
      </c>
      <c r="Q35" s="559"/>
      <c r="R35" s="559"/>
      <c r="S35" s="559"/>
      <c r="T35" s="559">
        <f>Recap!BN41</f>
        <v>0</v>
      </c>
      <c r="U35" s="559">
        <f>Recap!BO41</f>
        <v>0</v>
      </c>
      <c r="V35" s="559">
        <f>Recap!BP41</f>
        <v>0</v>
      </c>
      <c r="W35" s="559"/>
      <c r="X35" s="559"/>
      <c r="Y35" s="559"/>
      <c r="Z35" s="265" t="str">
        <f>Recap!AW41</f>
        <v>Y</v>
      </c>
      <c r="AA35" s="510"/>
      <c r="AN35" s="506"/>
      <c r="AO35" s="506"/>
      <c r="AQ35" s="1013" t="s">
        <v>960</v>
      </c>
      <c r="AS35" s="774" t="s">
        <v>845</v>
      </c>
    </row>
    <row r="36" spans="1:45" ht="15.75" customHeight="1" thickBot="1">
      <c r="A36" s="511" t="str">
        <f>Recap!D42</f>
        <v>USDA_5</v>
      </c>
      <c r="B36" s="560">
        <f>Recap!AY42</f>
        <v>1</v>
      </c>
      <c r="C36" s="560">
        <f>Recap!AZ42</f>
        <v>0.1</v>
      </c>
      <c r="D36" s="560">
        <f>Recap!BA42</f>
        <v>12</v>
      </c>
      <c r="E36" s="642"/>
      <c r="F36" s="1067"/>
      <c r="G36" s="642"/>
      <c r="H36" s="560">
        <f>Recap!BC42</f>
        <v>1</v>
      </c>
      <c r="I36" s="560">
        <f>Recap!BD42</f>
        <v>0.1</v>
      </c>
      <c r="J36" s="560">
        <f>Recap!BE42</f>
        <v>10</v>
      </c>
      <c r="K36" s="642"/>
      <c r="L36" s="642"/>
      <c r="M36" s="642"/>
      <c r="N36" s="560">
        <f>Recap!BJ42</f>
        <v>0</v>
      </c>
      <c r="O36" s="560">
        <f>Recap!BK42</f>
        <v>0</v>
      </c>
      <c r="P36" s="560">
        <f>Recap!BL42</f>
        <v>0</v>
      </c>
      <c r="Q36" s="560"/>
      <c r="R36" s="560"/>
      <c r="S36" s="560"/>
      <c r="T36" s="560">
        <f>Recap!BN42</f>
        <v>0</v>
      </c>
      <c r="U36" s="560">
        <f>Recap!BO42</f>
        <v>0</v>
      </c>
      <c r="V36" s="560">
        <f>Recap!BP42</f>
        <v>0</v>
      </c>
      <c r="W36" s="560"/>
      <c r="X36" s="560"/>
      <c r="Y36" s="560"/>
      <c r="Z36" s="266" t="str">
        <f>Recap!AW42</f>
        <v>Y</v>
      </c>
      <c r="AA36" s="513"/>
      <c r="AN36" s="506"/>
      <c r="AO36" s="506"/>
      <c r="AQ36" s="1014" t="s">
        <v>961</v>
      </c>
      <c r="AS36" s="775" t="s">
        <v>846</v>
      </c>
    </row>
    <row r="37" spans="1:45">
      <c r="A37" s="92" t="str">
        <f>Recap!D43</f>
        <v>Epernon_1</v>
      </c>
      <c r="B37" s="557">
        <f>Recap!AY43</f>
        <v>0</v>
      </c>
      <c r="C37" s="557">
        <f>Recap!AZ43</f>
        <v>0</v>
      </c>
      <c r="D37" s="557">
        <f>Recap!BA43</f>
        <v>0</v>
      </c>
      <c r="E37" s="558"/>
      <c r="F37" s="558"/>
      <c r="G37" s="558"/>
      <c r="H37" s="557">
        <f>Recap!BC43</f>
        <v>49.5</v>
      </c>
      <c r="I37" s="557">
        <f>Recap!BD43</f>
        <v>49.5</v>
      </c>
      <c r="J37" s="557">
        <f>Recap!BE43</f>
        <v>49.5</v>
      </c>
      <c r="K37" s="557"/>
      <c r="L37" s="557"/>
      <c r="M37" s="557"/>
      <c r="N37" s="557">
        <f>Recap!BJ43</f>
        <v>0</v>
      </c>
      <c r="O37" s="557">
        <f>Recap!BK43</f>
        <v>0</v>
      </c>
      <c r="P37" s="557">
        <f>Recap!BL43</f>
        <v>0</v>
      </c>
      <c r="Q37" s="557"/>
      <c r="R37" s="557"/>
      <c r="S37" s="557"/>
      <c r="T37" s="557">
        <f>Recap!BN43</f>
        <v>0</v>
      </c>
      <c r="U37" s="557">
        <f>Recap!BO43</f>
        <v>0</v>
      </c>
      <c r="V37" s="557">
        <f>Recap!BP43</f>
        <v>0</v>
      </c>
      <c r="W37" s="557"/>
      <c r="X37" s="557"/>
      <c r="Y37" s="557"/>
      <c r="Z37" s="263" t="str">
        <f>Recap!AW43</f>
        <v>Y</v>
      </c>
      <c r="AA37" s="508"/>
      <c r="AN37" s="506" t="s">
        <v>795</v>
      </c>
      <c r="AO37" s="506"/>
      <c r="AP37" s="756"/>
      <c r="AQ37" s="1015" t="s">
        <v>962</v>
      </c>
      <c r="AR37" s="506" t="s">
        <v>875</v>
      </c>
      <c r="AS37" s="776" t="s">
        <v>847</v>
      </c>
    </row>
    <row r="38" spans="1:45">
      <c r="A38" s="509" t="str">
        <f>Recap!D44</f>
        <v>Epernon_2</v>
      </c>
      <c r="B38" s="559">
        <f>Recap!AY44</f>
        <v>0</v>
      </c>
      <c r="C38" s="559">
        <f>Recap!AZ44</f>
        <v>0</v>
      </c>
      <c r="D38" s="559">
        <f>Recap!BA44</f>
        <v>0</v>
      </c>
      <c r="E38" s="563"/>
      <c r="F38" s="563"/>
      <c r="G38" s="563"/>
      <c r="H38" s="559">
        <f>Recap!BC44</f>
        <v>82.5</v>
      </c>
      <c r="I38" s="559">
        <f>Recap!BD44</f>
        <v>82.5</v>
      </c>
      <c r="J38" s="559">
        <f>Recap!BE44</f>
        <v>82.5</v>
      </c>
      <c r="K38" s="559"/>
      <c r="L38" s="559"/>
      <c r="M38" s="559"/>
      <c r="N38" s="559">
        <f>Recap!BJ44</f>
        <v>0</v>
      </c>
      <c r="O38" s="559">
        <f>Recap!BK44</f>
        <v>0</v>
      </c>
      <c r="P38" s="559">
        <f>Recap!BL44</f>
        <v>0</v>
      </c>
      <c r="Q38" s="559"/>
      <c r="R38" s="559"/>
      <c r="S38" s="559"/>
      <c r="T38" s="559">
        <f>Recap!BN44</f>
        <v>0</v>
      </c>
      <c r="U38" s="559">
        <f>Recap!BO44</f>
        <v>0</v>
      </c>
      <c r="V38" s="559">
        <f>Recap!BP44</f>
        <v>0</v>
      </c>
      <c r="W38" s="559"/>
      <c r="X38" s="559"/>
      <c r="Y38" s="559"/>
      <c r="Z38" s="265" t="str">
        <f>Recap!AW44</f>
        <v>Y</v>
      </c>
      <c r="AA38" s="510"/>
      <c r="AN38" s="506" t="s">
        <v>795</v>
      </c>
      <c r="AO38" s="506"/>
      <c r="AP38" s="756"/>
      <c r="AQ38" s="1016" t="s">
        <v>963</v>
      </c>
      <c r="AR38" s="506" t="s">
        <v>875</v>
      </c>
      <c r="AS38" s="777" t="s">
        <v>848</v>
      </c>
    </row>
    <row r="39" spans="1:45" ht="15.75" customHeight="1" thickBot="1">
      <c r="A39" s="511" t="str">
        <f>Recap!D45</f>
        <v>Epernon_3</v>
      </c>
      <c r="B39" s="560">
        <f>Recap!AY45</f>
        <v>0</v>
      </c>
      <c r="C39" s="560">
        <f>Recap!AZ45</f>
        <v>0</v>
      </c>
      <c r="D39" s="560">
        <f>Recap!BA45</f>
        <v>0</v>
      </c>
      <c r="E39" s="564"/>
      <c r="F39" s="564"/>
      <c r="G39" s="564"/>
      <c r="H39" s="560">
        <f>Recap!BC45</f>
        <v>78</v>
      </c>
      <c r="I39" s="560">
        <f>Recap!BD45</f>
        <v>78</v>
      </c>
      <c r="J39" s="560">
        <f>Recap!BE45</f>
        <v>78</v>
      </c>
      <c r="K39" s="560"/>
      <c r="L39" s="560"/>
      <c r="M39" s="560"/>
      <c r="N39" s="560">
        <f>Recap!BJ45</f>
        <v>0</v>
      </c>
      <c r="O39" s="560">
        <f>Recap!BK45</f>
        <v>0</v>
      </c>
      <c r="P39" s="560">
        <f>Recap!BL45</f>
        <v>0</v>
      </c>
      <c r="Q39" s="560"/>
      <c r="R39" s="560"/>
      <c r="S39" s="560"/>
      <c r="T39" s="560">
        <f>Recap!BN45</f>
        <v>0</v>
      </c>
      <c r="U39" s="560">
        <f>Recap!BO45</f>
        <v>0</v>
      </c>
      <c r="V39" s="560">
        <f>Recap!BP45</f>
        <v>0</v>
      </c>
      <c r="W39" s="560"/>
      <c r="X39" s="560"/>
      <c r="Y39" s="560"/>
      <c r="Z39" s="266" t="str">
        <f>Recap!AW45</f>
        <v>N</v>
      </c>
      <c r="AA39" s="513"/>
      <c r="AB39" s="261"/>
      <c r="AN39" s="506" t="s">
        <v>795</v>
      </c>
      <c r="AO39" s="506"/>
      <c r="AQ39" s="1017" t="s">
        <v>964</v>
      </c>
      <c r="AR39" s="506" t="s">
        <v>875</v>
      </c>
      <c r="AS39" s="778" t="s">
        <v>849</v>
      </c>
    </row>
    <row r="40" spans="1:45">
      <c r="A40" s="92" t="str">
        <f>Recap!D46</f>
        <v>NRCC_LS_1</v>
      </c>
      <c r="B40" s="557">
        <f>Recap!AY46</f>
        <v>25</v>
      </c>
      <c r="C40" s="557">
        <f>Recap!AZ46</f>
        <v>25</v>
      </c>
      <c r="D40" s="557">
        <f>Recap!BA46</f>
        <v>25</v>
      </c>
      <c r="E40" s="557"/>
      <c r="F40" s="557"/>
      <c r="G40" s="557"/>
      <c r="H40" s="557">
        <f>Recap!BC46</f>
        <v>25</v>
      </c>
      <c r="I40" s="557">
        <f>Recap!BD46</f>
        <v>25</v>
      </c>
      <c r="J40" s="557">
        <f>Recap!BE46</f>
        <v>25</v>
      </c>
      <c r="K40" s="557"/>
      <c r="L40" s="557"/>
      <c r="M40" s="557"/>
      <c r="N40" s="557">
        <f>Recap!BJ46</f>
        <v>0</v>
      </c>
      <c r="O40" s="557">
        <f>Recap!BK46</f>
        <v>0</v>
      </c>
      <c r="P40" s="557">
        <f>Recap!BL46</f>
        <v>0</v>
      </c>
      <c r="Q40" s="557"/>
      <c r="R40" s="557"/>
      <c r="S40" s="557"/>
      <c r="T40" s="557">
        <f>Recap!BN46</f>
        <v>0</v>
      </c>
      <c r="U40" s="557">
        <f>Recap!BO46</f>
        <v>0</v>
      </c>
      <c r="V40" s="557">
        <f>Recap!BP46</f>
        <v>0</v>
      </c>
      <c r="W40" s="557"/>
      <c r="X40" s="557"/>
      <c r="Y40" s="557"/>
      <c r="Z40" s="263" t="str">
        <f>Recap!AW46</f>
        <v>Y</v>
      </c>
      <c r="AA40" s="508"/>
      <c r="AN40" s="506"/>
      <c r="AO40" s="506"/>
      <c r="AQ40" s="1018" t="s">
        <v>965</v>
      </c>
      <c r="AS40" s="779" t="s">
        <v>850</v>
      </c>
    </row>
    <row r="41" spans="1:45">
      <c r="A41" s="509" t="str">
        <f>Recap!D47</f>
        <v>NRCC_LS_2</v>
      </c>
      <c r="B41" s="559">
        <f>Recap!AY47</f>
        <v>0</v>
      </c>
      <c r="C41" s="559">
        <f>Recap!AZ47</f>
        <v>0</v>
      </c>
      <c r="D41" s="559">
        <f>Recap!BA47</f>
        <v>0</v>
      </c>
      <c r="E41" s="563"/>
      <c r="F41" s="563"/>
      <c r="G41" s="563"/>
      <c r="H41" s="559">
        <f>Recap!BC47</f>
        <v>40.142857142857146</v>
      </c>
      <c r="I41" s="559">
        <f>Recap!BD47</f>
        <v>28</v>
      </c>
      <c r="J41" s="559">
        <f>Recap!BE47</f>
        <v>48</v>
      </c>
      <c r="K41" s="559"/>
      <c r="L41" s="559"/>
      <c r="M41" s="559"/>
      <c r="N41" s="559">
        <f>Recap!BJ47</f>
        <v>64.25</v>
      </c>
      <c r="O41" s="559">
        <f>Recap!BK47</f>
        <v>25</v>
      </c>
      <c r="P41" s="559">
        <f>Recap!BL47</f>
        <v>90</v>
      </c>
      <c r="Q41" s="559"/>
      <c r="R41" s="559"/>
      <c r="S41" s="559"/>
      <c r="T41" s="559">
        <f>Recap!BN47</f>
        <v>60.75</v>
      </c>
      <c r="U41" s="559">
        <f>Recap!BO47</f>
        <v>35</v>
      </c>
      <c r="V41" s="559">
        <f>Recap!BP47</f>
        <v>95</v>
      </c>
      <c r="W41" s="559"/>
      <c r="X41" s="559"/>
      <c r="Y41" s="559"/>
      <c r="Z41" s="51" t="str">
        <f>Recap!AW47</f>
        <v>Y</v>
      </c>
      <c r="AA41" s="510"/>
      <c r="AN41" s="506" t="s">
        <v>808</v>
      </c>
      <c r="AO41" s="506"/>
      <c r="AQ41" s="1019" t="s">
        <v>966</v>
      </c>
      <c r="AR41" s="506" t="s">
        <v>875</v>
      </c>
      <c r="AS41" s="780" t="s">
        <v>851</v>
      </c>
    </row>
    <row r="42" spans="1:45">
      <c r="A42" s="509" t="str">
        <f>Recap!D48</f>
        <v>NRCC_LS_3</v>
      </c>
      <c r="B42" s="559">
        <f>Recap!AY48</f>
        <v>1</v>
      </c>
      <c r="C42" s="559">
        <f>Recap!AZ48</f>
        <v>0.1</v>
      </c>
      <c r="D42" s="559">
        <f>Recap!BA48</f>
        <v>5</v>
      </c>
      <c r="E42" s="559"/>
      <c r="F42" s="559"/>
      <c r="G42" s="559"/>
      <c r="H42" s="559">
        <f>Recap!BC48</f>
        <v>1</v>
      </c>
      <c r="I42" s="559">
        <f>Recap!BD48</f>
        <v>0.1</v>
      </c>
      <c r="J42" s="559">
        <f>Recap!BE48</f>
        <v>2</v>
      </c>
      <c r="K42" s="559"/>
      <c r="L42" s="559"/>
      <c r="M42" s="559"/>
      <c r="N42" s="559">
        <f>Recap!BJ48</f>
        <v>0</v>
      </c>
      <c r="O42" s="559">
        <f>Recap!BK48</f>
        <v>0</v>
      </c>
      <c r="P42" s="559">
        <f>Recap!BL48</f>
        <v>0</v>
      </c>
      <c r="Q42" s="559"/>
      <c r="R42" s="559"/>
      <c r="S42" s="559"/>
      <c r="T42" s="559">
        <f>Recap!BN48</f>
        <v>0</v>
      </c>
      <c r="U42" s="559">
        <f>Recap!BO48</f>
        <v>0</v>
      </c>
      <c r="V42" s="559">
        <f>Recap!BP48</f>
        <v>0</v>
      </c>
      <c r="W42" s="559"/>
      <c r="X42" s="559"/>
      <c r="Y42" s="559"/>
      <c r="Z42" s="265" t="str">
        <f>Recap!AW48</f>
        <v>Y</v>
      </c>
      <c r="AA42" s="510"/>
      <c r="AN42" s="506"/>
      <c r="AO42" s="506"/>
      <c r="AP42" s="756"/>
      <c r="AQ42" s="1020" t="s">
        <v>967</v>
      </c>
      <c r="AS42" s="781" t="s">
        <v>852</v>
      </c>
    </row>
    <row r="43" spans="1:45" ht="15.75" thickBot="1">
      <c r="A43" s="509" t="str">
        <f>Recap!D49</f>
        <v>NRCC_LS_4</v>
      </c>
      <c r="B43" s="559">
        <f>Recap!AY49</f>
        <v>0</v>
      </c>
      <c r="C43" s="559">
        <f>Recap!AZ49</f>
        <v>0</v>
      </c>
      <c r="D43" s="559">
        <f>Recap!BA49</f>
        <v>0</v>
      </c>
      <c r="E43" s="559"/>
      <c r="F43" s="559"/>
      <c r="G43" s="559"/>
      <c r="H43" s="559">
        <f>Recap!BC49</f>
        <v>70.416666666666671</v>
      </c>
      <c r="I43" s="559">
        <f>Recap!BD49</f>
        <v>53</v>
      </c>
      <c r="J43" s="559">
        <f>Recap!BE49</f>
        <v>89</v>
      </c>
      <c r="K43" s="559"/>
      <c r="L43" s="559"/>
      <c r="M43" s="559"/>
      <c r="N43" s="559">
        <f>Recap!BJ49</f>
        <v>47.03125</v>
      </c>
      <c r="O43" s="559">
        <f>Recap!BK49</f>
        <v>26</v>
      </c>
      <c r="P43" s="559">
        <f>Recap!BL49</f>
        <v>68</v>
      </c>
      <c r="Q43" s="559"/>
      <c r="R43" s="559"/>
      <c r="S43" s="559"/>
      <c r="T43" s="559">
        <f>Recap!BN49</f>
        <v>64.4375</v>
      </c>
      <c r="U43" s="559">
        <f>Recap!BO49</f>
        <v>22</v>
      </c>
      <c r="V43" s="559">
        <f>Recap!BP49</f>
        <v>135</v>
      </c>
      <c r="W43" s="559"/>
      <c r="X43" s="559"/>
      <c r="Y43" s="559"/>
      <c r="Z43" s="265" t="str">
        <f>Recap!AW49</f>
        <v>N</v>
      </c>
      <c r="AA43" s="510"/>
      <c r="AN43" s="506"/>
      <c r="AO43" s="506"/>
      <c r="AP43" s="756"/>
      <c r="AQ43" s="1021" t="s">
        <v>968</v>
      </c>
      <c r="AS43" s="782" t="s">
        <v>853</v>
      </c>
    </row>
    <row r="44" spans="1:45">
      <c r="A44" s="92" t="str">
        <f>Recap!D51</f>
        <v>RISE_1</v>
      </c>
      <c r="B44" s="557">
        <f>Recap!AY51</f>
        <v>0</v>
      </c>
      <c r="C44" s="557">
        <f>Recap!AZ51</f>
        <v>0</v>
      </c>
      <c r="D44" s="557">
        <f>Recap!BA51</f>
        <v>0</v>
      </c>
      <c r="E44" s="558"/>
      <c r="F44" s="558"/>
      <c r="G44" s="558"/>
      <c r="H44" s="557">
        <f>Recap!BC51</f>
        <v>35.333333333333336</v>
      </c>
      <c r="I44" s="557">
        <f>Recap!BD51</f>
        <v>25</v>
      </c>
      <c r="J44" s="557">
        <f>Recap!BE51</f>
        <v>45</v>
      </c>
      <c r="K44" s="557"/>
      <c r="L44" s="557"/>
      <c r="M44" s="557"/>
      <c r="N44" s="557">
        <f>Recap!BJ51</f>
        <v>32</v>
      </c>
      <c r="O44" s="557">
        <f>Recap!BK51</f>
        <v>0.1</v>
      </c>
      <c r="P44" s="557">
        <f>Recap!BL51</f>
        <v>65</v>
      </c>
      <c r="Q44" s="557"/>
      <c r="R44" s="557"/>
      <c r="S44" s="557"/>
      <c r="T44" s="557">
        <f>Recap!BN51</f>
        <v>0</v>
      </c>
      <c r="U44" s="557">
        <f>Recap!BO51</f>
        <v>0</v>
      </c>
      <c r="V44" s="557">
        <f>Recap!BP51</f>
        <v>0</v>
      </c>
      <c r="W44" s="557"/>
      <c r="X44" s="557"/>
      <c r="Y44" s="557"/>
      <c r="Z44" s="263" t="str">
        <f>Recap!AW51</f>
        <v>Y</v>
      </c>
      <c r="AA44" s="508"/>
      <c r="AN44" s="506"/>
      <c r="AO44" s="506"/>
      <c r="AQ44" s="1022" t="s">
        <v>969</v>
      </c>
      <c r="AS44" s="783" t="s">
        <v>854</v>
      </c>
    </row>
    <row r="45" spans="1:45">
      <c r="A45" s="509" t="str">
        <f>Recap!D52</f>
        <v>RISE_2</v>
      </c>
      <c r="B45" s="559">
        <f>Recap!AY52</f>
        <v>60.708333333333336</v>
      </c>
      <c r="C45" s="559">
        <f>Recap!AZ52</f>
        <v>36</v>
      </c>
      <c r="D45" s="559">
        <f>Recap!BA52</f>
        <v>86</v>
      </c>
      <c r="E45" s="559"/>
      <c r="F45" s="559"/>
      <c r="G45" s="559"/>
      <c r="H45" s="559">
        <f>Recap!BC52</f>
        <v>43.125</v>
      </c>
      <c r="I45" s="559">
        <f>Recap!BD52</f>
        <v>33</v>
      </c>
      <c r="J45" s="559">
        <f>Recap!BE52</f>
        <v>57</v>
      </c>
      <c r="K45" s="559"/>
      <c r="L45" s="559"/>
      <c r="M45" s="559"/>
      <c r="N45" s="559">
        <f>Recap!BJ52</f>
        <v>56</v>
      </c>
      <c r="O45" s="559">
        <f>Recap!BK52</f>
        <v>20</v>
      </c>
      <c r="P45" s="559">
        <f>Recap!BL52</f>
        <v>80</v>
      </c>
      <c r="Q45" s="559"/>
      <c r="R45" s="559"/>
      <c r="S45" s="559"/>
      <c r="T45" s="559">
        <f>Recap!BN52</f>
        <v>0</v>
      </c>
      <c r="U45" s="559">
        <f>Recap!BO52</f>
        <v>0</v>
      </c>
      <c r="V45" s="559">
        <f>Recap!BP52</f>
        <v>0</v>
      </c>
      <c r="W45" s="559"/>
      <c r="X45" s="559"/>
      <c r="Y45" s="559"/>
      <c r="Z45" s="51" t="str">
        <f>Recap!AW52</f>
        <v>Y</v>
      </c>
      <c r="AA45" s="510"/>
      <c r="AN45" s="506"/>
      <c r="AO45" s="506"/>
      <c r="AQ45" s="1023" t="s">
        <v>970</v>
      </c>
      <c r="AS45" s="784" t="s">
        <v>855</v>
      </c>
    </row>
    <row r="46" spans="1:45">
      <c r="A46" s="509" t="str">
        <f>Recap!D53</f>
        <v>RISE_3</v>
      </c>
      <c r="B46" s="559">
        <f>Recap!AY53</f>
        <v>69.875</v>
      </c>
      <c r="C46" s="559">
        <f>Recap!AZ53</f>
        <v>35</v>
      </c>
      <c r="D46" s="559">
        <f>Recap!BA53</f>
        <v>104</v>
      </c>
      <c r="E46" s="559"/>
      <c r="F46" s="559"/>
      <c r="G46" s="559"/>
      <c r="H46" s="559">
        <f>Recap!BC53</f>
        <v>46.5625</v>
      </c>
      <c r="I46" s="559">
        <f>Recap!BD53</f>
        <v>40</v>
      </c>
      <c r="J46" s="559">
        <f>Recap!BE53</f>
        <v>58</v>
      </c>
      <c r="K46" s="559"/>
      <c r="L46" s="559"/>
      <c r="M46" s="559"/>
      <c r="N46" s="559">
        <f>Recap!BJ53</f>
        <v>56</v>
      </c>
      <c r="O46" s="559">
        <f>Recap!BK53</f>
        <v>25</v>
      </c>
      <c r="P46" s="559">
        <f>Recap!BL53</f>
        <v>80</v>
      </c>
      <c r="Q46" s="559"/>
      <c r="R46" s="559"/>
      <c r="S46" s="559"/>
      <c r="T46" s="559">
        <f>Recap!BN53</f>
        <v>56</v>
      </c>
      <c r="U46" s="559">
        <f>Recap!BO53</f>
        <v>25</v>
      </c>
      <c r="V46" s="559">
        <f>Recap!BP53</f>
        <v>80</v>
      </c>
      <c r="W46" s="559"/>
      <c r="X46" s="559"/>
      <c r="Y46" s="559"/>
      <c r="Z46" s="265" t="str">
        <f>Recap!AW53</f>
        <v>N</v>
      </c>
      <c r="AA46" s="510"/>
      <c r="AN46" s="506" t="s">
        <v>1062</v>
      </c>
      <c r="AO46" s="506"/>
      <c r="AQ46" s="1024" t="s">
        <v>971</v>
      </c>
      <c r="AS46" s="785" t="s">
        <v>856</v>
      </c>
    </row>
    <row r="47" spans="1:45">
      <c r="A47" s="509" t="str">
        <f>Recap!D54</f>
        <v>RISE_4</v>
      </c>
      <c r="B47" s="559">
        <f>Recap!AY54</f>
        <v>47.903846153846153</v>
      </c>
      <c r="C47" s="559">
        <f>Recap!AZ54</f>
        <v>28</v>
      </c>
      <c r="D47" s="559">
        <f>Recap!BA54</f>
        <v>104</v>
      </c>
      <c r="E47" s="559"/>
      <c r="F47" s="559"/>
      <c r="G47" s="559"/>
      <c r="H47" s="559">
        <f>Recap!BC54</f>
        <v>27.8125</v>
      </c>
      <c r="I47" s="559">
        <f>Recap!BD54</f>
        <v>13</v>
      </c>
      <c r="J47" s="559">
        <f>Recap!BE54</f>
        <v>45</v>
      </c>
      <c r="K47" s="559"/>
      <c r="L47" s="559"/>
      <c r="M47" s="559"/>
      <c r="N47" s="559">
        <f>Recap!BJ54</f>
        <v>37.333333333333336</v>
      </c>
      <c r="O47" s="559">
        <f>Recap!BK54</f>
        <v>16.666666666666668</v>
      </c>
      <c r="P47" s="559">
        <f>Recap!BL54</f>
        <v>53.333333333333336</v>
      </c>
      <c r="Q47" s="559"/>
      <c r="R47" s="559"/>
      <c r="S47" s="559"/>
      <c r="T47" s="559">
        <f>Recap!BN54</f>
        <v>37.333333333333336</v>
      </c>
      <c r="U47" s="559">
        <f>Recap!BO54</f>
        <v>16.666666666666668</v>
      </c>
      <c r="V47" s="559">
        <f>Recap!BP54</f>
        <v>53.333333333333336</v>
      </c>
      <c r="W47" s="559"/>
      <c r="X47" s="559"/>
      <c r="Y47" s="559"/>
      <c r="Z47" s="265" t="str">
        <f>Recap!AW54</f>
        <v>Y</v>
      </c>
      <c r="AA47" s="510"/>
      <c r="AN47" s="506" t="s">
        <v>809</v>
      </c>
      <c r="AO47" s="506" t="s">
        <v>809</v>
      </c>
      <c r="AP47" s="756"/>
      <c r="AQ47" s="1025" t="s">
        <v>972</v>
      </c>
      <c r="AR47" s="506" t="s">
        <v>875</v>
      </c>
      <c r="AS47" s="786" t="s">
        <v>857</v>
      </c>
    </row>
    <row r="48" spans="1:45" ht="15.75" customHeight="1" thickBot="1">
      <c r="A48" s="511" t="str">
        <f>Recap!D55</f>
        <v>RISE_5</v>
      </c>
      <c r="B48" s="560">
        <f>Recap!AY55</f>
        <v>65.425925925925924</v>
      </c>
      <c r="C48" s="560">
        <f>Recap!AZ55</f>
        <v>33</v>
      </c>
      <c r="D48" s="560">
        <f>Recap!BA55</f>
        <v>95</v>
      </c>
      <c r="E48" s="560"/>
      <c r="F48" s="560"/>
      <c r="G48" s="560"/>
      <c r="H48" s="560">
        <f>Recap!BC55</f>
        <v>50.3125</v>
      </c>
      <c r="I48" s="560">
        <f>Recap!BD55</f>
        <v>37</v>
      </c>
      <c r="J48" s="560">
        <f>Recap!BE55</f>
        <v>73</v>
      </c>
      <c r="K48" s="560"/>
      <c r="L48" s="560"/>
      <c r="M48" s="560"/>
      <c r="N48" s="560">
        <f>Recap!BJ55</f>
        <v>59</v>
      </c>
      <c r="O48" s="560">
        <f>Recap!BK55</f>
        <v>20</v>
      </c>
      <c r="P48" s="560">
        <f>Recap!BL55</f>
        <v>80</v>
      </c>
      <c r="Q48" s="560"/>
      <c r="R48" s="560"/>
      <c r="S48" s="560"/>
      <c r="T48" s="560">
        <f>Recap!BN55</f>
        <v>59</v>
      </c>
      <c r="U48" s="560">
        <f>Recap!BO55</f>
        <v>20</v>
      </c>
      <c r="V48" s="560">
        <f>Recap!BP55</f>
        <v>80</v>
      </c>
      <c r="W48" s="560"/>
      <c r="X48" s="560"/>
      <c r="Y48" s="560"/>
      <c r="Z48" s="6" t="str">
        <f>Recap!AW55</f>
        <v>Y</v>
      </c>
      <c r="AA48" s="513"/>
      <c r="AN48" s="506"/>
      <c r="AO48" s="506"/>
      <c r="AQ48" s="1026" t="s">
        <v>973</v>
      </c>
      <c r="AS48" s="787" t="s">
        <v>858</v>
      </c>
    </row>
    <row r="49" spans="1:45">
      <c r="A49" s="92" t="str">
        <f>Recap!D56</f>
        <v>CodeRed_1</v>
      </c>
      <c r="B49" s="557">
        <f>Recap!AY56</f>
        <v>0</v>
      </c>
      <c r="C49" s="557">
        <f>Recap!AZ56</f>
        <v>0</v>
      </c>
      <c r="D49" s="557">
        <f>Recap!BA56</f>
        <v>0</v>
      </c>
      <c r="E49" s="558"/>
      <c r="F49" s="558"/>
      <c r="G49" s="558"/>
      <c r="H49" s="557">
        <f>Recap!BC56</f>
        <v>25</v>
      </c>
      <c r="I49" s="557">
        <f>Recap!BD56</f>
        <v>18</v>
      </c>
      <c r="J49" s="557">
        <f>Recap!BE56</f>
        <v>31</v>
      </c>
      <c r="K49" s="557"/>
      <c r="L49" s="557"/>
      <c r="M49" s="557"/>
      <c r="N49" s="557">
        <f>Recap!BJ56</f>
        <v>0</v>
      </c>
      <c r="O49" s="557">
        <f>Recap!BK56</f>
        <v>0</v>
      </c>
      <c r="P49" s="557">
        <f>Recap!BL56</f>
        <v>0</v>
      </c>
      <c r="Q49" s="557"/>
      <c r="R49" s="557"/>
      <c r="S49" s="557"/>
      <c r="T49" s="557">
        <f>Recap!BN56</f>
        <v>30</v>
      </c>
      <c r="U49" s="557">
        <f>Recap!BO56</f>
        <v>5</v>
      </c>
      <c r="V49" s="557">
        <f>Recap!BP56</f>
        <v>60</v>
      </c>
      <c r="W49" s="557"/>
      <c r="X49" s="557"/>
      <c r="Y49" s="557"/>
      <c r="Z49" s="263" t="str">
        <f>Recap!AW56</f>
        <v>Y</v>
      </c>
      <c r="AA49" s="508"/>
      <c r="AN49" s="506"/>
      <c r="AO49" s="506"/>
      <c r="AQ49" s="1027" t="s">
        <v>974</v>
      </c>
      <c r="AS49" s="788" t="s">
        <v>859</v>
      </c>
    </row>
    <row r="50" spans="1:45" ht="15.75" customHeight="1" thickBot="1">
      <c r="A50" s="511" t="str">
        <f>Recap!D57</f>
        <v>CodeRed_2</v>
      </c>
      <c r="B50" s="560">
        <f>Recap!AY57</f>
        <v>0</v>
      </c>
      <c r="C50" s="560">
        <f>Recap!AZ57</f>
        <v>0</v>
      </c>
      <c r="D50" s="560">
        <f>Recap!BA57</f>
        <v>0</v>
      </c>
      <c r="E50" s="564"/>
      <c r="F50" s="564"/>
      <c r="G50" s="564"/>
      <c r="H50" s="560">
        <f>Recap!BC57</f>
        <v>27.8</v>
      </c>
      <c r="I50" s="560">
        <f>Recap!BD57</f>
        <v>25</v>
      </c>
      <c r="J50" s="560">
        <f>Recap!BE57</f>
        <v>30</v>
      </c>
      <c r="K50" s="560"/>
      <c r="L50" s="560"/>
      <c r="M50" s="560"/>
      <c r="N50" s="560">
        <f>Recap!BJ57</f>
        <v>0</v>
      </c>
      <c r="O50" s="560">
        <f>Recap!BK57</f>
        <v>0</v>
      </c>
      <c r="P50" s="560">
        <f>Recap!BL57</f>
        <v>0</v>
      </c>
      <c r="Q50" s="560"/>
      <c r="R50" s="560"/>
      <c r="S50" s="560"/>
      <c r="T50" s="560">
        <f>Recap!BN57</f>
        <v>35</v>
      </c>
      <c r="U50" s="560">
        <f>Recap!BO57</f>
        <v>5</v>
      </c>
      <c r="V50" s="560">
        <f>Recap!BP57</f>
        <v>96</v>
      </c>
      <c r="W50" s="560"/>
      <c r="X50" s="560"/>
      <c r="Y50" s="560"/>
      <c r="Z50" s="266" t="str">
        <f>Recap!AW57</f>
        <v>Y</v>
      </c>
      <c r="AA50" s="513"/>
      <c r="AN50" s="506"/>
      <c r="AO50" s="506"/>
      <c r="AQ50" s="1028" t="s">
        <v>975</v>
      </c>
      <c r="AS50" s="789" t="s">
        <v>860</v>
      </c>
    </row>
    <row r="51" spans="1:45">
      <c r="A51" s="92" t="str">
        <f>Recap!D58</f>
        <v>FRIC_1</v>
      </c>
      <c r="B51" s="557">
        <f>Recap!AY58</f>
        <v>0</v>
      </c>
      <c r="C51" s="557">
        <f>Recap!AZ58</f>
        <v>0</v>
      </c>
      <c r="D51" s="557">
        <f>Recap!BA58</f>
        <v>0</v>
      </c>
      <c r="E51" s="558"/>
      <c r="F51" s="558"/>
      <c r="G51" s="558"/>
      <c r="H51" s="557">
        <f>Recap!BC58</f>
        <v>26</v>
      </c>
      <c r="I51" s="557">
        <f>Recap!BD58</f>
        <v>20</v>
      </c>
      <c r="J51" s="557">
        <f>Recap!BE58</f>
        <v>40</v>
      </c>
      <c r="K51" s="557"/>
      <c r="L51" s="557"/>
      <c r="M51" s="557"/>
      <c r="N51" s="557">
        <f>Recap!BJ58</f>
        <v>0</v>
      </c>
      <c r="O51" s="557">
        <f>Recap!BK58</f>
        <v>0</v>
      </c>
      <c r="P51" s="557">
        <f>Recap!BL58</f>
        <v>0</v>
      </c>
      <c r="Q51" s="557"/>
      <c r="R51" s="557"/>
      <c r="S51" s="557"/>
      <c r="T51" s="557">
        <f>Recap!BN58</f>
        <v>0</v>
      </c>
      <c r="U51" s="557">
        <f>Recap!BO58</f>
        <v>0</v>
      </c>
      <c r="V51" s="557">
        <f>Recap!BP58</f>
        <v>0</v>
      </c>
      <c r="W51" s="557"/>
      <c r="X51" s="557"/>
      <c r="Y51" s="557"/>
      <c r="Z51" s="263" t="str">
        <f>Recap!AW58</f>
        <v>Y</v>
      </c>
      <c r="AA51" s="508"/>
      <c r="AN51" s="790" t="s">
        <v>861</v>
      </c>
      <c r="AO51" s="506" t="s">
        <v>795</v>
      </c>
      <c r="AP51" s="756"/>
      <c r="AQ51" s="1029" t="s">
        <v>976</v>
      </c>
      <c r="AR51" s="506" t="s">
        <v>875</v>
      </c>
      <c r="AS51" s="791" t="s">
        <v>862</v>
      </c>
    </row>
    <row r="52" spans="1:45" ht="15.75" customHeight="1" thickBot="1">
      <c r="A52" s="511" t="str">
        <f>Recap!D59</f>
        <v>FRIC_2</v>
      </c>
      <c r="B52" s="560">
        <f>Recap!AY59</f>
        <v>38.792003402807318</v>
      </c>
      <c r="C52" s="560">
        <f>Recap!AZ59</f>
        <v>39</v>
      </c>
      <c r="D52" s="560">
        <f>Recap!BA59</f>
        <v>39</v>
      </c>
      <c r="E52" s="560"/>
      <c r="F52" s="560"/>
      <c r="G52" s="560"/>
      <c r="H52" s="560">
        <f>Recap!BC59</f>
        <v>36.363636363636367</v>
      </c>
      <c r="I52" s="560">
        <f>Recap!BD59</f>
        <v>36</v>
      </c>
      <c r="J52" s="560">
        <f>Recap!BE59</f>
        <v>36</v>
      </c>
      <c r="K52" s="560"/>
      <c r="L52" s="560"/>
      <c r="M52" s="560"/>
      <c r="N52" s="560">
        <f>Recap!BJ59</f>
        <v>0</v>
      </c>
      <c r="O52" s="560">
        <f>Recap!BK59</f>
        <v>0</v>
      </c>
      <c r="P52" s="560">
        <f>Recap!BL59</f>
        <v>0</v>
      </c>
      <c r="Q52" s="560"/>
      <c r="R52" s="560"/>
      <c r="S52" s="560"/>
      <c r="T52" s="560">
        <f>Recap!BN59</f>
        <v>0</v>
      </c>
      <c r="U52" s="560">
        <f>Recap!BO59</f>
        <v>0</v>
      </c>
      <c r="V52" s="560"/>
      <c r="W52" s="560"/>
      <c r="X52" s="560"/>
      <c r="Y52" s="560"/>
      <c r="Z52" s="266" t="str">
        <f>Recap!AW59</f>
        <v>N</v>
      </c>
      <c r="AA52" s="513"/>
      <c r="AB52" s="257"/>
      <c r="AN52" s="790" t="s">
        <v>861</v>
      </c>
      <c r="AO52" s="506" t="s">
        <v>795</v>
      </c>
      <c r="AP52" s="756"/>
      <c r="AQ52" s="1030" t="s">
        <v>977</v>
      </c>
      <c r="AR52" s="506" t="s">
        <v>875</v>
      </c>
      <c r="AS52" s="792" t="s">
        <v>863</v>
      </c>
    </row>
    <row r="53" spans="1:45">
      <c r="A53" s="92" t="str">
        <f>Recap!D60</f>
        <v>AdivBois_0</v>
      </c>
      <c r="B53" s="557">
        <f>Recap!AY60</f>
        <v>0</v>
      </c>
      <c r="C53" s="557">
        <f>Recap!AZ60</f>
        <v>0</v>
      </c>
      <c r="D53" s="557">
        <f>Recap!BA60</f>
        <v>0</v>
      </c>
      <c r="E53" s="557"/>
      <c r="F53" s="557"/>
      <c r="G53" s="557"/>
      <c r="H53" s="557">
        <f>Recap!BC60</f>
        <v>0</v>
      </c>
      <c r="I53" s="557">
        <f>Recap!BD60</f>
        <v>0</v>
      </c>
      <c r="J53" s="557">
        <f>Recap!BE60</f>
        <v>0</v>
      </c>
      <c r="K53" s="557"/>
      <c r="L53" s="557"/>
      <c r="M53" s="557"/>
      <c r="N53" s="557">
        <f>Recap!BJ60</f>
        <v>0</v>
      </c>
      <c r="O53" s="557">
        <f>Recap!BK60</f>
        <v>0</v>
      </c>
      <c r="P53" s="557">
        <f>Recap!BL60</f>
        <v>0</v>
      </c>
      <c r="Q53" s="557"/>
      <c r="R53" s="557"/>
      <c r="S53" s="557"/>
      <c r="T53" s="557">
        <f>Recap!BN60</f>
        <v>0</v>
      </c>
      <c r="U53" s="557">
        <f>Recap!BO60</f>
        <v>0</v>
      </c>
      <c r="V53" s="557">
        <f>Recap!BP60</f>
        <v>0</v>
      </c>
      <c r="W53" s="557"/>
      <c r="X53" s="557"/>
      <c r="Y53" s="557"/>
      <c r="Z53" s="88" t="str">
        <f>Recap!AW60</f>
        <v>'</v>
      </c>
      <c r="AA53" s="508"/>
      <c r="AN53" s="506" t="s">
        <v>797</v>
      </c>
      <c r="AO53" s="506" t="s">
        <v>797</v>
      </c>
      <c r="AP53" t="s">
        <v>599</v>
      </c>
      <c r="AQ53" s="992"/>
      <c r="AR53" s="506"/>
      <c r="AS53" s="793" t="s">
        <v>864</v>
      </c>
    </row>
    <row r="54" spans="1:45">
      <c r="A54" s="509" t="str">
        <f>Recap!D61</f>
        <v>AdivBois_1</v>
      </c>
      <c r="B54" s="559">
        <f>Recap!AY61</f>
        <v>83.5</v>
      </c>
      <c r="C54" s="559">
        <f>Recap!AZ61</f>
        <v>75</v>
      </c>
      <c r="D54" s="559">
        <f>Recap!BA61</f>
        <v>98</v>
      </c>
      <c r="E54" s="559"/>
      <c r="F54" s="559"/>
      <c r="G54" s="559"/>
      <c r="H54" s="559">
        <f>Recap!BC61</f>
        <v>0</v>
      </c>
      <c r="I54" s="559">
        <f>Recap!BD61</f>
        <v>0</v>
      </c>
      <c r="J54" s="559">
        <f>Recap!BE61</f>
        <v>0</v>
      </c>
      <c r="K54" s="563"/>
      <c r="L54" s="563"/>
      <c r="M54" s="563"/>
      <c r="N54" s="559">
        <f>Recap!BJ61</f>
        <v>0</v>
      </c>
      <c r="O54" s="559">
        <f>Recap!BK61</f>
        <v>0</v>
      </c>
      <c r="P54" s="559">
        <f>Recap!BL61</f>
        <v>0</v>
      </c>
      <c r="Q54" s="559"/>
      <c r="R54" s="559"/>
      <c r="S54" s="559"/>
      <c r="T54" s="559">
        <f>Recap!BN61</f>
        <v>0</v>
      </c>
      <c r="U54" s="559">
        <f>Recap!BO61</f>
        <v>0</v>
      </c>
      <c r="V54" s="559">
        <f>Recap!BP61</f>
        <v>0</v>
      </c>
      <c r="W54" s="559"/>
      <c r="X54" s="559"/>
      <c r="Y54" s="559"/>
      <c r="Z54" s="51" t="str">
        <f>Recap!AW61</f>
        <v>Y</v>
      </c>
      <c r="AA54" s="510"/>
      <c r="AN54" s="506"/>
      <c r="AO54" s="506"/>
      <c r="AQ54" s="1031" t="s">
        <v>978</v>
      </c>
      <c r="AS54" s="794" t="s">
        <v>865</v>
      </c>
    </row>
    <row r="55" spans="1:45">
      <c r="A55" s="509" t="str">
        <f>Recap!D62</f>
        <v>AdivBois_2</v>
      </c>
      <c r="B55" s="559">
        <f>Recap!AY62</f>
        <v>0</v>
      </c>
      <c r="C55" s="559">
        <f>Recap!AZ62</f>
        <v>0</v>
      </c>
      <c r="D55" s="559">
        <f>Recap!BA62</f>
        <v>0</v>
      </c>
      <c r="E55" s="563"/>
      <c r="F55" s="563"/>
      <c r="G55" s="563"/>
      <c r="H55" s="559">
        <f>Recap!BC62</f>
        <v>47</v>
      </c>
      <c r="I55" s="559">
        <f>Recap!BD62</f>
        <v>40</v>
      </c>
      <c r="J55" s="559">
        <f>Recap!BE62</f>
        <v>50</v>
      </c>
      <c r="K55" s="559"/>
      <c r="L55" s="559"/>
      <c r="M55" s="559"/>
      <c r="N55" s="559">
        <f>Recap!BJ62</f>
        <v>0</v>
      </c>
      <c r="O55" s="559">
        <f>Recap!BK62</f>
        <v>0</v>
      </c>
      <c r="P55" s="559">
        <f>Recap!BL62</f>
        <v>0</v>
      </c>
      <c r="Q55" s="559"/>
      <c r="R55" s="559"/>
      <c r="S55" s="559"/>
      <c r="T55" s="559">
        <f>Recap!BN62</f>
        <v>0</v>
      </c>
      <c r="U55" s="559">
        <f>Recap!BO62</f>
        <v>0</v>
      </c>
      <c r="V55" s="559">
        <f>Recap!BP62</f>
        <v>0</v>
      </c>
      <c r="W55" s="559"/>
      <c r="X55" s="559"/>
      <c r="Y55" s="559"/>
      <c r="Z55" s="51" t="str">
        <f>Recap!AW62</f>
        <v>Y</v>
      </c>
      <c r="AA55" s="510"/>
      <c r="AN55" s="506"/>
      <c r="AO55" s="506"/>
      <c r="AQ55" s="1032" t="s">
        <v>979</v>
      </c>
      <c r="AS55" s="795" t="s">
        <v>866</v>
      </c>
    </row>
    <row r="56" spans="1:45">
      <c r="A56" s="509" t="str">
        <f>Recap!D63</f>
        <v>AdivBois_3</v>
      </c>
      <c r="B56" s="559">
        <f>Recap!AY63</f>
        <v>0</v>
      </c>
      <c r="C56" s="559">
        <f>Recap!AZ63</f>
        <v>0</v>
      </c>
      <c r="D56" s="559">
        <f>Recap!BA63</f>
        <v>0</v>
      </c>
      <c r="E56" s="563"/>
      <c r="F56" s="563"/>
      <c r="G56" s="563"/>
      <c r="H56" s="559">
        <f>Recap!BC63</f>
        <v>0</v>
      </c>
      <c r="I56" s="559">
        <f>Recap!BD63</f>
        <v>0</v>
      </c>
      <c r="J56" s="559">
        <f>Recap!BE63</f>
        <v>0</v>
      </c>
      <c r="K56" s="563"/>
      <c r="L56" s="563"/>
      <c r="M56" s="563"/>
      <c r="N56" s="559">
        <f>Recap!BJ63</f>
        <v>54.6875</v>
      </c>
      <c r="O56" s="559">
        <f>Recap!BK63</f>
        <v>32.5</v>
      </c>
      <c r="P56" s="559">
        <f>Recap!BL63</f>
        <v>95</v>
      </c>
      <c r="Q56" s="559"/>
      <c r="R56" s="559"/>
      <c r="S56" s="559"/>
      <c r="T56" s="559">
        <f>Recap!BN63</f>
        <v>42.6875</v>
      </c>
      <c r="U56" s="559">
        <f>Recap!BO63</f>
        <v>27</v>
      </c>
      <c r="V56" s="559">
        <f>Recap!BP63</f>
        <v>57.5</v>
      </c>
      <c r="W56" s="559"/>
      <c r="X56" s="559"/>
      <c r="Y56" s="559"/>
      <c r="Z56" s="51" t="str">
        <f>Recap!AW63</f>
        <v>Y</v>
      </c>
      <c r="AA56" s="510"/>
      <c r="AN56" s="506"/>
      <c r="AO56" s="506"/>
      <c r="AQ56" s="1033" t="s">
        <v>980</v>
      </c>
      <c r="AS56" s="796" t="s">
        <v>867</v>
      </c>
    </row>
    <row r="57" spans="1:45" ht="15.75" customHeight="1" thickBot="1">
      <c r="A57" s="511" t="str">
        <f>Recap!D64</f>
        <v>AdivBois_4</v>
      </c>
      <c r="B57" s="560">
        <f>Recap!AY64</f>
        <v>0</v>
      </c>
      <c r="C57" s="560">
        <f>Recap!AZ64</f>
        <v>0</v>
      </c>
      <c r="D57" s="560">
        <f>Recap!BA64</f>
        <v>0</v>
      </c>
      <c r="E57" s="560"/>
      <c r="F57" s="560"/>
      <c r="G57" s="560"/>
      <c r="H57" s="560">
        <f>Recap!BC64</f>
        <v>94</v>
      </c>
      <c r="I57" s="560">
        <f>Recap!BD64</f>
        <v>90</v>
      </c>
      <c r="J57" s="560">
        <f>Recap!BE64</f>
        <v>102</v>
      </c>
      <c r="K57" s="560"/>
      <c r="L57" s="560"/>
      <c r="M57" s="560"/>
      <c r="N57" s="560">
        <f>Recap!BJ64</f>
        <v>0</v>
      </c>
      <c r="O57" s="560">
        <f>Recap!BK64</f>
        <v>0</v>
      </c>
      <c r="P57" s="560">
        <f>Recap!BL64</f>
        <v>0</v>
      </c>
      <c r="Q57" s="560"/>
      <c r="R57" s="560"/>
      <c r="S57" s="560"/>
      <c r="T57" s="560">
        <f>Recap!BN64</f>
        <v>0</v>
      </c>
      <c r="U57" s="560">
        <f>Recap!BO64</f>
        <v>0</v>
      </c>
      <c r="V57" s="560">
        <f>Recap!BP64</f>
        <v>0</v>
      </c>
      <c r="W57" s="560"/>
      <c r="X57" s="560"/>
      <c r="Y57" s="560"/>
      <c r="Z57" s="266" t="str">
        <f>Recap!AW64</f>
        <v>Y</v>
      </c>
      <c r="AA57" s="513"/>
      <c r="AB57" s="257"/>
      <c r="AN57" s="506" t="s">
        <v>795</v>
      </c>
      <c r="AO57" s="506" t="s">
        <v>795</v>
      </c>
      <c r="AP57" s="756"/>
      <c r="AQ57" s="1034" t="s">
        <v>981</v>
      </c>
      <c r="AR57" s="506" t="s">
        <v>875</v>
      </c>
      <c r="AS57" s="797" t="s">
        <v>868</v>
      </c>
    </row>
    <row r="58" spans="1:45" ht="15.75" customHeight="1">
      <c r="A58" s="509" t="str">
        <f>Recap!D65</f>
        <v>TIMPuls_0</v>
      </c>
      <c r="B58" s="559">
        <f>Recap!AY65</f>
        <v>0</v>
      </c>
      <c r="C58" s="559">
        <f>Recap!AZ65</f>
        <v>0</v>
      </c>
      <c r="D58" s="559">
        <f>Recap!BA65</f>
        <v>0</v>
      </c>
      <c r="E58" s="559"/>
      <c r="F58" s="559"/>
      <c r="G58" s="559"/>
      <c r="H58" s="559">
        <f>Recap!BC65</f>
        <v>0</v>
      </c>
      <c r="I58" s="559">
        <f>Recap!BD65</f>
        <v>0</v>
      </c>
      <c r="J58" s="559">
        <f>Recap!BE65</f>
        <v>0</v>
      </c>
      <c r="K58" s="559"/>
      <c r="L58" s="559"/>
      <c r="M58" s="559"/>
      <c r="N58" s="559">
        <f>Recap!BJ65</f>
        <v>0</v>
      </c>
      <c r="O58" s="559">
        <f>Recap!BK65</f>
        <v>0</v>
      </c>
      <c r="P58" s="559">
        <f>Recap!BL65</f>
        <v>0</v>
      </c>
      <c r="Q58" s="559"/>
      <c r="R58" s="559"/>
      <c r="S58" s="559"/>
      <c r="T58" s="559">
        <f>Recap!BN65</f>
        <v>0</v>
      </c>
      <c r="U58" s="559">
        <f>Recap!BO65</f>
        <v>0</v>
      </c>
      <c r="V58" s="559">
        <f>Recap!BP65</f>
        <v>0</v>
      </c>
      <c r="W58" s="559"/>
      <c r="X58" s="559"/>
      <c r="Y58" s="559"/>
      <c r="Z58" s="88" t="str">
        <f>Recap!AW65</f>
        <v>'</v>
      </c>
      <c r="AA58" s="510"/>
      <c r="AB58" s="257"/>
      <c r="AN58" s="506" t="s">
        <v>797</v>
      </c>
      <c r="AO58" s="506" t="s">
        <v>797</v>
      </c>
      <c r="AP58" t="s">
        <v>599</v>
      </c>
      <c r="AQ58" s="992"/>
      <c r="AR58" s="506"/>
      <c r="AS58" s="798" t="s">
        <v>869</v>
      </c>
    </row>
    <row r="59" spans="1:45" ht="15.75" customHeight="1">
      <c r="A59" s="509" t="str">
        <f>Recap!D66</f>
        <v>TIMPuls_1</v>
      </c>
      <c r="B59" s="559">
        <f>Recap!AY66</f>
        <v>35</v>
      </c>
      <c r="C59" s="559">
        <f>Recap!AZ66</f>
        <v>0</v>
      </c>
      <c r="D59" s="559">
        <f>Recap!BA66</f>
        <v>0</v>
      </c>
      <c r="E59" s="559"/>
      <c r="F59" s="559"/>
      <c r="G59" s="559"/>
      <c r="H59" s="559">
        <f>Recap!BC66</f>
        <v>80</v>
      </c>
      <c r="I59" s="559">
        <f>Recap!BD66</f>
        <v>0</v>
      </c>
      <c r="J59" s="559">
        <f>Recap!BE66</f>
        <v>0</v>
      </c>
      <c r="K59" s="559"/>
      <c r="L59" s="559"/>
      <c r="M59" s="559"/>
      <c r="N59" s="559">
        <f>Recap!BJ66</f>
        <v>0</v>
      </c>
      <c r="O59" s="559">
        <f>Recap!BK66</f>
        <v>0</v>
      </c>
      <c r="P59" s="559">
        <f>Recap!BL66</f>
        <v>0</v>
      </c>
      <c r="Q59" s="559"/>
      <c r="R59" s="559"/>
      <c r="S59" s="559"/>
      <c r="T59" s="559">
        <f>Recap!BN66</f>
        <v>0</v>
      </c>
      <c r="U59" s="559">
        <f>Recap!BO66</f>
        <v>0</v>
      </c>
      <c r="V59" s="559">
        <f>Recap!BP66</f>
        <v>0</v>
      </c>
      <c r="W59" s="559"/>
      <c r="X59" s="559"/>
      <c r="Y59" s="559"/>
      <c r="Z59" s="265" t="str">
        <f>Recap!AW66</f>
        <v>N</v>
      </c>
      <c r="AA59" s="510"/>
      <c r="AB59" s="257"/>
      <c r="AN59" s="506" t="s">
        <v>1059</v>
      </c>
      <c r="AO59" s="506" t="s">
        <v>807</v>
      </c>
      <c r="AQ59" s="1035" t="s">
        <v>982</v>
      </c>
      <c r="AR59" s="506" t="s">
        <v>875</v>
      </c>
      <c r="AS59" s="799" t="s">
        <v>870</v>
      </c>
    </row>
    <row r="60" spans="1:45" ht="15.75" customHeight="1">
      <c r="A60" s="509" t="str">
        <f>Recap!D67</f>
        <v>TIMPuls_2</v>
      </c>
      <c r="B60" s="559">
        <f>Recap!AY67</f>
        <v>75</v>
      </c>
      <c r="C60" s="559">
        <f>Recap!AZ67</f>
        <v>0</v>
      </c>
      <c r="D60" s="559">
        <f>Recap!BA67</f>
        <v>0</v>
      </c>
      <c r="E60" s="559"/>
      <c r="F60" s="559"/>
      <c r="G60" s="559"/>
      <c r="H60" s="559">
        <f>Recap!BC67</f>
        <v>30</v>
      </c>
      <c r="I60" s="559">
        <f>Recap!BD67</f>
        <v>0</v>
      </c>
      <c r="J60" s="559">
        <f>Recap!BE67</f>
        <v>0</v>
      </c>
      <c r="K60" s="559"/>
      <c r="L60" s="559"/>
      <c r="M60" s="559"/>
      <c r="N60" s="559">
        <f>Recap!BJ67</f>
        <v>0</v>
      </c>
      <c r="O60" s="559">
        <f>Recap!BK67</f>
        <v>0</v>
      </c>
      <c r="P60" s="559">
        <f>Recap!BL67</f>
        <v>0</v>
      </c>
      <c r="Q60" s="559"/>
      <c r="R60" s="559"/>
      <c r="S60" s="559"/>
      <c r="T60" s="559">
        <f>Recap!BN67</f>
        <v>0</v>
      </c>
      <c r="U60" s="559">
        <f>Recap!BO67</f>
        <v>0</v>
      </c>
      <c r="V60" s="559">
        <f>Recap!BP67</f>
        <v>0</v>
      </c>
      <c r="W60" s="559"/>
      <c r="X60" s="559"/>
      <c r="Y60" s="559"/>
      <c r="Z60" s="265" t="str">
        <f>Recap!AW67</f>
        <v>N</v>
      </c>
      <c r="AA60" s="510"/>
      <c r="AB60" s="257"/>
      <c r="AN60" s="506" t="s">
        <v>1060</v>
      </c>
      <c r="AO60" s="506" t="s">
        <v>807</v>
      </c>
      <c r="AQ60" s="1036" t="s">
        <v>983</v>
      </c>
      <c r="AR60" s="506" t="s">
        <v>875</v>
      </c>
      <c r="AS60" s="800" t="s">
        <v>871</v>
      </c>
    </row>
    <row r="61" spans="1:45" ht="15.75" customHeight="1">
      <c r="A61" s="509" t="str">
        <f>Recap!D68</f>
        <v>TIMPuls_3</v>
      </c>
      <c r="B61" s="559">
        <f>Recap!AY68</f>
        <v>100</v>
      </c>
      <c r="C61" s="559">
        <f>Recap!AZ68</f>
        <v>0</v>
      </c>
      <c r="D61" s="559">
        <f>Recap!BA68</f>
        <v>0</v>
      </c>
      <c r="E61" s="559"/>
      <c r="F61" s="559"/>
      <c r="G61" s="559"/>
      <c r="H61" s="559">
        <f>Recap!BC68</f>
        <v>90</v>
      </c>
      <c r="I61" s="559">
        <f>Recap!BD68</f>
        <v>0</v>
      </c>
      <c r="J61" s="559">
        <f>Recap!BE68</f>
        <v>0</v>
      </c>
      <c r="K61" s="559"/>
      <c r="L61" s="559"/>
      <c r="M61" s="559"/>
      <c r="N61" s="559">
        <f>Recap!BJ68</f>
        <v>0</v>
      </c>
      <c r="O61" s="559">
        <f>Recap!BK68</f>
        <v>0</v>
      </c>
      <c r="P61" s="559">
        <f>Recap!BL68</f>
        <v>0</v>
      </c>
      <c r="Q61" s="559"/>
      <c r="R61" s="559"/>
      <c r="S61" s="559"/>
      <c r="T61" s="559">
        <f>Recap!BN68</f>
        <v>0</v>
      </c>
      <c r="U61" s="559">
        <f>Recap!BO68</f>
        <v>0</v>
      </c>
      <c r="V61" s="559">
        <f>Recap!BP68</f>
        <v>0</v>
      </c>
      <c r="W61" s="559"/>
      <c r="X61" s="559"/>
      <c r="Y61" s="559"/>
      <c r="Z61" s="265" t="str">
        <f>Recap!AW68</f>
        <v>N</v>
      </c>
      <c r="AA61" s="510"/>
      <c r="AB61" s="257"/>
      <c r="AN61" s="506" t="s">
        <v>1056</v>
      </c>
      <c r="AO61" s="506" t="s">
        <v>807</v>
      </c>
      <c r="AQ61" s="1037" t="s">
        <v>984</v>
      </c>
      <c r="AR61" s="506" t="s">
        <v>875</v>
      </c>
      <c r="AS61" s="801" t="s">
        <v>872</v>
      </c>
    </row>
    <row r="62" spans="1:45" ht="15.75" customHeight="1" thickBot="1">
      <c r="A62" s="511" t="str">
        <f>Recap!D69</f>
        <v>TIMPuls_4</v>
      </c>
      <c r="B62" s="560">
        <f>Recap!AY69</f>
        <v>50</v>
      </c>
      <c r="C62" s="560">
        <f>Recap!AZ69</f>
        <v>0</v>
      </c>
      <c r="D62" s="560">
        <f>Recap!BA69</f>
        <v>0</v>
      </c>
      <c r="E62" s="560"/>
      <c r="F62" s="560"/>
      <c r="G62" s="560"/>
      <c r="H62" s="560">
        <f>Recap!BC69</f>
        <v>60</v>
      </c>
      <c r="I62" s="560">
        <f>Recap!BD69</f>
        <v>0</v>
      </c>
      <c r="J62" s="560">
        <f>Recap!BE69</f>
        <v>0</v>
      </c>
      <c r="K62" s="560"/>
      <c r="L62" s="560"/>
      <c r="M62" s="560"/>
      <c r="N62" s="560">
        <f>Recap!BJ69</f>
        <v>0</v>
      </c>
      <c r="O62" s="560">
        <f>Recap!BK69</f>
        <v>0</v>
      </c>
      <c r="P62" s="560">
        <f>Recap!BL69</f>
        <v>0</v>
      </c>
      <c r="Q62" s="560"/>
      <c r="R62" s="560"/>
      <c r="S62" s="560"/>
      <c r="T62" s="560">
        <f>Recap!BN69</f>
        <v>0</v>
      </c>
      <c r="U62" s="560">
        <f>Recap!BO69</f>
        <v>0</v>
      </c>
      <c r="V62" s="560">
        <f>Recap!BP69</f>
        <v>0</v>
      </c>
      <c r="W62" s="560"/>
      <c r="X62" s="560"/>
      <c r="Y62" s="560"/>
      <c r="Z62" s="266" t="str">
        <f>Recap!AW69</f>
        <v>N</v>
      </c>
      <c r="AA62" s="513"/>
      <c r="AB62" s="257"/>
      <c r="AN62" s="506" t="s">
        <v>1061</v>
      </c>
      <c r="AO62" s="506" t="s">
        <v>807</v>
      </c>
      <c r="AQ62" s="1038" t="s">
        <v>985</v>
      </c>
      <c r="AR62" s="506" t="s">
        <v>875</v>
      </c>
      <c r="AS62" s="802" t="str">
        <f>MOD(ROW()*47,256) &amp; ";" &amp; MOD(ROW()*91,256) &amp; ";" &amp; MOD(ROW()*173,256)</f>
        <v>98;10;230</v>
      </c>
    </row>
    <row r="63" spans="1:45">
      <c r="A63" s="639" t="str">
        <f>Recap!D70</f>
        <v>SeifBois_B27_R60_25%</v>
      </c>
      <c r="B63" s="640">
        <f>Recap!AY70</f>
        <v>0</v>
      </c>
      <c r="C63" s="640">
        <f>Recap!AZ70</f>
        <v>0</v>
      </c>
      <c r="D63" s="640">
        <f>Recap!BA70</f>
        <v>0</v>
      </c>
      <c r="E63" s="636"/>
      <c r="F63" s="636"/>
      <c r="G63" s="636"/>
      <c r="H63" s="640">
        <f>Recap!BC70</f>
        <v>0</v>
      </c>
      <c r="I63" s="640">
        <f>Recap!BD70</f>
        <v>0</v>
      </c>
      <c r="J63" s="640">
        <f>Recap!BE70</f>
        <v>0</v>
      </c>
      <c r="K63" s="636"/>
      <c r="L63" s="636"/>
      <c r="M63" s="636"/>
      <c r="N63" s="640">
        <f>Recap!BJ70</f>
        <v>0</v>
      </c>
      <c r="O63" s="640">
        <f>Recap!BK70</f>
        <v>0</v>
      </c>
      <c r="P63" s="640">
        <f>Recap!BL70</f>
        <v>0</v>
      </c>
      <c r="Q63" s="640"/>
      <c r="R63" s="640"/>
      <c r="S63" s="640"/>
      <c r="T63" s="640">
        <f>Recap!BN70</f>
        <v>0</v>
      </c>
      <c r="U63" s="640">
        <f>Recap!BO70</f>
        <v>0</v>
      </c>
      <c r="V63" s="640">
        <f>Recap!BP70</f>
        <v>0</v>
      </c>
      <c r="W63" s="640"/>
      <c r="X63" s="640"/>
      <c r="Y63" s="640"/>
      <c r="Z63" s="88" t="str">
        <f>Recap!AW70</f>
        <v>'</v>
      </c>
      <c r="AA63" s="641"/>
      <c r="AO63" s="506" t="s">
        <v>810</v>
      </c>
      <c r="AP63" t="s">
        <v>599</v>
      </c>
      <c r="AQ63" t="str">
        <f t="shared" ref="AQ63:AQ73" si="0">MOD(ROW()*47,256) &amp; ";" &amp; MOD(ROW()*91,256) &amp; ";" &amp; MOD(ROW()*173,256)</f>
        <v>145;101;147</v>
      </c>
      <c r="AR63" s="506" t="s">
        <v>875</v>
      </c>
    </row>
    <row r="64" spans="1:45">
      <c r="A64" s="639" t="str">
        <f>Recap!D71</f>
        <v>SeifBois_B27_R120_25%</v>
      </c>
      <c r="B64" s="640">
        <f>Recap!AY71</f>
        <v>0</v>
      </c>
      <c r="C64" s="640">
        <f>Recap!AZ71</f>
        <v>0</v>
      </c>
      <c r="D64" s="640">
        <f>Recap!BA71</f>
        <v>0</v>
      </c>
      <c r="E64" s="636"/>
      <c r="F64" s="636"/>
      <c r="G64" s="636"/>
      <c r="H64" s="640">
        <f>Recap!BC71</f>
        <v>0</v>
      </c>
      <c r="I64" s="640">
        <f>Recap!BD71</f>
        <v>0</v>
      </c>
      <c r="J64" s="640">
        <f>Recap!BE71</f>
        <v>0</v>
      </c>
      <c r="K64" s="636"/>
      <c r="L64" s="636"/>
      <c r="M64" s="636"/>
      <c r="N64" s="640">
        <f>Recap!BJ71</f>
        <v>0</v>
      </c>
      <c r="O64" s="640">
        <f>Recap!BK71</f>
        <v>0</v>
      </c>
      <c r="P64" s="640">
        <f>Recap!BL71</f>
        <v>0</v>
      </c>
      <c r="Q64" s="640"/>
      <c r="R64" s="640"/>
      <c r="S64" s="640"/>
      <c r="T64" s="640">
        <f>Recap!BN71</f>
        <v>0</v>
      </c>
      <c r="U64" s="640">
        <f>Recap!BO71</f>
        <v>0</v>
      </c>
      <c r="V64" s="640">
        <f>Recap!BP71</f>
        <v>0</v>
      </c>
      <c r="W64" s="640"/>
      <c r="X64" s="640"/>
      <c r="Y64" s="640"/>
      <c r="Z64" s="88" t="str">
        <f>Recap!AW71</f>
        <v>'</v>
      </c>
      <c r="AA64" s="641"/>
      <c r="AO64" s="506" t="s">
        <v>810</v>
      </c>
      <c r="AP64" t="s">
        <v>599</v>
      </c>
      <c r="AQ64" t="str">
        <f t="shared" si="0"/>
        <v>192;192;64</v>
      </c>
      <c r="AR64" s="506" t="s">
        <v>875</v>
      </c>
    </row>
    <row r="65" spans="1:44">
      <c r="A65" s="639" t="str">
        <f>Recap!D72</f>
        <v>SeifBois_H27_R30_25%</v>
      </c>
      <c r="B65" s="640">
        <f>Recap!AY72</f>
        <v>0</v>
      </c>
      <c r="C65" s="640">
        <f>Recap!AZ72</f>
        <v>0</v>
      </c>
      <c r="D65" s="640">
        <f>Recap!BA72</f>
        <v>0</v>
      </c>
      <c r="E65" s="636"/>
      <c r="F65" s="636"/>
      <c r="G65" s="636"/>
      <c r="H65" s="640">
        <f>Recap!BC72</f>
        <v>0</v>
      </c>
      <c r="I65" s="640">
        <f>Recap!BD72</f>
        <v>0</v>
      </c>
      <c r="J65" s="640">
        <f>Recap!BE72</f>
        <v>0</v>
      </c>
      <c r="K65" s="636"/>
      <c r="L65" s="636"/>
      <c r="M65" s="636"/>
      <c r="N65" s="640">
        <f>Recap!BJ72</f>
        <v>0</v>
      </c>
      <c r="O65" s="640">
        <f>Recap!BK72</f>
        <v>0</v>
      </c>
      <c r="P65" s="640">
        <f>Recap!BL72</f>
        <v>0</v>
      </c>
      <c r="Q65" s="640"/>
      <c r="R65" s="640"/>
      <c r="S65" s="640"/>
      <c r="T65" s="640">
        <f>Recap!BN72</f>
        <v>0</v>
      </c>
      <c r="U65" s="640">
        <f>Recap!BO72</f>
        <v>0</v>
      </c>
      <c r="V65" s="640">
        <f>Recap!BP72</f>
        <v>0</v>
      </c>
      <c r="W65" s="640"/>
      <c r="X65" s="640"/>
      <c r="Y65" s="640"/>
      <c r="Z65" s="88" t="str">
        <f>Recap!AW72</f>
        <v>'</v>
      </c>
      <c r="AA65" s="641"/>
      <c r="AO65" s="506" t="s">
        <v>810</v>
      </c>
      <c r="AP65" t="s">
        <v>599</v>
      </c>
      <c r="AQ65" t="str">
        <f t="shared" si="0"/>
        <v>239;27;237</v>
      </c>
      <c r="AR65" s="506" t="s">
        <v>875</v>
      </c>
    </row>
    <row r="66" spans="1:44">
      <c r="A66" s="639" t="str">
        <f>Recap!D73</f>
        <v>SeifBois_H27_R60_25%</v>
      </c>
      <c r="B66" s="640">
        <f>Recap!AY73</f>
        <v>0</v>
      </c>
      <c r="C66" s="640">
        <f>Recap!AZ73</f>
        <v>0</v>
      </c>
      <c r="D66" s="640">
        <f>Recap!BA73</f>
        <v>0</v>
      </c>
      <c r="E66" s="636"/>
      <c r="F66" s="636"/>
      <c r="G66" s="636"/>
      <c r="H66" s="640">
        <f>Recap!BC73</f>
        <v>0</v>
      </c>
      <c r="I66" s="640">
        <f>Recap!BD73</f>
        <v>0</v>
      </c>
      <c r="J66" s="640">
        <f>Recap!BE73</f>
        <v>0</v>
      </c>
      <c r="K66" s="636"/>
      <c r="L66" s="636"/>
      <c r="M66" s="636"/>
      <c r="N66" s="640">
        <f>Recap!BJ73</f>
        <v>0</v>
      </c>
      <c r="O66" s="640">
        <f>Recap!BK73</f>
        <v>0</v>
      </c>
      <c r="P66" s="640">
        <f>Recap!BL73</f>
        <v>0</v>
      </c>
      <c r="Q66" s="640"/>
      <c r="R66" s="640"/>
      <c r="S66" s="640"/>
      <c r="T66" s="640">
        <f>Recap!BN73</f>
        <v>0</v>
      </c>
      <c r="U66" s="640">
        <f>Recap!BO73</f>
        <v>0</v>
      </c>
      <c r="V66" s="640">
        <f>Recap!BP73</f>
        <v>0</v>
      </c>
      <c r="W66" s="640"/>
      <c r="X66" s="640"/>
      <c r="Y66" s="640"/>
      <c r="Z66" s="88" t="str">
        <f>Recap!AW73</f>
        <v>'</v>
      </c>
      <c r="AA66" s="641"/>
      <c r="AO66" s="506" t="s">
        <v>810</v>
      </c>
      <c r="AP66" t="s">
        <v>599</v>
      </c>
      <c r="AQ66" t="str">
        <f t="shared" si="0"/>
        <v>30;118;154</v>
      </c>
      <c r="AR66" s="506" t="s">
        <v>875</v>
      </c>
    </row>
    <row r="67" spans="1:44">
      <c r="A67" s="639" t="str">
        <f>Recap!D74</f>
        <v>SeifBois_H27_R90_25%</v>
      </c>
      <c r="B67" s="640">
        <f>Recap!AY74</f>
        <v>0</v>
      </c>
      <c r="C67" s="640">
        <f>Recap!AZ74</f>
        <v>0</v>
      </c>
      <c r="D67" s="640">
        <f>Recap!BA74</f>
        <v>0</v>
      </c>
      <c r="E67" s="636"/>
      <c r="F67" s="636"/>
      <c r="G67" s="636"/>
      <c r="H67" s="640">
        <f>Recap!BC74</f>
        <v>0</v>
      </c>
      <c r="I67" s="640">
        <f>Recap!BD74</f>
        <v>0</v>
      </c>
      <c r="J67" s="640">
        <f>Recap!BE74</f>
        <v>0</v>
      </c>
      <c r="K67" s="636"/>
      <c r="L67" s="636"/>
      <c r="M67" s="636"/>
      <c r="N67" s="640">
        <f>Recap!BJ74</f>
        <v>0</v>
      </c>
      <c r="O67" s="640">
        <f>Recap!BK74</f>
        <v>0</v>
      </c>
      <c r="P67" s="640">
        <f>Recap!BL74</f>
        <v>0</v>
      </c>
      <c r="Q67" s="640"/>
      <c r="R67" s="640"/>
      <c r="S67" s="640"/>
      <c r="T67" s="640">
        <f>Recap!BN74</f>
        <v>0</v>
      </c>
      <c r="U67" s="640">
        <f>Recap!BO74</f>
        <v>0</v>
      </c>
      <c r="V67" s="640">
        <f>Recap!BP74</f>
        <v>0</v>
      </c>
      <c r="W67" s="640"/>
      <c r="X67" s="640"/>
      <c r="Y67" s="640"/>
      <c r="Z67" s="88" t="str">
        <f>Recap!AW74</f>
        <v>'</v>
      </c>
      <c r="AA67" s="641"/>
      <c r="AO67" s="506" t="s">
        <v>810</v>
      </c>
      <c r="AP67" t="s">
        <v>599</v>
      </c>
      <c r="AQ67" t="str">
        <f t="shared" si="0"/>
        <v>77;209;71</v>
      </c>
      <c r="AR67" s="506" t="s">
        <v>875</v>
      </c>
    </row>
    <row r="68" spans="1:44">
      <c r="A68" s="639" t="str">
        <f>Recap!D75</f>
        <v>SeifBois_E27_R60_25%</v>
      </c>
      <c r="B68" s="640">
        <f>Recap!AY75</f>
        <v>0</v>
      </c>
      <c r="C68" s="640">
        <f>Recap!AZ75</f>
        <v>0</v>
      </c>
      <c r="D68" s="640">
        <f>Recap!BA75</f>
        <v>0</v>
      </c>
      <c r="E68" s="636"/>
      <c r="F68" s="636"/>
      <c r="G68" s="636"/>
      <c r="H68" s="640">
        <f>Recap!BC75</f>
        <v>0</v>
      </c>
      <c r="I68" s="640">
        <f>Recap!BD75</f>
        <v>0</v>
      </c>
      <c r="J68" s="640">
        <f>Recap!BE75</f>
        <v>0</v>
      </c>
      <c r="K68" s="636"/>
      <c r="L68" s="636"/>
      <c r="M68" s="636"/>
      <c r="N68" s="640">
        <f>Recap!BJ75</f>
        <v>0</v>
      </c>
      <c r="O68" s="640">
        <f>Recap!BK75</f>
        <v>0</v>
      </c>
      <c r="P68" s="640">
        <f>Recap!BL75</f>
        <v>0</v>
      </c>
      <c r="Q68" s="640"/>
      <c r="R68" s="640"/>
      <c r="S68" s="640"/>
      <c r="T68" s="640">
        <f>Recap!BN75</f>
        <v>0</v>
      </c>
      <c r="U68" s="640">
        <f>Recap!BO75</f>
        <v>0</v>
      </c>
      <c r="V68" s="640">
        <f>Recap!BP75</f>
        <v>0</v>
      </c>
      <c r="W68" s="640"/>
      <c r="X68" s="640"/>
      <c r="Y68" s="640"/>
      <c r="Z68" s="88" t="str">
        <f>Recap!AW75</f>
        <v>'</v>
      </c>
      <c r="AA68" s="641"/>
      <c r="AO68" s="506" t="s">
        <v>810</v>
      </c>
      <c r="AP68" t="s">
        <v>599</v>
      </c>
      <c r="AQ68" t="str">
        <f t="shared" si="0"/>
        <v>124;44;244</v>
      </c>
      <c r="AR68" s="506" t="s">
        <v>875</v>
      </c>
    </row>
    <row r="69" spans="1:44">
      <c r="A69" s="639" t="str">
        <f>Recap!D76</f>
        <v>SeifBois_E11a</v>
      </c>
      <c r="B69" s="640">
        <f>Recap!AY76</f>
        <v>0</v>
      </c>
      <c r="C69" s="640">
        <f>Recap!AZ76</f>
        <v>0</v>
      </c>
      <c r="D69" s="640">
        <f>Recap!BA76</f>
        <v>0</v>
      </c>
      <c r="E69" s="636"/>
      <c r="F69" s="636"/>
      <c r="G69" s="636"/>
      <c r="H69" s="640">
        <f>Recap!BC76</f>
        <v>0</v>
      </c>
      <c r="I69" s="640">
        <f>Recap!BD76</f>
        <v>0</v>
      </c>
      <c r="J69" s="640">
        <f>Recap!BE76</f>
        <v>0</v>
      </c>
      <c r="K69" s="636"/>
      <c r="L69" s="636"/>
      <c r="M69" s="636"/>
      <c r="N69" s="640">
        <f>Recap!BJ76</f>
        <v>55.761904761904759</v>
      </c>
      <c r="O69" s="640">
        <f>Recap!BK76</f>
        <v>33</v>
      </c>
      <c r="P69" s="640">
        <f>Recap!BL76</f>
        <v>76</v>
      </c>
      <c r="Q69" s="640"/>
      <c r="R69" s="640"/>
      <c r="S69" s="640"/>
      <c r="T69" s="640">
        <f>Recap!BN76</f>
        <v>50.75</v>
      </c>
      <c r="U69" s="640">
        <f>Recap!BO76</f>
        <v>33</v>
      </c>
      <c r="V69" s="640">
        <f>Recap!BP76</f>
        <v>64</v>
      </c>
      <c r="W69" s="640"/>
      <c r="X69" s="640"/>
      <c r="Y69" s="640"/>
      <c r="Z69" s="88" t="str">
        <f>Recap!AW76</f>
        <v>'</v>
      </c>
      <c r="AA69" s="641"/>
      <c r="AO69" s="506"/>
      <c r="AQ69" s="796" t="s">
        <v>867</v>
      </c>
      <c r="AR69" s="506" t="s">
        <v>875</v>
      </c>
    </row>
    <row r="70" spans="1:44">
      <c r="A70" s="639" t="str">
        <f>Recap!D77</f>
        <v>SeifBois_E11b</v>
      </c>
      <c r="B70" s="640">
        <f>Recap!AY77</f>
        <v>0</v>
      </c>
      <c r="C70" s="640">
        <f>Recap!AZ77</f>
        <v>0</v>
      </c>
      <c r="D70" s="640">
        <f>Recap!BA77</f>
        <v>0</v>
      </c>
      <c r="E70" s="636"/>
      <c r="F70" s="636"/>
      <c r="G70" s="636"/>
      <c r="H70" s="640">
        <f>Recap!BC77</f>
        <v>0</v>
      </c>
      <c r="I70" s="640">
        <f>Recap!BD77</f>
        <v>0</v>
      </c>
      <c r="J70" s="640">
        <f>Recap!BE77</f>
        <v>0</v>
      </c>
      <c r="K70" s="636"/>
      <c r="L70" s="636"/>
      <c r="M70" s="636"/>
      <c r="N70" s="640">
        <f>Recap!BJ77</f>
        <v>0</v>
      </c>
      <c r="O70" s="640">
        <f>Recap!BK77</f>
        <v>0</v>
      </c>
      <c r="P70" s="640">
        <f>Recap!BL77</f>
        <v>0</v>
      </c>
      <c r="Q70" s="640"/>
      <c r="R70" s="640"/>
      <c r="S70" s="640"/>
      <c r="T70" s="640">
        <f>Recap!BN77</f>
        <v>0</v>
      </c>
      <c r="U70" s="640">
        <f>Recap!BO77</f>
        <v>0</v>
      </c>
      <c r="V70" s="640">
        <f>Recap!BP77</f>
        <v>0</v>
      </c>
      <c r="W70" s="640"/>
      <c r="X70" s="640"/>
      <c r="Y70" s="640"/>
      <c r="Z70" s="88" t="str">
        <f>Recap!AW77</f>
        <v>'</v>
      </c>
      <c r="AA70" s="641"/>
      <c r="AO70" s="506" t="s">
        <v>810</v>
      </c>
      <c r="AP70" t="s">
        <v>599</v>
      </c>
      <c r="AQ70" t="str">
        <f t="shared" si="0"/>
        <v>218;226;78</v>
      </c>
      <c r="AR70" s="506" t="s">
        <v>875</v>
      </c>
    </row>
    <row r="71" spans="1:44">
      <c r="A71" s="639" t="str">
        <f>Recap!D78</f>
        <v>SeifBois_E11c</v>
      </c>
      <c r="B71" s="640">
        <f>Recap!AY78</f>
        <v>0</v>
      </c>
      <c r="C71" s="640">
        <f>Recap!AZ78</f>
        <v>0</v>
      </c>
      <c r="D71" s="640">
        <f>Recap!BA78</f>
        <v>0</v>
      </c>
      <c r="E71" s="636"/>
      <c r="F71" s="636"/>
      <c r="G71" s="636"/>
      <c r="H71" s="640">
        <f>Recap!BC78</f>
        <v>0</v>
      </c>
      <c r="I71" s="640">
        <f>Recap!BD78</f>
        <v>0</v>
      </c>
      <c r="J71" s="640">
        <f>Recap!BE78</f>
        <v>0</v>
      </c>
      <c r="K71" s="636"/>
      <c r="L71" s="636"/>
      <c r="M71" s="636"/>
      <c r="N71" s="640">
        <f>Recap!BJ78</f>
        <v>0</v>
      </c>
      <c r="O71" s="640">
        <f>Recap!BK78</f>
        <v>0</v>
      </c>
      <c r="P71" s="640">
        <f>Recap!BL78</f>
        <v>0</v>
      </c>
      <c r="Q71" s="640"/>
      <c r="R71" s="640"/>
      <c r="S71" s="640"/>
      <c r="T71" s="640">
        <f>Recap!BN78</f>
        <v>0</v>
      </c>
      <c r="U71" s="640">
        <f>Recap!BO78</f>
        <v>0</v>
      </c>
      <c r="V71" s="640">
        <f>Recap!BP78</f>
        <v>0</v>
      </c>
      <c r="W71" s="640"/>
      <c r="X71" s="640"/>
      <c r="Y71" s="640"/>
      <c r="Z71" s="88" t="str">
        <f>Recap!AW78</f>
        <v>'</v>
      </c>
      <c r="AA71" s="641"/>
      <c r="AO71" s="506" t="s">
        <v>810</v>
      </c>
      <c r="AP71" t="s">
        <v>599</v>
      </c>
      <c r="AQ71" t="str">
        <f t="shared" si="0"/>
        <v>9;61;251</v>
      </c>
      <c r="AR71" s="506" t="s">
        <v>875</v>
      </c>
    </row>
    <row r="72" spans="1:44">
      <c r="A72" s="639" t="str">
        <f>Recap!D79</f>
        <v>SeifBois_H11</v>
      </c>
      <c r="B72" s="640">
        <f>Recap!AY79</f>
        <v>0</v>
      </c>
      <c r="C72" s="640">
        <f>Recap!AZ79</f>
        <v>0</v>
      </c>
      <c r="D72" s="640">
        <f>Recap!BA79</f>
        <v>0</v>
      </c>
      <c r="E72" s="636"/>
      <c r="F72" s="636"/>
      <c r="G72" s="636"/>
      <c r="H72" s="640">
        <f>Recap!BC79</f>
        <v>0</v>
      </c>
      <c r="I72" s="640">
        <f>Recap!BD79</f>
        <v>0</v>
      </c>
      <c r="J72" s="640">
        <f>Recap!BE79</f>
        <v>0</v>
      </c>
      <c r="K72" s="636"/>
      <c r="L72" s="636"/>
      <c r="M72" s="636"/>
      <c r="N72" s="640">
        <f>Recap!BJ79</f>
        <v>0</v>
      </c>
      <c r="O72" s="640">
        <f>Recap!BK79</f>
        <v>0</v>
      </c>
      <c r="P72" s="640">
        <f>Recap!BL79</f>
        <v>0</v>
      </c>
      <c r="Q72" s="640"/>
      <c r="R72" s="640"/>
      <c r="S72" s="640"/>
      <c r="T72" s="640">
        <f>Recap!BN79</f>
        <v>0</v>
      </c>
      <c r="U72" s="640">
        <f>Recap!BO79</f>
        <v>0</v>
      </c>
      <c r="V72" s="640">
        <f>Recap!BP79</f>
        <v>0</v>
      </c>
      <c r="W72" s="640"/>
      <c r="X72" s="640"/>
      <c r="Y72" s="640"/>
      <c r="Z72" s="88" t="str">
        <f>Recap!AW79</f>
        <v>'</v>
      </c>
      <c r="AA72" s="641"/>
      <c r="AO72" s="506" t="s">
        <v>810</v>
      </c>
      <c r="AP72" t="s">
        <v>599</v>
      </c>
      <c r="AQ72" t="str">
        <f t="shared" si="0"/>
        <v>56;152;168</v>
      </c>
      <c r="AR72" s="506" t="s">
        <v>875</v>
      </c>
    </row>
    <row r="73" spans="1:44">
      <c r="A73" s="639" t="str">
        <f>Recap!D80</f>
        <v>SeifBois_B11</v>
      </c>
      <c r="B73" s="640">
        <f>Recap!AY80</f>
        <v>0</v>
      </c>
      <c r="C73" s="640">
        <f>Recap!AZ80</f>
        <v>0</v>
      </c>
      <c r="D73" s="640">
        <f>Recap!BA80</f>
        <v>0</v>
      </c>
      <c r="E73" s="636"/>
      <c r="F73" s="636"/>
      <c r="G73" s="636"/>
      <c r="H73" s="640">
        <f>Recap!BC80</f>
        <v>0</v>
      </c>
      <c r="I73" s="640">
        <f>Recap!BD80</f>
        <v>0</v>
      </c>
      <c r="J73" s="640">
        <f>Recap!BE80</f>
        <v>0</v>
      </c>
      <c r="K73" s="636"/>
      <c r="L73" s="636"/>
      <c r="M73" s="636"/>
      <c r="N73" s="640">
        <f>Recap!BJ80</f>
        <v>0</v>
      </c>
      <c r="O73" s="640">
        <f>Recap!BK80</f>
        <v>0</v>
      </c>
      <c r="P73" s="640">
        <f>Recap!BL80</f>
        <v>0</v>
      </c>
      <c r="Q73" s="640"/>
      <c r="R73" s="640"/>
      <c r="S73" s="640"/>
      <c r="T73" s="640">
        <f>Recap!BN80</f>
        <v>0</v>
      </c>
      <c r="U73" s="640">
        <f>Recap!BO80</f>
        <v>0</v>
      </c>
      <c r="V73" s="640">
        <f>Recap!BP80</f>
        <v>0</v>
      </c>
      <c r="W73" s="640"/>
      <c r="X73" s="640"/>
      <c r="Y73" s="640"/>
      <c r="Z73" s="88" t="str">
        <f>Recap!AW80</f>
        <v>'</v>
      </c>
      <c r="AA73" s="641"/>
      <c r="AO73" s="506" t="s">
        <v>810</v>
      </c>
      <c r="AP73" t="s">
        <v>599</v>
      </c>
      <c r="AQ73" t="str">
        <f t="shared" si="0"/>
        <v>103;243;85</v>
      </c>
      <c r="AR73" s="506" t="s">
        <v>875</v>
      </c>
    </row>
    <row r="74" spans="1:44">
      <c r="K74" s="31"/>
      <c r="L74" s="31"/>
      <c r="M74" s="31"/>
      <c r="AB74" t="s">
        <v>650</v>
      </c>
      <c r="AC74" s="559" t="e">
        <f>AVERAGE(AC2:AC73)</f>
        <v>#DIV/0!</v>
      </c>
      <c r="AD74" t="s">
        <v>312</v>
      </c>
      <c r="AE74" s="245" t="e">
        <f>AC74/60</f>
        <v>#DIV/0!</v>
      </c>
      <c r="AF74" t="s">
        <v>306</v>
      </c>
    </row>
    <row r="75" spans="1:44">
      <c r="K75" s="31"/>
      <c r="L75" s="31"/>
      <c r="M75" s="31"/>
      <c r="AB75" t="s">
        <v>651</v>
      </c>
      <c r="AC75" s="559"/>
      <c r="AD75" t="s">
        <v>312</v>
      </c>
      <c r="AE75" s="245">
        <f t="shared" ref="AE75:AE76" si="1">AC75/60</f>
        <v>0</v>
      </c>
      <c r="AF75" t="s">
        <v>306</v>
      </c>
    </row>
    <row r="76" spans="1:44" ht="15" customHeight="1" thickBot="1">
      <c r="K76" s="31"/>
      <c r="L76" s="31"/>
      <c r="M76" s="31"/>
      <c r="AB76" t="s">
        <v>652</v>
      </c>
      <c r="AC76" s="559" t="e">
        <f>AC75/COUNT(AC2:AC73)</f>
        <v>#DIV/0!</v>
      </c>
      <c r="AD76" t="s">
        <v>312</v>
      </c>
      <c r="AE76" s="245" t="e">
        <f t="shared" si="1"/>
        <v>#DIV/0!</v>
      </c>
      <c r="AF76" t="s">
        <v>306</v>
      </c>
    </row>
    <row r="77" spans="1:44" ht="15" customHeight="1" thickBot="1">
      <c r="A77" s="92" t="s">
        <v>653</v>
      </c>
      <c r="B77" s="507"/>
      <c r="C77" s="507"/>
      <c r="D77" s="507"/>
      <c r="E77" s="507"/>
      <c r="F77" s="507"/>
      <c r="G77" s="507"/>
      <c r="H77" s="507"/>
      <c r="I77" s="507"/>
      <c r="J77" s="507"/>
      <c r="K77" s="93"/>
      <c r="L77" s="507"/>
      <c r="M77" s="532"/>
      <c r="N77" s="92"/>
      <c r="O77" s="507"/>
      <c r="P77" s="507"/>
      <c r="Q77" s="507"/>
      <c r="R77" s="507"/>
      <c r="S77" s="508"/>
      <c r="T77" s="92"/>
      <c r="U77" s="507"/>
      <c r="V77" s="507"/>
      <c r="W77" s="507"/>
      <c r="X77" s="507"/>
      <c r="Y77" s="508"/>
      <c r="Z77" s="1188" t="s">
        <v>639</v>
      </c>
      <c r="AA77" s="1244"/>
    </row>
    <row r="78" spans="1:44">
      <c r="A78" s="96" t="s">
        <v>329</v>
      </c>
      <c r="B78" s="1215" t="s">
        <v>654</v>
      </c>
      <c r="C78" s="1191"/>
      <c r="D78" s="1192"/>
      <c r="E78" s="1215" t="s">
        <v>655</v>
      </c>
      <c r="F78" s="1191"/>
      <c r="G78" s="1192"/>
      <c r="H78" s="1215" t="s">
        <v>656</v>
      </c>
      <c r="I78" s="1191"/>
      <c r="J78" s="1192"/>
      <c r="K78" s="1241" t="s">
        <v>657</v>
      </c>
      <c r="L78" s="1191"/>
      <c r="M78" s="1242"/>
      <c r="N78" s="1243" t="s">
        <v>658</v>
      </c>
      <c r="O78" s="1191"/>
      <c r="P78" s="1192"/>
      <c r="Q78" s="1241" t="s">
        <v>659</v>
      </c>
      <c r="R78" s="1191"/>
      <c r="S78" s="1242"/>
      <c r="T78" s="1243" t="s">
        <v>660</v>
      </c>
      <c r="U78" s="1191"/>
      <c r="V78" s="1192"/>
      <c r="W78" s="1241" t="s">
        <v>661</v>
      </c>
      <c r="X78" s="1191"/>
      <c r="Y78" s="1242"/>
      <c r="Z78" s="1136"/>
      <c r="AA78" s="1122"/>
      <c r="AC78" s="1245" t="s">
        <v>662</v>
      </c>
      <c r="AD78" s="1126"/>
      <c r="AE78" s="1126"/>
      <c r="AF78" s="1126"/>
      <c r="AG78" s="1126"/>
      <c r="AH78" s="1127"/>
      <c r="AJ78" s="1112" t="s">
        <v>663</v>
      </c>
      <c r="AK78" s="1113"/>
      <c r="AL78" s="1113"/>
      <c r="AM78" s="1113"/>
      <c r="AN78" s="432" t="s">
        <v>664</v>
      </c>
    </row>
    <row r="79" spans="1:44" ht="15.75" customHeight="1" thickBot="1">
      <c r="A79" s="94"/>
      <c r="B79" s="388" t="s">
        <v>367</v>
      </c>
      <c r="C79" s="387" t="s">
        <v>665</v>
      </c>
      <c r="D79" s="389" t="s">
        <v>666</v>
      </c>
      <c r="E79" s="388" t="s">
        <v>367</v>
      </c>
      <c r="F79" s="387" t="s">
        <v>665</v>
      </c>
      <c r="G79" s="389" t="s">
        <v>666</v>
      </c>
      <c r="H79" s="388" t="s">
        <v>367</v>
      </c>
      <c r="I79" s="387" t="s">
        <v>665</v>
      </c>
      <c r="J79" s="389" t="s">
        <v>666</v>
      </c>
      <c r="K79" s="388" t="s">
        <v>367</v>
      </c>
      <c r="L79" s="387" t="s">
        <v>665</v>
      </c>
      <c r="M79" s="390" t="s">
        <v>666</v>
      </c>
      <c r="N79" s="391" t="s">
        <v>367</v>
      </c>
      <c r="O79" s="387" t="s">
        <v>665</v>
      </c>
      <c r="P79" s="389" t="s">
        <v>666</v>
      </c>
      <c r="Q79" s="388" t="s">
        <v>367</v>
      </c>
      <c r="R79" s="387" t="s">
        <v>665</v>
      </c>
      <c r="S79" s="390" t="s">
        <v>666</v>
      </c>
      <c r="T79" s="391" t="s">
        <v>367</v>
      </c>
      <c r="U79" s="387" t="s">
        <v>665</v>
      </c>
      <c r="V79" s="389" t="s">
        <v>666</v>
      </c>
      <c r="W79" s="388" t="s">
        <v>367</v>
      </c>
      <c r="X79" s="387" t="s">
        <v>665</v>
      </c>
      <c r="Y79" s="390" t="s">
        <v>666</v>
      </c>
      <c r="Z79" s="1136"/>
      <c r="AA79" s="1122"/>
      <c r="AC79" s="509"/>
      <c r="AD79" s="482" t="s">
        <v>667</v>
      </c>
      <c r="AE79" s="482" t="s">
        <v>668</v>
      </c>
      <c r="AF79" s="482" t="s">
        <v>669</v>
      </c>
      <c r="AG79" s="482" t="s">
        <v>670</v>
      </c>
      <c r="AH79" s="108" t="s">
        <v>671</v>
      </c>
      <c r="AJ79" s="387" t="s">
        <v>672</v>
      </c>
      <c r="AK79" s="387" t="s">
        <v>673</v>
      </c>
      <c r="AL79" s="387" t="s">
        <v>674</v>
      </c>
      <c r="AM79" s="387" t="s">
        <v>675</v>
      </c>
    </row>
    <row r="80" spans="1:44">
      <c r="A80" s="408" t="str">
        <f>Recap!D8</f>
        <v>McGregor_1</v>
      </c>
      <c r="B80" s="401">
        <f>B2</f>
        <v>26</v>
      </c>
      <c r="C80" s="409">
        <f>IF(C2=0,"",B80-C2)</f>
        <v>20</v>
      </c>
      <c r="D80" s="410">
        <f>IF(D2=0,"",D2-B80)</f>
        <v>34</v>
      </c>
      <c r="E80" s="401">
        <f>E2</f>
        <v>0</v>
      </c>
      <c r="F80" s="409" t="str">
        <f>IF(F2=0,"",E80-F2)</f>
        <v/>
      </c>
      <c r="G80" s="410" t="str">
        <f>IF(G2=0,"",G2-E80)</f>
        <v/>
      </c>
      <c r="H80" s="401">
        <f>H2</f>
        <v>34</v>
      </c>
      <c r="I80" s="409">
        <f>IF(I2=0,"",H80-I2)</f>
        <v>22</v>
      </c>
      <c r="J80" s="410">
        <f>IF(J2=0,"",J2-H80)</f>
        <v>21</v>
      </c>
      <c r="K80" s="401">
        <f>K2</f>
        <v>0</v>
      </c>
      <c r="L80" s="409" t="str">
        <f>IF(L2=0,"",K80-L2)</f>
        <v/>
      </c>
      <c r="M80" s="411" t="str">
        <f>IF(M2=0,"",M2-K80)</f>
        <v/>
      </c>
      <c r="N80" s="412">
        <f>N2</f>
        <v>0</v>
      </c>
      <c r="O80" s="409" t="str">
        <f>IF(O2=0,"",N80-O2)</f>
        <v/>
      </c>
      <c r="P80" s="410" t="str">
        <f>IF(P2=0,"",P2-N80)</f>
        <v/>
      </c>
      <c r="Q80" s="401">
        <f>Q2</f>
        <v>0</v>
      </c>
      <c r="R80" s="409" t="str">
        <f>IF(R2=0,"",Q80-R2)</f>
        <v/>
      </c>
      <c r="S80" s="411" t="str">
        <f>IF(S2=0,"",S2-Q80)</f>
        <v/>
      </c>
      <c r="T80" s="412">
        <f>T2</f>
        <v>0</v>
      </c>
      <c r="U80" s="409" t="str">
        <f>IF(U2=0,"",T80-U2)</f>
        <v/>
      </c>
      <c r="V80" s="410" t="str">
        <f>IF(V2=0,"",V2-T80)</f>
        <v/>
      </c>
      <c r="W80" s="401">
        <f>W2</f>
        <v>0</v>
      </c>
      <c r="X80" s="409" t="str">
        <f>IF(X2=0,"",W80-X2)</f>
        <v/>
      </c>
      <c r="Y80" s="411" t="str">
        <f>IF(Y2=0,"",Y2-W80)</f>
        <v/>
      </c>
      <c r="Z80" s="401" t="str">
        <f>Z2</f>
        <v>N</v>
      </c>
      <c r="AA80" s="402"/>
      <c r="AC80" s="92" t="str">
        <f t="shared" ref="AC80:AC112" si="2">A80</f>
        <v>McGregor_1</v>
      </c>
      <c r="AD80" s="13">
        <f t="shared" ref="AD80:AD106" si="3">IF(B80&gt;0,1,0)</f>
        <v>1</v>
      </c>
      <c r="AE80" s="13">
        <f t="shared" ref="AE80:AE112" si="4">IF(H80&gt;0,1,0)</f>
        <v>1</v>
      </c>
      <c r="AF80" s="13">
        <f t="shared" ref="AF80:AF112" si="5">IF(N80&gt;0,1,0)</f>
        <v>0</v>
      </c>
      <c r="AG80" s="13">
        <f t="shared" ref="AG80:AG112" si="6">IF(T80&gt;0,1,0)</f>
        <v>0</v>
      </c>
      <c r="AH80" s="505">
        <f t="shared" ref="AH80:AH112" si="7">SUM(AD80:AG80)</f>
        <v>2</v>
      </c>
      <c r="AJ80" s="506"/>
      <c r="AK80" s="28"/>
      <c r="AL80" s="506"/>
      <c r="AM80" s="28"/>
      <c r="AN80" s="28"/>
    </row>
    <row r="81" spans="1:41">
      <c r="A81" s="94" t="str">
        <f>Recap!D10</f>
        <v>McGregor_3</v>
      </c>
      <c r="B81" s="385">
        <f t="shared" ref="B81:B98" si="8">B4</f>
        <v>30</v>
      </c>
      <c r="C81" s="413">
        <f t="shared" ref="C81:C98" si="9">IF(C4=0,"",B81-C4)</f>
        <v>7.5</v>
      </c>
      <c r="D81" s="386">
        <f t="shared" ref="D81:D98" si="10">IF(D4=0,"",D4-B81)</f>
        <v>10</v>
      </c>
      <c r="E81" s="385">
        <f t="shared" ref="E81:E98" si="11">E4</f>
        <v>0</v>
      </c>
      <c r="F81" s="413" t="str">
        <f t="shared" ref="F81:F98" si="12">IF(F4=0,"",E81-F4)</f>
        <v/>
      </c>
      <c r="G81" s="386" t="str">
        <f t="shared" ref="G81:G98" si="13">IF(G4=0,"",G4-E81)</f>
        <v/>
      </c>
      <c r="H81" s="385">
        <f t="shared" ref="H81:H98" si="14">H4</f>
        <v>20</v>
      </c>
      <c r="I81" s="413">
        <f t="shared" ref="I81:I98" si="15">IF(I4=0,"",H81-I4)</f>
        <v>5</v>
      </c>
      <c r="J81" s="386">
        <f t="shared" ref="J81:J98" si="16">IF(J4=0,"",J4-H81)</f>
        <v>20</v>
      </c>
      <c r="K81" s="385">
        <f t="shared" ref="K81:K98" si="17">K4</f>
        <v>0</v>
      </c>
      <c r="L81" s="413" t="str">
        <f t="shared" ref="L81:L98" si="18">IF(L4=0,"",K81-L4)</f>
        <v/>
      </c>
      <c r="M81" s="309" t="str">
        <f t="shared" ref="M81:M98" si="19">IF(M4=0,"",M4-K81)</f>
        <v/>
      </c>
      <c r="N81" s="392">
        <f t="shared" ref="N81:N98" si="20">N4</f>
        <v>0</v>
      </c>
      <c r="O81" s="413" t="str">
        <f t="shared" ref="O81:O98" si="21">IF(O4=0,"",N81-O4)</f>
        <v/>
      </c>
      <c r="P81" s="386" t="str">
        <f t="shared" ref="P81:P98" si="22">IF(P4=0,"",P4-N81)</f>
        <v/>
      </c>
      <c r="Q81" s="385">
        <f t="shared" ref="Q81:Q98" si="23">Q4</f>
        <v>0</v>
      </c>
      <c r="R81" s="413" t="str">
        <f t="shared" ref="R81:R98" si="24">IF(R4=0,"",Q81-R4)</f>
        <v/>
      </c>
      <c r="S81" s="309" t="str">
        <f t="shared" ref="S81:S98" si="25">IF(S4=0,"",S4-Q81)</f>
        <v/>
      </c>
      <c r="T81" s="392">
        <f t="shared" ref="T81:T98" si="26">T4</f>
        <v>0</v>
      </c>
      <c r="U81" s="413" t="str">
        <f t="shared" ref="U81:U98" si="27">IF(U4=0,"",T81-U4)</f>
        <v/>
      </c>
      <c r="V81" s="386" t="str">
        <f t="shared" ref="V81:V98" si="28">IF(V4=0,"",V4-T81)</f>
        <v/>
      </c>
      <c r="W81" s="385">
        <f t="shared" ref="W81:W98" si="29">W4</f>
        <v>0</v>
      </c>
      <c r="X81" s="413" t="str">
        <f t="shared" ref="X81:X98" si="30">IF(X4=0,"",W81-X4)</f>
        <v/>
      </c>
      <c r="Y81" s="309" t="str">
        <f t="shared" ref="Y81:Y98" si="31">IF(Y4=0,"",Y4-W81)</f>
        <v/>
      </c>
      <c r="Z81" s="385" t="str">
        <f t="shared" ref="Z81:Z98" si="32">Z4</f>
        <v>Y</v>
      </c>
      <c r="AA81" s="403"/>
      <c r="AC81" s="509" t="str">
        <f t="shared" si="2"/>
        <v>McGregor_3</v>
      </c>
      <c r="AD81" s="51">
        <f t="shared" si="3"/>
        <v>1</v>
      </c>
      <c r="AE81" s="51">
        <f t="shared" si="4"/>
        <v>1</v>
      </c>
      <c r="AF81" s="51">
        <f t="shared" si="5"/>
        <v>0</v>
      </c>
      <c r="AG81" s="51">
        <f t="shared" si="6"/>
        <v>0</v>
      </c>
      <c r="AH81" s="108">
        <f t="shared" si="7"/>
        <v>2</v>
      </c>
      <c r="AJ81" s="506"/>
      <c r="AK81" s="28"/>
      <c r="AL81" s="506"/>
      <c r="AM81" s="28"/>
      <c r="AN81" s="28"/>
    </row>
    <row r="82" spans="1:41">
      <c r="A82" s="94" t="str">
        <f>Recap!D11</f>
        <v>McGregor_4</v>
      </c>
      <c r="B82" s="385">
        <f t="shared" si="8"/>
        <v>0</v>
      </c>
      <c r="C82" s="413" t="str">
        <f t="shared" si="9"/>
        <v/>
      </c>
      <c r="D82" s="386" t="str">
        <f t="shared" si="10"/>
        <v/>
      </c>
      <c r="E82" s="385">
        <f t="shared" si="11"/>
        <v>0</v>
      </c>
      <c r="F82" s="413" t="str">
        <f t="shared" si="12"/>
        <v/>
      </c>
      <c r="G82" s="386" t="str">
        <f t="shared" si="13"/>
        <v/>
      </c>
      <c r="H82" s="385">
        <f t="shared" si="14"/>
        <v>0</v>
      </c>
      <c r="I82" s="413" t="str">
        <f t="shared" si="15"/>
        <v/>
      </c>
      <c r="J82" s="386" t="str">
        <f t="shared" si="16"/>
        <v/>
      </c>
      <c r="K82" s="385">
        <f t="shared" si="17"/>
        <v>0</v>
      </c>
      <c r="L82" s="413" t="str">
        <f t="shared" si="18"/>
        <v/>
      </c>
      <c r="M82" s="309" t="str">
        <f t="shared" si="19"/>
        <v/>
      </c>
      <c r="N82" s="392">
        <f t="shared" si="20"/>
        <v>0</v>
      </c>
      <c r="O82" s="413" t="str">
        <f t="shared" si="21"/>
        <v/>
      </c>
      <c r="P82" s="386" t="str">
        <f t="shared" si="22"/>
        <v/>
      </c>
      <c r="Q82" s="385">
        <f t="shared" si="23"/>
        <v>0</v>
      </c>
      <c r="R82" s="413" t="str">
        <f t="shared" si="24"/>
        <v/>
      </c>
      <c r="S82" s="309" t="str">
        <f t="shared" si="25"/>
        <v/>
      </c>
      <c r="T82" s="392">
        <f t="shared" si="26"/>
        <v>0</v>
      </c>
      <c r="U82" s="413" t="str">
        <f t="shared" si="27"/>
        <v/>
      </c>
      <c r="V82" s="386" t="str">
        <f t="shared" si="28"/>
        <v/>
      </c>
      <c r="W82" s="385">
        <f t="shared" si="29"/>
        <v>0</v>
      </c>
      <c r="X82" s="413" t="str">
        <f t="shared" si="30"/>
        <v/>
      </c>
      <c r="Y82" s="309" t="str">
        <f t="shared" si="31"/>
        <v/>
      </c>
      <c r="Z82" s="385" t="str">
        <f t="shared" si="32"/>
        <v>Y</v>
      </c>
      <c r="AA82" s="403"/>
      <c r="AC82" s="509" t="str">
        <f t="shared" si="2"/>
        <v>McGregor_4</v>
      </c>
      <c r="AD82" s="51">
        <f t="shared" si="3"/>
        <v>0</v>
      </c>
      <c r="AE82" s="51">
        <f t="shared" si="4"/>
        <v>0</v>
      </c>
      <c r="AF82" s="51">
        <f t="shared" si="5"/>
        <v>0</v>
      </c>
      <c r="AG82" s="51">
        <f t="shared" si="6"/>
        <v>0</v>
      </c>
      <c r="AH82" s="108">
        <f t="shared" si="7"/>
        <v>0</v>
      </c>
      <c r="AJ82" s="506"/>
      <c r="AK82" s="28"/>
      <c r="AL82" s="506"/>
      <c r="AM82" s="28"/>
      <c r="AN82" s="28"/>
    </row>
    <row r="83" spans="1:41" ht="15.75" customHeight="1" thickBot="1">
      <c r="A83" s="398" t="str">
        <f>Recap!D12</f>
        <v>McGregor_5</v>
      </c>
      <c r="B83" s="393">
        <f t="shared" si="8"/>
        <v>62</v>
      </c>
      <c r="C83" s="394">
        <f t="shared" si="9"/>
        <v>22</v>
      </c>
      <c r="D83" s="395">
        <f t="shared" si="10"/>
        <v>8</v>
      </c>
      <c r="E83" s="393">
        <f t="shared" si="11"/>
        <v>0</v>
      </c>
      <c r="F83" s="394" t="str">
        <f t="shared" si="12"/>
        <v/>
      </c>
      <c r="G83" s="395" t="str">
        <f t="shared" si="13"/>
        <v/>
      </c>
      <c r="H83" s="393">
        <f t="shared" si="14"/>
        <v>67</v>
      </c>
      <c r="I83" s="394">
        <f t="shared" si="15"/>
        <v>27</v>
      </c>
      <c r="J83" s="395">
        <f t="shared" si="16"/>
        <v>13</v>
      </c>
      <c r="K83" s="393">
        <f t="shared" si="17"/>
        <v>0</v>
      </c>
      <c r="L83" s="394" t="str">
        <f t="shared" si="18"/>
        <v/>
      </c>
      <c r="M83" s="396" t="str">
        <f t="shared" si="19"/>
        <v/>
      </c>
      <c r="N83" s="397">
        <f t="shared" si="20"/>
        <v>0</v>
      </c>
      <c r="O83" s="394" t="str">
        <f t="shared" si="21"/>
        <v/>
      </c>
      <c r="P83" s="395" t="str">
        <f t="shared" si="22"/>
        <v/>
      </c>
      <c r="Q83" s="393">
        <f t="shared" si="23"/>
        <v>0</v>
      </c>
      <c r="R83" s="394" t="str">
        <f t="shared" si="24"/>
        <v/>
      </c>
      <c r="S83" s="396" t="str">
        <f t="shared" si="25"/>
        <v/>
      </c>
      <c r="T83" s="397">
        <f t="shared" si="26"/>
        <v>0</v>
      </c>
      <c r="U83" s="394" t="str">
        <f t="shared" si="27"/>
        <v/>
      </c>
      <c r="V83" s="395" t="str">
        <f t="shared" si="28"/>
        <v/>
      </c>
      <c r="W83" s="393">
        <f t="shared" si="29"/>
        <v>0</v>
      </c>
      <c r="X83" s="394" t="str">
        <f t="shared" si="30"/>
        <v/>
      </c>
      <c r="Y83" s="396" t="str">
        <f t="shared" si="31"/>
        <v/>
      </c>
      <c r="Z83" s="393" t="str">
        <f t="shared" si="32"/>
        <v>N</v>
      </c>
      <c r="AA83" s="404"/>
      <c r="AC83" s="511" t="str">
        <f t="shared" si="2"/>
        <v>McGregor_5</v>
      </c>
      <c r="AD83" s="6">
        <f t="shared" si="3"/>
        <v>1</v>
      </c>
      <c r="AE83" s="6">
        <f t="shared" si="4"/>
        <v>1</v>
      </c>
      <c r="AF83" s="6">
        <f t="shared" si="5"/>
        <v>0</v>
      </c>
      <c r="AG83" s="6">
        <f t="shared" si="6"/>
        <v>0</v>
      </c>
      <c r="AH83" s="288">
        <f t="shared" si="7"/>
        <v>2</v>
      </c>
      <c r="AJ83" s="506"/>
      <c r="AK83" s="28"/>
      <c r="AL83" s="506"/>
      <c r="AM83" s="28"/>
      <c r="AN83" s="28"/>
    </row>
    <row r="84" spans="1:41">
      <c r="A84" s="408" t="str">
        <f>Recap!D13</f>
        <v>Medina_1</v>
      </c>
      <c r="B84" s="401">
        <f t="shared" si="8"/>
        <v>74.5</v>
      </c>
      <c r="C84" s="409">
        <f t="shared" si="9"/>
        <v>3.5</v>
      </c>
      <c r="D84" s="410">
        <f t="shared" si="10"/>
        <v>5.5</v>
      </c>
      <c r="E84" s="401">
        <f t="shared" si="11"/>
        <v>0</v>
      </c>
      <c r="F84" s="409" t="str">
        <f t="shared" si="12"/>
        <v/>
      </c>
      <c r="G84" s="410" t="str">
        <f t="shared" si="13"/>
        <v/>
      </c>
      <c r="H84" s="401">
        <f t="shared" si="14"/>
        <v>37</v>
      </c>
      <c r="I84" s="409">
        <f t="shared" si="15"/>
        <v>4</v>
      </c>
      <c r="J84" s="410">
        <f t="shared" si="16"/>
        <v>4</v>
      </c>
      <c r="K84" s="401">
        <f t="shared" si="17"/>
        <v>0</v>
      </c>
      <c r="L84" s="409" t="str">
        <f t="shared" si="18"/>
        <v/>
      </c>
      <c r="M84" s="411" t="str">
        <f t="shared" si="19"/>
        <v/>
      </c>
      <c r="N84" s="412">
        <f t="shared" si="20"/>
        <v>0</v>
      </c>
      <c r="O84" s="409" t="str">
        <f t="shared" si="21"/>
        <v/>
      </c>
      <c r="P84" s="410" t="str">
        <f t="shared" si="22"/>
        <v/>
      </c>
      <c r="Q84" s="401">
        <f t="shared" si="23"/>
        <v>0</v>
      </c>
      <c r="R84" s="409" t="str">
        <f t="shared" si="24"/>
        <v/>
      </c>
      <c r="S84" s="411" t="str">
        <f t="shared" si="25"/>
        <v/>
      </c>
      <c r="T84" s="412">
        <f t="shared" si="26"/>
        <v>0</v>
      </c>
      <c r="U84" s="409" t="str">
        <f t="shared" si="27"/>
        <v/>
      </c>
      <c r="V84" s="410" t="str">
        <f t="shared" si="28"/>
        <v/>
      </c>
      <c r="W84" s="401">
        <f t="shared" si="29"/>
        <v>0</v>
      </c>
      <c r="X84" s="409" t="str">
        <f t="shared" si="30"/>
        <v/>
      </c>
      <c r="Y84" s="411" t="str">
        <f t="shared" si="31"/>
        <v/>
      </c>
      <c r="Z84" s="401" t="str">
        <f t="shared" si="32"/>
        <v>N</v>
      </c>
      <c r="AA84" s="402"/>
      <c r="AC84" s="92" t="str">
        <f t="shared" si="2"/>
        <v>Medina_1</v>
      </c>
      <c r="AD84" s="13">
        <f t="shared" si="3"/>
        <v>1</v>
      </c>
      <c r="AE84" s="13">
        <f t="shared" si="4"/>
        <v>1</v>
      </c>
      <c r="AF84" s="13">
        <f t="shared" si="5"/>
        <v>0</v>
      </c>
      <c r="AG84" s="13">
        <f t="shared" si="6"/>
        <v>0</v>
      </c>
      <c r="AH84" s="505">
        <f t="shared" si="7"/>
        <v>2</v>
      </c>
      <c r="AJ84" s="506"/>
      <c r="AK84" s="28">
        <f>1702/60</f>
        <v>28.366666666666667</v>
      </c>
      <c r="AL84" s="506">
        <v>87</v>
      </c>
      <c r="AM84" s="28">
        <f>AK84</f>
        <v>28.366666666666667</v>
      </c>
      <c r="AN84" s="28">
        <f>1998/60</f>
        <v>33.299999999999997</v>
      </c>
    </row>
    <row r="85" spans="1:41">
      <c r="A85" s="94" t="str">
        <f>Recap!D14</f>
        <v>Medina_2</v>
      </c>
      <c r="B85" s="385">
        <f t="shared" si="8"/>
        <v>56</v>
      </c>
      <c r="C85" s="413">
        <f t="shared" si="9"/>
        <v>2</v>
      </c>
      <c r="D85" s="386">
        <f t="shared" si="10"/>
        <v>4</v>
      </c>
      <c r="E85" s="385">
        <f t="shared" si="11"/>
        <v>0</v>
      </c>
      <c r="F85" s="413" t="str">
        <f t="shared" si="12"/>
        <v/>
      </c>
      <c r="G85" s="386" t="str">
        <f t="shared" si="13"/>
        <v/>
      </c>
      <c r="H85" s="385">
        <f t="shared" si="14"/>
        <v>11.5</v>
      </c>
      <c r="I85" s="413">
        <f t="shared" si="15"/>
        <v>0.5</v>
      </c>
      <c r="J85" s="386">
        <f t="shared" si="16"/>
        <v>0.5</v>
      </c>
      <c r="K85" s="385">
        <f t="shared" si="17"/>
        <v>0</v>
      </c>
      <c r="L85" s="413" t="str">
        <f t="shared" si="18"/>
        <v/>
      </c>
      <c r="M85" s="309" t="str">
        <f t="shared" si="19"/>
        <v/>
      </c>
      <c r="N85" s="392">
        <f t="shared" si="20"/>
        <v>0</v>
      </c>
      <c r="O85" s="413" t="str">
        <f t="shared" si="21"/>
        <v/>
      </c>
      <c r="P85" s="386" t="str">
        <f t="shared" si="22"/>
        <v/>
      </c>
      <c r="Q85" s="385">
        <f t="shared" si="23"/>
        <v>0</v>
      </c>
      <c r="R85" s="413" t="str">
        <f t="shared" si="24"/>
        <v/>
      </c>
      <c r="S85" s="309" t="str">
        <f t="shared" si="25"/>
        <v/>
      </c>
      <c r="T85" s="392">
        <f t="shared" si="26"/>
        <v>0</v>
      </c>
      <c r="U85" s="413" t="str">
        <f t="shared" si="27"/>
        <v/>
      </c>
      <c r="V85" s="386" t="str">
        <f t="shared" si="28"/>
        <v/>
      </c>
      <c r="W85" s="385">
        <f t="shared" si="29"/>
        <v>0</v>
      </c>
      <c r="X85" s="413" t="str">
        <f t="shared" si="30"/>
        <v/>
      </c>
      <c r="Y85" s="309" t="str">
        <f t="shared" si="31"/>
        <v/>
      </c>
      <c r="Z85" s="385" t="str">
        <f t="shared" si="32"/>
        <v>N</v>
      </c>
      <c r="AA85" s="403"/>
      <c r="AC85" s="509" t="str">
        <f t="shared" si="2"/>
        <v>Medina_2</v>
      </c>
      <c r="AD85" s="51">
        <f t="shared" si="3"/>
        <v>1</v>
      </c>
      <c r="AE85" s="51">
        <f t="shared" si="4"/>
        <v>1</v>
      </c>
      <c r="AF85" s="51">
        <f t="shared" si="5"/>
        <v>0</v>
      </c>
      <c r="AG85" s="51">
        <f t="shared" si="6"/>
        <v>0</v>
      </c>
      <c r="AH85" s="108">
        <f t="shared" si="7"/>
        <v>2</v>
      </c>
      <c r="AJ85" s="506"/>
      <c r="AK85" s="28">
        <f>1598/60</f>
        <v>26.633333333333333</v>
      </c>
      <c r="AL85" s="506">
        <v>45</v>
      </c>
      <c r="AM85" s="28">
        <f>AK85</f>
        <v>26.633333333333333</v>
      </c>
      <c r="AN85" s="28">
        <f>1938/60</f>
        <v>32.299999999999997</v>
      </c>
    </row>
    <row r="86" spans="1:41" ht="16.5" customHeight="1" thickBot="1">
      <c r="A86" s="398" t="str">
        <f>Recap!D15</f>
        <v>Medina_3</v>
      </c>
      <c r="B86" s="393">
        <f t="shared" si="8"/>
        <v>33.25</v>
      </c>
      <c r="C86" s="394">
        <f t="shared" si="9"/>
        <v>12.25</v>
      </c>
      <c r="D86" s="395">
        <f t="shared" si="10"/>
        <v>10.75</v>
      </c>
      <c r="E86" s="393">
        <f t="shared" si="11"/>
        <v>0</v>
      </c>
      <c r="F86" s="394" t="str">
        <f t="shared" si="12"/>
        <v/>
      </c>
      <c r="G86" s="395" t="str">
        <f t="shared" si="13"/>
        <v/>
      </c>
      <c r="H86" s="393">
        <f t="shared" si="14"/>
        <v>0</v>
      </c>
      <c r="I86" s="394" t="str">
        <f t="shared" si="15"/>
        <v/>
      </c>
      <c r="J86" s="395" t="str">
        <f t="shared" si="16"/>
        <v/>
      </c>
      <c r="K86" s="393">
        <f t="shared" si="17"/>
        <v>0</v>
      </c>
      <c r="L86" s="394" t="str">
        <f t="shared" si="18"/>
        <v/>
      </c>
      <c r="M86" s="396" t="str">
        <f t="shared" si="19"/>
        <v/>
      </c>
      <c r="N86" s="397">
        <f t="shared" si="20"/>
        <v>0</v>
      </c>
      <c r="O86" s="394" t="str">
        <f t="shared" si="21"/>
        <v/>
      </c>
      <c r="P86" s="395" t="str">
        <f t="shared" si="22"/>
        <v/>
      </c>
      <c r="Q86" s="393">
        <f t="shared" si="23"/>
        <v>0</v>
      </c>
      <c r="R86" s="394" t="str">
        <f t="shared" si="24"/>
        <v/>
      </c>
      <c r="S86" s="396" t="str">
        <f t="shared" si="25"/>
        <v/>
      </c>
      <c r="T86" s="397">
        <f t="shared" si="26"/>
        <v>0</v>
      </c>
      <c r="U86" s="394" t="str">
        <f t="shared" si="27"/>
        <v/>
      </c>
      <c r="V86" s="395" t="str">
        <f t="shared" si="28"/>
        <v/>
      </c>
      <c r="W86" s="393">
        <f t="shared" si="29"/>
        <v>0</v>
      </c>
      <c r="X86" s="394" t="str">
        <f t="shared" si="30"/>
        <v/>
      </c>
      <c r="Y86" s="396" t="str">
        <f t="shared" si="31"/>
        <v/>
      </c>
      <c r="Z86" s="393" t="str">
        <f t="shared" si="32"/>
        <v>Y</v>
      </c>
      <c r="AA86" s="404"/>
      <c r="AC86" s="511" t="str">
        <f t="shared" si="2"/>
        <v>Medina_3</v>
      </c>
      <c r="AD86" s="6">
        <f t="shared" si="3"/>
        <v>1</v>
      </c>
      <c r="AE86" s="6">
        <f t="shared" si="4"/>
        <v>0</v>
      </c>
      <c r="AF86" s="6">
        <f t="shared" si="5"/>
        <v>0</v>
      </c>
      <c r="AG86" s="6">
        <f t="shared" si="6"/>
        <v>0</v>
      </c>
      <c r="AH86" s="288">
        <f t="shared" si="7"/>
        <v>1</v>
      </c>
      <c r="AJ86" s="506"/>
      <c r="AK86" s="28">
        <f>1632/60</f>
        <v>27.2</v>
      </c>
      <c r="AL86" s="506"/>
      <c r="AM86" s="28">
        <f>AK86</f>
        <v>27.2</v>
      </c>
      <c r="AN86" s="28">
        <f>1968/60</f>
        <v>32.799999999999997</v>
      </c>
    </row>
    <row r="87" spans="1:41">
      <c r="A87" s="408" t="str">
        <f>Recap!D16</f>
        <v>NRCC&amp;NIST_1</v>
      </c>
      <c r="B87" s="401">
        <f t="shared" si="8"/>
        <v>0</v>
      </c>
      <c r="C87" s="409" t="str">
        <f t="shared" si="9"/>
        <v/>
      </c>
      <c r="D87" s="410" t="str">
        <f t="shared" si="10"/>
        <v/>
      </c>
      <c r="E87" s="401">
        <f t="shared" si="11"/>
        <v>0</v>
      </c>
      <c r="F87" s="409" t="str">
        <f t="shared" si="12"/>
        <v/>
      </c>
      <c r="G87" s="410" t="str">
        <f t="shared" si="13"/>
        <v/>
      </c>
      <c r="H87" s="401">
        <f t="shared" si="14"/>
        <v>0</v>
      </c>
      <c r="I87" s="409" t="str">
        <f t="shared" si="15"/>
        <v/>
      </c>
      <c r="J87" s="410" t="str">
        <f t="shared" si="16"/>
        <v/>
      </c>
      <c r="K87" s="401">
        <f t="shared" si="17"/>
        <v>0</v>
      </c>
      <c r="L87" s="409" t="str">
        <f t="shared" si="18"/>
        <v/>
      </c>
      <c r="M87" s="411" t="str">
        <f t="shared" si="19"/>
        <v/>
      </c>
      <c r="N87" s="412">
        <f t="shared" si="20"/>
        <v>0</v>
      </c>
      <c r="O87" s="409" t="str">
        <f t="shared" si="21"/>
        <v/>
      </c>
      <c r="P87" s="410" t="str">
        <f t="shared" si="22"/>
        <v/>
      </c>
      <c r="Q87" s="401">
        <f t="shared" si="23"/>
        <v>0</v>
      </c>
      <c r="R87" s="409" t="str">
        <f t="shared" si="24"/>
        <v/>
      </c>
      <c r="S87" s="411" t="str">
        <f t="shared" si="25"/>
        <v/>
      </c>
      <c r="T87" s="412">
        <f t="shared" si="26"/>
        <v>0</v>
      </c>
      <c r="U87" s="409" t="str">
        <f t="shared" si="27"/>
        <v/>
      </c>
      <c r="V87" s="410" t="str">
        <f t="shared" si="28"/>
        <v/>
      </c>
      <c r="W87" s="401">
        <f t="shared" si="29"/>
        <v>0</v>
      </c>
      <c r="X87" s="409" t="str">
        <f t="shared" si="30"/>
        <v/>
      </c>
      <c r="Y87" s="411" t="str">
        <f t="shared" si="31"/>
        <v/>
      </c>
      <c r="Z87" s="401" t="str">
        <f t="shared" si="32"/>
        <v>Y</v>
      </c>
      <c r="AA87" s="402"/>
      <c r="AC87" s="92" t="str">
        <f t="shared" si="2"/>
        <v>NRCC&amp;NIST_1</v>
      </c>
      <c r="AD87" s="13">
        <f t="shared" si="3"/>
        <v>0</v>
      </c>
      <c r="AE87" s="13">
        <f t="shared" si="4"/>
        <v>0</v>
      </c>
      <c r="AF87" s="13">
        <f t="shared" si="5"/>
        <v>0</v>
      </c>
      <c r="AG87" s="13">
        <f t="shared" si="6"/>
        <v>0</v>
      </c>
      <c r="AH87" s="505">
        <f t="shared" si="7"/>
        <v>0</v>
      </c>
      <c r="AJ87" s="506"/>
      <c r="AK87" s="28"/>
      <c r="AL87" s="506"/>
      <c r="AM87" s="28"/>
      <c r="AN87" s="28"/>
    </row>
    <row r="88" spans="1:41">
      <c r="A88" s="94" t="str">
        <f>Recap!D17</f>
        <v>NRCC&amp;NIST_2</v>
      </c>
      <c r="B88" s="385">
        <f t="shared" si="8"/>
        <v>0</v>
      </c>
      <c r="C88" s="413" t="str">
        <f t="shared" si="9"/>
        <v/>
      </c>
      <c r="D88" s="386" t="str">
        <f t="shared" si="10"/>
        <v/>
      </c>
      <c r="E88" s="385">
        <f t="shared" si="11"/>
        <v>0</v>
      </c>
      <c r="F88" s="413" t="str">
        <f t="shared" si="12"/>
        <v/>
      </c>
      <c r="G88" s="386" t="str">
        <f t="shared" si="13"/>
        <v/>
      </c>
      <c r="H88" s="385">
        <f t="shared" si="14"/>
        <v>0</v>
      </c>
      <c r="I88" s="413">
        <f t="shared" si="15"/>
        <v>-0.1</v>
      </c>
      <c r="J88" s="386">
        <f t="shared" si="16"/>
        <v>10</v>
      </c>
      <c r="K88" s="385">
        <f t="shared" si="17"/>
        <v>0</v>
      </c>
      <c r="L88" s="413" t="str">
        <f t="shared" si="18"/>
        <v/>
      </c>
      <c r="M88" s="309" t="str">
        <f t="shared" si="19"/>
        <v/>
      </c>
      <c r="N88" s="392">
        <f t="shared" si="20"/>
        <v>0</v>
      </c>
      <c r="O88" s="413" t="str">
        <f t="shared" si="21"/>
        <v/>
      </c>
      <c r="P88" s="386" t="str">
        <f t="shared" si="22"/>
        <v/>
      </c>
      <c r="Q88" s="385">
        <f t="shared" si="23"/>
        <v>0</v>
      </c>
      <c r="R88" s="413" t="str">
        <f t="shared" si="24"/>
        <v/>
      </c>
      <c r="S88" s="309" t="str">
        <f t="shared" si="25"/>
        <v/>
      </c>
      <c r="T88" s="392">
        <f t="shared" si="26"/>
        <v>0</v>
      </c>
      <c r="U88" s="413" t="str">
        <f t="shared" si="27"/>
        <v/>
      </c>
      <c r="V88" s="386" t="str">
        <f t="shared" si="28"/>
        <v/>
      </c>
      <c r="W88" s="385">
        <f t="shared" si="29"/>
        <v>0</v>
      </c>
      <c r="X88" s="413" t="str">
        <f t="shared" si="30"/>
        <v/>
      </c>
      <c r="Y88" s="309" t="str">
        <f t="shared" si="31"/>
        <v/>
      </c>
      <c r="Z88" s="385" t="str">
        <f t="shared" si="32"/>
        <v>Y</v>
      </c>
      <c r="AA88" s="403"/>
      <c r="AC88" s="509" t="str">
        <f t="shared" si="2"/>
        <v>NRCC&amp;NIST_2</v>
      </c>
      <c r="AD88" s="51">
        <f t="shared" si="3"/>
        <v>0</v>
      </c>
      <c r="AE88" s="51">
        <f t="shared" si="4"/>
        <v>0</v>
      </c>
      <c r="AF88" s="51">
        <f t="shared" si="5"/>
        <v>0</v>
      </c>
      <c r="AG88" s="51">
        <f t="shared" si="6"/>
        <v>0</v>
      </c>
      <c r="AH88" s="108">
        <f t="shared" si="7"/>
        <v>0</v>
      </c>
      <c r="AJ88" s="506"/>
      <c r="AK88" s="28"/>
      <c r="AL88" s="506"/>
      <c r="AM88" s="28"/>
      <c r="AN88" s="28"/>
    </row>
    <row r="89" spans="1:41">
      <c r="A89" s="94" t="str">
        <f>Recap!D18</f>
        <v>NRCC&amp;NIST_3</v>
      </c>
      <c r="B89" s="385">
        <f t="shared" si="8"/>
        <v>27.5</v>
      </c>
      <c r="C89" s="413">
        <f t="shared" si="9"/>
        <v>7.5</v>
      </c>
      <c r="D89" s="386">
        <f t="shared" si="10"/>
        <v>7.5</v>
      </c>
      <c r="E89" s="385">
        <f t="shared" si="11"/>
        <v>0</v>
      </c>
      <c r="F89" s="413" t="str">
        <f t="shared" si="12"/>
        <v/>
      </c>
      <c r="G89" s="386" t="str">
        <f t="shared" si="13"/>
        <v/>
      </c>
      <c r="H89" s="385">
        <f t="shared" si="14"/>
        <v>0</v>
      </c>
      <c r="I89" s="413" t="str">
        <f t="shared" si="15"/>
        <v/>
      </c>
      <c r="J89" s="386" t="str">
        <f t="shared" si="16"/>
        <v/>
      </c>
      <c r="K89" s="385">
        <f t="shared" si="17"/>
        <v>0</v>
      </c>
      <c r="L89" s="413" t="str">
        <f t="shared" si="18"/>
        <v/>
      </c>
      <c r="M89" s="309" t="str">
        <f t="shared" si="19"/>
        <v/>
      </c>
      <c r="N89" s="392">
        <f t="shared" si="20"/>
        <v>0</v>
      </c>
      <c r="O89" s="413" t="str">
        <f t="shared" si="21"/>
        <v/>
      </c>
      <c r="P89" s="386" t="str">
        <f t="shared" si="22"/>
        <v/>
      </c>
      <c r="Q89" s="385">
        <f t="shared" si="23"/>
        <v>0</v>
      </c>
      <c r="R89" s="413" t="str">
        <f t="shared" si="24"/>
        <v/>
      </c>
      <c r="S89" s="309" t="str">
        <f t="shared" si="25"/>
        <v/>
      </c>
      <c r="T89" s="392">
        <f t="shared" si="26"/>
        <v>0</v>
      </c>
      <c r="U89" s="413" t="str">
        <f t="shared" si="27"/>
        <v/>
      </c>
      <c r="V89" s="386" t="str">
        <f t="shared" si="28"/>
        <v/>
      </c>
      <c r="W89" s="385">
        <f t="shared" si="29"/>
        <v>0</v>
      </c>
      <c r="X89" s="413" t="str">
        <f t="shared" si="30"/>
        <v/>
      </c>
      <c r="Y89" s="309" t="str">
        <f t="shared" si="31"/>
        <v/>
      </c>
      <c r="Z89" s="385" t="str">
        <f t="shared" si="32"/>
        <v>Y</v>
      </c>
      <c r="AA89" s="403"/>
      <c r="AC89" s="509" t="str">
        <f t="shared" si="2"/>
        <v>NRCC&amp;NIST_3</v>
      </c>
      <c r="AD89" s="51">
        <f t="shared" si="3"/>
        <v>1</v>
      </c>
      <c r="AE89" s="51">
        <f t="shared" si="4"/>
        <v>0</v>
      </c>
      <c r="AF89" s="51">
        <f t="shared" si="5"/>
        <v>0</v>
      </c>
      <c r="AG89" s="51">
        <f t="shared" si="6"/>
        <v>0</v>
      </c>
      <c r="AH89" s="108">
        <f t="shared" si="7"/>
        <v>1</v>
      </c>
      <c r="AJ89" s="506" t="s">
        <v>676</v>
      </c>
      <c r="AK89" s="28">
        <f>1950/60</f>
        <v>32.5</v>
      </c>
      <c r="AL89" s="506" t="s">
        <v>677</v>
      </c>
      <c r="AM89" s="28">
        <f>2025/60</f>
        <v>33.75</v>
      </c>
      <c r="AN89" s="28">
        <f>2475/60</f>
        <v>41.25</v>
      </c>
    </row>
    <row r="90" spans="1:41">
      <c r="A90" s="94" t="str">
        <f>Recap!D19</f>
        <v>NRCC&amp;NIST_4</v>
      </c>
      <c r="B90" s="385">
        <f t="shared" si="8"/>
        <v>0</v>
      </c>
      <c r="C90" s="413" t="str">
        <f t="shared" si="9"/>
        <v/>
      </c>
      <c r="D90" s="386" t="str">
        <f t="shared" si="10"/>
        <v/>
      </c>
      <c r="E90" s="385">
        <f t="shared" si="11"/>
        <v>0</v>
      </c>
      <c r="F90" s="413" t="str">
        <f t="shared" si="12"/>
        <v/>
      </c>
      <c r="G90" s="386" t="str">
        <f t="shared" si="13"/>
        <v/>
      </c>
      <c r="H90" s="385">
        <f t="shared" si="14"/>
        <v>78.625</v>
      </c>
      <c r="I90" s="413">
        <f t="shared" si="15"/>
        <v>10.625</v>
      </c>
      <c r="J90" s="386">
        <f t="shared" si="16"/>
        <v>11.375</v>
      </c>
      <c r="K90" s="385">
        <f t="shared" si="17"/>
        <v>0</v>
      </c>
      <c r="L90" s="413" t="str">
        <f t="shared" si="18"/>
        <v/>
      </c>
      <c r="M90" s="309" t="str">
        <f t="shared" si="19"/>
        <v/>
      </c>
      <c r="N90" s="392">
        <f t="shared" si="20"/>
        <v>0</v>
      </c>
      <c r="O90" s="413" t="str">
        <f t="shared" si="21"/>
        <v/>
      </c>
      <c r="P90" s="386" t="str">
        <f t="shared" si="22"/>
        <v/>
      </c>
      <c r="Q90" s="385">
        <f t="shared" si="23"/>
        <v>0</v>
      </c>
      <c r="R90" s="413" t="str">
        <f t="shared" si="24"/>
        <v/>
      </c>
      <c r="S90" s="309" t="str">
        <f t="shared" si="25"/>
        <v/>
      </c>
      <c r="T90" s="392">
        <f t="shared" si="26"/>
        <v>0</v>
      </c>
      <c r="U90" s="413" t="str">
        <f t="shared" si="27"/>
        <v/>
      </c>
      <c r="V90" s="386" t="str">
        <f t="shared" si="28"/>
        <v/>
      </c>
      <c r="W90" s="385">
        <f t="shared" si="29"/>
        <v>0</v>
      </c>
      <c r="X90" s="413" t="str">
        <f t="shared" si="30"/>
        <v/>
      </c>
      <c r="Y90" s="309" t="str">
        <f t="shared" si="31"/>
        <v/>
      </c>
      <c r="Z90" s="385" t="str">
        <f t="shared" si="32"/>
        <v>N</v>
      </c>
      <c r="AA90" s="403"/>
      <c r="AC90" s="509" t="str">
        <f t="shared" si="2"/>
        <v>NRCC&amp;NIST_4</v>
      </c>
      <c r="AD90" s="51">
        <f t="shared" si="3"/>
        <v>0</v>
      </c>
      <c r="AE90" s="51">
        <f t="shared" si="4"/>
        <v>1</v>
      </c>
      <c r="AF90" s="51">
        <f t="shared" si="5"/>
        <v>0</v>
      </c>
      <c r="AG90" s="51">
        <f t="shared" si="6"/>
        <v>0</v>
      </c>
      <c r="AH90" s="108">
        <f t="shared" si="7"/>
        <v>1</v>
      </c>
      <c r="AJ90" s="506" t="s">
        <v>678</v>
      </c>
      <c r="AK90" s="28">
        <f>3450/60</f>
        <v>57.5</v>
      </c>
      <c r="AL90" s="506" t="s">
        <v>483</v>
      </c>
      <c r="AM90" s="28" t="s">
        <v>483</v>
      </c>
      <c r="AN90" s="28">
        <f>4500/60</f>
        <v>75</v>
      </c>
    </row>
    <row r="91" spans="1:41">
      <c r="A91" s="94" t="str">
        <f>Recap!D20</f>
        <v>NRCC&amp;NIST_5</v>
      </c>
      <c r="B91" s="385">
        <f t="shared" si="8"/>
        <v>131.28125</v>
      </c>
      <c r="C91" s="413">
        <f t="shared" si="9"/>
        <v>29.28125</v>
      </c>
      <c r="D91" s="386">
        <f t="shared" si="10"/>
        <v>9.71875</v>
      </c>
      <c r="E91" s="385">
        <f t="shared" si="11"/>
        <v>0</v>
      </c>
      <c r="F91" s="413" t="str">
        <f t="shared" si="12"/>
        <v/>
      </c>
      <c r="G91" s="386" t="str">
        <f t="shared" si="13"/>
        <v/>
      </c>
      <c r="H91" s="385">
        <f t="shared" si="14"/>
        <v>61.28125</v>
      </c>
      <c r="I91" s="413">
        <f t="shared" si="15"/>
        <v>36.28125</v>
      </c>
      <c r="J91" s="386">
        <f t="shared" si="16"/>
        <v>17.71875</v>
      </c>
      <c r="K91" s="385">
        <f t="shared" si="17"/>
        <v>0</v>
      </c>
      <c r="L91" s="413" t="str">
        <f t="shared" si="18"/>
        <v/>
      </c>
      <c r="M91" s="309" t="str">
        <f t="shared" si="19"/>
        <v/>
      </c>
      <c r="N91" s="392">
        <f t="shared" si="20"/>
        <v>0</v>
      </c>
      <c r="O91" s="413" t="str">
        <f t="shared" si="21"/>
        <v/>
      </c>
      <c r="P91" s="386" t="str">
        <f t="shared" si="22"/>
        <v/>
      </c>
      <c r="Q91" s="385">
        <f t="shared" si="23"/>
        <v>0</v>
      </c>
      <c r="R91" s="413" t="str">
        <f t="shared" si="24"/>
        <v/>
      </c>
      <c r="S91" s="309" t="str">
        <f t="shared" si="25"/>
        <v/>
      </c>
      <c r="T91" s="392">
        <f t="shared" si="26"/>
        <v>0</v>
      </c>
      <c r="U91" s="413" t="str">
        <f t="shared" si="27"/>
        <v/>
      </c>
      <c r="V91" s="386" t="str">
        <f t="shared" si="28"/>
        <v/>
      </c>
      <c r="W91" s="385">
        <f t="shared" si="29"/>
        <v>0</v>
      </c>
      <c r="X91" s="413" t="str">
        <f t="shared" si="30"/>
        <v/>
      </c>
      <c r="Y91" s="309" t="str">
        <f t="shared" si="31"/>
        <v/>
      </c>
      <c r="Z91" s="385" t="str">
        <f t="shared" si="32"/>
        <v>N</v>
      </c>
      <c r="AA91" s="403"/>
      <c r="AC91" s="509" t="str">
        <f t="shared" si="2"/>
        <v>NRCC&amp;NIST_5</v>
      </c>
      <c r="AD91" s="51">
        <f t="shared" si="3"/>
        <v>1</v>
      </c>
      <c r="AE91" s="51">
        <f t="shared" si="4"/>
        <v>1</v>
      </c>
      <c r="AF91" s="51">
        <f t="shared" si="5"/>
        <v>0</v>
      </c>
      <c r="AG91" s="51">
        <f t="shared" si="6"/>
        <v>0</v>
      </c>
      <c r="AH91" s="108">
        <f t="shared" si="7"/>
        <v>2</v>
      </c>
      <c r="AJ91" s="506" t="s">
        <v>679</v>
      </c>
      <c r="AK91" s="28">
        <f>3525/60</f>
        <v>58.75</v>
      </c>
      <c r="AL91" s="506" t="s">
        <v>680</v>
      </c>
      <c r="AM91" s="28">
        <f>3525/60</f>
        <v>58.75</v>
      </c>
      <c r="AN91" s="28">
        <f>4875/60</f>
        <v>81.25</v>
      </c>
      <c r="AO91" s="31">
        <f>5025/60</f>
        <v>83.75</v>
      </c>
    </row>
    <row r="92" spans="1:41" ht="15.75" customHeight="1" thickBot="1">
      <c r="A92" s="398" t="str">
        <f>Recap!D21</f>
        <v>NRCC&amp;NIST_6</v>
      </c>
      <c r="B92" s="393">
        <f t="shared" si="8"/>
        <v>122.53125</v>
      </c>
      <c r="C92" s="394">
        <f t="shared" si="9"/>
        <v>34.53125</v>
      </c>
      <c r="D92" s="395">
        <f t="shared" si="10"/>
        <v>20.46875</v>
      </c>
      <c r="E92" s="393">
        <f t="shared" si="11"/>
        <v>0</v>
      </c>
      <c r="F92" s="394" t="str">
        <f t="shared" si="12"/>
        <v/>
      </c>
      <c r="G92" s="395" t="str">
        <f t="shared" si="13"/>
        <v/>
      </c>
      <c r="H92" s="393">
        <f t="shared" si="14"/>
        <v>127.51612903225806</v>
      </c>
      <c r="I92" s="394">
        <f t="shared" si="15"/>
        <v>114.51612903225806</v>
      </c>
      <c r="J92" s="395">
        <f t="shared" si="16"/>
        <v>26.483870967741936</v>
      </c>
      <c r="K92" s="393">
        <f t="shared" si="17"/>
        <v>0</v>
      </c>
      <c r="L92" s="394" t="str">
        <f t="shared" si="18"/>
        <v/>
      </c>
      <c r="M92" s="396" t="str">
        <f t="shared" si="19"/>
        <v/>
      </c>
      <c r="N92" s="397">
        <f t="shared" si="20"/>
        <v>0</v>
      </c>
      <c r="O92" s="394" t="str">
        <f t="shared" si="21"/>
        <v/>
      </c>
      <c r="P92" s="395" t="str">
        <f t="shared" si="22"/>
        <v/>
      </c>
      <c r="Q92" s="393">
        <f t="shared" si="23"/>
        <v>0</v>
      </c>
      <c r="R92" s="394" t="str">
        <f t="shared" si="24"/>
        <v/>
      </c>
      <c r="S92" s="396" t="str">
        <f t="shared" si="25"/>
        <v/>
      </c>
      <c r="T92" s="397">
        <f t="shared" si="26"/>
        <v>0</v>
      </c>
      <c r="U92" s="394" t="str">
        <f t="shared" si="27"/>
        <v/>
      </c>
      <c r="V92" s="395" t="str">
        <f t="shared" si="28"/>
        <v/>
      </c>
      <c r="W92" s="393">
        <f t="shared" si="29"/>
        <v>0</v>
      </c>
      <c r="X92" s="394" t="str">
        <f t="shared" si="30"/>
        <v/>
      </c>
      <c r="Y92" s="396" t="str">
        <f t="shared" si="31"/>
        <v/>
      </c>
      <c r="Z92" s="393" t="str">
        <f t="shared" si="32"/>
        <v>N</v>
      </c>
      <c r="AA92" s="404"/>
      <c r="AC92" s="511" t="str">
        <f t="shared" si="2"/>
        <v>NRCC&amp;NIST_6</v>
      </c>
      <c r="AD92" s="6">
        <f t="shared" si="3"/>
        <v>1</v>
      </c>
      <c r="AE92" s="6">
        <f t="shared" si="4"/>
        <v>1</v>
      </c>
      <c r="AF92" s="6">
        <f t="shared" si="5"/>
        <v>0</v>
      </c>
      <c r="AG92" s="6">
        <f t="shared" si="6"/>
        <v>0</v>
      </c>
      <c r="AH92" s="288">
        <f t="shared" si="7"/>
        <v>2</v>
      </c>
      <c r="AJ92" s="506" t="s">
        <v>681</v>
      </c>
      <c r="AK92" s="28">
        <f>3300/60</f>
        <v>55</v>
      </c>
      <c r="AL92" s="506" t="s">
        <v>483</v>
      </c>
      <c r="AM92" s="28" t="s">
        <v>483</v>
      </c>
      <c r="AN92" s="28">
        <f>4200/60</f>
        <v>70</v>
      </c>
    </row>
    <row r="93" spans="1:41" ht="15.75" customHeight="1" thickBot="1">
      <c r="A93" s="408" t="str">
        <f>Recap!D22</f>
        <v>NRCC_Room_1</v>
      </c>
      <c r="B93" s="401">
        <f t="shared" si="8"/>
        <v>0</v>
      </c>
      <c r="C93" s="409" t="str">
        <f t="shared" si="9"/>
        <v/>
      </c>
      <c r="D93" s="410" t="str">
        <f t="shared" si="10"/>
        <v/>
      </c>
      <c r="E93" s="401">
        <f t="shared" si="11"/>
        <v>0</v>
      </c>
      <c r="F93" s="409" t="str">
        <f t="shared" si="12"/>
        <v/>
      </c>
      <c r="G93" s="410" t="str">
        <f t="shared" si="13"/>
        <v/>
      </c>
      <c r="H93" s="401">
        <f t="shared" si="14"/>
        <v>0</v>
      </c>
      <c r="I93" s="409" t="str">
        <f t="shared" si="15"/>
        <v/>
      </c>
      <c r="J93" s="410" t="str">
        <f t="shared" si="16"/>
        <v/>
      </c>
      <c r="K93" s="401">
        <f t="shared" si="17"/>
        <v>0</v>
      </c>
      <c r="L93" s="409" t="str">
        <f t="shared" si="18"/>
        <v/>
      </c>
      <c r="M93" s="411" t="str">
        <f t="shared" si="19"/>
        <v/>
      </c>
      <c r="N93" s="412">
        <f t="shared" si="20"/>
        <v>0</v>
      </c>
      <c r="O93" s="409" t="str">
        <f t="shared" si="21"/>
        <v/>
      </c>
      <c r="P93" s="410" t="str">
        <f t="shared" si="22"/>
        <v/>
      </c>
      <c r="Q93" s="401">
        <f t="shared" si="23"/>
        <v>0</v>
      </c>
      <c r="R93" s="409" t="str">
        <f t="shared" si="24"/>
        <v/>
      </c>
      <c r="S93" s="411" t="str">
        <f t="shared" si="25"/>
        <v/>
      </c>
      <c r="T93" s="412">
        <f t="shared" si="26"/>
        <v>0</v>
      </c>
      <c r="U93" s="409" t="str">
        <f t="shared" si="27"/>
        <v/>
      </c>
      <c r="V93" s="410" t="str">
        <f t="shared" si="28"/>
        <v/>
      </c>
      <c r="W93" s="401">
        <f t="shared" si="29"/>
        <v>0</v>
      </c>
      <c r="X93" s="409" t="str">
        <f t="shared" si="30"/>
        <v/>
      </c>
      <c r="Y93" s="411" t="str">
        <f t="shared" si="31"/>
        <v/>
      </c>
      <c r="Z93" s="401" t="str">
        <f t="shared" si="32"/>
        <v>Y</v>
      </c>
      <c r="AA93" s="402"/>
      <c r="AC93" s="509"/>
      <c r="AD93" s="51"/>
      <c r="AE93" s="51"/>
      <c r="AF93" s="51"/>
      <c r="AG93" s="51"/>
      <c r="AH93" s="108"/>
      <c r="AJ93" s="506"/>
      <c r="AK93" s="28"/>
      <c r="AL93" s="506"/>
      <c r="AM93" s="28"/>
      <c r="AN93" s="28"/>
    </row>
    <row r="94" spans="1:41">
      <c r="A94" s="94" t="str">
        <f>Recap!D23</f>
        <v>NRCC_Room_2</v>
      </c>
      <c r="B94" s="385">
        <f t="shared" si="8"/>
        <v>68.3125</v>
      </c>
      <c r="C94" s="413">
        <f t="shared" si="9"/>
        <v>18.3125</v>
      </c>
      <c r="D94" s="386">
        <f t="shared" si="10"/>
        <v>26.6875</v>
      </c>
      <c r="E94" s="385">
        <f t="shared" si="11"/>
        <v>0</v>
      </c>
      <c r="F94" s="413" t="str">
        <f t="shared" si="12"/>
        <v/>
      </c>
      <c r="G94" s="386" t="str">
        <f t="shared" si="13"/>
        <v/>
      </c>
      <c r="H94" s="385">
        <f t="shared" si="14"/>
        <v>52.5</v>
      </c>
      <c r="I94" s="413">
        <f t="shared" si="15"/>
        <v>7.5</v>
      </c>
      <c r="J94" s="386">
        <f t="shared" si="16"/>
        <v>10.5</v>
      </c>
      <c r="K94" s="385">
        <f t="shared" si="17"/>
        <v>0</v>
      </c>
      <c r="L94" s="413" t="str">
        <f t="shared" si="18"/>
        <v/>
      </c>
      <c r="M94" s="309" t="str">
        <f t="shared" si="19"/>
        <v/>
      </c>
      <c r="N94" s="392">
        <f t="shared" si="20"/>
        <v>0</v>
      </c>
      <c r="O94" s="413" t="str">
        <f t="shared" si="21"/>
        <v/>
      </c>
      <c r="P94" s="386" t="str">
        <f t="shared" si="22"/>
        <v/>
      </c>
      <c r="Q94" s="385">
        <f t="shared" si="23"/>
        <v>0</v>
      </c>
      <c r="R94" s="413" t="str">
        <f t="shared" si="24"/>
        <v/>
      </c>
      <c r="S94" s="309" t="str">
        <f t="shared" si="25"/>
        <v/>
      </c>
      <c r="T94" s="392">
        <f t="shared" si="26"/>
        <v>0</v>
      </c>
      <c r="U94" s="413" t="str">
        <f t="shared" si="27"/>
        <v/>
      </c>
      <c r="V94" s="386" t="str">
        <f t="shared" si="28"/>
        <v/>
      </c>
      <c r="W94" s="385">
        <f t="shared" si="29"/>
        <v>0</v>
      </c>
      <c r="X94" s="413" t="str">
        <f t="shared" si="30"/>
        <v/>
      </c>
      <c r="Y94" s="309" t="str">
        <f t="shared" si="31"/>
        <v/>
      </c>
      <c r="Z94" s="385" t="str">
        <f t="shared" si="32"/>
        <v>Y</v>
      </c>
      <c r="AA94" s="403"/>
      <c r="AC94" s="92" t="str">
        <f t="shared" si="2"/>
        <v>NRCC_Room_2</v>
      </c>
      <c r="AD94" s="13">
        <f t="shared" si="3"/>
        <v>1</v>
      </c>
      <c r="AE94" s="13">
        <f t="shared" si="4"/>
        <v>1</v>
      </c>
      <c r="AF94" s="13">
        <f t="shared" si="5"/>
        <v>0</v>
      </c>
      <c r="AG94" s="13">
        <f t="shared" si="6"/>
        <v>0</v>
      </c>
      <c r="AH94" s="505">
        <f t="shared" si="7"/>
        <v>2</v>
      </c>
      <c r="AJ94" s="506"/>
      <c r="AK94" s="28"/>
      <c r="AL94" s="506"/>
      <c r="AM94" s="28"/>
      <c r="AN94" s="28"/>
    </row>
    <row r="95" spans="1:41">
      <c r="A95" s="94" t="str">
        <f>Recap!D24</f>
        <v>NRCC_Room_3</v>
      </c>
      <c r="B95" s="385">
        <f t="shared" si="8"/>
        <v>46.615384615384613</v>
      </c>
      <c r="C95" s="413" t="str">
        <f t="shared" si="9"/>
        <v/>
      </c>
      <c r="D95" s="386">
        <f t="shared" si="10"/>
        <v>36.384615384615387</v>
      </c>
      <c r="E95" s="385">
        <f t="shared" si="11"/>
        <v>0</v>
      </c>
      <c r="F95" s="413" t="str">
        <f t="shared" si="12"/>
        <v/>
      </c>
      <c r="G95" s="386" t="str">
        <f t="shared" si="13"/>
        <v/>
      </c>
      <c r="H95" s="385">
        <f t="shared" si="14"/>
        <v>32.75</v>
      </c>
      <c r="I95" s="413" t="str">
        <f t="shared" si="15"/>
        <v/>
      </c>
      <c r="J95" s="386">
        <f t="shared" si="16"/>
        <v>33.25</v>
      </c>
      <c r="K95" s="385">
        <f t="shared" si="17"/>
        <v>0</v>
      </c>
      <c r="L95" s="413" t="str">
        <f t="shared" si="18"/>
        <v/>
      </c>
      <c r="M95" s="309" t="str">
        <f t="shared" si="19"/>
        <v/>
      </c>
      <c r="N95" s="392">
        <f t="shared" si="20"/>
        <v>121.95833333333333</v>
      </c>
      <c r="O95" s="413">
        <f t="shared" si="21"/>
        <v>18.458333333333329</v>
      </c>
      <c r="P95" s="386">
        <f t="shared" si="22"/>
        <v>39.041666666666671</v>
      </c>
      <c r="Q95" s="385">
        <f t="shared" si="23"/>
        <v>0</v>
      </c>
      <c r="R95" s="413" t="str">
        <f t="shared" si="24"/>
        <v/>
      </c>
      <c r="S95" s="309" t="str">
        <f t="shared" si="25"/>
        <v/>
      </c>
      <c r="T95" s="392">
        <f t="shared" si="26"/>
        <v>108.375</v>
      </c>
      <c r="U95" s="413">
        <f t="shared" si="27"/>
        <v>16.375</v>
      </c>
      <c r="V95" s="386">
        <f t="shared" si="28"/>
        <v>54.125</v>
      </c>
      <c r="W95" s="385">
        <f t="shared" si="29"/>
        <v>0</v>
      </c>
      <c r="X95" s="413" t="str">
        <f t="shared" si="30"/>
        <v/>
      </c>
      <c r="Y95" s="309" t="str">
        <f t="shared" si="31"/>
        <v/>
      </c>
      <c r="Z95" s="385" t="str">
        <f t="shared" si="32"/>
        <v>N</v>
      </c>
      <c r="AA95" s="403"/>
      <c r="AC95" s="509" t="str">
        <f t="shared" si="2"/>
        <v>NRCC_Room_3</v>
      </c>
      <c r="AD95" s="51">
        <f t="shared" si="3"/>
        <v>1</v>
      </c>
      <c r="AE95" s="51">
        <f t="shared" si="4"/>
        <v>1</v>
      </c>
      <c r="AF95" s="51">
        <f t="shared" si="5"/>
        <v>1</v>
      </c>
      <c r="AG95" s="51">
        <f t="shared" si="6"/>
        <v>1</v>
      </c>
      <c r="AH95" s="108">
        <f t="shared" si="7"/>
        <v>4</v>
      </c>
      <c r="AJ95" s="506"/>
      <c r="AK95" s="28"/>
      <c r="AL95" s="506"/>
      <c r="AM95" s="28"/>
      <c r="AN95" s="28"/>
    </row>
    <row r="96" spans="1:41">
      <c r="A96" s="94" t="str">
        <f>Recap!D25</f>
        <v>NRCC_Room_4</v>
      </c>
      <c r="B96" s="385">
        <f t="shared" si="8"/>
        <v>25.725000000000001</v>
      </c>
      <c r="C96" s="413" t="str">
        <f t="shared" si="9"/>
        <v/>
      </c>
      <c r="D96" s="386">
        <f t="shared" si="10"/>
        <v>19.274999999999999</v>
      </c>
      <c r="E96" s="385">
        <f t="shared" si="11"/>
        <v>0</v>
      </c>
      <c r="F96" s="413" t="str">
        <f t="shared" si="12"/>
        <v/>
      </c>
      <c r="G96" s="386" t="str">
        <f t="shared" si="13"/>
        <v/>
      </c>
      <c r="H96" s="385">
        <f t="shared" si="14"/>
        <v>54.0625</v>
      </c>
      <c r="I96" s="413">
        <f t="shared" si="15"/>
        <v>7.0625</v>
      </c>
      <c r="J96" s="386">
        <f t="shared" si="16"/>
        <v>11.9375</v>
      </c>
      <c r="K96" s="385">
        <f t="shared" si="17"/>
        <v>0</v>
      </c>
      <c r="L96" s="413" t="str">
        <f t="shared" si="18"/>
        <v/>
      </c>
      <c r="M96" s="309" t="str">
        <f t="shared" si="19"/>
        <v/>
      </c>
      <c r="N96" s="392">
        <f t="shared" si="20"/>
        <v>78.150000000000006</v>
      </c>
      <c r="O96" s="413">
        <f t="shared" si="21"/>
        <v>9.1500000000000057</v>
      </c>
      <c r="P96" s="386">
        <f t="shared" si="22"/>
        <v>3.8499999999999943</v>
      </c>
      <c r="Q96" s="385">
        <f t="shared" si="23"/>
        <v>0</v>
      </c>
      <c r="R96" s="413" t="str">
        <f t="shared" si="24"/>
        <v/>
      </c>
      <c r="S96" s="309" t="str">
        <f t="shared" si="25"/>
        <v/>
      </c>
      <c r="T96" s="392">
        <f t="shared" si="26"/>
        <v>74.5625</v>
      </c>
      <c r="U96" s="413">
        <f t="shared" si="27"/>
        <v>12.0625</v>
      </c>
      <c r="V96" s="386">
        <f t="shared" si="28"/>
        <v>18.9375</v>
      </c>
      <c r="W96" s="385">
        <f t="shared" si="29"/>
        <v>0</v>
      </c>
      <c r="X96" s="413" t="str">
        <f t="shared" si="30"/>
        <v/>
      </c>
      <c r="Y96" s="309" t="str">
        <f t="shared" si="31"/>
        <v/>
      </c>
      <c r="Z96" s="385" t="str">
        <f t="shared" si="32"/>
        <v>Y</v>
      </c>
      <c r="AA96" s="403"/>
      <c r="AC96" s="509" t="str">
        <f t="shared" si="2"/>
        <v>NRCC_Room_4</v>
      </c>
      <c r="AD96" s="51">
        <f t="shared" si="3"/>
        <v>1</v>
      </c>
      <c r="AE96" s="51">
        <f t="shared" si="4"/>
        <v>1</v>
      </c>
      <c r="AF96" s="51">
        <f t="shared" si="5"/>
        <v>1</v>
      </c>
      <c r="AG96" s="51">
        <f t="shared" si="6"/>
        <v>1</v>
      </c>
      <c r="AH96" s="108">
        <f t="shared" si="7"/>
        <v>4</v>
      </c>
      <c r="AJ96" s="506"/>
      <c r="AK96" s="28"/>
      <c r="AL96" s="506"/>
      <c r="AM96" s="28"/>
      <c r="AN96" s="28"/>
    </row>
    <row r="97" spans="1:40" ht="15.75" customHeight="1" thickBot="1">
      <c r="A97" s="398" t="str">
        <f>Recap!D26</f>
        <v>NRCC_Room_5</v>
      </c>
      <c r="B97" s="393">
        <f t="shared" si="8"/>
        <v>88.625</v>
      </c>
      <c r="C97" s="394">
        <f t="shared" si="9"/>
        <v>7.625</v>
      </c>
      <c r="D97" s="395">
        <f t="shared" si="10"/>
        <v>20.375</v>
      </c>
      <c r="E97" s="393">
        <f t="shared" si="11"/>
        <v>0</v>
      </c>
      <c r="F97" s="394" t="str">
        <f t="shared" si="12"/>
        <v/>
      </c>
      <c r="G97" s="395" t="str">
        <f t="shared" si="13"/>
        <v/>
      </c>
      <c r="H97" s="393">
        <f t="shared" si="14"/>
        <v>77.5</v>
      </c>
      <c r="I97" s="394">
        <f t="shared" si="15"/>
        <v>7.5</v>
      </c>
      <c r="J97" s="395">
        <f t="shared" si="16"/>
        <v>12.5</v>
      </c>
      <c r="K97" s="393">
        <f t="shared" si="17"/>
        <v>0</v>
      </c>
      <c r="L97" s="394" t="str">
        <f t="shared" si="18"/>
        <v/>
      </c>
      <c r="M97" s="396" t="str">
        <f t="shared" si="19"/>
        <v/>
      </c>
      <c r="N97" s="397">
        <f t="shared" si="20"/>
        <v>0</v>
      </c>
      <c r="O97" s="394" t="str">
        <f t="shared" si="21"/>
        <v/>
      </c>
      <c r="P97" s="395" t="str">
        <f t="shared" si="22"/>
        <v/>
      </c>
      <c r="Q97" s="393">
        <f t="shared" si="23"/>
        <v>0</v>
      </c>
      <c r="R97" s="394" t="str">
        <f t="shared" si="24"/>
        <v/>
      </c>
      <c r="S97" s="396" t="str">
        <f t="shared" si="25"/>
        <v/>
      </c>
      <c r="T97" s="397">
        <f t="shared" si="26"/>
        <v>0</v>
      </c>
      <c r="U97" s="394" t="str">
        <f t="shared" si="27"/>
        <v/>
      </c>
      <c r="V97" s="395" t="str">
        <f t="shared" si="28"/>
        <v/>
      </c>
      <c r="W97" s="393">
        <f t="shared" si="29"/>
        <v>0</v>
      </c>
      <c r="X97" s="394" t="str">
        <f t="shared" si="30"/>
        <v/>
      </c>
      <c r="Y97" s="396" t="str">
        <f t="shared" si="31"/>
        <v/>
      </c>
      <c r="Z97" s="393" t="str">
        <f t="shared" si="32"/>
        <v>N</v>
      </c>
      <c r="AA97" s="404"/>
      <c r="AC97" s="511" t="str">
        <f t="shared" si="2"/>
        <v>NRCC_Room_5</v>
      </c>
      <c r="AD97" s="6">
        <f t="shared" si="3"/>
        <v>1</v>
      </c>
      <c r="AE97" s="6">
        <f t="shared" si="4"/>
        <v>1</v>
      </c>
      <c r="AF97" s="6">
        <f t="shared" si="5"/>
        <v>0</v>
      </c>
      <c r="AG97" s="6">
        <f t="shared" si="6"/>
        <v>0</v>
      </c>
      <c r="AH97" s="288">
        <f t="shared" si="7"/>
        <v>2</v>
      </c>
      <c r="AJ97" s="506">
        <v>250</v>
      </c>
      <c r="AK97" s="28"/>
      <c r="AL97" s="506"/>
      <c r="AM97" s="28"/>
      <c r="AN97" s="28"/>
    </row>
    <row r="98" spans="1:40" ht="15.75" customHeight="1" thickBot="1">
      <c r="A98" s="414" t="str">
        <f>Recap!D27</f>
        <v>NRCC_Elevator_1</v>
      </c>
      <c r="B98" s="405">
        <f t="shared" si="8"/>
        <v>5</v>
      </c>
      <c r="C98" s="415">
        <f t="shared" si="9"/>
        <v>4.9000000000000004</v>
      </c>
      <c r="D98" s="416">
        <f t="shared" si="10"/>
        <v>20</v>
      </c>
      <c r="E98" s="405">
        <f t="shared" si="11"/>
        <v>0</v>
      </c>
      <c r="F98" s="415" t="str">
        <f t="shared" si="12"/>
        <v/>
      </c>
      <c r="G98" s="416" t="str">
        <f t="shared" si="13"/>
        <v/>
      </c>
      <c r="H98" s="405">
        <f t="shared" si="14"/>
        <v>70</v>
      </c>
      <c r="I98" s="415">
        <f t="shared" si="15"/>
        <v>35</v>
      </c>
      <c r="J98" s="416">
        <f t="shared" si="16"/>
        <v>10</v>
      </c>
      <c r="K98" s="405">
        <f t="shared" si="17"/>
        <v>0</v>
      </c>
      <c r="L98" s="415" t="str">
        <f t="shared" si="18"/>
        <v/>
      </c>
      <c r="M98" s="417" t="str">
        <f t="shared" si="19"/>
        <v/>
      </c>
      <c r="N98" s="418">
        <f t="shared" si="20"/>
        <v>0</v>
      </c>
      <c r="O98" s="415" t="str">
        <f t="shared" si="21"/>
        <v/>
      </c>
      <c r="P98" s="416" t="str">
        <f t="shared" si="22"/>
        <v/>
      </c>
      <c r="Q98" s="405">
        <f t="shared" si="23"/>
        <v>0</v>
      </c>
      <c r="R98" s="415" t="str">
        <f t="shared" si="24"/>
        <v/>
      </c>
      <c r="S98" s="417" t="str">
        <f t="shared" si="25"/>
        <v/>
      </c>
      <c r="T98" s="418">
        <f t="shared" si="26"/>
        <v>0</v>
      </c>
      <c r="U98" s="415" t="str">
        <f t="shared" si="27"/>
        <v/>
      </c>
      <c r="V98" s="416" t="str">
        <f t="shared" si="28"/>
        <v/>
      </c>
      <c r="W98" s="405">
        <f t="shared" si="29"/>
        <v>0</v>
      </c>
      <c r="X98" s="415" t="str">
        <f t="shared" si="30"/>
        <v/>
      </c>
      <c r="Y98" s="417" t="str">
        <f t="shared" si="31"/>
        <v/>
      </c>
      <c r="Z98" s="405" t="str">
        <f t="shared" si="32"/>
        <v>N</v>
      </c>
      <c r="AA98" s="406"/>
      <c r="AC98" s="100" t="str">
        <f t="shared" si="2"/>
        <v>NRCC_Elevator_1</v>
      </c>
      <c r="AD98" s="38">
        <f t="shared" si="3"/>
        <v>1</v>
      </c>
      <c r="AE98" s="38">
        <f t="shared" si="4"/>
        <v>1</v>
      </c>
      <c r="AF98" s="38">
        <f t="shared" si="5"/>
        <v>0</v>
      </c>
      <c r="AG98" s="38">
        <f t="shared" si="6"/>
        <v>0</v>
      </c>
      <c r="AH98" s="407">
        <f t="shared" si="7"/>
        <v>2</v>
      </c>
      <c r="AJ98" s="506"/>
      <c r="AK98" s="28"/>
      <c r="AL98" s="506"/>
      <c r="AM98" s="28"/>
      <c r="AN98" s="28"/>
    </row>
    <row r="99" spans="1:40">
      <c r="A99" s="408" t="str">
        <f>Recap!D32</f>
        <v>Edimb_1</v>
      </c>
      <c r="B99" s="401">
        <f t="shared" ref="B99:B104" si="33">B26</f>
        <v>39.322580645161288</v>
      </c>
      <c r="C99" s="409">
        <f t="shared" ref="C99:C104" si="34">IF(C26=0,"",B99-C26)</f>
        <v>9.8306451612903203</v>
      </c>
      <c r="D99" s="410">
        <f t="shared" ref="D99:D104" si="35">IF(D26=0,"",D26-B99)</f>
        <v>13.677419354838712</v>
      </c>
      <c r="E99" s="401">
        <f t="shared" ref="E99:E104" si="36">E26</f>
        <v>0</v>
      </c>
      <c r="F99" s="409" t="str">
        <f t="shared" ref="F99:F104" si="37">IF(F26=0,"",E99-F26)</f>
        <v/>
      </c>
      <c r="G99" s="410" t="str">
        <f t="shared" ref="G99:G104" si="38">IF(G26=0,"",G26-E99)</f>
        <v/>
      </c>
      <c r="H99" s="401">
        <f t="shared" ref="H99:H104" si="39">H26</f>
        <v>0</v>
      </c>
      <c r="I99" s="409" t="str">
        <f t="shared" ref="I99:I104" si="40">IF(I26=0,"",H99-I26)</f>
        <v/>
      </c>
      <c r="J99" s="410" t="str">
        <f t="shared" ref="J99:J104" si="41">IF(J26=0,"",J26-H99)</f>
        <v/>
      </c>
      <c r="K99" s="401">
        <f t="shared" ref="K99:K104" si="42">K26</f>
        <v>0</v>
      </c>
      <c r="L99" s="409" t="str">
        <f t="shared" ref="L99:L104" si="43">IF(L26=0,"",K99-L26)</f>
        <v/>
      </c>
      <c r="M99" s="411" t="str">
        <f t="shared" ref="M99:M104" si="44">IF(M26=0,"",M26-K99)</f>
        <v/>
      </c>
      <c r="N99" s="412">
        <f t="shared" ref="N99:N104" si="45">N26</f>
        <v>0</v>
      </c>
      <c r="O99" s="409" t="str">
        <f t="shared" ref="O99:O104" si="46">IF(O26=0,"",N99-O26)</f>
        <v/>
      </c>
      <c r="P99" s="410" t="str">
        <f t="shared" ref="P99:P104" si="47">IF(P26=0,"",P26-N99)</f>
        <v/>
      </c>
      <c r="Q99" s="401">
        <f t="shared" ref="Q99:Q104" si="48">Q26</f>
        <v>0</v>
      </c>
      <c r="R99" s="409" t="str">
        <f t="shared" ref="R99:R104" si="49">IF(R26=0,"",Q99-R26)</f>
        <v/>
      </c>
      <c r="S99" s="411" t="str">
        <f t="shared" ref="S99:S104" si="50">IF(S26=0,"",S26-Q99)</f>
        <v/>
      </c>
      <c r="T99" s="412">
        <f t="shared" ref="T99:T104" si="51">T26</f>
        <v>0</v>
      </c>
      <c r="U99" s="409" t="str">
        <f t="shared" ref="U99:U104" si="52">IF(U26=0,"",T99-U26)</f>
        <v/>
      </c>
      <c r="V99" s="410" t="str">
        <f t="shared" ref="V99:V104" si="53">IF(V26=0,"",V26-T99)</f>
        <v/>
      </c>
      <c r="W99" s="401">
        <f t="shared" ref="W99:W104" si="54">W26</f>
        <v>0</v>
      </c>
      <c r="X99" s="409" t="str">
        <f t="shared" ref="X99:X104" si="55">IF(X26=0,"",W99-X26)</f>
        <v/>
      </c>
      <c r="Y99" s="411" t="str">
        <f t="shared" ref="Y99:Y104" si="56">IF(Y26=0,"",Y26-W99)</f>
        <v/>
      </c>
      <c r="Z99" s="401" t="str">
        <f t="shared" ref="Z99:Z104" si="57">Z26</f>
        <v>N</v>
      </c>
      <c r="AA99" s="402"/>
      <c r="AC99" s="92" t="str">
        <f t="shared" si="2"/>
        <v>Edimb_1</v>
      </c>
      <c r="AD99" s="13">
        <f t="shared" si="3"/>
        <v>1</v>
      </c>
      <c r="AE99" s="13">
        <f t="shared" si="4"/>
        <v>0</v>
      </c>
      <c r="AF99" s="13">
        <f t="shared" si="5"/>
        <v>0</v>
      </c>
      <c r="AG99" s="13">
        <f t="shared" si="6"/>
        <v>0</v>
      </c>
      <c r="AH99" s="505">
        <f t="shared" si="7"/>
        <v>1</v>
      </c>
      <c r="AJ99" s="506"/>
      <c r="AK99" s="28"/>
      <c r="AL99" s="506"/>
      <c r="AM99" s="28"/>
      <c r="AN99" s="28"/>
    </row>
    <row r="100" spans="1:40">
      <c r="A100" s="94" t="str">
        <f>Recap!D33</f>
        <v>Edimb_2</v>
      </c>
      <c r="B100" s="385">
        <f t="shared" si="33"/>
        <v>35.852941176470587</v>
      </c>
      <c r="C100" s="413">
        <f t="shared" si="34"/>
        <v>8.963235294117645</v>
      </c>
      <c r="D100" s="386">
        <f t="shared" si="35"/>
        <v>17.147058823529413</v>
      </c>
      <c r="E100" s="385">
        <f t="shared" si="36"/>
        <v>0</v>
      </c>
      <c r="F100" s="413" t="str">
        <f t="shared" si="37"/>
        <v/>
      </c>
      <c r="G100" s="386" t="str">
        <f t="shared" si="38"/>
        <v/>
      </c>
      <c r="H100" s="385">
        <f t="shared" si="39"/>
        <v>0</v>
      </c>
      <c r="I100" s="413" t="str">
        <f t="shared" si="40"/>
        <v/>
      </c>
      <c r="J100" s="386" t="str">
        <f t="shared" si="41"/>
        <v/>
      </c>
      <c r="K100" s="385">
        <f t="shared" si="42"/>
        <v>0</v>
      </c>
      <c r="L100" s="413" t="str">
        <f t="shared" si="43"/>
        <v/>
      </c>
      <c r="M100" s="309" t="str">
        <f t="shared" si="44"/>
        <v/>
      </c>
      <c r="N100" s="392">
        <f t="shared" si="45"/>
        <v>0</v>
      </c>
      <c r="O100" s="413" t="str">
        <f t="shared" si="46"/>
        <v/>
      </c>
      <c r="P100" s="386" t="str">
        <f t="shared" si="47"/>
        <v/>
      </c>
      <c r="Q100" s="385">
        <f t="shared" si="48"/>
        <v>0</v>
      </c>
      <c r="R100" s="413" t="str">
        <f t="shared" si="49"/>
        <v/>
      </c>
      <c r="S100" s="309" t="str">
        <f t="shared" si="50"/>
        <v/>
      </c>
      <c r="T100" s="392">
        <f t="shared" si="51"/>
        <v>0</v>
      </c>
      <c r="U100" s="413" t="str">
        <f t="shared" si="52"/>
        <v/>
      </c>
      <c r="V100" s="386" t="str">
        <f t="shared" si="53"/>
        <v/>
      </c>
      <c r="W100" s="385">
        <f t="shared" si="54"/>
        <v>0</v>
      </c>
      <c r="X100" s="413" t="str">
        <f t="shared" si="55"/>
        <v/>
      </c>
      <c r="Y100" s="309" t="str">
        <f t="shared" si="56"/>
        <v/>
      </c>
      <c r="Z100" s="385" t="str">
        <f t="shared" si="57"/>
        <v>N</v>
      </c>
      <c r="AA100" s="403"/>
      <c r="AC100" s="509" t="str">
        <f t="shared" si="2"/>
        <v>Edimb_2</v>
      </c>
      <c r="AD100" s="51">
        <f t="shared" si="3"/>
        <v>1</v>
      </c>
      <c r="AE100" s="51">
        <f t="shared" si="4"/>
        <v>0</v>
      </c>
      <c r="AF100" s="51">
        <f t="shared" si="5"/>
        <v>0</v>
      </c>
      <c r="AG100" s="51">
        <f t="shared" si="6"/>
        <v>0</v>
      </c>
      <c r="AH100" s="108">
        <f t="shared" si="7"/>
        <v>1</v>
      </c>
      <c r="AJ100" s="506"/>
      <c r="AK100" s="28"/>
      <c r="AL100" s="506"/>
      <c r="AM100" s="28"/>
      <c r="AN100" s="28"/>
    </row>
    <row r="101" spans="1:40">
      <c r="A101" s="94" t="str">
        <f>Recap!D34</f>
        <v>Edimb_3</v>
      </c>
      <c r="B101" s="385">
        <f t="shared" si="33"/>
        <v>11</v>
      </c>
      <c r="C101" s="413">
        <f t="shared" si="34"/>
        <v>2.75</v>
      </c>
      <c r="D101" s="386">
        <f t="shared" si="35"/>
        <v>4</v>
      </c>
      <c r="E101" s="385">
        <f t="shared" si="36"/>
        <v>0</v>
      </c>
      <c r="F101" s="413" t="str">
        <f t="shared" si="37"/>
        <v/>
      </c>
      <c r="G101" s="386" t="str">
        <f t="shared" si="38"/>
        <v/>
      </c>
      <c r="H101" s="385">
        <f t="shared" si="39"/>
        <v>10</v>
      </c>
      <c r="I101" s="413">
        <f t="shared" si="40"/>
        <v>2.5</v>
      </c>
      <c r="J101" s="386">
        <f t="shared" si="41"/>
        <v>3</v>
      </c>
      <c r="K101" s="385">
        <f t="shared" si="42"/>
        <v>0</v>
      </c>
      <c r="L101" s="413" t="str">
        <f t="shared" si="43"/>
        <v/>
      </c>
      <c r="M101" s="309" t="str">
        <f t="shared" si="44"/>
        <v/>
      </c>
      <c r="N101" s="392">
        <f t="shared" si="45"/>
        <v>0</v>
      </c>
      <c r="O101" s="413" t="str">
        <f t="shared" si="46"/>
        <v/>
      </c>
      <c r="P101" s="386" t="str">
        <f t="shared" si="47"/>
        <v/>
      </c>
      <c r="Q101" s="385">
        <f t="shared" si="48"/>
        <v>0</v>
      </c>
      <c r="R101" s="413" t="str">
        <f t="shared" si="49"/>
        <v/>
      </c>
      <c r="S101" s="309" t="str">
        <f t="shared" si="50"/>
        <v/>
      </c>
      <c r="T101" s="392">
        <f t="shared" si="51"/>
        <v>0</v>
      </c>
      <c r="U101" s="413" t="str">
        <f t="shared" si="52"/>
        <v/>
      </c>
      <c r="V101" s="386" t="str">
        <f t="shared" si="53"/>
        <v/>
      </c>
      <c r="W101" s="385">
        <f t="shared" si="54"/>
        <v>0</v>
      </c>
      <c r="X101" s="413" t="str">
        <f t="shared" si="55"/>
        <v/>
      </c>
      <c r="Y101" s="309" t="str">
        <f t="shared" si="56"/>
        <v/>
      </c>
      <c r="Z101" s="385" t="str">
        <f t="shared" si="57"/>
        <v>Y</v>
      </c>
      <c r="AA101" s="403"/>
      <c r="AC101" s="509" t="str">
        <f t="shared" si="2"/>
        <v>Edimb_3</v>
      </c>
      <c r="AD101" s="51">
        <f t="shared" si="3"/>
        <v>1</v>
      </c>
      <c r="AE101" s="51">
        <f t="shared" si="4"/>
        <v>1</v>
      </c>
      <c r="AF101" s="51">
        <f t="shared" si="5"/>
        <v>0</v>
      </c>
      <c r="AG101" s="51">
        <f t="shared" si="6"/>
        <v>0</v>
      </c>
      <c r="AH101" s="108">
        <f t="shared" si="7"/>
        <v>2</v>
      </c>
      <c r="AJ101" s="506"/>
      <c r="AK101" s="28"/>
      <c r="AL101" s="506"/>
      <c r="AM101" s="28"/>
      <c r="AN101" s="28"/>
    </row>
    <row r="102" spans="1:40">
      <c r="A102" s="94" t="str">
        <f>Recap!D35</f>
        <v>Edimb_4</v>
      </c>
      <c r="B102" s="385">
        <f t="shared" si="33"/>
        <v>30.105263157894736</v>
      </c>
      <c r="C102" s="413">
        <f t="shared" si="34"/>
        <v>7.526315789473685</v>
      </c>
      <c r="D102" s="386">
        <f t="shared" si="35"/>
        <v>13.894736842105264</v>
      </c>
      <c r="E102" s="385">
        <f t="shared" si="36"/>
        <v>0</v>
      </c>
      <c r="F102" s="413" t="str">
        <f t="shared" si="37"/>
        <v/>
      </c>
      <c r="G102" s="386" t="str">
        <f t="shared" si="38"/>
        <v/>
      </c>
      <c r="H102" s="385">
        <f t="shared" si="39"/>
        <v>27.368421052631575</v>
      </c>
      <c r="I102" s="413">
        <f t="shared" si="40"/>
        <v>6.8421052631578938</v>
      </c>
      <c r="J102" s="386">
        <f t="shared" si="41"/>
        <v>12.631578947368425</v>
      </c>
      <c r="K102" s="385">
        <f t="shared" si="42"/>
        <v>0</v>
      </c>
      <c r="L102" s="413" t="str">
        <f t="shared" si="43"/>
        <v/>
      </c>
      <c r="M102" s="309" t="str">
        <f t="shared" si="44"/>
        <v/>
      </c>
      <c r="N102" s="392">
        <f t="shared" si="45"/>
        <v>0</v>
      </c>
      <c r="O102" s="413" t="str">
        <f t="shared" si="46"/>
        <v/>
      </c>
      <c r="P102" s="386" t="str">
        <f t="shared" si="47"/>
        <v/>
      </c>
      <c r="Q102" s="385">
        <f t="shared" si="48"/>
        <v>0</v>
      </c>
      <c r="R102" s="413" t="str">
        <f t="shared" si="49"/>
        <v/>
      </c>
      <c r="S102" s="309" t="str">
        <f t="shared" si="50"/>
        <v/>
      </c>
      <c r="T102" s="392">
        <f t="shared" si="51"/>
        <v>0</v>
      </c>
      <c r="U102" s="413" t="str">
        <f t="shared" si="52"/>
        <v/>
      </c>
      <c r="V102" s="386" t="str">
        <f t="shared" si="53"/>
        <v/>
      </c>
      <c r="W102" s="385">
        <f t="shared" si="54"/>
        <v>0</v>
      </c>
      <c r="X102" s="413" t="str">
        <f t="shared" si="55"/>
        <v/>
      </c>
      <c r="Y102" s="309" t="str">
        <f t="shared" si="56"/>
        <v/>
      </c>
      <c r="Z102" s="385" t="str">
        <f t="shared" si="57"/>
        <v>Y</v>
      </c>
      <c r="AA102" s="403"/>
      <c r="AC102" s="509" t="str">
        <f t="shared" si="2"/>
        <v>Edimb_4</v>
      </c>
      <c r="AD102" s="51">
        <f t="shared" si="3"/>
        <v>1</v>
      </c>
      <c r="AE102" s="51">
        <f t="shared" si="4"/>
        <v>1</v>
      </c>
      <c r="AF102" s="51">
        <f t="shared" si="5"/>
        <v>0</v>
      </c>
      <c r="AG102" s="51">
        <f t="shared" si="6"/>
        <v>0</v>
      </c>
      <c r="AH102" s="108">
        <f t="shared" si="7"/>
        <v>2</v>
      </c>
      <c r="AJ102" s="506"/>
      <c r="AK102" s="28"/>
      <c r="AL102" s="506"/>
      <c r="AM102" s="28"/>
      <c r="AN102" s="28"/>
    </row>
    <row r="103" spans="1:40" ht="15.75" customHeight="1" thickBot="1">
      <c r="A103" s="398" t="str">
        <f>Recap!D36</f>
        <v>Edimb_5</v>
      </c>
      <c r="B103" s="393">
        <f t="shared" si="33"/>
        <v>39.684210526315788</v>
      </c>
      <c r="C103" s="394">
        <f t="shared" si="34"/>
        <v>9.9210526315789451</v>
      </c>
      <c r="D103" s="395">
        <f t="shared" si="35"/>
        <v>18.315789473684212</v>
      </c>
      <c r="E103" s="393">
        <f t="shared" si="36"/>
        <v>0</v>
      </c>
      <c r="F103" s="394" t="str">
        <f t="shared" si="37"/>
        <v/>
      </c>
      <c r="G103" s="395" t="str">
        <f t="shared" si="38"/>
        <v/>
      </c>
      <c r="H103" s="393">
        <f t="shared" si="39"/>
        <v>36.07655502392344</v>
      </c>
      <c r="I103" s="394">
        <f t="shared" si="40"/>
        <v>9.0191387559808618</v>
      </c>
      <c r="J103" s="395">
        <f t="shared" si="41"/>
        <v>16.650717703349287</v>
      </c>
      <c r="K103" s="393">
        <f t="shared" si="42"/>
        <v>0</v>
      </c>
      <c r="L103" s="394" t="str">
        <f t="shared" si="43"/>
        <v/>
      </c>
      <c r="M103" s="396" t="str">
        <f t="shared" si="44"/>
        <v/>
      </c>
      <c r="N103" s="397">
        <f t="shared" si="45"/>
        <v>0</v>
      </c>
      <c r="O103" s="394" t="str">
        <f t="shared" si="46"/>
        <v/>
      </c>
      <c r="P103" s="395" t="str">
        <f t="shared" si="47"/>
        <v/>
      </c>
      <c r="Q103" s="393">
        <f t="shared" si="48"/>
        <v>0</v>
      </c>
      <c r="R103" s="394" t="str">
        <f t="shared" si="49"/>
        <v/>
      </c>
      <c r="S103" s="396" t="str">
        <f t="shared" si="50"/>
        <v/>
      </c>
      <c r="T103" s="397">
        <f t="shared" si="51"/>
        <v>0</v>
      </c>
      <c r="U103" s="394" t="str">
        <f t="shared" si="52"/>
        <v/>
      </c>
      <c r="V103" s="395" t="str">
        <f t="shared" si="53"/>
        <v/>
      </c>
      <c r="W103" s="393">
        <f t="shared" si="54"/>
        <v>0</v>
      </c>
      <c r="X103" s="394" t="str">
        <f t="shared" si="55"/>
        <v/>
      </c>
      <c r="Y103" s="396" t="str">
        <f t="shared" si="56"/>
        <v/>
      </c>
      <c r="Z103" s="393" t="str">
        <f t="shared" si="57"/>
        <v>N</v>
      </c>
      <c r="AA103" s="404"/>
      <c r="AC103" s="511" t="str">
        <f t="shared" si="2"/>
        <v>Edimb_5</v>
      </c>
      <c r="AD103" s="6">
        <f t="shared" si="3"/>
        <v>1</v>
      </c>
      <c r="AE103" s="6">
        <f t="shared" si="4"/>
        <v>1</v>
      </c>
      <c r="AF103" s="6">
        <f t="shared" si="5"/>
        <v>0</v>
      </c>
      <c r="AG103" s="6">
        <f t="shared" si="6"/>
        <v>0</v>
      </c>
      <c r="AH103" s="288">
        <f t="shared" si="7"/>
        <v>2</v>
      </c>
      <c r="AJ103" s="506"/>
      <c r="AK103" s="28"/>
      <c r="AL103" s="506"/>
      <c r="AM103" s="28"/>
      <c r="AN103" s="28"/>
    </row>
    <row r="104" spans="1:40" ht="15.75" customHeight="1" thickBot="1">
      <c r="A104" s="414" t="str">
        <f>Recap!D37</f>
        <v>Emb_1</v>
      </c>
      <c r="B104" s="405">
        <f t="shared" si="33"/>
        <v>15</v>
      </c>
      <c r="C104" s="415">
        <f t="shared" si="34"/>
        <v>3.75</v>
      </c>
      <c r="D104" s="416">
        <f t="shared" si="35"/>
        <v>5</v>
      </c>
      <c r="E104" s="405">
        <f t="shared" si="36"/>
        <v>0</v>
      </c>
      <c r="F104" s="415" t="str">
        <f t="shared" si="37"/>
        <v/>
      </c>
      <c r="G104" s="416" t="str">
        <f t="shared" si="38"/>
        <v/>
      </c>
      <c r="H104" s="405">
        <f t="shared" si="39"/>
        <v>15</v>
      </c>
      <c r="I104" s="415">
        <f t="shared" si="40"/>
        <v>3.75</v>
      </c>
      <c r="J104" s="416">
        <f t="shared" si="41"/>
        <v>5</v>
      </c>
      <c r="K104" s="405">
        <f t="shared" si="42"/>
        <v>0</v>
      </c>
      <c r="L104" s="415" t="str">
        <f t="shared" si="43"/>
        <v/>
      </c>
      <c r="M104" s="417" t="str">
        <f t="shared" si="44"/>
        <v/>
      </c>
      <c r="N104" s="418">
        <f t="shared" si="45"/>
        <v>0</v>
      </c>
      <c r="O104" s="415" t="str">
        <f t="shared" si="46"/>
        <v/>
      </c>
      <c r="P104" s="416" t="str">
        <f t="shared" si="47"/>
        <v/>
      </c>
      <c r="Q104" s="405">
        <f t="shared" si="48"/>
        <v>0</v>
      </c>
      <c r="R104" s="415" t="str">
        <f t="shared" si="49"/>
        <v/>
      </c>
      <c r="S104" s="417" t="str">
        <f t="shared" si="50"/>
        <v/>
      </c>
      <c r="T104" s="418">
        <f t="shared" si="51"/>
        <v>0</v>
      </c>
      <c r="U104" s="415" t="str">
        <f t="shared" si="52"/>
        <v/>
      </c>
      <c r="V104" s="416" t="str">
        <f t="shared" si="53"/>
        <v/>
      </c>
      <c r="W104" s="405">
        <f t="shared" si="54"/>
        <v>0</v>
      </c>
      <c r="X104" s="415" t="str">
        <f t="shared" si="55"/>
        <v/>
      </c>
      <c r="Y104" s="417" t="str">
        <f t="shared" si="56"/>
        <v/>
      </c>
      <c r="Z104" s="405" t="str">
        <f t="shared" si="57"/>
        <v>Y</v>
      </c>
      <c r="AA104" s="406"/>
      <c r="AC104" s="100" t="str">
        <f t="shared" si="2"/>
        <v>Emb_1</v>
      </c>
      <c r="AD104" s="38">
        <f t="shared" si="3"/>
        <v>1</v>
      </c>
      <c r="AE104" s="38">
        <f t="shared" si="4"/>
        <v>1</v>
      </c>
      <c r="AF104" s="38">
        <f t="shared" si="5"/>
        <v>0</v>
      </c>
      <c r="AG104" s="38">
        <f t="shared" si="6"/>
        <v>0</v>
      </c>
      <c r="AH104" s="407">
        <f t="shared" si="7"/>
        <v>2</v>
      </c>
      <c r="AJ104" s="506"/>
      <c r="AK104" s="28"/>
      <c r="AL104" s="506"/>
      <c r="AM104" s="28"/>
      <c r="AN104" s="28"/>
    </row>
    <row r="105" spans="1:40">
      <c r="A105" s="408" t="str">
        <f>Recap!D39</f>
        <v>USDA_2</v>
      </c>
      <c r="B105" s="401">
        <f t="shared" ref="B105:B124" si="58">B33</f>
        <v>0</v>
      </c>
      <c r="C105" s="409" t="str">
        <f t="shared" ref="C105:C124" si="59">IF(C33=0,"",B105-C33)</f>
        <v/>
      </c>
      <c r="D105" s="410" t="str">
        <f t="shared" ref="D105:D124" si="60">IF(D33=0,"",D33-B105)</f>
        <v/>
      </c>
      <c r="E105" s="401">
        <f t="shared" ref="E105:E124" si="61">E33</f>
        <v>0</v>
      </c>
      <c r="F105" s="409" t="str">
        <f t="shared" ref="F105:F124" si="62">IF(F33=0,"",E105-F33)</f>
        <v/>
      </c>
      <c r="G105" s="410" t="str">
        <f t="shared" ref="G105:G124" si="63">IF(G33=0,"",G33-E105)</f>
        <v/>
      </c>
      <c r="H105" s="401">
        <f t="shared" ref="H105:H124" si="64">H33</f>
        <v>23</v>
      </c>
      <c r="I105" s="409">
        <f t="shared" ref="I105:I124" si="65">IF(I33=0,"",H105-I33)</f>
        <v>0</v>
      </c>
      <c r="J105" s="410">
        <f t="shared" ref="J105:J124" si="66">IF(J33=0,"",J33-H105)</f>
        <v>0</v>
      </c>
      <c r="K105" s="401">
        <f t="shared" ref="K105:K124" si="67">K33</f>
        <v>0</v>
      </c>
      <c r="L105" s="409" t="str">
        <f t="shared" ref="L105:L124" si="68">IF(L33=0,"",K105-L33)</f>
        <v/>
      </c>
      <c r="M105" s="411" t="str">
        <f t="shared" ref="M105:M124" si="69">IF(M33=0,"",M33-K105)</f>
        <v/>
      </c>
      <c r="N105" s="412">
        <f t="shared" ref="N105:N124" si="70">N33</f>
        <v>0</v>
      </c>
      <c r="O105" s="409" t="str">
        <f t="shared" ref="O105:O124" si="71">IF(O33=0,"",N105-O33)</f>
        <v/>
      </c>
      <c r="P105" s="410" t="str">
        <f t="shared" ref="P105:P124" si="72">IF(P33=0,"",P33-N105)</f>
        <v/>
      </c>
      <c r="Q105" s="401">
        <f t="shared" ref="Q105:Q124" si="73">Q33</f>
        <v>0</v>
      </c>
      <c r="R105" s="409" t="str">
        <f t="shared" ref="R105:R124" si="74">IF(R33=0,"",Q105-R33)</f>
        <v/>
      </c>
      <c r="S105" s="411" t="str">
        <f t="shared" ref="S105:S124" si="75">IF(S33=0,"",S33-Q105)</f>
        <v/>
      </c>
      <c r="T105" s="412">
        <f t="shared" ref="T105:T124" si="76">T33</f>
        <v>0</v>
      </c>
      <c r="U105" s="409" t="str">
        <f t="shared" ref="U105:U124" si="77">IF(U33=0,"",T105-U33)</f>
        <v/>
      </c>
      <c r="V105" s="410" t="str">
        <f t="shared" ref="V105:V124" si="78">IF(V33=0,"",V33-T105)</f>
        <v/>
      </c>
      <c r="W105" s="401">
        <f t="shared" ref="W105:W124" si="79">W33</f>
        <v>0</v>
      </c>
      <c r="X105" s="409" t="str">
        <f t="shared" ref="X105:X124" si="80">IF(X33=0,"",W105-X33)</f>
        <v/>
      </c>
      <c r="Y105" s="411" t="str">
        <f t="shared" ref="Y105:Y124" si="81">IF(Y33=0,"",Y33-W105)</f>
        <v/>
      </c>
      <c r="Z105" s="401" t="str">
        <f t="shared" ref="Z105:Z124" si="82">Z33</f>
        <v>Y</v>
      </c>
      <c r="AA105" s="402"/>
      <c r="AC105" s="92" t="str">
        <f t="shared" si="2"/>
        <v>USDA_2</v>
      </c>
      <c r="AD105" s="13">
        <f t="shared" si="3"/>
        <v>0</v>
      </c>
      <c r="AE105" s="13">
        <f t="shared" si="4"/>
        <v>1</v>
      </c>
      <c r="AF105" s="13">
        <f t="shared" si="5"/>
        <v>0</v>
      </c>
      <c r="AG105" s="13">
        <f t="shared" si="6"/>
        <v>0</v>
      </c>
      <c r="AH105" s="505">
        <f t="shared" si="7"/>
        <v>1</v>
      </c>
      <c r="AJ105" s="506"/>
      <c r="AK105" s="28"/>
      <c r="AL105" s="506"/>
      <c r="AM105" s="28"/>
      <c r="AN105" s="28"/>
    </row>
    <row r="106" spans="1:40">
      <c r="A106" s="94" t="str">
        <f>Recap!D40</f>
        <v>USDA_3</v>
      </c>
      <c r="B106" s="385">
        <f t="shared" si="58"/>
        <v>32.666666666666664</v>
      </c>
      <c r="C106" s="413">
        <f t="shared" si="59"/>
        <v>9.6666666666666643</v>
      </c>
      <c r="D106" s="386">
        <f t="shared" si="60"/>
        <v>17.333333333333336</v>
      </c>
      <c r="E106" s="385">
        <f t="shared" si="61"/>
        <v>0</v>
      </c>
      <c r="F106" s="413" t="str">
        <f t="shared" si="62"/>
        <v/>
      </c>
      <c r="G106" s="386" t="str">
        <f t="shared" si="63"/>
        <v/>
      </c>
      <c r="H106" s="385">
        <f t="shared" si="64"/>
        <v>0</v>
      </c>
      <c r="I106" s="413" t="str">
        <f t="shared" si="65"/>
        <v/>
      </c>
      <c r="J106" s="386" t="str">
        <f t="shared" si="66"/>
        <v/>
      </c>
      <c r="K106" s="385">
        <f t="shared" si="67"/>
        <v>0</v>
      </c>
      <c r="L106" s="413" t="str">
        <f t="shared" si="68"/>
        <v/>
      </c>
      <c r="M106" s="309" t="str">
        <f t="shared" si="69"/>
        <v/>
      </c>
      <c r="N106" s="392">
        <f t="shared" si="70"/>
        <v>0</v>
      </c>
      <c r="O106" s="413" t="str">
        <f t="shared" si="71"/>
        <v/>
      </c>
      <c r="P106" s="386" t="str">
        <f t="shared" si="72"/>
        <v/>
      </c>
      <c r="Q106" s="385">
        <f t="shared" si="73"/>
        <v>0</v>
      </c>
      <c r="R106" s="413" t="str">
        <f t="shared" si="74"/>
        <v/>
      </c>
      <c r="S106" s="309" t="str">
        <f t="shared" si="75"/>
        <v/>
      </c>
      <c r="T106" s="392">
        <f t="shared" si="76"/>
        <v>0</v>
      </c>
      <c r="U106" s="413" t="str">
        <f t="shared" si="77"/>
        <v/>
      </c>
      <c r="V106" s="386" t="str">
        <f t="shared" si="78"/>
        <v/>
      </c>
      <c r="W106" s="385">
        <f t="shared" si="79"/>
        <v>0</v>
      </c>
      <c r="X106" s="413" t="str">
        <f t="shared" si="80"/>
        <v/>
      </c>
      <c r="Y106" s="309" t="str">
        <f t="shared" si="81"/>
        <v/>
      </c>
      <c r="Z106" s="385" t="str">
        <f t="shared" si="82"/>
        <v>Y</v>
      </c>
      <c r="AA106" s="403"/>
      <c r="AC106" s="509" t="str">
        <f t="shared" si="2"/>
        <v>USDA_3</v>
      </c>
      <c r="AD106" s="51">
        <f t="shared" si="3"/>
        <v>1</v>
      </c>
      <c r="AE106" s="51">
        <f t="shared" si="4"/>
        <v>0</v>
      </c>
      <c r="AF106" s="51">
        <f t="shared" si="5"/>
        <v>0</v>
      </c>
      <c r="AG106" s="51">
        <f t="shared" si="6"/>
        <v>0</v>
      </c>
      <c r="AH106" s="108">
        <f t="shared" si="7"/>
        <v>1</v>
      </c>
      <c r="AJ106" s="506"/>
      <c r="AK106" s="28"/>
      <c r="AL106" s="506"/>
      <c r="AM106" s="28"/>
      <c r="AN106" s="28"/>
    </row>
    <row r="107" spans="1:40">
      <c r="A107" s="94" t="str">
        <f>Recap!D41</f>
        <v>USDA_4</v>
      </c>
      <c r="B107" s="385">
        <f t="shared" si="58"/>
        <v>0.5</v>
      </c>
      <c r="C107" s="413" t="str">
        <f t="shared" si="59"/>
        <v/>
      </c>
      <c r="D107" s="386" t="str">
        <f t="shared" si="60"/>
        <v/>
      </c>
      <c r="E107" s="385">
        <f t="shared" si="61"/>
        <v>0</v>
      </c>
      <c r="F107" s="413" t="str">
        <f t="shared" si="62"/>
        <v/>
      </c>
      <c r="G107" s="386" t="str">
        <f t="shared" si="63"/>
        <v/>
      </c>
      <c r="H107" s="385">
        <f t="shared" si="64"/>
        <v>0.5</v>
      </c>
      <c r="I107" s="413" t="str">
        <f t="shared" si="65"/>
        <v/>
      </c>
      <c r="J107" s="386" t="str">
        <f t="shared" si="66"/>
        <v/>
      </c>
      <c r="K107" s="385">
        <f t="shared" si="67"/>
        <v>0</v>
      </c>
      <c r="L107" s="413" t="str">
        <f t="shared" si="68"/>
        <v/>
      </c>
      <c r="M107" s="309" t="str">
        <f t="shared" si="69"/>
        <v/>
      </c>
      <c r="N107" s="392">
        <f t="shared" si="70"/>
        <v>0</v>
      </c>
      <c r="O107" s="413" t="str">
        <f t="shared" si="71"/>
        <v/>
      </c>
      <c r="P107" s="386" t="str">
        <f t="shared" si="72"/>
        <v/>
      </c>
      <c r="Q107" s="385">
        <f t="shared" si="73"/>
        <v>0</v>
      </c>
      <c r="R107" s="413" t="str">
        <f t="shared" si="74"/>
        <v/>
      </c>
      <c r="S107" s="309" t="str">
        <f t="shared" si="75"/>
        <v/>
      </c>
      <c r="T107" s="392">
        <f t="shared" si="76"/>
        <v>0</v>
      </c>
      <c r="U107" s="413" t="str">
        <f t="shared" si="77"/>
        <v/>
      </c>
      <c r="V107" s="386" t="str">
        <f t="shared" si="78"/>
        <v/>
      </c>
      <c r="W107" s="385">
        <f t="shared" si="79"/>
        <v>0</v>
      </c>
      <c r="X107" s="413" t="str">
        <f t="shared" si="80"/>
        <v/>
      </c>
      <c r="Y107" s="309" t="str">
        <f t="shared" si="81"/>
        <v/>
      </c>
      <c r="Z107" s="385" t="str">
        <f t="shared" si="82"/>
        <v>Y</v>
      </c>
      <c r="AA107" s="403"/>
      <c r="AC107" s="509" t="str">
        <f t="shared" si="2"/>
        <v>USDA_4</v>
      </c>
      <c r="AD107" s="51">
        <v>1</v>
      </c>
      <c r="AE107" s="51">
        <f t="shared" si="4"/>
        <v>1</v>
      </c>
      <c r="AF107" s="51">
        <f t="shared" si="5"/>
        <v>0</v>
      </c>
      <c r="AG107" s="51">
        <f t="shared" si="6"/>
        <v>0</v>
      </c>
      <c r="AH107" s="108">
        <f t="shared" si="7"/>
        <v>2</v>
      </c>
      <c r="AJ107" s="506"/>
      <c r="AK107" s="28"/>
      <c r="AL107" s="506"/>
      <c r="AM107" s="28"/>
      <c r="AN107" s="28"/>
    </row>
    <row r="108" spans="1:40" ht="15.75" customHeight="1" thickBot="1">
      <c r="A108" s="398" t="str">
        <f>Recap!D42</f>
        <v>USDA_5</v>
      </c>
      <c r="B108" s="393">
        <f t="shared" si="58"/>
        <v>1</v>
      </c>
      <c r="C108" s="394">
        <f t="shared" si="59"/>
        <v>0.9</v>
      </c>
      <c r="D108" s="395">
        <f t="shared" si="60"/>
        <v>11</v>
      </c>
      <c r="E108" s="393">
        <f t="shared" si="61"/>
        <v>0</v>
      </c>
      <c r="F108" s="394" t="str">
        <f t="shared" si="62"/>
        <v/>
      </c>
      <c r="G108" s="395" t="str">
        <f t="shared" si="63"/>
        <v/>
      </c>
      <c r="H108" s="393">
        <f t="shared" si="64"/>
        <v>1</v>
      </c>
      <c r="I108" s="394">
        <f t="shared" si="65"/>
        <v>0.9</v>
      </c>
      <c r="J108" s="395">
        <f t="shared" si="66"/>
        <v>9</v>
      </c>
      <c r="K108" s="393">
        <f t="shared" si="67"/>
        <v>0</v>
      </c>
      <c r="L108" s="394" t="str">
        <f t="shared" si="68"/>
        <v/>
      </c>
      <c r="M108" s="396" t="str">
        <f t="shared" si="69"/>
        <v/>
      </c>
      <c r="N108" s="397">
        <f t="shared" si="70"/>
        <v>0</v>
      </c>
      <c r="O108" s="394" t="str">
        <f t="shared" si="71"/>
        <v/>
      </c>
      <c r="P108" s="395" t="str">
        <f t="shared" si="72"/>
        <v/>
      </c>
      <c r="Q108" s="393">
        <f t="shared" si="73"/>
        <v>0</v>
      </c>
      <c r="R108" s="394" t="str">
        <f t="shared" si="74"/>
        <v/>
      </c>
      <c r="S108" s="396" t="str">
        <f t="shared" si="75"/>
        <v/>
      </c>
      <c r="T108" s="397">
        <f t="shared" si="76"/>
        <v>0</v>
      </c>
      <c r="U108" s="394" t="str">
        <f t="shared" si="77"/>
        <v/>
      </c>
      <c r="V108" s="395" t="str">
        <f t="shared" si="78"/>
        <v/>
      </c>
      <c r="W108" s="393">
        <f t="shared" si="79"/>
        <v>0</v>
      </c>
      <c r="X108" s="394" t="str">
        <f t="shared" si="80"/>
        <v/>
      </c>
      <c r="Y108" s="396" t="str">
        <f t="shared" si="81"/>
        <v/>
      </c>
      <c r="Z108" s="393" t="str">
        <f t="shared" si="82"/>
        <v>Y</v>
      </c>
      <c r="AA108" s="404"/>
      <c r="AC108" s="511" t="str">
        <f t="shared" si="2"/>
        <v>USDA_5</v>
      </c>
      <c r="AD108" s="6">
        <f t="shared" ref="AD108:AD127" si="83">IF(B108&gt;0,1,0)</f>
        <v>1</v>
      </c>
      <c r="AE108" s="6">
        <f t="shared" si="4"/>
        <v>1</v>
      </c>
      <c r="AF108" s="6">
        <f t="shared" si="5"/>
        <v>0</v>
      </c>
      <c r="AG108" s="6">
        <f t="shared" si="6"/>
        <v>0</v>
      </c>
      <c r="AH108" s="288">
        <f t="shared" si="7"/>
        <v>2</v>
      </c>
      <c r="AJ108" s="506"/>
      <c r="AK108" s="28"/>
      <c r="AL108" s="506"/>
      <c r="AM108" s="28"/>
      <c r="AN108" s="28"/>
    </row>
    <row r="109" spans="1:40">
      <c r="A109" s="408" t="str">
        <f>Recap!D43</f>
        <v>Epernon_1</v>
      </c>
      <c r="B109" s="401">
        <f t="shared" si="58"/>
        <v>0</v>
      </c>
      <c r="C109" s="409" t="str">
        <f t="shared" si="59"/>
        <v/>
      </c>
      <c r="D109" s="410" t="str">
        <f t="shared" si="60"/>
        <v/>
      </c>
      <c r="E109" s="401">
        <f t="shared" si="61"/>
        <v>0</v>
      </c>
      <c r="F109" s="409" t="str">
        <f t="shared" si="62"/>
        <v/>
      </c>
      <c r="G109" s="410" t="str">
        <f t="shared" si="63"/>
        <v/>
      </c>
      <c r="H109" s="401">
        <f t="shared" si="64"/>
        <v>49.5</v>
      </c>
      <c r="I109" s="409">
        <f t="shared" si="65"/>
        <v>0</v>
      </c>
      <c r="J109" s="410">
        <f t="shared" si="66"/>
        <v>0</v>
      </c>
      <c r="K109" s="401">
        <f t="shared" si="67"/>
        <v>0</v>
      </c>
      <c r="L109" s="409" t="str">
        <f t="shared" si="68"/>
        <v/>
      </c>
      <c r="M109" s="411" t="str">
        <f t="shared" si="69"/>
        <v/>
      </c>
      <c r="N109" s="412">
        <f t="shared" si="70"/>
        <v>0</v>
      </c>
      <c r="O109" s="409" t="str">
        <f t="shared" si="71"/>
        <v/>
      </c>
      <c r="P109" s="410" t="str">
        <f t="shared" si="72"/>
        <v/>
      </c>
      <c r="Q109" s="401">
        <f t="shared" si="73"/>
        <v>0</v>
      </c>
      <c r="R109" s="409" t="str">
        <f t="shared" si="74"/>
        <v/>
      </c>
      <c r="S109" s="411" t="str">
        <f t="shared" si="75"/>
        <v/>
      </c>
      <c r="T109" s="412">
        <f t="shared" si="76"/>
        <v>0</v>
      </c>
      <c r="U109" s="409" t="str">
        <f t="shared" si="77"/>
        <v/>
      </c>
      <c r="V109" s="410" t="str">
        <f t="shared" si="78"/>
        <v/>
      </c>
      <c r="W109" s="401">
        <f t="shared" si="79"/>
        <v>0</v>
      </c>
      <c r="X109" s="409" t="str">
        <f t="shared" si="80"/>
        <v/>
      </c>
      <c r="Y109" s="411" t="str">
        <f t="shared" si="81"/>
        <v/>
      </c>
      <c r="Z109" s="401" t="str">
        <f t="shared" si="82"/>
        <v>Y</v>
      </c>
      <c r="AA109" s="402"/>
      <c r="AC109" s="92" t="str">
        <f t="shared" si="2"/>
        <v>Epernon_1</v>
      </c>
      <c r="AD109" s="13">
        <f t="shared" si="83"/>
        <v>0</v>
      </c>
      <c r="AE109" s="13">
        <f t="shared" si="4"/>
        <v>1</v>
      </c>
      <c r="AF109" s="13">
        <f t="shared" si="5"/>
        <v>0</v>
      </c>
      <c r="AG109" s="13">
        <f t="shared" si="6"/>
        <v>0</v>
      </c>
      <c r="AH109" s="505">
        <f t="shared" si="7"/>
        <v>1</v>
      </c>
      <c r="AJ109" s="506"/>
      <c r="AK109" s="28"/>
      <c r="AL109" s="506"/>
      <c r="AM109" s="28"/>
      <c r="AN109" s="28"/>
    </row>
    <row r="110" spans="1:40">
      <c r="A110" s="94" t="str">
        <f>Recap!D44</f>
        <v>Epernon_2</v>
      </c>
      <c r="B110" s="385">
        <f t="shared" si="58"/>
        <v>0</v>
      </c>
      <c r="C110" s="413" t="str">
        <f t="shared" si="59"/>
        <v/>
      </c>
      <c r="D110" s="386" t="str">
        <f t="shared" si="60"/>
        <v/>
      </c>
      <c r="E110" s="385">
        <f t="shared" si="61"/>
        <v>0</v>
      </c>
      <c r="F110" s="413" t="str">
        <f t="shared" si="62"/>
        <v/>
      </c>
      <c r="G110" s="386" t="str">
        <f t="shared" si="63"/>
        <v/>
      </c>
      <c r="H110" s="385">
        <f t="shared" si="64"/>
        <v>82.5</v>
      </c>
      <c r="I110" s="413">
        <f t="shared" si="65"/>
        <v>0</v>
      </c>
      <c r="J110" s="386">
        <f t="shared" si="66"/>
        <v>0</v>
      </c>
      <c r="K110" s="385">
        <f t="shared" si="67"/>
        <v>0</v>
      </c>
      <c r="L110" s="413" t="str">
        <f t="shared" si="68"/>
        <v/>
      </c>
      <c r="M110" s="309" t="str">
        <f t="shared" si="69"/>
        <v/>
      </c>
      <c r="N110" s="392">
        <f t="shared" si="70"/>
        <v>0</v>
      </c>
      <c r="O110" s="413" t="str">
        <f t="shared" si="71"/>
        <v/>
      </c>
      <c r="P110" s="386" t="str">
        <f t="shared" si="72"/>
        <v/>
      </c>
      <c r="Q110" s="385">
        <f t="shared" si="73"/>
        <v>0</v>
      </c>
      <c r="R110" s="413" t="str">
        <f t="shared" si="74"/>
        <v/>
      </c>
      <c r="S110" s="309" t="str">
        <f t="shared" si="75"/>
        <v/>
      </c>
      <c r="T110" s="392">
        <f t="shared" si="76"/>
        <v>0</v>
      </c>
      <c r="U110" s="413" t="str">
        <f t="shared" si="77"/>
        <v/>
      </c>
      <c r="V110" s="386" t="str">
        <f t="shared" si="78"/>
        <v/>
      </c>
      <c r="W110" s="385">
        <f t="shared" si="79"/>
        <v>0</v>
      </c>
      <c r="X110" s="413" t="str">
        <f t="shared" si="80"/>
        <v/>
      </c>
      <c r="Y110" s="309" t="str">
        <f t="shared" si="81"/>
        <v/>
      </c>
      <c r="Z110" s="385" t="str">
        <f t="shared" si="82"/>
        <v>Y</v>
      </c>
      <c r="AA110" s="403"/>
      <c r="AC110" s="509" t="str">
        <f t="shared" si="2"/>
        <v>Epernon_2</v>
      </c>
      <c r="AD110" s="51">
        <f t="shared" si="83"/>
        <v>0</v>
      </c>
      <c r="AE110" s="51">
        <f t="shared" si="4"/>
        <v>1</v>
      </c>
      <c r="AF110" s="51">
        <f t="shared" si="5"/>
        <v>0</v>
      </c>
      <c r="AG110" s="51">
        <f t="shared" si="6"/>
        <v>0</v>
      </c>
      <c r="AH110" s="108">
        <f t="shared" si="7"/>
        <v>1</v>
      </c>
      <c r="AJ110" s="506"/>
      <c r="AK110" s="28"/>
      <c r="AL110" s="506"/>
      <c r="AM110" s="28"/>
      <c r="AN110" s="28"/>
    </row>
    <row r="111" spans="1:40" ht="15.75" customHeight="1" thickBot="1">
      <c r="A111" s="398" t="str">
        <f>Recap!D45</f>
        <v>Epernon_3</v>
      </c>
      <c r="B111" s="393">
        <f t="shared" si="58"/>
        <v>0</v>
      </c>
      <c r="C111" s="394" t="str">
        <f t="shared" si="59"/>
        <v/>
      </c>
      <c r="D111" s="395" t="str">
        <f t="shared" si="60"/>
        <v/>
      </c>
      <c r="E111" s="393">
        <f t="shared" si="61"/>
        <v>0</v>
      </c>
      <c r="F111" s="394" t="str">
        <f t="shared" si="62"/>
        <v/>
      </c>
      <c r="G111" s="395" t="str">
        <f t="shared" si="63"/>
        <v/>
      </c>
      <c r="H111" s="393">
        <f t="shared" si="64"/>
        <v>78</v>
      </c>
      <c r="I111" s="394">
        <f t="shared" si="65"/>
        <v>0</v>
      </c>
      <c r="J111" s="395">
        <f t="shared" si="66"/>
        <v>0</v>
      </c>
      <c r="K111" s="393">
        <f t="shared" si="67"/>
        <v>0</v>
      </c>
      <c r="L111" s="394" t="str">
        <f t="shared" si="68"/>
        <v/>
      </c>
      <c r="M111" s="396" t="str">
        <f t="shared" si="69"/>
        <v/>
      </c>
      <c r="N111" s="397">
        <f t="shared" si="70"/>
        <v>0</v>
      </c>
      <c r="O111" s="394" t="str">
        <f t="shared" si="71"/>
        <v/>
      </c>
      <c r="P111" s="395" t="str">
        <f t="shared" si="72"/>
        <v/>
      </c>
      <c r="Q111" s="393">
        <f t="shared" si="73"/>
        <v>0</v>
      </c>
      <c r="R111" s="394" t="str">
        <f t="shared" si="74"/>
        <v/>
      </c>
      <c r="S111" s="396" t="str">
        <f t="shared" si="75"/>
        <v/>
      </c>
      <c r="T111" s="397">
        <f t="shared" si="76"/>
        <v>0</v>
      </c>
      <c r="U111" s="394" t="str">
        <f t="shared" si="77"/>
        <v/>
      </c>
      <c r="V111" s="395" t="str">
        <f t="shared" si="78"/>
        <v/>
      </c>
      <c r="W111" s="393">
        <f t="shared" si="79"/>
        <v>0</v>
      </c>
      <c r="X111" s="394" t="str">
        <f t="shared" si="80"/>
        <v/>
      </c>
      <c r="Y111" s="396" t="str">
        <f t="shared" si="81"/>
        <v/>
      </c>
      <c r="Z111" s="393" t="str">
        <f t="shared" si="82"/>
        <v>N</v>
      </c>
      <c r="AA111" s="404"/>
      <c r="AC111" s="511" t="str">
        <f t="shared" si="2"/>
        <v>Epernon_3</v>
      </c>
      <c r="AD111" s="6">
        <f t="shared" si="83"/>
        <v>0</v>
      </c>
      <c r="AE111" s="6">
        <f t="shared" si="4"/>
        <v>1</v>
      </c>
      <c r="AF111" s="6">
        <f t="shared" si="5"/>
        <v>0</v>
      </c>
      <c r="AG111" s="6">
        <f t="shared" si="6"/>
        <v>0</v>
      </c>
      <c r="AH111" s="288">
        <f t="shared" si="7"/>
        <v>1</v>
      </c>
      <c r="AJ111" s="506"/>
      <c r="AK111" s="28"/>
      <c r="AL111" s="506"/>
      <c r="AM111" s="28"/>
      <c r="AN111" s="28"/>
    </row>
    <row r="112" spans="1:40">
      <c r="A112" s="408" t="str">
        <f>Recap!D46</f>
        <v>NRCC_LS_1</v>
      </c>
      <c r="B112" s="401">
        <f t="shared" si="58"/>
        <v>25</v>
      </c>
      <c r="C112" s="409">
        <f t="shared" si="59"/>
        <v>0</v>
      </c>
      <c r="D112" s="410">
        <f t="shared" si="60"/>
        <v>0</v>
      </c>
      <c r="E112" s="401">
        <f t="shared" si="61"/>
        <v>0</v>
      </c>
      <c r="F112" s="409" t="str">
        <f t="shared" si="62"/>
        <v/>
      </c>
      <c r="G112" s="410" t="str">
        <f t="shared" si="63"/>
        <v/>
      </c>
      <c r="H112" s="401">
        <f t="shared" si="64"/>
        <v>25</v>
      </c>
      <c r="I112" s="409">
        <f t="shared" si="65"/>
        <v>0</v>
      </c>
      <c r="J112" s="410">
        <f t="shared" si="66"/>
        <v>0</v>
      </c>
      <c r="K112" s="401">
        <f t="shared" si="67"/>
        <v>0</v>
      </c>
      <c r="L112" s="409" t="str">
        <f t="shared" si="68"/>
        <v/>
      </c>
      <c r="M112" s="411" t="str">
        <f t="shared" si="69"/>
        <v/>
      </c>
      <c r="N112" s="412">
        <f t="shared" si="70"/>
        <v>0</v>
      </c>
      <c r="O112" s="409" t="str">
        <f t="shared" si="71"/>
        <v/>
      </c>
      <c r="P112" s="410" t="str">
        <f t="shared" si="72"/>
        <v/>
      </c>
      <c r="Q112" s="401">
        <f t="shared" si="73"/>
        <v>0</v>
      </c>
      <c r="R112" s="409" t="str">
        <f t="shared" si="74"/>
        <v/>
      </c>
      <c r="S112" s="411" t="str">
        <f t="shared" si="75"/>
        <v/>
      </c>
      <c r="T112" s="412">
        <f t="shared" si="76"/>
        <v>0</v>
      </c>
      <c r="U112" s="409" t="str">
        <f t="shared" si="77"/>
        <v/>
      </c>
      <c r="V112" s="410" t="str">
        <f t="shared" si="78"/>
        <v/>
      </c>
      <c r="W112" s="401">
        <f t="shared" si="79"/>
        <v>0</v>
      </c>
      <c r="X112" s="409" t="str">
        <f t="shared" si="80"/>
        <v/>
      </c>
      <c r="Y112" s="411" t="str">
        <f t="shared" si="81"/>
        <v/>
      </c>
      <c r="Z112" s="401" t="str">
        <f t="shared" si="82"/>
        <v>Y</v>
      </c>
      <c r="AA112" s="402"/>
      <c r="AC112" s="92" t="str">
        <f t="shared" si="2"/>
        <v>NRCC_LS_1</v>
      </c>
      <c r="AD112" s="13">
        <f t="shared" si="83"/>
        <v>1</v>
      </c>
      <c r="AE112" s="13">
        <f t="shared" si="4"/>
        <v>1</v>
      </c>
      <c r="AF112" s="13">
        <f t="shared" si="5"/>
        <v>0</v>
      </c>
      <c r="AG112" s="13">
        <f t="shared" si="6"/>
        <v>0</v>
      </c>
      <c r="AH112" s="505">
        <f t="shared" si="7"/>
        <v>2</v>
      </c>
      <c r="AJ112" s="506"/>
      <c r="AK112" s="28"/>
      <c r="AL112" s="506"/>
      <c r="AM112" s="28"/>
      <c r="AN112" s="28"/>
    </row>
    <row r="113" spans="1:40">
      <c r="A113" s="94" t="str">
        <f>Recap!D47</f>
        <v>NRCC_LS_2</v>
      </c>
      <c r="B113" s="385">
        <f t="shared" si="58"/>
        <v>0</v>
      </c>
      <c r="C113" s="413" t="str">
        <f t="shared" si="59"/>
        <v/>
      </c>
      <c r="D113" s="386" t="str">
        <f t="shared" si="60"/>
        <v/>
      </c>
      <c r="E113" s="385">
        <f t="shared" si="61"/>
        <v>0</v>
      </c>
      <c r="F113" s="413" t="str">
        <f t="shared" si="62"/>
        <v/>
      </c>
      <c r="G113" s="386" t="str">
        <f t="shared" si="63"/>
        <v/>
      </c>
      <c r="H113" s="385">
        <f t="shared" si="64"/>
        <v>40.142857142857146</v>
      </c>
      <c r="I113" s="413">
        <f t="shared" si="65"/>
        <v>12.142857142857146</v>
      </c>
      <c r="J113" s="386">
        <f t="shared" si="66"/>
        <v>7.8571428571428541</v>
      </c>
      <c r="K113" s="385">
        <f t="shared" si="67"/>
        <v>0</v>
      </c>
      <c r="L113" s="413" t="str">
        <f t="shared" si="68"/>
        <v/>
      </c>
      <c r="M113" s="309" t="str">
        <f t="shared" si="69"/>
        <v/>
      </c>
      <c r="N113" s="392">
        <f t="shared" si="70"/>
        <v>64.25</v>
      </c>
      <c r="O113" s="413">
        <f t="shared" si="71"/>
        <v>39.25</v>
      </c>
      <c r="P113" s="386">
        <f t="shared" si="72"/>
        <v>25.75</v>
      </c>
      <c r="Q113" s="385">
        <f t="shared" si="73"/>
        <v>0</v>
      </c>
      <c r="R113" s="413" t="str">
        <f t="shared" si="74"/>
        <v/>
      </c>
      <c r="S113" s="309" t="str">
        <f t="shared" si="75"/>
        <v/>
      </c>
      <c r="T113" s="392">
        <f t="shared" si="76"/>
        <v>60.75</v>
      </c>
      <c r="U113" s="413">
        <f t="shared" si="77"/>
        <v>25.75</v>
      </c>
      <c r="V113" s="386">
        <f t="shared" si="78"/>
        <v>34.25</v>
      </c>
      <c r="W113" s="385">
        <f t="shared" si="79"/>
        <v>0</v>
      </c>
      <c r="X113" s="413" t="str">
        <f t="shared" si="80"/>
        <v/>
      </c>
      <c r="Y113" s="309" t="str">
        <f t="shared" si="81"/>
        <v/>
      </c>
      <c r="Z113" s="385" t="str">
        <f t="shared" si="82"/>
        <v>Y</v>
      </c>
      <c r="AA113" s="403"/>
      <c r="AC113" s="509" t="str">
        <f t="shared" ref="AC113:AC127" si="84">A113</f>
        <v>NRCC_LS_2</v>
      </c>
      <c r="AD113" s="51">
        <f t="shared" si="83"/>
        <v>0</v>
      </c>
      <c r="AE113" s="51">
        <f t="shared" ref="AE113:AE127" si="85">IF(H113&gt;0,1,0)</f>
        <v>1</v>
      </c>
      <c r="AF113" s="51">
        <f t="shared" ref="AF113:AF127" si="86">IF(N113&gt;0,1,0)</f>
        <v>1</v>
      </c>
      <c r="AG113" s="51">
        <f t="shared" ref="AG113:AG127" si="87">IF(T113&gt;0,1,0)</f>
        <v>1</v>
      </c>
      <c r="AH113" s="108">
        <f t="shared" ref="AH113:AH145" si="88">SUM(AD113:AG113)</f>
        <v>3</v>
      </c>
      <c r="AJ113" s="506"/>
      <c r="AK113" s="28"/>
      <c r="AL113" s="506"/>
      <c r="AM113" s="28"/>
      <c r="AN113" s="28"/>
    </row>
    <row r="114" spans="1:40">
      <c r="A114" s="94" t="str">
        <f>Recap!D48</f>
        <v>NRCC_LS_3</v>
      </c>
      <c r="B114" s="385">
        <f t="shared" si="58"/>
        <v>1</v>
      </c>
      <c r="C114" s="413">
        <f t="shared" si="59"/>
        <v>0.9</v>
      </c>
      <c r="D114" s="386">
        <f t="shared" si="60"/>
        <v>4</v>
      </c>
      <c r="E114" s="385">
        <f t="shared" si="61"/>
        <v>0</v>
      </c>
      <c r="F114" s="413" t="str">
        <f t="shared" si="62"/>
        <v/>
      </c>
      <c r="G114" s="386" t="str">
        <f t="shared" si="63"/>
        <v/>
      </c>
      <c r="H114" s="385">
        <f t="shared" si="64"/>
        <v>1</v>
      </c>
      <c r="I114" s="413">
        <f t="shared" si="65"/>
        <v>0.9</v>
      </c>
      <c r="J114" s="386">
        <f t="shared" si="66"/>
        <v>1</v>
      </c>
      <c r="K114" s="385">
        <f t="shared" si="67"/>
        <v>0</v>
      </c>
      <c r="L114" s="413" t="str">
        <f t="shared" si="68"/>
        <v/>
      </c>
      <c r="M114" s="309" t="str">
        <f t="shared" si="69"/>
        <v/>
      </c>
      <c r="N114" s="392">
        <f t="shared" si="70"/>
        <v>0</v>
      </c>
      <c r="O114" s="413" t="str">
        <f t="shared" si="71"/>
        <v/>
      </c>
      <c r="P114" s="386" t="str">
        <f t="shared" si="72"/>
        <v/>
      </c>
      <c r="Q114" s="385">
        <f t="shared" si="73"/>
        <v>0</v>
      </c>
      <c r="R114" s="413" t="str">
        <f t="shared" si="74"/>
        <v/>
      </c>
      <c r="S114" s="309" t="str">
        <f t="shared" si="75"/>
        <v/>
      </c>
      <c r="T114" s="392">
        <f t="shared" si="76"/>
        <v>0</v>
      </c>
      <c r="U114" s="413" t="str">
        <f t="shared" si="77"/>
        <v/>
      </c>
      <c r="V114" s="386" t="str">
        <f t="shared" si="78"/>
        <v/>
      </c>
      <c r="W114" s="385">
        <f t="shared" si="79"/>
        <v>0</v>
      </c>
      <c r="X114" s="413" t="str">
        <f t="shared" si="80"/>
        <v/>
      </c>
      <c r="Y114" s="309" t="str">
        <f t="shared" si="81"/>
        <v/>
      </c>
      <c r="Z114" s="385" t="str">
        <f t="shared" si="82"/>
        <v>Y</v>
      </c>
      <c r="AA114" s="403"/>
      <c r="AC114" s="509" t="str">
        <f t="shared" si="84"/>
        <v>NRCC_LS_3</v>
      </c>
      <c r="AD114" s="51">
        <f t="shared" si="83"/>
        <v>1</v>
      </c>
      <c r="AE114" s="51">
        <f t="shared" si="85"/>
        <v>1</v>
      </c>
      <c r="AF114" s="51">
        <f t="shared" si="86"/>
        <v>0</v>
      </c>
      <c r="AG114" s="51">
        <f t="shared" si="87"/>
        <v>0</v>
      </c>
      <c r="AH114" s="108">
        <f t="shared" si="88"/>
        <v>2</v>
      </c>
      <c r="AJ114" s="506"/>
      <c r="AK114" s="28"/>
      <c r="AL114" s="506"/>
      <c r="AM114" s="28"/>
      <c r="AN114" s="28"/>
    </row>
    <row r="115" spans="1:40" ht="15.75" thickBot="1">
      <c r="A115" s="94" t="str">
        <f>Recap!D49</f>
        <v>NRCC_LS_4</v>
      </c>
      <c r="B115" s="385">
        <f t="shared" si="58"/>
        <v>0</v>
      </c>
      <c r="C115" s="413" t="str">
        <f t="shared" si="59"/>
        <v/>
      </c>
      <c r="D115" s="386" t="str">
        <f t="shared" si="60"/>
        <v/>
      </c>
      <c r="E115" s="385">
        <f t="shared" si="61"/>
        <v>0</v>
      </c>
      <c r="F115" s="413" t="str">
        <f t="shared" si="62"/>
        <v/>
      </c>
      <c r="G115" s="386" t="str">
        <f t="shared" si="63"/>
        <v/>
      </c>
      <c r="H115" s="385">
        <f t="shared" si="64"/>
        <v>70.416666666666671</v>
      </c>
      <c r="I115" s="413">
        <f t="shared" si="65"/>
        <v>17.416666666666671</v>
      </c>
      <c r="J115" s="386">
        <f t="shared" si="66"/>
        <v>18.583333333333329</v>
      </c>
      <c r="K115" s="385">
        <f t="shared" si="67"/>
        <v>0</v>
      </c>
      <c r="L115" s="413" t="str">
        <f t="shared" si="68"/>
        <v/>
      </c>
      <c r="M115" s="309" t="str">
        <f t="shared" si="69"/>
        <v/>
      </c>
      <c r="N115" s="392">
        <f t="shared" si="70"/>
        <v>47.03125</v>
      </c>
      <c r="O115" s="413">
        <f t="shared" si="71"/>
        <v>21.03125</v>
      </c>
      <c r="P115" s="386">
        <f t="shared" si="72"/>
        <v>20.96875</v>
      </c>
      <c r="Q115" s="385">
        <f t="shared" si="73"/>
        <v>0</v>
      </c>
      <c r="R115" s="413" t="str">
        <f t="shared" si="74"/>
        <v/>
      </c>
      <c r="S115" s="309" t="str">
        <f t="shared" si="75"/>
        <v/>
      </c>
      <c r="T115" s="392">
        <f t="shared" si="76"/>
        <v>64.4375</v>
      </c>
      <c r="U115" s="413">
        <f t="shared" si="77"/>
        <v>42.4375</v>
      </c>
      <c r="V115" s="386">
        <f t="shared" si="78"/>
        <v>70.5625</v>
      </c>
      <c r="W115" s="385">
        <f t="shared" si="79"/>
        <v>0</v>
      </c>
      <c r="X115" s="413" t="str">
        <f t="shared" si="80"/>
        <v/>
      </c>
      <c r="Y115" s="309" t="str">
        <f t="shared" si="81"/>
        <v/>
      </c>
      <c r="Z115" s="385" t="str">
        <f t="shared" si="82"/>
        <v>N</v>
      </c>
      <c r="AA115" s="403"/>
      <c r="AC115" s="509" t="str">
        <f t="shared" ref="AC115" si="89">A115</f>
        <v>NRCC_LS_4</v>
      </c>
      <c r="AD115" s="51">
        <f t="shared" ref="AD115" si="90">IF(B115&gt;0,1,0)</f>
        <v>0</v>
      </c>
      <c r="AE115" s="51">
        <f t="shared" ref="AE115" si="91">IF(H115&gt;0,1,0)</f>
        <v>1</v>
      </c>
      <c r="AF115" s="51">
        <f t="shared" ref="AF115" si="92">IF(N115&gt;0,1,0)</f>
        <v>1</v>
      </c>
      <c r="AG115" s="51">
        <f t="shared" ref="AG115" si="93">IF(T115&gt;0,1,0)</f>
        <v>1</v>
      </c>
      <c r="AH115" s="108">
        <f t="shared" ref="AH115" si="94">SUM(AD115:AG115)</f>
        <v>3</v>
      </c>
      <c r="AJ115" s="506"/>
      <c r="AK115" s="28"/>
      <c r="AL115" s="506"/>
      <c r="AM115" s="28"/>
      <c r="AN115" s="28"/>
    </row>
    <row r="116" spans="1:40">
      <c r="A116" s="408" t="str">
        <f>Recap!D51</f>
        <v>RISE_1</v>
      </c>
      <c r="B116" s="401">
        <f t="shared" si="58"/>
        <v>0</v>
      </c>
      <c r="C116" s="409" t="str">
        <f t="shared" si="59"/>
        <v/>
      </c>
      <c r="D116" s="410" t="str">
        <f t="shared" si="60"/>
        <v/>
      </c>
      <c r="E116" s="401">
        <f t="shared" si="61"/>
        <v>0</v>
      </c>
      <c r="F116" s="409" t="str">
        <f t="shared" si="62"/>
        <v/>
      </c>
      <c r="G116" s="410" t="str">
        <f t="shared" si="63"/>
        <v/>
      </c>
      <c r="H116" s="401">
        <f t="shared" si="64"/>
        <v>35.333333333333336</v>
      </c>
      <c r="I116" s="409">
        <f t="shared" si="65"/>
        <v>10.333333333333336</v>
      </c>
      <c r="J116" s="410">
        <f t="shared" si="66"/>
        <v>9.6666666666666643</v>
      </c>
      <c r="K116" s="401">
        <f t="shared" si="67"/>
        <v>0</v>
      </c>
      <c r="L116" s="409" t="str">
        <f t="shared" si="68"/>
        <v/>
      </c>
      <c r="M116" s="411" t="str">
        <f t="shared" si="69"/>
        <v/>
      </c>
      <c r="N116" s="412">
        <f t="shared" si="70"/>
        <v>32</v>
      </c>
      <c r="O116" s="409">
        <f t="shared" si="71"/>
        <v>31.9</v>
      </c>
      <c r="P116" s="410">
        <f t="shared" si="72"/>
        <v>33</v>
      </c>
      <c r="Q116" s="401">
        <f t="shared" si="73"/>
        <v>0</v>
      </c>
      <c r="R116" s="409" t="str">
        <f t="shared" si="74"/>
        <v/>
      </c>
      <c r="S116" s="411" t="str">
        <f t="shared" si="75"/>
        <v/>
      </c>
      <c r="T116" s="412">
        <f t="shared" si="76"/>
        <v>0</v>
      </c>
      <c r="U116" s="409" t="str">
        <f t="shared" si="77"/>
        <v/>
      </c>
      <c r="V116" s="410" t="str">
        <f t="shared" si="78"/>
        <v/>
      </c>
      <c r="W116" s="401">
        <f t="shared" si="79"/>
        <v>0</v>
      </c>
      <c r="X116" s="409" t="str">
        <f t="shared" si="80"/>
        <v/>
      </c>
      <c r="Y116" s="411" t="str">
        <f t="shared" si="81"/>
        <v/>
      </c>
      <c r="Z116" s="401" t="str">
        <f t="shared" si="82"/>
        <v>Y</v>
      </c>
      <c r="AA116" s="402"/>
      <c r="AC116" s="92" t="str">
        <f t="shared" si="84"/>
        <v>RISE_1</v>
      </c>
      <c r="AD116" s="13">
        <f t="shared" si="83"/>
        <v>0</v>
      </c>
      <c r="AE116" s="13">
        <f t="shared" si="85"/>
        <v>1</v>
      </c>
      <c r="AF116" s="13">
        <f t="shared" si="86"/>
        <v>1</v>
      </c>
      <c r="AG116" s="13">
        <f t="shared" si="87"/>
        <v>0</v>
      </c>
      <c r="AH116" s="505">
        <f t="shared" si="88"/>
        <v>2</v>
      </c>
      <c r="AJ116" s="506"/>
      <c r="AK116" s="28"/>
      <c r="AL116" s="506"/>
      <c r="AM116" s="28"/>
      <c r="AN116" s="28"/>
    </row>
    <row r="117" spans="1:40">
      <c r="A117" s="94" t="str">
        <f>Recap!D52</f>
        <v>RISE_2</v>
      </c>
      <c r="B117" s="385">
        <f t="shared" si="58"/>
        <v>60.708333333333336</v>
      </c>
      <c r="C117" s="413">
        <f t="shared" si="59"/>
        <v>24.708333333333336</v>
      </c>
      <c r="D117" s="386">
        <f t="shared" si="60"/>
        <v>25.291666666666664</v>
      </c>
      <c r="E117" s="385">
        <f t="shared" si="61"/>
        <v>0</v>
      </c>
      <c r="F117" s="413" t="str">
        <f t="shared" si="62"/>
        <v/>
      </c>
      <c r="G117" s="386" t="str">
        <f t="shared" si="63"/>
        <v/>
      </c>
      <c r="H117" s="385">
        <f t="shared" si="64"/>
        <v>43.125</v>
      </c>
      <c r="I117" s="413">
        <f t="shared" si="65"/>
        <v>10.125</v>
      </c>
      <c r="J117" s="386">
        <f t="shared" si="66"/>
        <v>13.875</v>
      </c>
      <c r="K117" s="385">
        <f t="shared" si="67"/>
        <v>0</v>
      </c>
      <c r="L117" s="413" t="str">
        <f t="shared" si="68"/>
        <v/>
      </c>
      <c r="M117" s="309" t="str">
        <f t="shared" si="69"/>
        <v/>
      </c>
      <c r="N117" s="392">
        <f t="shared" si="70"/>
        <v>56</v>
      </c>
      <c r="O117" s="413">
        <f t="shared" si="71"/>
        <v>36</v>
      </c>
      <c r="P117" s="386">
        <f t="shared" si="72"/>
        <v>24</v>
      </c>
      <c r="Q117" s="385">
        <f t="shared" si="73"/>
        <v>0</v>
      </c>
      <c r="R117" s="413" t="str">
        <f t="shared" si="74"/>
        <v/>
      </c>
      <c r="S117" s="309" t="str">
        <f t="shared" si="75"/>
        <v/>
      </c>
      <c r="T117" s="392">
        <f t="shared" si="76"/>
        <v>0</v>
      </c>
      <c r="U117" s="413" t="str">
        <f t="shared" si="77"/>
        <v/>
      </c>
      <c r="V117" s="386" t="str">
        <f t="shared" si="78"/>
        <v/>
      </c>
      <c r="W117" s="385">
        <f t="shared" si="79"/>
        <v>0</v>
      </c>
      <c r="X117" s="413" t="str">
        <f t="shared" si="80"/>
        <v/>
      </c>
      <c r="Y117" s="309" t="str">
        <f t="shared" si="81"/>
        <v/>
      </c>
      <c r="Z117" s="385" t="str">
        <f t="shared" si="82"/>
        <v>Y</v>
      </c>
      <c r="AA117" s="403"/>
      <c r="AC117" s="509" t="str">
        <f t="shared" si="84"/>
        <v>RISE_2</v>
      </c>
      <c r="AD117" s="51">
        <f t="shared" si="83"/>
        <v>1</v>
      </c>
      <c r="AE117" s="51">
        <f t="shared" si="85"/>
        <v>1</v>
      </c>
      <c r="AF117" s="51">
        <f t="shared" si="86"/>
        <v>1</v>
      </c>
      <c r="AG117" s="51">
        <f t="shared" si="87"/>
        <v>0</v>
      </c>
      <c r="AH117" s="108">
        <f t="shared" si="88"/>
        <v>3</v>
      </c>
      <c r="AJ117" s="506"/>
      <c r="AK117" s="28"/>
      <c r="AL117" s="506"/>
      <c r="AM117" s="28"/>
      <c r="AN117" s="28"/>
    </row>
    <row r="118" spans="1:40">
      <c r="A118" s="94" t="str">
        <f>Recap!D53</f>
        <v>RISE_3</v>
      </c>
      <c r="B118" s="385">
        <f t="shared" si="58"/>
        <v>69.875</v>
      </c>
      <c r="C118" s="413">
        <f t="shared" si="59"/>
        <v>34.875</v>
      </c>
      <c r="D118" s="386">
        <f t="shared" si="60"/>
        <v>34.125</v>
      </c>
      <c r="E118" s="385">
        <f t="shared" si="61"/>
        <v>0</v>
      </c>
      <c r="F118" s="413" t="str">
        <f t="shared" si="62"/>
        <v/>
      </c>
      <c r="G118" s="386" t="str">
        <f t="shared" si="63"/>
        <v/>
      </c>
      <c r="H118" s="385">
        <f t="shared" si="64"/>
        <v>46.5625</v>
      </c>
      <c r="I118" s="413">
        <f t="shared" si="65"/>
        <v>6.5625</v>
      </c>
      <c r="J118" s="386">
        <f t="shared" si="66"/>
        <v>11.4375</v>
      </c>
      <c r="K118" s="385">
        <f t="shared" si="67"/>
        <v>0</v>
      </c>
      <c r="L118" s="413" t="str">
        <f t="shared" si="68"/>
        <v/>
      </c>
      <c r="M118" s="309" t="str">
        <f t="shared" si="69"/>
        <v/>
      </c>
      <c r="N118" s="392">
        <f t="shared" si="70"/>
        <v>56</v>
      </c>
      <c r="O118" s="413">
        <f t="shared" si="71"/>
        <v>31</v>
      </c>
      <c r="P118" s="386">
        <f t="shared" si="72"/>
        <v>24</v>
      </c>
      <c r="Q118" s="385">
        <f t="shared" si="73"/>
        <v>0</v>
      </c>
      <c r="R118" s="413" t="str">
        <f t="shared" si="74"/>
        <v/>
      </c>
      <c r="S118" s="309" t="str">
        <f t="shared" si="75"/>
        <v/>
      </c>
      <c r="T118" s="392">
        <f t="shared" si="76"/>
        <v>56</v>
      </c>
      <c r="U118" s="413">
        <f t="shared" si="77"/>
        <v>31</v>
      </c>
      <c r="V118" s="386">
        <f t="shared" si="78"/>
        <v>24</v>
      </c>
      <c r="W118" s="385">
        <f t="shared" si="79"/>
        <v>0</v>
      </c>
      <c r="X118" s="413" t="str">
        <f t="shared" si="80"/>
        <v/>
      </c>
      <c r="Y118" s="309" t="str">
        <f t="shared" si="81"/>
        <v/>
      </c>
      <c r="Z118" s="385" t="str">
        <f t="shared" si="82"/>
        <v>N</v>
      </c>
      <c r="AA118" s="403"/>
      <c r="AC118" s="509" t="str">
        <f t="shared" si="84"/>
        <v>RISE_3</v>
      </c>
      <c r="AD118" s="51">
        <f t="shared" si="83"/>
        <v>1</v>
      </c>
      <c r="AE118" s="51">
        <f t="shared" si="85"/>
        <v>1</v>
      </c>
      <c r="AF118" s="51">
        <f t="shared" si="86"/>
        <v>1</v>
      </c>
      <c r="AG118" s="51">
        <f t="shared" si="87"/>
        <v>1</v>
      </c>
      <c r="AH118" s="108">
        <f t="shared" si="88"/>
        <v>4</v>
      </c>
      <c r="AJ118" s="506"/>
      <c r="AK118" s="28"/>
      <c r="AL118" s="506"/>
      <c r="AM118" s="28"/>
      <c r="AN118" s="28"/>
    </row>
    <row r="119" spans="1:40">
      <c r="A119" s="94" t="str">
        <f>Recap!D54</f>
        <v>RISE_4</v>
      </c>
      <c r="B119" s="385">
        <f t="shared" si="58"/>
        <v>47.903846153846153</v>
      </c>
      <c r="C119" s="413">
        <f t="shared" si="59"/>
        <v>19.903846153846153</v>
      </c>
      <c r="D119" s="386">
        <f t="shared" si="60"/>
        <v>56.096153846153847</v>
      </c>
      <c r="E119" s="385">
        <f t="shared" si="61"/>
        <v>0</v>
      </c>
      <c r="F119" s="413" t="str">
        <f t="shared" si="62"/>
        <v/>
      </c>
      <c r="G119" s="386" t="str">
        <f t="shared" si="63"/>
        <v/>
      </c>
      <c r="H119" s="385">
        <f t="shared" si="64"/>
        <v>27.8125</v>
      </c>
      <c r="I119" s="413">
        <f t="shared" si="65"/>
        <v>14.8125</v>
      </c>
      <c r="J119" s="386">
        <f t="shared" si="66"/>
        <v>17.1875</v>
      </c>
      <c r="K119" s="385">
        <f t="shared" si="67"/>
        <v>0</v>
      </c>
      <c r="L119" s="413" t="str">
        <f t="shared" si="68"/>
        <v/>
      </c>
      <c r="M119" s="309" t="str">
        <f t="shared" si="69"/>
        <v/>
      </c>
      <c r="N119" s="392">
        <f t="shared" si="70"/>
        <v>37.333333333333336</v>
      </c>
      <c r="O119" s="413">
        <f t="shared" si="71"/>
        <v>20.666666666666668</v>
      </c>
      <c r="P119" s="386">
        <f t="shared" si="72"/>
        <v>16</v>
      </c>
      <c r="Q119" s="385">
        <f t="shared" si="73"/>
        <v>0</v>
      </c>
      <c r="R119" s="413" t="str">
        <f t="shared" si="74"/>
        <v/>
      </c>
      <c r="S119" s="309" t="str">
        <f t="shared" si="75"/>
        <v/>
      </c>
      <c r="T119" s="392">
        <f t="shared" si="76"/>
        <v>37.333333333333336</v>
      </c>
      <c r="U119" s="413">
        <f t="shared" si="77"/>
        <v>20.666666666666668</v>
      </c>
      <c r="V119" s="386">
        <f t="shared" si="78"/>
        <v>16</v>
      </c>
      <c r="W119" s="385">
        <f t="shared" si="79"/>
        <v>0</v>
      </c>
      <c r="X119" s="413" t="str">
        <f t="shared" si="80"/>
        <v/>
      </c>
      <c r="Y119" s="309" t="str">
        <f t="shared" si="81"/>
        <v/>
      </c>
      <c r="Z119" s="385" t="str">
        <f t="shared" si="82"/>
        <v>Y</v>
      </c>
      <c r="AA119" s="403"/>
      <c r="AC119" s="509" t="str">
        <f t="shared" si="84"/>
        <v>RISE_4</v>
      </c>
      <c r="AD119" s="51">
        <f t="shared" si="83"/>
        <v>1</v>
      </c>
      <c r="AE119" s="51">
        <f t="shared" si="85"/>
        <v>1</v>
      </c>
      <c r="AF119" s="51">
        <f t="shared" si="86"/>
        <v>1</v>
      </c>
      <c r="AG119" s="51">
        <f t="shared" si="87"/>
        <v>1</v>
      </c>
      <c r="AH119" s="108">
        <f t="shared" si="88"/>
        <v>4</v>
      </c>
      <c r="AJ119" s="506"/>
      <c r="AK119" s="28"/>
      <c r="AL119" s="506"/>
      <c r="AM119" s="28"/>
      <c r="AN119" s="28"/>
    </row>
    <row r="120" spans="1:40" ht="15.75" customHeight="1" thickBot="1">
      <c r="A120" s="398" t="str">
        <f>Recap!D55</f>
        <v>RISE_5</v>
      </c>
      <c r="B120" s="393">
        <f t="shared" si="58"/>
        <v>65.425925925925924</v>
      </c>
      <c r="C120" s="394">
        <f t="shared" si="59"/>
        <v>32.425925925925924</v>
      </c>
      <c r="D120" s="395">
        <f t="shared" si="60"/>
        <v>29.574074074074076</v>
      </c>
      <c r="E120" s="393">
        <f t="shared" si="61"/>
        <v>0</v>
      </c>
      <c r="F120" s="394" t="str">
        <f t="shared" si="62"/>
        <v/>
      </c>
      <c r="G120" s="395" t="str">
        <f t="shared" si="63"/>
        <v/>
      </c>
      <c r="H120" s="393">
        <f t="shared" si="64"/>
        <v>50.3125</v>
      </c>
      <c r="I120" s="394">
        <f t="shared" si="65"/>
        <v>13.3125</v>
      </c>
      <c r="J120" s="395">
        <f t="shared" si="66"/>
        <v>22.6875</v>
      </c>
      <c r="K120" s="393">
        <f t="shared" si="67"/>
        <v>0</v>
      </c>
      <c r="L120" s="394" t="str">
        <f t="shared" si="68"/>
        <v/>
      </c>
      <c r="M120" s="396" t="str">
        <f t="shared" si="69"/>
        <v/>
      </c>
      <c r="N120" s="397">
        <f t="shared" si="70"/>
        <v>59</v>
      </c>
      <c r="O120" s="394">
        <f t="shared" si="71"/>
        <v>39</v>
      </c>
      <c r="P120" s="395">
        <f t="shared" si="72"/>
        <v>21</v>
      </c>
      <c r="Q120" s="393">
        <f t="shared" si="73"/>
        <v>0</v>
      </c>
      <c r="R120" s="394" t="str">
        <f t="shared" si="74"/>
        <v/>
      </c>
      <c r="S120" s="396" t="str">
        <f t="shared" si="75"/>
        <v/>
      </c>
      <c r="T120" s="397">
        <f t="shared" si="76"/>
        <v>59</v>
      </c>
      <c r="U120" s="394">
        <f t="shared" si="77"/>
        <v>39</v>
      </c>
      <c r="V120" s="395">
        <f t="shared" si="78"/>
        <v>21</v>
      </c>
      <c r="W120" s="393">
        <f t="shared" si="79"/>
        <v>0</v>
      </c>
      <c r="X120" s="394" t="str">
        <f t="shared" si="80"/>
        <v/>
      </c>
      <c r="Y120" s="396" t="str">
        <f t="shared" si="81"/>
        <v/>
      </c>
      <c r="Z120" s="393" t="str">
        <f t="shared" si="82"/>
        <v>Y</v>
      </c>
      <c r="AA120" s="404"/>
      <c r="AC120" s="511" t="str">
        <f t="shared" si="84"/>
        <v>RISE_5</v>
      </c>
      <c r="AD120" s="6">
        <f t="shared" si="83"/>
        <v>1</v>
      </c>
      <c r="AE120" s="6">
        <f t="shared" si="85"/>
        <v>1</v>
      </c>
      <c r="AF120" s="6">
        <f t="shared" si="86"/>
        <v>1</v>
      </c>
      <c r="AG120" s="6">
        <f t="shared" si="87"/>
        <v>1</v>
      </c>
      <c r="AH120" s="288">
        <f t="shared" si="88"/>
        <v>4</v>
      </c>
      <c r="AJ120" s="506"/>
      <c r="AK120" s="28"/>
      <c r="AL120" s="506"/>
      <c r="AM120" s="28"/>
      <c r="AN120" s="28"/>
    </row>
    <row r="121" spans="1:40">
      <c r="A121" s="408" t="str">
        <f>Recap!D56</f>
        <v>CodeRed_1</v>
      </c>
      <c r="B121" s="401">
        <f t="shared" si="58"/>
        <v>0</v>
      </c>
      <c r="C121" s="409" t="str">
        <f t="shared" si="59"/>
        <v/>
      </c>
      <c r="D121" s="410" t="str">
        <f t="shared" si="60"/>
        <v/>
      </c>
      <c r="E121" s="401">
        <f t="shared" si="61"/>
        <v>0</v>
      </c>
      <c r="F121" s="409" t="str">
        <f t="shared" si="62"/>
        <v/>
      </c>
      <c r="G121" s="410" t="str">
        <f t="shared" si="63"/>
        <v/>
      </c>
      <c r="H121" s="401">
        <f t="shared" si="64"/>
        <v>25</v>
      </c>
      <c r="I121" s="409">
        <f t="shared" si="65"/>
        <v>7</v>
      </c>
      <c r="J121" s="410">
        <f t="shared" si="66"/>
        <v>6</v>
      </c>
      <c r="K121" s="401">
        <f t="shared" si="67"/>
        <v>0</v>
      </c>
      <c r="L121" s="409" t="str">
        <f t="shared" si="68"/>
        <v/>
      </c>
      <c r="M121" s="411" t="str">
        <f t="shared" si="69"/>
        <v/>
      </c>
      <c r="N121" s="412">
        <f t="shared" si="70"/>
        <v>0</v>
      </c>
      <c r="O121" s="409" t="str">
        <f t="shared" si="71"/>
        <v/>
      </c>
      <c r="P121" s="410" t="str">
        <f t="shared" si="72"/>
        <v/>
      </c>
      <c r="Q121" s="401">
        <f t="shared" si="73"/>
        <v>0</v>
      </c>
      <c r="R121" s="409" t="str">
        <f t="shared" si="74"/>
        <v/>
      </c>
      <c r="S121" s="411" t="str">
        <f t="shared" si="75"/>
        <v/>
      </c>
      <c r="T121" s="412">
        <f t="shared" si="76"/>
        <v>30</v>
      </c>
      <c r="U121" s="409">
        <f t="shared" si="77"/>
        <v>25</v>
      </c>
      <c r="V121" s="410">
        <f t="shared" si="78"/>
        <v>30</v>
      </c>
      <c r="W121" s="401">
        <f t="shared" si="79"/>
        <v>0</v>
      </c>
      <c r="X121" s="409" t="str">
        <f t="shared" si="80"/>
        <v/>
      </c>
      <c r="Y121" s="411" t="str">
        <f t="shared" si="81"/>
        <v/>
      </c>
      <c r="Z121" s="401" t="str">
        <f t="shared" si="82"/>
        <v>Y</v>
      </c>
      <c r="AA121" s="402"/>
      <c r="AC121" s="92" t="str">
        <f t="shared" si="84"/>
        <v>CodeRed_1</v>
      </c>
      <c r="AD121" s="13">
        <f t="shared" si="83"/>
        <v>0</v>
      </c>
      <c r="AE121" s="13">
        <f t="shared" si="85"/>
        <v>1</v>
      </c>
      <c r="AF121" s="13">
        <f t="shared" si="86"/>
        <v>0</v>
      </c>
      <c r="AG121" s="13">
        <f t="shared" si="87"/>
        <v>1</v>
      </c>
      <c r="AH121" s="505">
        <f t="shared" si="88"/>
        <v>2</v>
      </c>
      <c r="AJ121" s="506"/>
      <c r="AK121" s="28"/>
      <c r="AL121" s="506"/>
      <c r="AM121" s="28"/>
      <c r="AN121" s="28"/>
    </row>
    <row r="122" spans="1:40" ht="15.75" customHeight="1" thickBot="1">
      <c r="A122" s="398" t="str">
        <f>Recap!D57</f>
        <v>CodeRed_2</v>
      </c>
      <c r="B122" s="393">
        <f t="shared" si="58"/>
        <v>0</v>
      </c>
      <c r="C122" s="394" t="str">
        <f t="shared" si="59"/>
        <v/>
      </c>
      <c r="D122" s="395" t="str">
        <f t="shared" si="60"/>
        <v/>
      </c>
      <c r="E122" s="393">
        <f t="shared" si="61"/>
        <v>0</v>
      </c>
      <c r="F122" s="394" t="str">
        <f t="shared" si="62"/>
        <v/>
      </c>
      <c r="G122" s="395" t="str">
        <f t="shared" si="63"/>
        <v/>
      </c>
      <c r="H122" s="393">
        <f t="shared" si="64"/>
        <v>27.8</v>
      </c>
      <c r="I122" s="394">
        <f t="shared" si="65"/>
        <v>2.8000000000000007</v>
      </c>
      <c r="J122" s="395">
        <f t="shared" si="66"/>
        <v>2.1999999999999993</v>
      </c>
      <c r="K122" s="393">
        <f t="shared" si="67"/>
        <v>0</v>
      </c>
      <c r="L122" s="394" t="str">
        <f t="shared" si="68"/>
        <v/>
      </c>
      <c r="M122" s="396" t="str">
        <f t="shared" si="69"/>
        <v/>
      </c>
      <c r="N122" s="397">
        <f t="shared" si="70"/>
        <v>0</v>
      </c>
      <c r="O122" s="394" t="str">
        <f t="shared" si="71"/>
        <v/>
      </c>
      <c r="P122" s="395" t="str">
        <f t="shared" si="72"/>
        <v/>
      </c>
      <c r="Q122" s="393">
        <f t="shared" si="73"/>
        <v>0</v>
      </c>
      <c r="R122" s="394" t="str">
        <f t="shared" si="74"/>
        <v/>
      </c>
      <c r="S122" s="396" t="str">
        <f t="shared" si="75"/>
        <v/>
      </c>
      <c r="T122" s="397">
        <f t="shared" si="76"/>
        <v>35</v>
      </c>
      <c r="U122" s="394">
        <f t="shared" si="77"/>
        <v>30</v>
      </c>
      <c r="V122" s="395">
        <f t="shared" si="78"/>
        <v>61</v>
      </c>
      <c r="W122" s="393">
        <f t="shared" si="79"/>
        <v>0</v>
      </c>
      <c r="X122" s="394" t="str">
        <f t="shared" si="80"/>
        <v/>
      </c>
      <c r="Y122" s="396" t="str">
        <f t="shared" si="81"/>
        <v/>
      </c>
      <c r="Z122" s="393" t="str">
        <f t="shared" si="82"/>
        <v>Y</v>
      </c>
      <c r="AA122" s="404"/>
      <c r="AC122" s="511" t="str">
        <f t="shared" si="84"/>
        <v>CodeRed_2</v>
      </c>
      <c r="AD122" s="6">
        <f t="shared" si="83"/>
        <v>0</v>
      </c>
      <c r="AE122" s="6">
        <f t="shared" si="85"/>
        <v>1</v>
      </c>
      <c r="AF122" s="6">
        <f t="shared" si="86"/>
        <v>0</v>
      </c>
      <c r="AG122" s="6">
        <f t="shared" si="87"/>
        <v>1</v>
      </c>
      <c r="AH122" s="288">
        <f t="shared" si="88"/>
        <v>2</v>
      </c>
      <c r="AJ122" s="506"/>
      <c r="AK122" s="28"/>
      <c r="AL122" s="506"/>
      <c r="AM122" s="28"/>
      <c r="AN122" s="28"/>
    </row>
    <row r="123" spans="1:40">
      <c r="A123" s="408" t="str">
        <f>Recap!D58</f>
        <v>FRIC_1</v>
      </c>
      <c r="B123" s="401">
        <f t="shared" si="58"/>
        <v>0</v>
      </c>
      <c r="C123" s="409" t="str">
        <f t="shared" si="59"/>
        <v/>
      </c>
      <c r="D123" s="410" t="str">
        <f t="shared" si="60"/>
        <v/>
      </c>
      <c r="E123" s="401">
        <f t="shared" si="61"/>
        <v>0</v>
      </c>
      <c r="F123" s="409" t="str">
        <f t="shared" si="62"/>
        <v/>
      </c>
      <c r="G123" s="410" t="str">
        <f t="shared" si="63"/>
        <v/>
      </c>
      <c r="H123" s="401">
        <f t="shared" si="64"/>
        <v>26</v>
      </c>
      <c r="I123" s="409">
        <f t="shared" si="65"/>
        <v>6</v>
      </c>
      <c r="J123" s="410">
        <f t="shared" si="66"/>
        <v>14</v>
      </c>
      <c r="K123" s="401">
        <f t="shared" si="67"/>
        <v>0</v>
      </c>
      <c r="L123" s="409" t="str">
        <f t="shared" si="68"/>
        <v/>
      </c>
      <c r="M123" s="411" t="str">
        <f t="shared" si="69"/>
        <v/>
      </c>
      <c r="N123" s="412">
        <f t="shared" si="70"/>
        <v>0</v>
      </c>
      <c r="O123" s="409" t="str">
        <f t="shared" si="71"/>
        <v/>
      </c>
      <c r="P123" s="410" t="str">
        <f t="shared" si="72"/>
        <v/>
      </c>
      <c r="Q123" s="401">
        <f t="shared" si="73"/>
        <v>0</v>
      </c>
      <c r="R123" s="409" t="str">
        <f t="shared" si="74"/>
        <v/>
      </c>
      <c r="S123" s="411" t="str">
        <f t="shared" si="75"/>
        <v/>
      </c>
      <c r="T123" s="412">
        <f t="shared" si="76"/>
        <v>0</v>
      </c>
      <c r="U123" s="409" t="str">
        <f t="shared" si="77"/>
        <v/>
      </c>
      <c r="V123" s="410" t="str">
        <f t="shared" si="78"/>
        <v/>
      </c>
      <c r="W123" s="401">
        <f t="shared" si="79"/>
        <v>0</v>
      </c>
      <c r="X123" s="409" t="str">
        <f t="shared" si="80"/>
        <v/>
      </c>
      <c r="Y123" s="411" t="str">
        <f t="shared" si="81"/>
        <v/>
      </c>
      <c r="Z123" s="401" t="str">
        <f t="shared" si="82"/>
        <v>Y</v>
      </c>
      <c r="AA123" s="402"/>
      <c r="AC123" s="92" t="str">
        <f t="shared" si="84"/>
        <v>FRIC_1</v>
      </c>
      <c r="AD123" s="13">
        <f t="shared" si="83"/>
        <v>0</v>
      </c>
      <c r="AE123" s="13">
        <f t="shared" si="85"/>
        <v>1</v>
      </c>
      <c r="AF123" s="13">
        <f t="shared" si="86"/>
        <v>0</v>
      </c>
      <c r="AG123" s="13">
        <f t="shared" si="87"/>
        <v>0</v>
      </c>
      <c r="AH123" s="505">
        <f t="shared" si="88"/>
        <v>1</v>
      </c>
      <c r="AJ123" s="506"/>
      <c r="AK123" s="28"/>
      <c r="AL123" s="506"/>
      <c r="AM123" s="28"/>
      <c r="AN123" s="28"/>
    </row>
    <row r="124" spans="1:40" ht="15.75" customHeight="1" thickBot="1">
      <c r="A124" s="398" t="str">
        <f>Recap!D59</f>
        <v>FRIC_2</v>
      </c>
      <c r="B124" s="393">
        <f t="shared" si="58"/>
        <v>38.792003402807318</v>
      </c>
      <c r="C124" s="394">
        <f t="shared" si="59"/>
        <v>-0.20799659719268249</v>
      </c>
      <c r="D124" s="395">
        <f t="shared" si="60"/>
        <v>0.20799659719268249</v>
      </c>
      <c r="E124" s="393">
        <f t="shared" si="61"/>
        <v>0</v>
      </c>
      <c r="F124" s="394" t="str">
        <f t="shared" si="62"/>
        <v/>
      </c>
      <c r="G124" s="395" t="str">
        <f t="shared" si="63"/>
        <v/>
      </c>
      <c r="H124" s="393">
        <f t="shared" si="64"/>
        <v>36.363636363636367</v>
      </c>
      <c r="I124" s="394">
        <f t="shared" si="65"/>
        <v>0.36363636363636687</v>
      </c>
      <c r="J124" s="395">
        <f t="shared" si="66"/>
        <v>-0.36363636363636687</v>
      </c>
      <c r="K124" s="393">
        <f t="shared" si="67"/>
        <v>0</v>
      </c>
      <c r="L124" s="394" t="str">
        <f t="shared" si="68"/>
        <v/>
      </c>
      <c r="M124" s="396" t="str">
        <f t="shared" si="69"/>
        <v/>
      </c>
      <c r="N124" s="397">
        <f t="shared" si="70"/>
        <v>0</v>
      </c>
      <c r="O124" s="394" t="str">
        <f t="shared" si="71"/>
        <v/>
      </c>
      <c r="P124" s="395" t="str">
        <f t="shared" si="72"/>
        <v/>
      </c>
      <c r="Q124" s="393">
        <f t="shared" si="73"/>
        <v>0</v>
      </c>
      <c r="R124" s="394" t="str">
        <f t="shared" si="74"/>
        <v/>
      </c>
      <c r="S124" s="396" t="str">
        <f t="shared" si="75"/>
        <v/>
      </c>
      <c r="T124" s="397">
        <f t="shared" si="76"/>
        <v>0</v>
      </c>
      <c r="U124" s="394" t="str">
        <f t="shared" si="77"/>
        <v/>
      </c>
      <c r="V124" s="395" t="str">
        <f t="shared" si="78"/>
        <v/>
      </c>
      <c r="W124" s="393">
        <f t="shared" si="79"/>
        <v>0</v>
      </c>
      <c r="X124" s="394" t="str">
        <f t="shared" si="80"/>
        <v/>
      </c>
      <c r="Y124" s="396" t="str">
        <f t="shared" si="81"/>
        <v/>
      </c>
      <c r="Z124" s="393" t="str">
        <f t="shared" si="82"/>
        <v>N</v>
      </c>
      <c r="AA124" s="404"/>
      <c r="AC124" s="511" t="str">
        <f t="shared" si="84"/>
        <v>FRIC_2</v>
      </c>
      <c r="AD124" s="6">
        <f t="shared" si="83"/>
        <v>1</v>
      </c>
      <c r="AE124" s="6">
        <f t="shared" si="85"/>
        <v>1</v>
      </c>
      <c r="AF124" s="6">
        <f t="shared" si="86"/>
        <v>0</v>
      </c>
      <c r="AG124" s="6">
        <f t="shared" si="87"/>
        <v>0</v>
      </c>
      <c r="AH124" s="288">
        <f t="shared" si="88"/>
        <v>2</v>
      </c>
      <c r="AJ124" s="506"/>
      <c r="AK124" s="28"/>
      <c r="AL124" s="506"/>
      <c r="AM124" s="28"/>
      <c r="AN124" s="28"/>
    </row>
    <row r="125" spans="1:40">
      <c r="A125" s="408" t="str">
        <f>Recap!D61</f>
        <v>AdivBois_1</v>
      </c>
      <c r="B125" s="401">
        <f t="shared" ref="B125:B144" si="95">B54</f>
        <v>83.5</v>
      </c>
      <c r="C125" s="409">
        <f t="shared" ref="C125:C144" si="96">IF(C54=0,"",B125-C54)</f>
        <v>8.5</v>
      </c>
      <c r="D125" s="410">
        <f t="shared" ref="D125:D144" si="97">IF(D54=0,"",D54-B125)</f>
        <v>14.5</v>
      </c>
      <c r="E125" s="401">
        <f t="shared" ref="E125:E144" si="98">E54</f>
        <v>0</v>
      </c>
      <c r="F125" s="409" t="str">
        <f t="shared" ref="F125:F144" si="99">IF(F54=0,"",E125-F54)</f>
        <v/>
      </c>
      <c r="G125" s="410" t="str">
        <f t="shared" ref="G125:G144" si="100">IF(G54=0,"",G54-E125)</f>
        <v/>
      </c>
      <c r="H125" s="401">
        <f t="shared" ref="H125:H144" si="101">H54</f>
        <v>0</v>
      </c>
      <c r="I125" s="409" t="str">
        <f t="shared" ref="I125:I144" si="102">IF(I54=0,"",H125-I54)</f>
        <v/>
      </c>
      <c r="J125" s="410" t="str">
        <f t="shared" ref="J125:J144" si="103">IF(J54=0,"",J54-H125)</f>
        <v/>
      </c>
      <c r="K125" s="401">
        <f t="shared" ref="K125:K144" si="104">K54</f>
        <v>0</v>
      </c>
      <c r="L125" s="409" t="str">
        <f t="shared" ref="L125:L144" si="105">IF(L54=0,"",K125-L54)</f>
        <v/>
      </c>
      <c r="M125" s="411" t="str">
        <f t="shared" ref="M125:M144" si="106">IF(M54=0,"",M54-K125)</f>
        <v/>
      </c>
      <c r="N125" s="412">
        <f t="shared" ref="N125:N144" si="107">N54</f>
        <v>0</v>
      </c>
      <c r="O125" s="409" t="str">
        <f t="shared" ref="O125:O144" si="108">IF(O54=0,"",N125-O54)</f>
        <v/>
      </c>
      <c r="P125" s="410" t="str">
        <f t="shared" ref="P125:P144" si="109">IF(P54=0,"",P54-N125)</f>
        <v/>
      </c>
      <c r="Q125" s="401">
        <f t="shared" ref="Q125:Q144" si="110">Q54</f>
        <v>0</v>
      </c>
      <c r="R125" s="409" t="str">
        <f t="shared" ref="R125:R144" si="111">IF(R54=0,"",Q125-R54)</f>
        <v/>
      </c>
      <c r="S125" s="411" t="str">
        <f t="shared" ref="S125:S144" si="112">IF(S54=0,"",S54-Q125)</f>
        <v/>
      </c>
      <c r="T125" s="412">
        <f t="shared" ref="T125:T144" si="113">T54</f>
        <v>0</v>
      </c>
      <c r="U125" s="409" t="str">
        <f t="shared" ref="U125:U144" si="114">IF(U54=0,"",T125-U54)</f>
        <v/>
      </c>
      <c r="V125" s="410" t="str">
        <f t="shared" ref="V125:V144" si="115">IF(V54=0,"",V54-T125)</f>
        <v/>
      </c>
      <c r="W125" s="401">
        <f t="shared" ref="W125:W144" si="116">W54</f>
        <v>0</v>
      </c>
      <c r="X125" s="409" t="str">
        <f t="shared" ref="X125:X144" si="117">IF(X54=0,"",W125-X54)</f>
        <v/>
      </c>
      <c r="Y125" s="411" t="str">
        <f t="shared" ref="Y125:Y144" si="118">IF(Y54=0,"",Y54-W125)</f>
        <v/>
      </c>
      <c r="Z125" s="401" t="str">
        <f t="shared" ref="Z125:Z144" si="119">Z54</f>
        <v>Y</v>
      </c>
      <c r="AA125" s="402"/>
      <c r="AC125" s="92" t="str">
        <f t="shared" si="84"/>
        <v>AdivBois_1</v>
      </c>
      <c r="AD125" s="13">
        <f t="shared" si="83"/>
        <v>1</v>
      </c>
      <c r="AE125" s="13">
        <f t="shared" si="85"/>
        <v>0</v>
      </c>
      <c r="AF125" s="13">
        <f t="shared" si="86"/>
        <v>0</v>
      </c>
      <c r="AG125" s="13">
        <f t="shared" si="87"/>
        <v>0</v>
      </c>
      <c r="AH125" s="505">
        <f t="shared" si="88"/>
        <v>1</v>
      </c>
      <c r="AJ125" s="506"/>
      <c r="AK125" s="28"/>
      <c r="AL125" s="506"/>
      <c r="AM125" s="28"/>
      <c r="AN125" s="28"/>
    </row>
    <row r="126" spans="1:40">
      <c r="A126" s="94" t="str">
        <f>Recap!D62</f>
        <v>AdivBois_2</v>
      </c>
      <c r="B126" s="385">
        <f t="shared" si="95"/>
        <v>0</v>
      </c>
      <c r="C126" s="413" t="str">
        <f t="shared" si="96"/>
        <v/>
      </c>
      <c r="D126" s="386" t="str">
        <f t="shared" si="97"/>
        <v/>
      </c>
      <c r="E126" s="385">
        <f t="shared" si="98"/>
        <v>0</v>
      </c>
      <c r="F126" s="413" t="str">
        <f t="shared" si="99"/>
        <v/>
      </c>
      <c r="G126" s="386" t="str">
        <f t="shared" si="100"/>
        <v/>
      </c>
      <c r="H126" s="385">
        <f t="shared" si="101"/>
        <v>47</v>
      </c>
      <c r="I126" s="413">
        <f t="shared" si="102"/>
        <v>7</v>
      </c>
      <c r="J126" s="386">
        <f t="shared" si="103"/>
        <v>3</v>
      </c>
      <c r="K126" s="385">
        <f t="shared" si="104"/>
        <v>0</v>
      </c>
      <c r="L126" s="413" t="str">
        <f t="shared" si="105"/>
        <v/>
      </c>
      <c r="M126" s="309" t="str">
        <f t="shared" si="106"/>
        <v/>
      </c>
      <c r="N126" s="392">
        <f t="shared" si="107"/>
        <v>0</v>
      </c>
      <c r="O126" s="413" t="str">
        <f t="shared" si="108"/>
        <v/>
      </c>
      <c r="P126" s="386" t="str">
        <f t="shared" si="109"/>
        <v/>
      </c>
      <c r="Q126" s="385">
        <f t="shared" si="110"/>
        <v>0</v>
      </c>
      <c r="R126" s="413" t="str">
        <f t="shared" si="111"/>
        <v/>
      </c>
      <c r="S126" s="309" t="str">
        <f t="shared" si="112"/>
        <v/>
      </c>
      <c r="T126" s="392">
        <f t="shared" si="113"/>
        <v>0</v>
      </c>
      <c r="U126" s="413" t="str">
        <f t="shared" si="114"/>
        <v/>
      </c>
      <c r="V126" s="386" t="str">
        <f t="shared" si="115"/>
        <v/>
      </c>
      <c r="W126" s="385">
        <f t="shared" si="116"/>
        <v>0</v>
      </c>
      <c r="X126" s="413" t="str">
        <f t="shared" si="117"/>
        <v/>
      </c>
      <c r="Y126" s="309" t="str">
        <f t="shared" si="118"/>
        <v/>
      </c>
      <c r="Z126" s="385" t="str">
        <f t="shared" si="119"/>
        <v>Y</v>
      </c>
      <c r="AA126" s="403"/>
      <c r="AC126" s="509" t="str">
        <f t="shared" si="84"/>
        <v>AdivBois_2</v>
      </c>
      <c r="AD126" s="51">
        <f t="shared" si="83"/>
        <v>0</v>
      </c>
      <c r="AE126" s="51">
        <f t="shared" si="85"/>
        <v>1</v>
      </c>
      <c r="AF126" s="51">
        <f t="shared" si="86"/>
        <v>0</v>
      </c>
      <c r="AG126" s="51">
        <f t="shared" si="87"/>
        <v>0</v>
      </c>
      <c r="AH126" s="108">
        <f t="shared" si="88"/>
        <v>1</v>
      </c>
      <c r="AJ126" s="506"/>
      <c r="AK126" s="28"/>
      <c r="AL126" s="506"/>
      <c r="AM126" s="28"/>
      <c r="AN126" s="28"/>
    </row>
    <row r="127" spans="1:40">
      <c r="A127" s="94" t="str">
        <f>Recap!D63</f>
        <v>AdivBois_3</v>
      </c>
      <c r="B127" s="385">
        <f t="shared" si="95"/>
        <v>0</v>
      </c>
      <c r="C127" s="413" t="str">
        <f t="shared" si="96"/>
        <v/>
      </c>
      <c r="D127" s="386" t="str">
        <f t="shared" si="97"/>
        <v/>
      </c>
      <c r="E127" s="385">
        <f t="shared" si="98"/>
        <v>0</v>
      </c>
      <c r="F127" s="413" t="str">
        <f t="shared" si="99"/>
        <v/>
      </c>
      <c r="G127" s="386" t="str">
        <f t="shared" si="100"/>
        <v/>
      </c>
      <c r="H127" s="385">
        <f t="shared" si="101"/>
        <v>0</v>
      </c>
      <c r="I127" s="413" t="str">
        <f t="shared" si="102"/>
        <v/>
      </c>
      <c r="J127" s="386" t="str">
        <f t="shared" si="103"/>
        <v/>
      </c>
      <c r="K127" s="385">
        <f t="shared" si="104"/>
        <v>0</v>
      </c>
      <c r="L127" s="413" t="str">
        <f t="shared" si="105"/>
        <v/>
      </c>
      <c r="M127" s="309" t="str">
        <f t="shared" si="106"/>
        <v/>
      </c>
      <c r="N127" s="392">
        <f t="shared" si="107"/>
        <v>54.6875</v>
      </c>
      <c r="O127" s="413">
        <f t="shared" si="108"/>
        <v>22.1875</v>
      </c>
      <c r="P127" s="386">
        <f t="shared" si="109"/>
        <v>40.3125</v>
      </c>
      <c r="Q127" s="385">
        <f t="shared" si="110"/>
        <v>0</v>
      </c>
      <c r="R127" s="413" t="str">
        <f t="shared" si="111"/>
        <v/>
      </c>
      <c r="S127" s="309" t="str">
        <f t="shared" si="112"/>
        <v/>
      </c>
      <c r="T127" s="392">
        <f t="shared" si="113"/>
        <v>42.6875</v>
      </c>
      <c r="U127" s="413">
        <f t="shared" si="114"/>
        <v>15.6875</v>
      </c>
      <c r="V127" s="386">
        <f t="shared" si="115"/>
        <v>14.8125</v>
      </c>
      <c r="W127" s="385">
        <f t="shared" si="116"/>
        <v>0</v>
      </c>
      <c r="X127" s="413" t="str">
        <f t="shared" si="117"/>
        <v/>
      </c>
      <c r="Y127" s="309" t="str">
        <f t="shared" si="118"/>
        <v/>
      </c>
      <c r="Z127" s="385" t="str">
        <f t="shared" si="119"/>
        <v>Y</v>
      </c>
      <c r="AA127" s="403"/>
      <c r="AC127" s="509" t="str">
        <f t="shared" si="84"/>
        <v>AdivBois_3</v>
      </c>
      <c r="AD127" s="51">
        <f t="shared" si="83"/>
        <v>0</v>
      </c>
      <c r="AE127" s="51">
        <f t="shared" si="85"/>
        <v>0</v>
      </c>
      <c r="AF127" s="51">
        <f t="shared" si="86"/>
        <v>1</v>
      </c>
      <c r="AG127" s="51">
        <f t="shared" si="87"/>
        <v>1</v>
      </c>
      <c r="AH127" s="108">
        <f t="shared" si="88"/>
        <v>2</v>
      </c>
      <c r="AJ127" s="506"/>
      <c r="AK127" s="28"/>
      <c r="AL127" s="506"/>
      <c r="AM127" s="28"/>
      <c r="AN127" s="28"/>
    </row>
    <row r="128" spans="1:40" ht="15.75" thickBot="1">
      <c r="A128" s="94" t="str">
        <f>Recap!D64</f>
        <v>AdivBois_4</v>
      </c>
      <c r="B128" s="385">
        <f t="shared" si="95"/>
        <v>0</v>
      </c>
      <c r="C128" s="413" t="str">
        <f t="shared" si="96"/>
        <v/>
      </c>
      <c r="D128" s="386" t="str">
        <f t="shared" si="97"/>
        <v/>
      </c>
      <c r="E128" s="385">
        <f t="shared" si="98"/>
        <v>0</v>
      </c>
      <c r="F128" s="413" t="str">
        <f t="shared" si="99"/>
        <v/>
      </c>
      <c r="G128" s="386" t="str">
        <f t="shared" si="100"/>
        <v/>
      </c>
      <c r="H128" s="385">
        <f t="shared" si="101"/>
        <v>94</v>
      </c>
      <c r="I128" s="413">
        <f t="shared" si="102"/>
        <v>4</v>
      </c>
      <c r="J128" s="386">
        <f t="shared" si="103"/>
        <v>8</v>
      </c>
      <c r="K128" s="385">
        <f t="shared" si="104"/>
        <v>0</v>
      </c>
      <c r="L128" s="413" t="str">
        <f t="shared" si="105"/>
        <v/>
      </c>
      <c r="M128" s="309" t="str">
        <f t="shared" si="106"/>
        <v/>
      </c>
      <c r="N128" s="392">
        <f t="shared" si="107"/>
        <v>0</v>
      </c>
      <c r="O128" s="413" t="str">
        <f t="shared" si="108"/>
        <v/>
      </c>
      <c r="P128" s="386" t="str">
        <f t="shared" si="109"/>
        <v/>
      </c>
      <c r="Q128" s="385">
        <f t="shared" si="110"/>
        <v>0</v>
      </c>
      <c r="R128" s="413" t="str">
        <f t="shared" si="111"/>
        <v/>
      </c>
      <c r="S128" s="309" t="str">
        <f t="shared" si="112"/>
        <v/>
      </c>
      <c r="T128" s="392">
        <f t="shared" si="113"/>
        <v>0</v>
      </c>
      <c r="U128" s="413" t="str">
        <f t="shared" si="114"/>
        <v/>
      </c>
      <c r="V128" s="386" t="str">
        <f t="shared" si="115"/>
        <v/>
      </c>
      <c r="W128" s="385">
        <f t="shared" si="116"/>
        <v>0</v>
      </c>
      <c r="X128" s="413" t="str">
        <f t="shared" si="117"/>
        <v/>
      </c>
      <c r="Y128" s="309" t="str">
        <f t="shared" si="118"/>
        <v/>
      </c>
      <c r="Z128" s="385" t="str">
        <f t="shared" si="119"/>
        <v>Y</v>
      </c>
      <c r="AA128" s="403"/>
      <c r="AC128" s="509" t="str">
        <f t="shared" ref="AC128" si="120">A128</f>
        <v>AdivBois_4</v>
      </c>
      <c r="AD128" s="51">
        <f t="shared" ref="AD128" si="121">IF(B128&gt;0,1,0)</f>
        <v>0</v>
      </c>
      <c r="AE128" s="51">
        <f t="shared" ref="AE128" si="122">IF(H128&gt;0,1,0)</f>
        <v>1</v>
      </c>
      <c r="AF128" s="51">
        <f t="shared" ref="AF128" si="123">IF(N128&gt;0,1,0)</f>
        <v>0</v>
      </c>
      <c r="AG128" s="51">
        <f t="shared" ref="AG128" si="124">IF(T128&gt;0,1,0)</f>
        <v>0</v>
      </c>
      <c r="AH128" s="108">
        <f t="shared" ref="AH128" si="125">SUM(AD128:AG128)</f>
        <v>1</v>
      </c>
      <c r="AJ128" s="506"/>
      <c r="AK128" s="28"/>
      <c r="AL128" s="506"/>
      <c r="AM128" s="28"/>
      <c r="AN128" s="28"/>
    </row>
    <row r="129" spans="1:40">
      <c r="A129" s="408" t="str">
        <f>Recap!D65</f>
        <v>TIMPuls_0</v>
      </c>
      <c r="B129" s="401">
        <f t="shared" si="95"/>
        <v>0</v>
      </c>
      <c r="C129" s="409" t="str">
        <f t="shared" si="96"/>
        <v/>
      </c>
      <c r="D129" s="410" t="str">
        <f t="shared" si="97"/>
        <v/>
      </c>
      <c r="E129" s="401">
        <f t="shared" si="98"/>
        <v>0</v>
      </c>
      <c r="F129" s="409" t="str">
        <f t="shared" si="99"/>
        <v/>
      </c>
      <c r="G129" s="410" t="str">
        <f t="shared" si="100"/>
        <v/>
      </c>
      <c r="H129" s="401">
        <f t="shared" si="101"/>
        <v>0</v>
      </c>
      <c r="I129" s="409" t="str">
        <f t="shared" si="102"/>
        <v/>
      </c>
      <c r="J129" s="410" t="str">
        <f t="shared" si="103"/>
        <v/>
      </c>
      <c r="K129" s="401">
        <f t="shared" si="104"/>
        <v>0</v>
      </c>
      <c r="L129" s="409" t="str">
        <f t="shared" si="105"/>
        <v/>
      </c>
      <c r="M129" s="411" t="str">
        <f t="shared" si="106"/>
        <v/>
      </c>
      <c r="N129" s="412">
        <f t="shared" si="107"/>
        <v>0</v>
      </c>
      <c r="O129" s="409" t="str">
        <f t="shared" si="108"/>
        <v/>
      </c>
      <c r="P129" s="410" t="str">
        <f t="shared" si="109"/>
        <v/>
      </c>
      <c r="Q129" s="401">
        <f t="shared" si="110"/>
        <v>0</v>
      </c>
      <c r="R129" s="409" t="str">
        <f t="shared" si="111"/>
        <v/>
      </c>
      <c r="S129" s="411" t="str">
        <f t="shared" si="112"/>
        <v/>
      </c>
      <c r="T129" s="412">
        <f t="shared" si="113"/>
        <v>0</v>
      </c>
      <c r="U129" s="409" t="str">
        <f t="shared" si="114"/>
        <v/>
      </c>
      <c r="V129" s="410" t="str">
        <f t="shared" si="115"/>
        <v/>
      </c>
      <c r="W129" s="401">
        <f t="shared" si="116"/>
        <v>0</v>
      </c>
      <c r="X129" s="409" t="str">
        <f t="shared" si="117"/>
        <v/>
      </c>
      <c r="Y129" s="411" t="str">
        <f t="shared" si="118"/>
        <v/>
      </c>
      <c r="Z129" s="401" t="str">
        <f t="shared" si="119"/>
        <v>'</v>
      </c>
      <c r="AA129" s="402"/>
      <c r="AC129" s="92" t="str">
        <f t="shared" ref="AC129:AC133" si="126">A129</f>
        <v>TIMPuls_0</v>
      </c>
      <c r="AD129" s="13">
        <f t="shared" ref="AD129:AD133" si="127">IF(B129&gt;0,1,0)</f>
        <v>0</v>
      </c>
      <c r="AE129" s="13">
        <f t="shared" ref="AE129:AE133" si="128">IF(H129&gt;0,1,0)</f>
        <v>0</v>
      </c>
      <c r="AF129" s="13">
        <f t="shared" ref="AF129:AF133" si="129">IF(N129&gt;0,1,0)</f>
        <v>0</v>
      </c>
      <c r="AG129" s="13">
        <f t="shared" ref="AG129:AG133" si="130">IF(T129&gt;0,1,0)</f>
        <v>0</v>
      </c>
      <c r="AH129" s="505">
        <f t="shared" ref="AH129:AH133" si="131">SUM(AD129:AG129)</f>
        <v>0</v>
      </c>
      <c r="AJ129" s="506"/>
      <c r="AK129" s="28"/>
      <c r="AL129" s="506"/>
      <c r="AM129" s="28"/>
      <c r="AN129" s="28"/>
    </row>
    <row r="130" spans="1:40">
      <c r="A130" s="94" t="str">
        <f>Recap!D66</f>
        <v>TIMPuls_1</v>
      </c>
      <c r="B130" s="385">
        <f t="shared" si="95"/>
        <v>35</v>
      </c>
      <c r="C130" s="413" t="str">
        <f t="shared" si="96"/>
        <v/>
      </c>
      <c r="D130" s="386" t="str">
        <f t="shared" si="97"/>
        <v/>
      </c>
      <c r="E130" s="385">
        <f t="shared" si="98"/>
        <v>0</v>
      </c>
      <c r="F130" s="413" t="str">
        <f t="shared" si="99"/>
        <v/>
      </c>
      <c r="G130" s="386" t="str">
        <f t="shared" si="100"/>
        <v/>
      </c>
      <c r="H130" s="385">
        <f t="shared" si="101"/>
        <v>80</v>
      </c>
      <c r="I130" s="413" t="str">
        <f t="shared" si="102"/>
        <v/>
      </c>
      <c r="J130" s="386" t="str">
        <f t="shared" si="103"/>
        <v/>
      </c>
      <c r="K130" s="385">
        <f t="shared" si="104"/>
        <v>0</v>
      </c>
      <c r="L130" s="413" t="str">
        <f t="shared" si="105"/>
        <v/>
      </c>
      <c r="M130" s="309" t="str">
        <f t="shared" si="106"/>
        <v/>
      </c>
      <c r="N130" s="392">
        <f t="shared" si="107"/>
        <v>0</v>
      </c>
      <c r="O130" s="413" t="str">
        <f t="shared" si="108"/>
        <v/>
      </c>
      <c r="P130" s="386" t="str">
        <f t="shared" si="109"/>
        <v/>
      </c>
      <c r="Q130" s="385">
        <f t="shared" si="110"/>
        <v>0</v>
      </c>
      <c r="R130" s="413" t="str">
        <f t="shared" si="111"/>
        <v/>
      </c>
      <c r="S130" s="309" t="str">
        <f t="shared" si="112"/>
        <v/>
      </c>
      <c r="T130" s="392">
        <f t="shared" si="113"/>
        <v>0</v>
      </c>
      <c r="U130" s="413" t="str">
        <f t="shared" si="114"/>
        <v/>
      </c>
      <c r="V130" s="386" t="str">
        <f t="shared" si="115"/>
        <v/>
      </c>
      <c r="W130" s="385">
        <f t="shared" si="116"/>
        <v>0</v>
      </c>
      <c r="X130" s="413" t="str">
        <f t="shared" si="117"/>
        <v/>
      </c>
      <c r="Y130" s="309" t="str">
        <f t="shared" si="118"/>
        <v/>
      </c>
      <c r="Z130" s="385" t="str">
        <f t="shared" si="119"/>
        <v>N</v>
      </c>
      <c r="AA130" s="403"/>
      <c r="AC130" s="509" t="str">
        <f t="shared" si="126"/>
        <v>TIMPuls_1</v>
      </c>
      <c r="AD130" s="51">
        <f t="shared" si="127"/>
        <v>1</v>
      </c>
      <c r="AE130" s="51">
        <f t="shared" si="128"/>
        <v>1</v>
      </c>
      <c r="AF130" s="51">
        <f t="shared" si="129"/>
        <v>0</v>
      </c>
      <c r="AG130" s="51">
        <f t="shared" si="130"/>
        <v>0</v>
      </c>
      <c r="AH130" s="108">
        <f t="shared" si="131"/>
        <v>2</v>
      </c>
      <c r="AJ130" s="506"/>
      <c r="AK130" s="28"/>
      <c r="AL130" s="506"/>
      <c r="AM130" s="28"/>
      <c r="AN130" s="28"/>
    </row>
    <row r="131" spans="1:40">
      <c r="A131" s="94" t="str">
        <f>Recap!D67</f>
        <v>TIMPuls_2</v>
      </c>
      <c r="B131" s="385">
        <f t="shared" si="95"/>
        <v>75</v>
      </c>
      <c r="C131" s="413" t="str">
        <f t="shared" si="96"/>
        <v/>
      </c>
      <c r="D131" s="386" t="str">
        <f t="shared" si="97"/>
        <v/>
      </c>
      <c r="E131" s="385">
        <f t="shared" si="98"/>
        <v>0</v>
      </c>
      <c r="F131" s="413" t="str">
        <f t="shared" si="99"/>
        <v/>
      </c>
      <c r="G131" s="386" t="str">
        <f t="shared" si="100"/>
        <v/>
      </c>
      <c r="H131" s="385">
        <f t="shared" si="101"/>
        <v>30</v>
      </c>
      <c r="I131" s="413" t="str">
        <f t="shared" si="102"/>
        <v/>
      </c>
      <c r="J131" s="386" t="str">
        <f t="shared" si="103"/>
        <v/>
      </c>
      <c r="K131" s="385">
        <f t="shared" si="104"/>
        <v>0</v>
      </c>
      <c r="L131" s="413" t="str">
        <f t="shared" si="105"/>
        <v/>
      </c>
      <c r="M131" s="309" t="str">
        <f t="shared" si="106"/>
        <v/>
      </c>
      <c r="N131" s="392">
        <f t="shared" si="107"/>
        <v>0</v>
      </c>
      <c r="O131" s="413" t="str">
        <f t="shared" si="108"/>
        <v/>
      </c>
      <c r="P131" s="386" t="str">
        <f t="shared" si="109"/>
        <v/>
      </c>
      <c r="Q131" s="385">
        <f t="shared" si="110"/>
        <v>0</v>
      </c>
      <c r="R131" s="413" t="str">
        <f t="shared" si="111"/>
        <v/>
      </c>
      <c r="S131" s="309" t="str">
        <f t="shared" si="112"/>
        <v/>
      </c>
      <c r="T131" s="392">
        <f t="shared" si="113"/>
        <v>0</v>
      </c>
      <c r="U131" s="413" t="str">
        <f t="shared" si="114"/>
        <v/>
      </c>
      <c r="V131" s="386" t="str">
        <f t="shared" si="115"/>
        <v/>
      </c>
      <c r="W131" s="385">
        <f t="shared" si="116"/>
        <v>0</v>
      </c>
      <c r="X131" s="413" t="str">
        <f t="shared" si="117"/>
        <v/>
      </c>
      <c r="Y131" s="309" t="str">
        <f t="shared" si="118"/>
        <v/>
      </c>
      <c r="Z131" s="385" t="str">
        <f t="shared" si="119"/>
        <v>N</v>
      </c>
      <c r="AA131" s="403"/>
      <c r="AC131" s="509" t="str">
        <f t="shared" si="126"/>
        <v>TIMPuls_2</v>
      </c>
      <c r="AD131" s="51">
        <f t="shared" si="127"/>
        <v>1</v>
      </c>
      <c r="AE131" s="51">
        <f t="shared" si="128"/>
        <v>1</v>
      </c>
      <c r="AF131" s="51">
        <f t="shared" si="129"/>
        <v>0</v>
      </c>
      <c r="AG131" s="51">
        <f t="shared" si="130"/>
        <v>0</v>
      </c>
      <c r="AH131" s="108">
        <f t="shared" si="131"/>
        <v>2</v>
      </c>
      <c r="AJ131" s="506"/>
      <c r="AK131" s="28"/>
      <c r="AL131" s="506"/>
      <c r="AM131" s="28"/>
      <c r="AN131" s="28"/>
    </row>
    <row r="132" spans="1:40">
      <c r="A132" s="94" t="str">
        <f>Recap!D68</f>
        <v>TIMPuls_3</v>
      </c>
      <c r="B132" s="385">
        <f t="shared" si="95"/>
        <v>100</v>
      </c>
      <c r="C132" s="413" t="str">
        <f t="shared" si="96"/>
        <v/>
      </c>
      <c r="D132" s="386" t="str">
        <f t="shared" si="97"/>
        <v/>
      </c>
      <c r="E132" s="385">
        <f t="shared" si="98"/>
        <v>0</v>
      </c>
      <c r="F132" s="413" t="str">
        <f t="shared" si="99"/>
        <v/>
      </c>
      <c r="G132" s="386" t="str">
        <f t="shared" si="100"/>
        <v/>
      </c>
      <c r="H132" s="385">
        <f t="shared" si="101"/>
        <v>90</v>
      </c>
      <c r="I132" s="413" t="str">
        <f t="shared" si="102"/>
        <v/>
      </c>
      <c r="J132" s="386" t="str">
        <f t="shared" si="103"/>
        <v/>
      </c>
      <c r="K132" s="385">
        <f t="shared" si="104"/>
        <v>0</v>
      </c>
      <c r="L132" s="413" t="str">
        <f t="shared" si="105"/>
        <v/>
      </c>
      <c r="M132" s="309" t="str">
        <f t="shared" si="106"/>
        <v/>
      </c>
      <c r="N132" s="392">
        <f t="shared" si="107"/>
        <v>0</v>
      </c>
      <c r="O132" s="413" t="str">
        <f t="shared" si="108"/>
        <v/>
      </c>
      <c r="P132" s="386" t="str">
        <f t="shared" si="109"/>
        <v/>
      </c>
      <c r="Q132" s="385">
        <f t="shared" si="110"/>
        <v>0</v>
      </c>
      <c r="R132" s="413" t="str">
        <f t="shared" si="111"/>
        <v/>
      </c>
      <c r="S132" s="309" t="str">
        <f t="shared" si="112"/>
        <v/>
      </c>
      <c r="T132" s="392">
        <f t="shared" si="113"/>
        <v>0</v>
      </c>
      <c r="U132" s="413" t="str">
        <f t="shared" si="114"/>
        <v/>
      </c>
      <c r="V132" s="386" t="str">
        <f t="shared" si="115"/>
        <v/>
      </c>
      <c r="W132" s="385">
        <f t="shared" si="116"/>
        <v>0</v>
      </c>
      <c r="X132" s="413" t="str">
        <f t="shared" si="117"/>
        <v/>
      </c>
      <c r="Y132" s="309" t="str">
        <f t="shared" si="118"/>
        <v/>
      </c>
      <c r="Z132" s="385" t="str">
        <f t="shared" si="119"/>
        <v>N</v>
      </c>
      <c r="AA132" s="403"/>
      <c r="AC132" s="509" t="str">
        <f t="shared" si="126"/>
        <v>TIMPuls_3</v>
      </c>
      <c r="AD132" s="51">
        <f t="shared" si="127"/>
        <v>1</v>
      </c>
      <c r="AE132" s="51">
        <f t="shared" si="128"/>
        <v>1</v>
      </c>
      <c r="AF132" s="51">
        <f t="shared" si="129"/>
        <v>0</v>
      </c>
      <c r="AG132" s="51">
        <f t="shared" si="130"/>
        <v>0</v>
      </c>
      <c r="AH132" s="108">
        <f t="shared" si="131"/>
        <v>2</v>
      </c>
      <c r="AJ132" s="506"/>
      <c r="AK132" s="28"/>
      <c r="AL132" s="506"/>
      <c r="AM132" s="28"/>
      <c r="AN132" s="28"/>
    </row>
    <row r="133" spans="1:40" ht="15.75" thickBot="1">
      <c r="A133" s="94" t="str">
        <f>Recap!D69</f>
        <v>TIMPuls_4</v>
      </c>
      <c r="B133" s="385">
        <f t="shared" si="95"/>
        <v>50</v>
      </c>
      <c r="C133" s="413" t="str">
        <f t="shared" si="96"/>
        <v/>
      </c>
      <c r="D133" s="386" t="str">
        <f t="shared" si="97"/>
        <v/>
      </c>
      <c r="E133" s="385">
        <f t="shared" si="98"/>
        <v>0</v>
      </c>
      <c r="F133" s="413" t="str">
        <f t="shared" si="99"/>
        <v/>
      </c>
      <c r="G133" s="386" t="str">
        <f t="shared" si="100"/>
        <v/>
      </c>
      <c r="H133" s="385">
        <f t="shared" si="101"/>
        <v>60</v>
      </c>
      <c r="I133" s="413" t="str">
        <f t="shared" si="102"/>
        <v/>
      </c>
      <c r="J133" s="386" t="str">
        <f t="shared" si="103"/>
        <v/>
      </c>
      <c r="K133" s="385">
        <f t="shared" si="104"/>
        <v>0</v>
      </c>
      <c r="L133" s="413" t="str">
        <f t="shared" si="105"/>
        <v/>
      </c>
      <c r="M133" s="309" t="str">
        <f t="shared" si="106"/>
        <v/>
      </c>
      <c r="N133" s="392">
        <f t="shared" si="107"/>
        <v>0</v>
      </c>
      <c r="O133" s="413" t="str">
        <f t="shared" si="108"/>
        <v/>
      </c>
      <c r="P133" s="386" t="str">
        <f t="shared" si="109"/>
        <v/>
      </c>
      <c r="Q133" s="385">
        <f t="shared" si="110"/>
        <v>0</v>
      </c>
      <c r="R133" s="413" t="str">
        <f t="shared" si="111"/>
        <v/>
      </c>
      <c r="S133" s="309" t="str">
        <f t="shared" si="112"/>
        <v/>
      </c>
      <c r="T133" s="392">
        <f t="shared" si="113"/>
        <v>0</v>
      </c>
      <c r="U133" s="413" t="str">
        <f t="shared" si="114"/>
        <v/>
      </c>
      <c r="V133" s="386" t="str">
        <f t="shared" si="115"/>
        <v/>
      </c>
      <c r="W133" s="385">
        <f t="shared" si="116"/>
        <v>0</v>
      </c>
      <c r="X133" s="413" t="str">
        <f t="shared" si="117"/>
        <v/>
      </c>
      <c r="Y133" s="309" t="str">
        <f t="shared" si="118"/>
        <v/>
      </c>
      <c r="Z133" s="385" t="str">
        <f t="shared" si="119"/>
        <v>N</v>
      </c>
      <c r="AA133" s="403"/>
      <c r="AC133" s="509" t="str">
        <f t="shared" si="126"/>
        <v>TIMPuls_4</v>
      </c>
      <c r="AD133" s="51">
        <f t="shared" si="127"/>
        <v>1</v>
      </c>
      <c r="AE133" s="51">
        <f t="shared" si="128"/>
        <v>1</v>
      </c>
      <c r="AF133" s="51">
        <f t="shared" si="129"/>
        <v>0</v>
      </c>
      <c r="AG133" s="51">
        <f t="shared" si="130"/>
        <v>0</v>
      </c>
      <c r="AH133" s="108">
        <f t="shared" si="131"/>
        <v>2</v>
      </c>
      <c r="AJ133" s="506"/>
      <c r="AK133" s="28"/>
      <c r="AL133" s="506"/>
      <c r="AM133" s="28"/>
      <c r="AN133" s="28"/>
    </row>
    <row r="134" spans="1:40">
      <c r="A134" s="408" t="str">
        <f>Recap!D70</f>
        <v>SeifBois_B27_R60_25%</v>
      </c>
      <c r="B134" s="401">
        <f t="shared" si="95"/>
        <v>0</v>
      </c>
      <c r="C134" s="409" t="str">
        <f t="shared" si="96"/>
        <v/>
      </c>
      <c r="D134" s="410" t="str">
        <f t="shared" si="97"/>
        <v/>
      </c>
      <c r="E134" s="401">
        <f t="shared" si="98"/>
        <v>0</v>
      </c>
      <c r="F134" s="409" t="str">
        <f t="shared" si="99"/>
        <v/>
      </c>
      <c r="G134" s="410" t="str">
        <f t="shared" si="100"/>
        <v/>
      </c>
      <c r="H134" s="401">
        <f t="shared" si="101"/>
        <v>0</v>
      </c>
      <c r="I134" s="409" t="str">
        <f t="shared" si="102"/>
        <v/>
      </c>
      <c r="J134" s="410" t="str">
        <f t="shared" si="103"/>
        <v/>
      </c>
      <c r="K134" s="401">
        <f t="shared" si="104"/>
        <v>0</v>
      </c>
      <c r="L134" s="409" t="str">
        <f t="shared" si="105"/>
        <v/>
      </c>
      <c r="M134" s="411" t="str">
        <f t="shared" si="106"/>
        <v/>
      </c>
      <c r="N134" s="412">
        <f t="shared" si="107"/>
        <v>0</v>
      </c>
      <c r="O134" s="409" t="str">
        <f t="shared" si="108"/>
        <v/>
      </c>
      <c r="P134" s="410" t="str">
        <f t="shared" si="109"/>
        <v/>
      </c>
      <c r="Q134" s="401">
        <f t="shared" si="110"/>
        <v>0</v>
      </c>
      <c r="R134" s="409" t="str">
        <f t="shared" si="111"/>
        <v/>
      </c>
      <c r="S134" s="411" t="str">
        <f t="shared" si="112"/>
        <v/>
      </c>
      <c r="T134" s="412">
        <f t="shared" si="113"/>
        <v>0</v>
      </c>
      <c r="U134" s="409" t="str">
        <f t="shared" si="114"/>
        <v/>
      </c>
      <c r="V134" s="410" t="str">
        <f t="shared" si="115"/>
        <v/>
      </c>
      <c r="W134" s="401">
        <f t="shared" si="116"/>
        <v>0</v>
      </c>
      <c r="X134" s="409" t="str">
        <f t="shared" si="117"/>
        <v/>
      </c>
      <c r="Y134" s="411" t="str">
        <f t="shared" si="118"/>
        <v/>
      </c>
      <c r="Z134" s="401" t="str">
        <f t="shared" si="119"/>
        <v>'</v>
      </c>
      <c r="AA134" s="402"/>
      <c r="AC134" s="92" t="str">
        <f t="shared" ref="AC134:AC138" si="132">A134</f>
        <v>SeifBois_B27_R60_25%</v>
      </c>
      <c r="AD134" s="13">
        <f t="shared" ref="AD134:AD138" si="133">IF(B134&gt;0,1,0)</f>
        <v>0</v>
      </c>
      <c r="AE134" s="13">
        <f t="shared" ref="AE134:AE138" si="134">IF(H134&gt;0,1,0)</f>
        <v>0</v>
      </c>
      <c r="AF134" s="13">
        <f t="shared" ref="AF134:AF138" si="135">IF(N134&gt;0,1,0)</f>
        <v>0</v>
      </c>
      <c r="AG134" s="13">
        <f t="shared" ref="AG134:AG138" si="136">IF(T134&gt;0,1,0)</f>
        <v>0</v>
      </c>
      <c r="AH134" s="505">
        <f t="shared" ref="AH134:AH138" si="137">SUM(AD134:AG134)</f>
        <v>0</v>
      </c>
      <c r="AJ134" s="506"/>
      <c r="AK134" s="28"/>
      <c r="AL134" s="506"/>
      <c r="AM134" s="28"/>
      <c r="AN134" s="28"/>
    </row>
    <row r="135" spans="1:40">
      <c r="A135" s="94" t="str">
        <f>Recap!D71</f>
        <v>SeifBois_B27_R120_25%</v>
      </c>
      <c r="B135" s="385">
        <f t="shared" si="95"/>
        <v>0</v>
      </c>
      <c r="C135" s="413" t="str">
        <f t="shared" si="96"/>
        <v/>
      </c>
      <c r="D135" s="386" t="str">
        <f t="shared" si="97"/>
        <v/>
      </c>
      <c r="E135" s="385">
        <f t="shared" si="98"/>
        <v>0</v>
      </c>
      <c r="F135" s="413" t="str">
        <f t="shared" si="99"/>
        <v/>
      </c>
      <c r="G135" s="386" t="str">
        <f t="shared" si="100"/>
        <v/>
      </c>
      <c r="H135" s="385">
        <f t="shared" si="101"/>
        <v>0</v>
      </c>
      <c r="I135" s="413" t="str">
        <f t="shared" si="102"/>
        <v/>
      </c>
      <c r="J135" s="386" t="str">
        <f t="shared" si="103"/>
        <v/>
      </c>
      <c r="K135" s="385">
        <f t="shared" si="104"/>
        <v>0</v>
      </c>
      <c r="L135" s="413" t="str">
        <f t="shared" si="105"/>
        <v/>
      </c>
      <c r="M135" s="309" t="str">
        <f t="shared" si="106"/>
        <v/>
      </c>
      <c r="N135" s="392">
        <f t="shared" si="107"/>
        <v>0</v>
      </c>
      <c r="O135" s="413" t="str">
        <f t="shared" si="108"/>
        <v/>
      </c>
      <c r="P135" s="386" t="str">
        <f t="shared" si="109"/>
        <v/>
      </c>
      <c r="Q135" s="385">
        <f t="shared" si="110"/>
        <v>0</v>
      </c>
      <c r="R135" s="413" t="str">
        <f t="shared" si="111"/>
        <v/>
      </c>
      <c r="S135" s="309" t="str">
        <f t="shared" si="112"/>
        <v/>
      </c>
      <c r="T135" s="392">
        <f t="shared" si="113"/>
        <v>0</v>
      </c>
      <c r="U135" s="413" t="str">
        <f t="shared" si="114"/>
        <v/>
      </c>
      <c r="V135" s="386" t="str">
        <f t="shared" si="115"/>
        <v/>
      </c>
      <c r="W135" s="385">
        <f t="shared" si="116"/>
        <v>0</v>
      </c>
      <c r="X135" s="413" t="str">
        <f t="shared" si="117"/>
        <v/>
      </c>
      <c r="Y135" s="309" t="str">
        <f t="shared" si="118"/>
        <v/>
      </c>
      <c r="Z135" s="385" t="str">
        <f t="shared" si="119"/>
        <v>'</v>
      </c>
      <c r="AA135" s="403"/>
      <c r="AC135" s="509" t="str">
        <f t="shared" si="132"/>
        <v>SeifBois_B27_R120_25%</v>
      </c>
      <c r="AD135" s="51">
        <f t="shared" si="133"/>
        <v>0</v>
      </c>
      <c r="AE135" s="51">
        <f t="shared" si="134"/>
        <v>0</v>
      </c>
      <c r="AF135" s="51">
        <f t="shared" si="135"/>
        <v>0</v>
      </c>
      <c r="AG135" s="51">
        <f t="shared" si="136"/>
        <v>0</v>
      </c>
      <c r="AH135" s="108">
        <f t="shared" si="137"/>
        <v>0</v>
      </c>
      <c r="AJ135" s="506"/>
      <c r="AK135" s="28"/>
      <c r="AL135" s="506"/>
      <c r="AM135" s="28"/>
      <c r="AN135" s="28"/>
    </row>
    <row r="136" spans="1:40">
      <c r="A136" s="94" t="str">
        <f>Recap!D72</f>
        <v>SeifBois_H27_R30_25%</v>
      </c>
      <c r="B136" s="385">
        <f t="shared" si="95"/>
        <v>0</v>
      </c>
      <c r="C136" s="413" t="str">
        <f t="shared" si="96"/>
        <v/>
      </c>
      <c r="D136" s="386" t="str">
        <f t="shared" si="97"/>
        <v/>
      </c>
      <c r="E136" s="385">
        <f t="shared" si="98"/>
        <v>0</v>
      </c>
      <c r="F136" s="413" t="str">
        <f t="shared" si="99"/>
        <v/>
      </c>
      <c r="G136" s="386" t="str">
        <f t="shared" si="100"/>
        <v/>
      </c>
      <c r="H136" s="385">
        <f t="shared" si="101"/>
        <v>0</v>
      </c>
      <c r="I136" s="413" t="str">
        <f t="shared" si="102"/>
        <v/>
      </c>
      <c r="J136" s="386" t="str">
        <f t="shared" si="103"/>
        <v/>
      </c>
      <c r="K136" s="385">
        <f t="shared" si="104"/>
        <v>0</v>
      </c>
      <c r="L136" s="413" t="str">
        <f t="shared" si="105"/>
        <v/>
      </c>
      <c r="M136" s="309" t="str">
        <f t="shared" si="106"/>
        <v/>
      </c>
      <c r="N136" s="392">
        <f t="shared" si="107"/>
        <v>0</v>
      </c>
      <c r="O136" s="413" t="str">
        <f t="shared" si="108"/>
        <v/>
      </c>
      <c r="P136" s="386" t="str">
        <f t="shared" si="109"/>
        <v/>
      </c>
      <c r="Q136" s="385">
        <f t="shared" si="110"/>
        <v>0</v>
      </c>
      <c r="R136" s="413" t="str">
        <f t="shared" si="111"/>
        <v/>
      </c>
      <c r="S136" s="309" t="str">
        <f t="shared" si="112"/>
        <v/>
      </c>
      <c r="T136" s="392">
        <f t="shared" si="113"/>
        <v>0</v>
      </c>
      <c r="U136" s="413" t="str">
        <f t="shared" si="114"/>
        <v/>
      </c>
      <c r="V136" s="386" t="str">
        <f t="shared" si="115"/>
        <v/>
      </c>
      <c r="W136" s="385">
        <f t="shared" si="116"/>
        <v>0</v>
      </c>
      <c r="X136" s="413" t="str">
        <f t="shared" si="117"/>
        <v/>
      </c>
      <c r="Y136" s="309" t="str">
        <f t="shared" si="118"/>
        <v/>
      </c>
      <c r="Z136" s="385" t="str">
        <f t="shared" si="119"/>
        <v>'</v>
      </c>
      <c r="AA136" s="403"/>
      <c r="AC136" s="509" t="str">
        <f t="shared" si="132"/>
        <v>SeifBois_H27_R30_25%</v>
      </c>
      <c r="AD136" s="51">
        <f t="shared" si="133"/>
        <v>0</v>
      </c>
      <c r="AE136" s="51">
        <f t="shared" si="134"/>
        <v>0</v>
      </c>
      <c r="AF136" s="51">
        <f t="shared" si="135"/>
        <v>0</v>
      </c>
      <c r="AG136" s="51">
        <f t="shared" si="136"/>
        <v>0</v>
      </c>
      <c r="AH136" s="108">
        <f t="shared" si="137"/>
        <v>0</v>
      </c>
      <c r="AJ136" s="506"/>
      <c r="AK136" s="28"/>
      <c r="AL136" s="506"/>
      <c r="AM136" s="28"/>
      <c r="AN136" s="28"/>
    </row>
    <row r="137" spans="1:40">
      <c r="A137" s="94" t="str">
        <f>Recap!D73</f>
        <v>SeifBois_H27_R60_25%</v>
      </c>
      <c r="B137" s="385">
        <f t="shared" si="95"/>
        <v>0</v>
      </c>
      <c r="C137" s="413" t="str">
        <f t="shared" si="96"/>
        <v/>
      </c>
      <c r="D137" s="386" t="str">
        <f t="shared" si="97"/>
        <v/>
      </c>
      <c r="E137" s="385">
        <f t="shared" si="98"/>
        <v>0</v>
      </c>
      <c r="F137" s="413" t="str">
        <f t="shared" si="99"/>
        <v/>
      </c>
      <c r="G137" s="386" t="str">
        <f t="shared" si="100"/>
        <v/>
      </c>
      <c r="H137" s="385">
        <f t="shared" si="101"/>
        <v>0</v>
      </c>
      <c r="I137" s="413" t="str">
        <f t="shared" si="102"/>
        <v/>
      </c>
      <c r="J137" s="386" t="str">
        <f t="shared" si="103"/>
        <v/>
      </c>
      <c r="K137" s="385">
        <f t="shared" si="104"/>
        <v>0</v>
      </c>
      <c r="L137" s="413" t="str">
        <f t="shared" si="105"/>
        <v/>
      </c>
      <c r="M137" s="309" t="str">
        <f t="shared" si="106"/>
        <v/>
      </c>
      <c r="N137" s="392">
        <f t="shared" si="107"/>
        <v>0</v>
      </c>
      <c r="O137" s="413" t="str">
        <f t="shared" si="108"/>
        <v/>
      </c>
      <c r="P137" s="386" t="str">
        <f t="shared" si="109"/>
        <v/>
      </c>
      <c r="Q137" s="385">
        <f t="shared" si="110"/>
        <v>0</v>
      </c>
      <c r="R137" s="413" t="str">
        <f t="shared" si="111"/>
        <v/>
      </c>
      <c r="S137" s="309" t="str">
        <f t="shared" si="112"/>
        <v/>
      </c>
      <c r="T137" s="392">
        <f t="shared" si="113"/>
        <v>0</v>
      </c>
      <c r="U137" s="413" t="str">
        <f t="shared" si="114"/>
        <v/>
      </c>
      <c r="V137" s="386" t="str">
        <f t="shared" si="115"/>
        <v/>
      </c>
      <c r="W137" s="385">
        <f t="shared" si="116"/>
        <v>0</v>
      </c>
      <c r="X137" s="413" t="str">
        <f t="shared" si="117"/>
        <v/>
      </c>
      <c r="Y137" s="309" t="str">
        <f t="shared" si="118"/>
        <v/>
      </c>
      <c r="Z137" s="385" t="str">
        <f t="shared" si="119"/>
        <v>'</v>
      </c>
      <c r="AA137" s="403"/>
      <c r="AC137" s="509" t="str">
        <f t="shared" si="132"/>
        <v>SeifBois_H27_R60_25%</v>
      </c>
      <c r="AD137" s="51">
        <f t="shared" si="133"/>
        <v>0</v>
      </c>
      <c r="AE137" s="51">
        <f t="shared" si="134"/>
        <v>0</v>
      </c>
      <c r="AF137" s="51">
        <f t="shared" si="135"/>
        <v>0</v>
      </c>
      <c r="AG137" s="51">
        <f t="shared" si="136"/>
        <v>0</v>
      </c>
      <c r="AH137" s="108">
        <f t="shared" si="137"/>
        <v>0</v>
      </c>
      <c r="AJ137" s="506"/>
      <c r="AK137" s="28"/>
      <c r="AL137" s="506"/>
      <c r="AM137" s="28"/>
      <c r="AN137" s="28"/>
    </row>
    <row r="138" spans="1:40">
      <c r="A138" s="94" t="str">
        <f>Recap!D74</f>
        <v>SeifBois_H27_R90_25%</v>
      </c>
      <c r="B138" s="385">
        <f t="shared" si="95"/>
        <v>0</v>
      </c>
      <c r="C138" s="413" t="str">
        <f t="shared" si="96"/>
        <v/>
      </c>
      <c r="D138" s="386" t="str">
        <f t="shared" si="97"/>
        <v/>
      </c>
      <c r="E138" s="385">
        <f t="shared" si="98"/>
        <v>0</v>
      </c>
      <c r="F138" s="413" t="str">
        <f t="shared" si="99"/>
        <v/>
      </c>
      <c r="G138" s="386" t="str">
        <f t="shared" si="100"/>
        <v/>
      </c>
      <c r="H138" s="385">
        <f t="shared" si="101"/>
        <v>0</v>
      </c>
      <c r="I138" s="413" t="str">
        <f t="shared" si="102"/>
        <v/>
      </c>
      <c r="J138" s="386" t="str">
        <f t="shared" si="103"/>
        <v/>
      </c>
      <c r="K138" s="385">
        <f t="shared" si="104"/>
        <v>0</v>
      </c>
      <c r="L138" s="413" t="str">
        <f t="shared" si="105"/>
        <v/>
      </c>
      <c r="M138" s="309" t="str">
        <f t="shared" si="106"/>
        <v/>
      </c>
      <c r="N138" s="392">
        <f t="shared" si="107"/>
        <v>0</v>
      </c>
      <c r="O138" s="413" t="str">
        <f t="shared" si="108"/>
        <v/>
      </c>
      <c r="P138" s="386" t="str">
        <f t="shared" si="109"/>
        <v/>
      </c>
      <c r="Q138" s="385">
        <f t="shared" si="110"/>
        <v>0</v>
      </c>
      <c r="R138" s="413" t="str">
        <f t="shared" si="111"/>
        <v/>
      </c>
      <c r="S138" s="309" t="str">
        <f t="shared" si="112"/>
        <v/>
      </c>
      <c r="T138" s="392">
        <f t="shared" si="113"/>
        <v>0</v>
      </c>
      <c r="U138" s="413" t="str">
        <f t="shared" si="114"/>
        <v/>
      </c>
      <c r="V138" s="386" t="str">
        <f t="shared" si="115"/>
        <v/>
      </c>
      <c r="W138" s="385">
        <f t="shared" si="116"/>
        <v>0</v>
      </c>
      <c r="X138" s="413" t="str">
        <f t="shared" si="117"/>
        <v/>
      </c>
      <c r="Y138" s="309" t="str">
        <f t="shared" si="118"/>
        <v/>
      </c>
      <c r="Z138" s="385" t="str">
        <f t="shared" si="119"/>
        <v>'</v>
      </c>
      <c r="AA138" s="403"/>
      <c r="AC138" s="509" t="str">
        <f t="shared" si="132"/>
        <v>SeifBois_H27_R90_25%</v>
      </c>
      <c r="AD138" s="51">
        <f t="shared" si="133"/>
        <v>0</v>
      </c>
      <c r="AE138" s="51">
        <f t="shared" si="134"/>
        <v>0</v>
      </c>
      <c r="AF138" s="51">
        <f t="shared" si="135"/>
        <v>0</v>
      </c>
      <c r="AG138" s="51">
        <f t="shared" si="136"/>
        <v>0</v>
      </c>
      <c r="AH138" s="108">
        <f t="shared" si="137"/>
        <v>0</v>
      </c>
      <c r="AJ138" s="506"/>
      <c r="AK138" s="28"/>
      <c r="AL138" s="506"/>
      <c r="AM138" s="28"/>
      <c r="AN138" s="28"/>
    </row>
    <row r="139" spans="1:40">
      <c r="A139" s="94" t="str">
        <f>Recap!D75</f>
        <v>SeifBois_E27_R60_25%</v>
      </c>
      <c r="B139" s="385">
        <f t="shared" si="95"/>
        <v>0</v>
      </c>
      <c r="C139" s="413" t="str">
        <f t="shared" si="96"/>
        <v/>
      </c>
      <c r="D139" s="386" t="str">
        <f t="shared" si="97"/>
        <v/>
      </c>
      <c r="E139" s="385">
        <f t="shared" si="98"/>
        <v>0</v>
      </c>
      <c r="F139" s="413" t="str">
        <f t="shared" si="99"/>
        <v/>
      </c>
      <c r="G139" s="386" t="str">
        <f t="shared" si="100"/>
        <v/>
      </c>
      <c r="H139" s="385">
        <f t="shared" si="101"/>
        <v>0</v>
      </c>
      <c r="I139" s="413" t="str">
        <f t="shared" si="102"/>
        <v/>
      </c>
      <c r="J139" s="386" t="str">
        <f t="shared" si="103"/>
        <v/>
      </c>
      <c r="K139" s="385">
        <f t="shared" si="104"/>
        <v>0</v>
      </c>
      <c r="L139" s="413" t="str">
        <f t="shared" si="105"/>
        <v/>
      </c>
      <c r="M139" s="309" t="str">
        <f t="shared" si="106"/>
        <v/>
      </c>
      <c r="N139" s="392">
        <f t="shared" si="107"/>
        <v>0</v>
      </c>
      <c r="O139" s="413" t="str">
        <f t="shared" si="108"/>
        <v/>
      </c>
      <c r="P139" s="386" t="str">
        <f t="shared" si="109"/>
        <v/>
      </c>
      <c r="Q139" s="385">
        <f t="shared" si="110"/>
        <v>0</v>
      </c>
      <c r="R139" s="413" t="str">
        <f t="shared" si="111"/>
        <v/>
      </c>
      <c r="S139" s="309" t="str">
        <f t="shared" si="112"/>
        <v/>
      </c>
      <c r="T139" s="392">
        <f t="shared" si="113"/>
        <v>0</v>
      </c>
      <c r="U139" s="413" t="str">
        <f t="shared" si="114"/>
        <v/>
      </c>
      <c r="V139" s="386" t="str">
        <f t="shared" si="115"/>
        <v/>
      </c>
      <c r="W139" s="385">
        <f t="shared" si="116"/>
        <v>0</v>
      </c>
      <c r="X139" s="413" t="str">
        <f t="shared" si="117"/>
        <v/>
      </c>
      <c r="Y139" s="309" t="str">
        <f t="shared" si="118"/>
        <v/>
      </c>
      <c r="Z139" s="385" t="str">
        <f t="shared" si="119"/>
        <v>'</v>
      </c>
      <c r="AA139" s="403"/>
      <c r="AC139" s="509" t="str">
        <f t="shared" ref="AC139:AC144" si="138">A139</f>
        <v>SeifBois_E27_R60_25%</v>
      </c>
      <c r="AD139" s="51">
        <f t="shared" ref="AD139:AD144" si="139">IF(B139&gt;0,1,0)</f>
        <v>0</v>
      </c>
      <c r="AE139" s="51">
        <f t="shared" ref="AE139:AE144" si="140">IF(H139&gt;0,1,0)</f>
        <v>0</v>
      </c>
      <c r="AF139" s="51">
        <f t="shared" ref="AF139:AF144" si="141">IF(N139&gt;0,1,0)</f>
        <v>0</v>
      </c>
      <c r="AG139" s="51">
        <f t="shared" ref="AG139:AG144" si="142">IF(T139&gt;0,1,0)</f>
        <v>0</v>
      </c>
      <c r="AH139" s="108">
        <f t="shared" ref="AH139:AH144" si="143">SUM(AD139:AG139)</f>
        <v>0</v>
      </c>
      <c r="AJ139" s="506"/>
      <c r="AK139" s="28"/>
      <c r="AL139" s="506"/>
      <c r="AM139" s="28"/>
      <c r="AN139" s="28"/>
    </row>
    <row r="140" spans="1:40">
      <c r="A140" s="94" t="str">
        <f>Recap!D76</f>
        <v>SeifBois_E11a</v>
      </c>
      <c r="B140" s="385">
        <f t="shared" si="95"/>
        <v>0</v>
      </c>
      <c r="C140" s="413" t="str">
        <f t="shared" si="96"/>
        <v/>
      </c>
      <c r="D140" s="386" t="str">
        <f t="shared" si="97"/>
        <v/>
      </c>
      <c r="E140" s="385">
        <f t="shared" si="98"/>
        <v>0</v>
      </c>
      <c r="F140" s="413" t="str">
        <f t="shared" si="99"/>
        <v/>
      </c>
      <c r="G140" s="386" t="str">
        <f t="shared" si="100"/>
        <v/>
      </c>
      <c r="H140" s="385">
        <f t="shared" si="101"/>
        <v>0</v>
      </c>
      <c r="I140" s="413" t="str">
        <f t="shared" si="102"/>
        <v/>
      </c>
      <c r="J140" s="386" t="str">
        <f t="shared" si="103"/>
        <v/>
      </c>
      <c r="K140" s="385">
        <f t="shared" si="104"/>
        <v>0</v>
      </c>
      <c r="L140" s="413" t="str">
        <f t="shared" si="105"/>
        <v/>
      </c>
      <c r="M140" s="309" t="str">
        <f t="shared" si="106"/>
        <v/>
      </c>
      <c r="N140" s="392">
        <f t="shared" si="107"/>
        <v>55.761904761904759</v>
      </c>
      <c r="O140" s="413">
        <f t="shared" si="108"/>
        <v>22.761904761904759</v>
      </c>
      <c r="P140" s="386">
        <f t="shared" si="109"/>
        <v>20.238095238095241</v>
      </c>
      <c r="Q140" s="385">
        <f t="shared" si="110"/>
        <v>0</v>
      </c>
      <c r="R140" s="413" t="str">
        <f t="shared" si="111"/>
        <v/>
      </c>
      <c r="S140" s="309" t="str">
        <f t="shared" si="112"/>
        <v/>
      </c>
      <c r="T140" s="392">
        <f t="shared" si="113"/>
        <v>50.75</v>
      </c>
      <c r="U140" s="413">
        <f t="shared" si="114"/>
        <v>17.75</v>
      </c>
      <c r="V140" s="386">
        <f t="shared" si="115"/>
        <v>13.25</v>
      </c>
      <c r="W140" s="385">
        <f t="shared" si="116"/>
        <v>0</v>
      </c>
      <c r="X140" s="413" t="str">
        <f t="shared" si="117"/>
        <v/>
      </c>
      <c r="Y140" s="309" t="str">
        <f t="shared" si="118"/>
        <v/>
      </c>
      <c r="Z140" s="385" t="str">
        <f t="shared" si="119"/>
        <v>'</v>
      </c>
      <c r="AA140" s="403"/>
      <c r="AC140" s="509" t="str">
        <f t="shared" si="138"/>
        <v>SeifBois_E11a</v>
      </c>
      <c r="AD140" s="51">
        <f t="shared" si="139"/>
        <v>0</v>
      </c>
      <c r="AE140" s="51">
        <f t="shared" si="140"/>
        <v>0</v>
      </c>
      <c r="AF140" s="51">
        <f t="shared" si="141"/>
        <v>1</v>
      </c>
      <c r="AG140" s="51">
        <f t="shared" si="142"/>
        <v>1</v>
      </c>
      <c r="AH140" s="108">
        <f t="shared" si="143"/>
        <v>2</v>
      </c>
      <c r="AJ140" s="506"/>
      <c r="AK140" s="28"/>
      <c r="AL140" s="506"/>
      <c r="AM140" s="28"/>
      <c r="AN140" s="28"/>
    </row>
    <row r="141" spans="1:40">
      <c r="A141" s="94" t="str">
        <f>Recap!D77</f>
        <v>SeifBois_E11b</v>
      </c>
      <c r="B141" s="385">
        <f t="shared" si="95"/>
        <v>0</v>
      </c>
      <c r="C141" s="413" t="str">
        <f t="shared" si="96"/>
        <v/>
      </c>
      <c r="D141" s="386" t="str">
        <f t="shared" si="97"/>
        <v/>
      </c>
      <c r="E141" s="385">
        <f t="shared" si="98"/>
        <v>0</v>
      </c>
      <c r="F141" s="413" t="str">
        <f t="shared" si="99"/>
        <v/>
      </c>
      <c r="G141" s="386" t="str">
        <f t="shared" si="100"/>
        <v/>
      </c>
      <c r="H141" s="385">
        <f t="shared" si="101"/>
        <v>0</v>
      </c>
      <c r="I141" s="413" t="str">
        <f t="shared" si="102"/>
        <v/>
      </c>
      <c r="J141" s="386" t="str">
        <f t="shared" si="103"/>
        <v/>
      </c>
      <c r="K141" s="385">
        <f t="shared" si="104"/>
        <v>0</v>
      </c>
      <c r="L141" s="413" t="str">
        <f t="shared" si="105"/>
        <v/>
      </c>
      <c r="M141" s="309" t="str">
        <f t="shared" si="106"/>
        <v/>
      </c>
      <c r="N141" s="392">
        <f t="shared" si="107"/>
        <v>0</v>
      </c>
      <c r="O141" s="413" t="str">
        <f t="shared" si="108"/>
        <v/>
      </c>
      <c r="P141" s="386" t="str">
        <f t="shared" si="109"/>
        <v/>
      </c>
      <c r="Q141" s="385">
        <f t="shared" si="110"/>
        <v>0</v>
      </c>
      <c r="R141" s="413" t="str">
        <f t="shared" si="111"/>
        <v/>
      </c>
      <c r="S141" s="309" t="str">
        <f t="shared" si="112"/>
        <v/>
      </c>
      <c r="T141" s="392">
        <f t="shared" si="113"/>
        <v>0</v>
      </c>
      <c r="U141" s="413" t="str">
        <f t="shared" si="114"/>
        <v/>
      </c>
      <c r="V141" s="386" t="str">
        <f t="shared" si="115"/>
        <v/>
      </c>
      <c r="W141" s="385">
        <f t="shared" si="116"/>
        <v>0</v>
      </c>
      <c r="X141" s="413" t="str">
        <f t="shared" si="117"/>
        <v/>
      </c>
      <c r="Y141" s="309" t="str">
        <f t="shared" si="118"/>
        <v/>
      </c>
      <c r="Z141" s="385" t="str">
        <f t="shared" si="119"/>
        <v>'</v>
      </c>
      <c r="AA141" s="403"/>
      <c r="AC141" s="509" t="str">
        <f t="shared" si="138"/>
        <v>SeifBois_E11b</v>
      </c>
      <c r="AD141" s="51">
        <f t="shared" si="139"/>
        <v>0</v>
      </c>
      <c r="AE141" s="51">
        <f t="shared" si="140"/>
        <v>0</v>
      </c>
      <c r="AF141" s="51">
        <f t="shared" si="141"/>
        <v>0</v>
      </c>
      <c r="AG141" s="51">
        <f t="shared" si="142"/>
        <v>0</v>
      </c>
      <c r="AH141" s="108">
        <f t="shared" si="143"/>
        <v>0</v>
      </c>
      <c r="AJ141" s="506"/>
      <c r="AK141" s="28"/>
      <c r="AL141" s="506"/>
      <c r="AM141" s="28"/>
      <c r="AN141" s="28"/>
    </row>
    <row r="142" spans="1:40">
      <c r="A142" s="94" t="str">
        <f>Recap!D78</f>
        <v>SeifBois_E11c</v>
      </c>
      <c r="B142" s="385">
        <f t="shared" si="95"/>
        <v>0</v>
      </c>
      <c r="C142" s="413" t="str">
        <f t="shared" si="96"/>
        <v/>
      </c>
      <c r="D142" s="386" t="str">
        <f t="shared" si="97"/>
        <v/>
      </c>
      <c r="E142" s="385">
        <f t="shared" si="98"/>
        <v>0</v>
      </c>
      <c r="F142" s="413" t="str">
        <f t="shared" si="99"/>
        <v/>
      </c>
      <c r="G142" s="386" t="str">
        <f t="shared" si="100"/>
        <v/>
      </c>
      <c r="H142" s="385">
        <f t="shared" si="101"/>
        <v>0</v>
      </c>
      <c r="I142" s="413" t="str">
        <f t="shared" si="102"/>
        <v/>
      </c>
      <c r="J142" s="386" t="str">
        <f t="shared" si="103"/>
        <v/>
      </c>
      <c r="K142" s="385">
        <f t="shared" si="104"/>
        <v>0</v>
      </c>
      <c r="L142" s="413" t="str">
        <f t="shared" si="105"/>
        <v/>
      </c>
      <c r="M142" s="309" t="str">
        <f t="shared" si="106"/>
        <v/>
      </c>
      <c r="N142" s="392">
        <f t="shared" si="107"/>
        <v>0</v>
      </c>
      <c r="O142" s="413" t="str">
        <f t="shared" si="108"/>
        <v/>
      </c>
      <c r="P142" s="386" t="str">
        <f t="shared" si="109"/>
        <v/>
      </c>
      <c r="Q142" s="385">
        <f t="shared" si="110"/>
        <v>0</v>
      </c>
      <c r="R142" s="413" t="str">
        <f t="shared" si="111"/>
        <v/>
      </c>
      <c r="S142" s="309" t="str">
        <f t="shared" si="112"/>
        <v/>
      </c>
      <c r="T142" s="392">
        <f t="shared" si="113"/>
        <v>0</v>
      </c>
      <c r="U142" s="413" t="str">
        <f t="shared" si="114"/>
        <v/>
      </c>
      <c r="V142" s="386" t="str">
        <f t="shared" si="115"/>
        <v/>
      </c>
      <c r="W142" s="385">
        <f t="shared" si="116"/>
        <v>0</v>
      </c>
      <c r="X142" s="413" t="str">
        <f t="shared" si="117"/>
        <v/>
      </c>
      <c r="Y142" s="309" t="str">
        <f t="shared" si="118"/>
        <v/>
      </c>
      <c r="Z142" s="385" t="str">
        <f t="shared" si="119"/>
        <v>'</v>
      </c>
      <c r="AA142" s="403"/>
      <c r="AC142" s="509" t="str">
        <f t="shared" si="138"/>
        <v>SeifBois_E11c</v>
      </c>
      <c r="AD142" s="51">
        <f t="shared" si="139"/>
        <v>0</v>
      </c>
      <c r="AE142" s="51">
        <f t="shared" si="140"/>
        <v>0</v>
      </c>
      <c r="AF142" s="51">
        <f t="shared" si="141"/>
        <v>0</v>
      </c>
      <c r="AG142" s="51">
        <f t="shared" si="142"/>
        <v>0</v>
      </c>
      <c r="AH142" s="108">
        <f t="shared" si="143"/>
        <v>0</v>
      </c>
      <c r="AJ142" s="506"/>
      <c r="AK142" s="28"/>
      <c r="AL142" s="506"/>
      <c r="AM142" s="28"/>
      <c r="AN142" s="28"/>
    </row>
    <row r="143" spans="1:40">
      <c r="A143" s="94" t="str">
        <f>Recap!D79</f>
        <v>SeifBois_H11</v>
      </c>
      <c r="B143" s="385">
        <f t="shared" si="95"/>
        <v>0</v>
      </c>
      <c r="C143" s="413" t="str">
        <f t="shared" si="96"/>
        <v/>
      </c>
      <c r="D143" s="386" t="str">
        <f t="shared" si="97"/>
        <v/>
      </c>
      <c r="E143" s="385">
        <f t="shared" si="98"/>
        <v>0</v>
      </c>
      <c r="F143" s="413" t="str">
        <f t="shared" si="99"/>
        <v/>
      </c>
      <c r="G143" s="386" t="str">
        <f t="shared" si="100"/>
        <v/>
      </c>
      <c r="H143" s="385">
        <f t="shared" si="101"/>
        <v>0</v>
      </c>
      <c r="I143" s="413" t="str">
        <f t="shared" si="102"/>
        <v/>
      </c>
      <c r="J143" s="386" t="str">
        <f t="shared" si="103"/>
        <v/>
      </c>
      <c r="K143" s="385">
        <f t="shared" si="104"/>
        <v>0</v>
      </c>
      <c r="L143" s="413" t="str">
        <f t="shared" si="105"/>
        <v/>
      </c>
      <c r="M143" s="309" t="str">
        <f t="shared" si="106"/>
        <v/>
      </c>
      <c r="N143" s="392">
        <f t="shared" si="107"/>
        <v>0</v>
      </c>
      <c r="O143" s="413" t="str">
        <f t="shared" si="108"/>
        <v/>
      </c>
      <c r="P143" s="386" t="str">
        <f t="shared" si="109"/>
        <v/>
      </c>
      <c r="Q143" s="385">
        <f t="shared" si="110"/>
        <v>0</v>
      </c>
      <c r="R143" s="413" t="str">
        <f t="shared" si="111"/>
        <v/>
      </c>
      <c r="S143" s="309" t="str">
        <f t="shared" si="112"/>
        <v/>
      </c>
      <c r="T143" s="392">
        <f t="shared" si="113"/>
        <v>0</v>
      </c>
      <c r="U143" s="413" t="str">
        <f t="shared" si="114"/>
        <v/>
      </c>
      <c r="V143" s="386" t="str">
        <f t="shared" si="115"/>
        <v/>
      </c>
      <c r="W143" s="385">
        <f t="shared" si="116"/>
        <v>0</v>
      </c>
      <c r="X143" s="413" t="str">
        <f t="shared" si="117"/>
        <v/>
      </c>
      <c r="Y143" s="309" t="str">
        <f t="shared" si="118"/>
        <v/>
      </c>
      <c r="Z143" s="385" t="str">
        <f t="shared" si="119"/>
        <v>'</v>
      </c>
      <c r="AA143" s="403"/>
      <c r="AC143" s="509" t="str">
        <f t="shared" si="138"/>
        <v>SeifBois_H11</v>
      </c>
      <c r="AD143" s="51">
        <f t="shared" si="139"/>
        <v>0</v>
      </c>
      <c r="AE143" s="51">
        <f t="shared" si="140"/>
        <v>0</v>
      </c>
      <c r="AF143" s="51">
        <f t="shared" si="141"/>
        <v>0</v>
      </c>
      <c r="AG143" s="51">
        <f t="shared" si="142"/>
        <v>0</v>
      </c>
      <c r="AH143" s="108">
        <f t="shared" si="143"/>
        <v>0</v>
      </c>
      <c r="AJ143" s="506"/>
      <c r="AK143" s="28"/>
      <c r="AL143" s="506"/>
      <c r="AM143" s="28"/>
      <c r="AN143" s="28"/>
    </row>
    <row r="144" spans="1:40" ht="15.75" thickBot="1">
      <c r="A144" s="94" t="str">
        <f>Recap!D80</f>
        <v>SeifBois_B11</v>
      </c>
      <c r="B144" s="385">
        <f t="shared" si="95"/>
        <v>0</v>
      </c>
      <c r="C144" s="413" t="str">
        <f t="shared" si="96"/>
        <v/>
      </c>
      <c r="D144" s="386" t="str">
        <f t="shared" si="97"/>
        <v/>
      </c>
      <c r="E144" s="385">
        <f t="shared" si="98"/>
        <v>0</v>
      </c>
      <c r="F144" s="413" t="str">
        <f t="shared" si="99"/>
        <v/>
      </c>
      <c r="G144" s="386" t="str">
        <f t="shared" si="100"/>
        <v/>
      </c>
      <c r="H144" s="385">
        <f t="shared" si="101"/>
        <v>0</v>
      </c>
      <c r="I144" s="413" t="str">
        <f t="shared" si="102"/>
        <v/>
      </c>
      <c r="J144" s="386" t="str">
        <f t="shared" si="103"/>
        <v/>
      </c>
      <c r="K144" s="385">
        <f t="shared" si="104"/>
        <v>0</v>
      </c>
      <c r="L144" s="413" t="str">
        <f t="shared" si="105"/>
        <v/>
      </c>
      <c r="M144" s="309" t="str">
        <f t="shared" si="106"/>
        <v/>
      </c>
      <c r="N144" s="392">
        <f t="shared" si="107"/>
        <v>0</v>
      </c>
      <c r="O144" s="413" t="str">
        <f t="shared" si="108"/>
        <v/>
      </c>
      <c r="P144" s="386" t="str">
        <f t="shared" si="109"/>
        <v/>
      </c>
      <c r="Q144" s="385">
        <f t="shared" si="110"/>
        <v>0</v>
      </c>
      <c r="R144" s="413" t="str">
        <f t="shared" si="111"/>
        <v/>
      </c>
      <c r="S144" s="309" t="str">
        <f t="shared" si="112"/>
        <v/>
      </c>
      <c r="T144" s="392">
        <f t="shared" si="113"/>
        <v>0</v>
      </c>
      <c r="U144" s="413" t="str">
        <f t="shared" si="114"/>
        <v/>
      </c>
      <c r="V144" s="386" t="str">
        <f t="shared" si="115"/>
        <v/>
      </c>
      <c r="W144" s="385">
        <f t="shared" si="116"/>
        <v>0</v>
      </c>
      <c r="X144" s="413" t="str">
        <f t="shared" si="117"/>
        <v/>
      </c>
      <c r="Y144" s="309" t="str">
        <f t="shared" si="118"/>
        <v/>
      </c>
      <c r="Z144" s="385" t="str">
        <f t="shared" si="119"/>
        <v>'</v>
      </c>
      <c r="AA144" s="403"/>
      <c r="AC144" s="509" t="str">
        <f t="shared" si="138"/>
        <v>SeifBois_B11</v>
      </c>
      <c r="AD144" s="51">
        <f t="shared" si="139"/>
        <v>0</v>
      </c>
      <c r="AE144" s="51">
        <f t="shared" si="140"/>
        <v>0</v>
      </c>
      <c r="AF144" s="51">
        <f t="shared" si="141"/>
        <v>0</v>
      </c>
      <c r="AG144" s="51">
        <f t="shared" si="142"/>
        <v>0</v>
      </c>
      <c r="AH144" s="108">
        <f t="shared" si="143"/>
        <v>0</v>
      </c>
      <c r="AJ144" s="506"/>
      <c r="AK144" s="28"/>
      <c r="AL144" s="506"/>
      <c r="AM144" s="28"/>
      <c r="AN144" s="28"/>
    </row>
    <row r="145" spans="1:40" ht="18.95" customHeight="1" thickBot="1">
      <c r="A145" t="s">
        <v>682</v>
      </c>
      <c r="AC145" s="100" t="s">
        <v>595</v>
      </c>
      <c r="AD145" s="338">
        <f>SUM(AD80:AD128)</f>
        <v>31</v>
      </c>
      <c r="AE145" s="338">
        <f>SUM(AE80:AE128)</f>
        <v>38</v>
      </c>
      <c r="AF145" s="338">
        <f>SUM(AF80:AF128)</f>
        <v>10</v>
      </c>
      <c r="AG145" s="338">
        <f>SUM(AG80:AG128)</f>
        <v>10</v>
      </c>
      <c r="AH145" s="399">
        <f t="shared" si="88"/>
        <v>89</v>
      </c>
      <c r="AI145" t="s">
        <v>683</v>
      </c>
      <c r="AJ145" s="506"/>
      <c r="AK145" s="506"/>
      <c r="AL145" s="506"/>
      <c r="AM145" s="506"/>
      <c r="AN145" s="506"/>
    </row>
    <row r="146" spans="1:40">
      <c r="AH146" s="422">
        <f>COUNT(AH80:AH128)</f>
        <v>48</v>
      </c>
      <c r="AI146" t="s">
        <v>684</v>
      </c>
    </row>
    <row r="168" spans="1:38">
      <c r="A168" t="s">
        <v>348</v>
      </c>
      <c r="B168" s="597">
        <f>Recap!Y51</f>
        <v>6.3095132577610347E-2</v>
      </c>
      <c r="D168" s="598">
        <f>B168</f>
        <v>6.3095132577610347E-2</v>
      </c>
      <c r="F168" s="598">
        <f>D168</f>
        <v>6.3095132577610347E-2</v>
      </c>
      <c r="H168" s="598">
        <f>Recap!Y54</f>
        <v>0.26743957827784304</v>
      </c>
      <c r="K168" s="598">
        <f>F168</f>
        <v>6.3095132577610347E-2</v>
      </c>
    </row>
    <row r="171" spans="1:38">
      <c r="A171" s="599">
        <f>Recap!Y8</f>
        <v>4.3610708440498497E-2</v>
      </c>
      <c r="B171" s="600">
        <f>A171</f>
        <v>4.3610708440498497E-2</v>
      </c>
      <c r="C171" s="600">
        <f>Recap!Y12</f>
        <v>4.2287952396554924E-2</v>
      </c>
      <c r="D171" s="600"/>
      <c r="E171" s="600">
        <f>Recap!Y14</f>
        <v>4.3205750534148289E-2</v>
      </c>
      <c r="F171" s="600"/>
      <c r="G171" s="600"/>
      <c r="H171" s="600">
        <f>Recap!Y18</f>
        <v>6.4729022900359187E-2</v>
      </c>
      <c r="I171" s="600">
        <f>Recap!Y19</f>
        <v>3.2444982548200337E-2</v>
      </c>
      <c r="J171" s="600"/>
      <c r="K171" s="1240">
        <f>Recap!Y23</f>
        <v>3.638158208618885E-2</v>
      </c>
      <c r="L171" s="1240"/>
      <c r="M171" s="1240"/>
      <c r="N171" s="600">
        <f>Recap!Y27</f>
        <v>6.4366441319005818E-2</v>
      </c>
      <c r="O171" s="1240">
        <f>Recap!Y32</f>
        <v>4.2735418187235912E-2</v>
      </c>
      <c r="P171" s="1240"/>
      <c r="Q171" s="1240"/>
      <c r="R171" s="600"/>
      <c r="S171" s="600"/>
      <c r="T171" s="600"/>
      <c r="U171" s="600">
        <f>Recap!Y43</f>
        <v>0.14372089048507064</v>
      </c>
      <c r="V171" s="600">
        <f>Recap!Y44</f>
        <v>5.0096575381570065E-2</v>
      </c>
      <c r="W171" s="600">
        <f>Recap!Y45</f>
        <v>3.1618595906715542E-2</v>
      </c>
      <c r="X171" s="600"/>
      <c r="Y171" s="600">
        <f>Recap!Y47</f>
        <v>7.187505141678617E-2</v>
      </c>
      <c r="Z171" s="600">
        <f>Recap!Y49</f>
        <v>0.10759410066801335</v>
      </c>
      <c r="AA171" s="600"/>
      <c r="AB171" s="600">
        <f>F168</f>
        <v>6.3095132577610347E-2</v>
      </c>
      <c r="AC171" s="600"/>
      <c r="AD171" s="600">
        <f>H168</f>
        <v>0.26743957827784304</v>
      </c>
      <c r="AE171" s="600">
        <f>Recap!Y56</f>
        <v>7.0481886890220627E-2</v>
      </c>
      <c r="AF171" s="600">
        <f>Recap!Y57</f>
        <v>3.9011249851115294E-2</v>
      </c>
      <c r="AG171" s="600">
        <f>Recap!Y58</f>
        <v>0.18013575064774889</v>
      </c>
      <c r="AH171" s="600">
        <f>Recap!Y60</f>
        <v>5.8628804623151266E-2</v>
      </c>
      <c r="AI171" s="600">
        <f>Recap!Y62</f>
        <v>0.13092133790313129</v>
      </c>
      <c r="AJ171" s="600">
        <f>AI171</f>
        <v>0.13092133790313129</v>
      </c>
    </row>
    <row r="176" spans="1:38">
      <c r="AL176" t="s">
        <v>685</v>
      </c>
    </row>
    <row r="181" spans="38:38">
      <c r="AL181" t="s">
        <v>686</v>
      </c>
    </row>
    <row r="186" spans="38:38">
      <c r="AL186" t="s">
        <v>687</v>
      </c>
    </row>
    <row r="197" spans="1:38">
      <c r="AL197" t="s">
        <v>688</v>
      </c>
    </row>
    <row r="206" spans="1:38">
      <c r="B206" t="s">
        <v>689</v>
      </c>
      <c r="H206" t="s">
        <v>690</v>
      </c>
      <c r="O206" t="s">
        <v>691</v>
      </c>
      <c r="V206" t="s">
        <v>692</v>
      </c>
      <c r="Z206" t="s">
        <v>693</v>
      </c>
      <c r="AJ206" t="s">
        <v>694</v>
      </c>
    </row>
    <row r="207" spans="1:38">
      <c r="A207" t="s">
        <v>691</v>
      </c>
      <c r="H207" t="s">
        <v>689</v>
      </c>
      <c r="V207" t="s">
        <v>695</v>
      </c>
      <c r="Z207" t="s">
        <v>696</v>
      </c>
      <c r="AC207" s="1112" t="s">
        <v>697</v>
      </c>
      <c r="AD207" s="1112"/>
      <c r="AI207" t="s">
        <v>692</v>
      </c>
    </row>
    <row r="208" spans="1:38">
      <c r="G208" t="s">
        <v>698</v>
      </c>
      <c r="U208" t="s">
        <v>699</v>
      </c>
      <c r="Z208" t="s">
        <v>700</v>
      </c>
      <c r="AI208" t="s">
        <v>701</v>
      </c>
    </row>
    <row r="209" spans="32:33">
      <c r="AF209" t="s">
        <v>702</v>
      </c>
      <c r="AG209" t="s">
        <v>703</v>
      </c>
    </row>
    <row r="210" spans="32:33">
      <c r="AF210" t="s">
        <v>704</v>
      </c>
      <c r="AG210" t="s">
        <v>705</v>
      </c>
    </row>
    <row r="211" spans="32:33">
      <c r="AF211" t="s">
        <v>706</v>
      </c>
      <c r="AG211" t="s">
        <v>707</v>
      </c>
    </row>
    <row r="212" spans="32:33">
      <c r="AF212" t="s">
        <v>702</v>
      </c>
      <c r="AG212" t="s">
        <v>708</v>
      </c>
    </row>
    <row r="260" spans="3:7">
      <c r="C260" t="s">
        <v>697</v>
      </c>
      <c r="G260" t="s">
        <v>690</v>
      </c>
    </row>
  </sheetData>
  <mergeCells count="15">
    <mergeCell ref="AC207:AD207"/>
    <mergeCell ref="AJ78:AM78"/>
    <mergeCell ref="Z77:Z79"/>
    <mergeCell ref="AA77:AA79"/>
    <mergeCell ref="AC78:AH78"/>
    <mergeCell ref="B78:D78"/>
    <mergeCell ref="E78:G78"/>
    <mergeCell ref="H78:J78"/>
    <mergeCell ref="K78:M78"/>
    <mergeCell ref="N78:P78"/>
    <mergeCell ref="O171:Q171"/>
    <mergeCell ref="K171:M171"/>
    <mergeCell ref="Q78:S78"/>
    <mergeCell ref="T78:V78"/>
    <mergeCell ref="W78:Y78"/>
  </mergeCells>
  <conditionalFormatting sqref="A171:AJ171">
    <cfRule type="colorScale" priority="2">
      <colorScale>
        <cfvo type="min"/>
        <cfvo type="percentile" val="50"/>
        <cfvo type="max"/>
        <color rgb="FF63BE7B"/>
        <color rgb="FFFFEB84"/>
        <color rgb="FFF8696B"/>
      </colorScale>
    </cfRule>
  </conditionalFormatting>
  <conditionalFormatting sqref="Z2:Z73 Z80:AA144">
    <cfRule type="containsText" dxfId="4" priority="5" operator="containsText" text="Y">
      <formula>NOT(ISERROR(SEARCH("Y",Z2)))</formula>
    </cfRule>
    <cfRule type="containsText" dxfId="3" priority="6" operator="containsText" text="N">
      <formula>NOT(ISERROR(SEARCH("N",Z2)))</formula>
    </cfRule>
  </conditionalFormatting>
  <conditionalFormatting sqref="AC2:AC73">
    <cfRule type="colorScale" priority="1519">
      <colorScale>
        <cfvo type="min"/>
        <cfvo type="percentile" val="50"/>
        <cfvo type="max"/>
        <color rgb="FF63BE7B"/>
        <color rgb="FFFFEB84"/>
        <color rgb="FFF8696B"/>
      </colorScale>
    </cfRule>
  </conditionalFormatting>
  <pageMargins left="0.70866141732283472" right="0.70866141732283472" top="0.74803149606299213" bottom="0.74803149606299213" header="0.31496062992125984" footer="0.31496062992125984"/>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AA342"/>
  <sheetViews>
    <sheetView topLeftCell="A328" zoomScale="160" zoomScaleNormal="160" workbookViewId="0">
      <selection activeCell="A341" sqref="A341"/>
    </sheetView>
  </sheetViews>
  <sheetFormatPr baseColWidth="10" defaultColWidth="11.42578125" defaultRowHeight="15"/>
  <sheetData>
    <row r="1" spans="1:7">
      <c r="A1" t="s">
        <v>709</v>
      </c>
    </row>
    <row r="2" spans="1:7" ht="15" customHeight="1" thickBot="1">
      <c r="C2" t="s">
        <v>668</v>
      </c>
      <c r="G2" t="s">
        <v>667</v>
      </c>
    </row>
    <row r="3" spans="1:7">
      <c r="B3" s="92">
        <v>30</v>
      </c>
      <c r="C3" s="507">
        <v>33</v>
      </c>
      <c r="D3" s="507">
        <v>25</v>
      </c>
      <c r="E3" s="508"/>
      <c r="G3">
        <v>0</v>
      </c>
    </row>
    <row r="4" spans="1:7">
      <c r="B4" s="509">
        <v>38</v>
      </c>
      <c r="C4">
        <v>36</v>
      </c>
      <c r="D4">
        <v>36</v>
      </c>
      <c r="E4" s="510">
        <v>42</v>
      </c>
    </row>
    <row r="5" spans="1:7">
      <c r="B5" s="509">
        <v>33</v>
      </c>
      <c r="C5">
        <v>31</v>
      </c>
      <c r="D5">
        <v>35</v>
      </c>
      <c r="E5" s="510">
        <v>36</v>
      </c>
    </row>
    <row r="6" spans="1:7" ht="15" customHeight="1" thickBot="1">
      <c r="B6" s="511">
        <v>35</v>
      </c>
      <c r="C6" s="512">
        <v>41</v>
      </c>
      <c r="D6" s="512">
        <v>45</v>
      </c>
      <c r="E6" s="513">
        <v>34</v>
      </c>
    </row>
    <row r="18" spans="1:23" ht="15" customHeight="1" thickBot="1">
      <c r="A18" t="s">
        <v>710</v>
      </c>
      <c r="G18" t="s">
        <v>711</v>
      </c>
      <c r="L18" t="s">
        <v>712</v>
      </c>
    </row>
    <row r="19" spans="1:23">
      <c r="B19" s="92"/>
      <c r="C19" s="507">
        <v>44</v>
      </c>
      <c r="D19" s="507">
        <v>33</v>
      </c>
      <c r="E19" s="508"/>
      <c r="G19" s="92">
        <v>76</v>
      </c>
      <c r="H19" s="507">
        <v>59</v>
      </c>
      <c r="I19" s="507">
        <v>36</v>
      </c>
      <c r="J19" s="508">
        <v>45</v>
      </c>
      <c r="L19" s="92">
        <v>42</v>
      </c>
      <c r="M19" s="507">
        <v>52</v>
      </c>
      <c r="N19" s="507">
        <v>48</v>
      </c>
      <c r="O19" s="508">
        <v>81</v>
      </c>
    </row>
    <row r="20" spans="1:23">
      <c r="B20" s="509">
        <v>43</v>
      </c>
      <c r="C20">
        <v>43</v>
      </c>
      <c r="D20">
        <v>45</v>
      </c>
      <c r="E20" s="510">
        <v>41</v>
      </c>
      <c r="G20" s="509">
        <v>86</v>
      </c>
      <c r="H20">
        <v>58</v>
      </c>
      <c r="I20">
        <v>47</v>
      </c>
      <c r="J20" s="510">
        <v>49</v>
      </c>
      <c r="L20" s="509">
        <v>47</v>
      </c>
      <c r="M20">
        <v>44</v>
      </c>
      <c r="N20">
        <v>58</v>
      </c>
      <c r="O20" s="510">
        <v>76</v>
      </c>
    </row>
    <row r="21" spans="1:23">
      <c r="B21" s="509">
        <v>44</v>
      </c>
      <c r="C21">
        <v>43</v>
      </c>
      <c r="D21">
        <v>39</v>
      </c>
      <c r="E21" s="510">
        <v>40</v>
      </c>
      <c r="G21" s="509">
        <v>79</v>
      </c>
      <c r="H21">
        <v>68</v>
      </c>
      <c r="I21">
        <v>54</v>
      </c>
      <c r="J21" s="510">
        <v>45</v>
      </c>
      <c r="L21" s="509">
        <v>45</v>
      </c>
      <c r="M21">
        <v>58</v>
      </c>
      <c r="N21">
        <v>59</v>
      </c>
      <c r="O21" s="510">
        <v>73</v>
      </c>
    </row>
    <row r="22" spans="1:23">
      <c r="B22" s="509">
        <v>41</v>
      </c>
      <c r="C22">
        <v>45</v>
      </c>
      <c r="D22">
        <v>43</v>
      </c>
      <c r="E22" s="510">
        <v>44</v>
      </c>
      <c r="G22" s="509">
        <v>57</v>
      </c>
      <c r="H22">
        <v>71</v>
      </c>
      <c r="I22">
        <v>58</v>
      </c>
      <c r="J22" s="510">
        <v>46</v>
      </c>
      <c r="L22" s="509">
        <v>47</v>
      </c>
      <c r="M22">
        <v>49</v>
      </c>
      <c r="N22">
        <v>53</v>
      </c>
      <c r="O22" s="510">
        <v>69</v>
      </c>
    </row>
    <row r="23" spans="1:23" ht="15" customHeight="1" thickBot="1">
      <c r="B23" s="511"/>
      <c r="C23" s="512">
        <v>45</v>
      </c>
      <c r="D23" s="512">
        <v>57</v>
      </c>
      <c r="E23" s="513"/>
      <c r="G23" s="509">
        <v>81</v>
      </c>
      <c r="H23">
        <v>74</v>
      </c>
      <c r="I23">
        <v>47</v>
      </c>
      <c r="J23" s="510">
        <v>48</v>
      </c>
      <c r="L23" s="509">
        <v>58</v>
      </c>
      <c r="M23">
        <v>68</v>
      </c>
      <c r="N23">
        <v>70</v>
      </c>
      <c r="O23" s="510">
        <v>85</v>
      </c>
    </row>
    <row r="24" spans="1:23" ht="15" customHeight="1" thickBot="1">
      <c r="G24" s="511">
        <v>72</v>
      </c>
      <c r="H24" s="512">
        <v>61</v>
      </c>
      <c r="I24" s="512">
        <v>72</v>
      </c>
      <c r="J24" s="513">
        <v>56</v>
      </c>
      <c r="L24" s="511">
        <v>69</v>
      </c>
      <c r="M24" s="512">
        <v>70</v>
      </c>
      <c r="N24" s="512">
        <v>75</v>
      </c>
      <c r="O24" s="513">
        <v>73</v>
      </c>
    </row>
    <row r="26" spans="1:23" ht="15" customHeight="1" thickBot="1">
      <c r="A26" t="s">
        <v>713</v>
      </c>
      <c r="G26" t="s">
        <v>711</v>
      </c>
      <c r="L26" t="s">
        <v>712</v>
      </c>
      <c r="Q26" t="s">
        <v>714</v>
      </c>
    </row>
    <row r="27" spans="1:23">
      <c r="B27" s="92"/>
      <c r="C27" s="507">
        <v>46</v>
      </c>
      <c r="D27" s="507">
        <v>41</v>
      </c>
      <c r="E27" s="508"/>
      <c r="G27" s="92">
        <v>90</v>
      </c>
      <c r="H27" s="507">
        <v>78</v>
      </c>
      <c r="I27" s="507">
        <v>64</v>
      </c>
      <c r="J27" s="508">
        <v>49</v>
      </c>
      <c r="L27" s="92">
        <v>48</v>
      </c>
      <c r="M27" s="507">
        <v>59</v>
      </c>
      <c r="N27" s="507">
        <v>77</v>
      </c>
      <c r="O27" s="508">
        <v>104</v>
      </c>
      <c r="Q27" t="s">
        <v>715</v>
      </c>
      <c r="R27" t="s">
        <v>602</v>
      </c>
      <c r="S27" t="s">
        <v>716</v>
      </c>
      <c r="T27" t="s">
        <v>717</v>
      </c>
      <c r="U27" t="s">
        <v>718</v>
      </c>
    </row>
    <row r="28" spans="1:23">
      <c r="B28" s="509">
        <v>58</v>
      </c>
      <c r="C28">
        <v>48</v>
      </c>
      <c r="D28">
        <v>40</v>
      </c>
      <c r="E28" s="510">
        <v>40</v>
      </c>
      <c r="G28" s="509">
        <v>86</v>
      </c>
      <c r="H28">
        <v>71</v>
      </c>
      <c r="I28">
        <v>72</v>
      </c>
      <c r="J28" s="510">
        <v>57</v>
      </c>
      <c r="L28" s="509">
        <v>44</v>
      </c>
      <c r="M28">
        <v>69</v>
      </c>
      <c r="N28">
        <v>77</v>
      </c>
      <c r="O28" s="510">
        <v>98</v>
      </c>
      <c r="R28">
        <v>60</v>
      </c>
      <c r="S28">
        <v>52.5</v>
      </c>
      <c r="T28">
        <v>52.5</v>
      </c>
      <c r="V28" s="296">
        <f>115/2</f>
        <v>57.5</v>
      </c>
      <c r="W28">
        <f>72.5/2</f>
        <v>36.25</v>
      </c>
    </row>
    <row r="29" spans="1:23">
      <c r="B29" s="509">
        <v>53</v>
      </c>
      <c r="C29">
        <v>46</v>
      </c>
      <c r="D29">
        <v>46</v>
      </c>
      <c r="E29" s="510">
        <v>40</v>
      </c>
      <c r="G29" s="509">
        <v>77</v>
      </c>
      <c r="H29">
        <v>71</v>
      </c>
      <c r="I29">
        <v>69</v>
      </c>
      <c r="J29" s="510">
        <v>71</v>
      </c>
      <c r="L29" s="509">
        <v>41</v>
      </c>
      <c r="M29">
        <v>61</v>
      </c>
      <c r="N29">
        <v>79</v>
      </c>
      <c r="O29" s="510">
        <v>82</v>
      </c>
      <c r="R29">
        <v>80</v>
      </c>
      <c r="S29">
        <v>47.5</v>
      </c>
      <c r="T29">
        <v>65</v>
      </c>
      <c r="V29" s="296">
        <f>100/2</f>
        <v>50</v>
      </c>
      <c r="W29">
        <f>54/2</f>
        <v>27</v>
      </c>
    </row>
    <row r="30" spans="1:23">
      <c r="B30" s="509">
        <v>57</v>
      </c>
      <c r="C30">
        <v>52</v>
      </c>
      <c r="D30">
        <v>42</v>
      </c>
      <c r="E30" s="510">
        <v>41</v>
      </c>
      <c r="G30" s="509">
        <v>74</v>
      </c>
      <c r="H30">
        <v>75</v>
      </c>
      <c r="I30">
        <v>66</v>
      </c>
      <c r="J30" s="510">
        <v>59</v>
      </c>
      <c r="L30" s="509">
        <v>35</v>
      </c>
      <c r="M30">
        <v>60</v>
      </c>
      <c r="N30">
        <v>78</v>
      </c>
      <c r="O30" s="510">
        <v>89</v>
      </c>
      <c r="R30">
        <v>95</v>
      </c>
      <c r="S30">
        <v>47.5</v>
      </c>
      <c r="T30">
        <v>69</v>
      </c>
    </row>
    <row r="31" spans="1:23" ht="15" customHeight="1" thickBot="1">
      <c r="B31" s="511"/>
      <c r="C31" s="512">
        <v>52</v>
      </c>
      <c r="D31" s="512">
        <v>43</v>
      </c>
      <c r="E31" s="513"/>
      <c r="G31" s="509">
        <v>82</v>
      </c>
      <c r="H31">
        <v>59</v>
      </c>
      <c r="I31">
        <v>58</v>
      </c>
      <c r="J31" s="510">
        <v>58</v>
      </c>
      <c r="L31" s="509">
        <v>42</v>
      </c>
      <c r="M31">
        <v>60</v>
      </c>
      <c r="N31">
        <v>68</v>
      </c>
      <c r="O31" s="510">
        <v>81</v>
      </c>
      <c r="R31">
        <v>77</v>
      </c>
      <c r="S31">
        <v>45</v>
      </c>
      <c r="T31">
        <v>65</v>
      </c>
    </row>
    <row r="32" spans="1:23" ht="15" customHeight="1" thickBot="1">
      <c r="G32" s="511">
        <v>70</v>
      </c>
      <c r="H32" s="512">
        <v>77</v>
      </c>
      <c r="I32" s="512">
        <v>70</v>
      </c>
      <c r="J32" s="513">
        <v>70</v>
      </c>
      <c r="L32" s="511"/>
      <c r="M32" s="512"/>
      <c r="N32" s="512"/>
      <c r="O32" s="513"/>
      <c r="R32">
        <v>55</v>
      </c>
      <c r="S32">
        <v>55</v>
      </c>
      <c r="T32">
        <v>57.5</v>
      </c>
    </row>
    <row r="33" spans="1:20">
      <c r="R33">
        <v>70</v>
      </c>
      <c r="S33">
        <v>65</v>
      </c>
      <c r="T33">
        <v>58</v>
      </c>
    </row>
    <row r="34" spans="1:20" ht="15" customHeight="1" thickBot="1">
      <c r="R34">
        <v>77</v>
      </c>
      <c r="S34">
        <v>69</v>
      </c>
      <c r="T34">
        <v>59.5</v>
      </c>
    </row>
    <row r="35" spans="1:20">
      <c r="F35" t="s">
        <v>719</v>
      </c>
      <c r="G35" s="92">
        <v>95</v>
      </c>
      <c r="H35" s="507"/>
      <c r="I35" s="507"/>
      <c r="J35" s="507">
        <v>100</v>
      </c>
      <c r="K35" s="507">
        <v>104</v>
      </c>
      <c r="L35" s="507"/>
      <c r="M35" s="507"/>
      <c r="N35" s="508">
        <v>91</v>
      </c>
      <c r="R35">
        <v>75</v>
      </c>
      <c r="S35">
        <v>65</v>
      </c>
      <c r="T35">
        <v>62.5</v>
      </c>
    </row>
    <row r="36" spans="1:20">
      <c r="G36" s="509">
        <v>46</v>
      </c>
      <c r="J36">
        <v>68</v>
      </c>
      <c r="K36">
        <v>82</v>
      </c>
      <c r="N36" s="510">
        <v>81</v>
      </c>
      <c r="R36" s="295">
        <v>50</v>
      </c>
      <c r="S36" s="295">
        <v>40</v>
      </c>
      <c r="T36" s="295">
        <v>55</v>
      </c>
    </row>
    <row r="37" spans="1:20">
      <c r="E37">
        <f>AVERAGE(G35:N38)</f>
        <v>72.349999999999994</v>
      </c>
      <c r="G37" s="509">
        <v>80</v>
      </c>
      <c r="J37">
        <v>71</v>
      </c>
      <c r="K37">
        <v>81</v>
      </c>
      <c r="N37" s="510">
        <v>75</v>
      </c>
      <c r="R37" s="295">
        <v>53</v>
      </c>
      <c r="S37" s="295">
        <v>45</v>
      </c>
      <c r="T37" s="295">
        <v>50</v>
      </c>
    </row>
    <row r="38" spans="1:20" ht="15" customHeight="1" thickBot="1">
      <c r="E38">
        <f>AVERAGE(G35:G37,G38:N38,J35:K37,N35:N37)</f>
        <v>72.349999999999994</v>
      </c>
      <c r="G38" s="511">
        <v>78</v>
      </c>
      <c r="H38" s="512">
        <v>56</v>
      </c>
      <c r="I38" s="512">
        <v>59</v>
      </c>
      <c r="J38" s="512">
        <v>61</v>
      </c>
      <c r="K38" s="512">
        <v>68</v>
      </c>
      <c r="L38" s="512">
        <v>41</v>
      </c>
      <c r="M38" s="512">
        <v>51</v>
      </c>
      <c r="N38" s="513">
        <v>59</v>
      </c>
      <c r="R38" s="295">
        <v>55</v>
      </c>
      <c r="S38" s="295">
        <v>44</v>
      </c>
      <c r="T38" s="295">
        <v>57.5</v>
      </c>
    </row>
    <row r="39" spans="1:20">
      <c r="R39" s="295">
        <v>50</v>
      </c>
      <c r="S39" s="295">
        <v>32.5</v>
      </c>
      <c r="T39" s="295">
        <v>55</v>
      </c>
    </row>
    <row r="40" spans="1:20" ht="15" customHeight="1" thickBot="1">
      <c r="A40" t="s">
        <v>720</v>
      </c>
      <c r="G40" t="s">
        <v>711</v>
      </c>
      <c r="L40" t="s">
        <v>712</v>
      </c>
      <c r="R40">
        <v>35</v>
      </c>
      <c r="S40">
        <v>45</v>
      </c>
      <c r="T40">
        <v>51.5</v>
      </c>
    </row>
    <row r="41" spans="1:20">
      <c r="B41" s="92"/>
      <c r="C41" s="507">
        <v>13</v>
      </c>
      <c r="D41" s="507">
        <v>15</v>
      </c>
      <c r="E41" s="508"/>
      <c r="G41" s="92">
        <v>104</v>
      </c>
      <c r="H41" s="507">
        <v>52</v>
      </c>
      <c r="I41" s="507">
        <v>46</v>
      </c>
      <c r="J41" s="508">
        <v>43</v>
      </c>
      <c r="L41" s="92">
        <v>45</v>
      </c>
      <c r="M41" s="507">
        <v>49</v>
      </c>
      <c r="N41" s="507">
        <v>50</v>
      </c>
      <c r="O41" s="508">
        <v>104</v>
      </c>
      <c r="R41">
        <v>47</v>
      </c>
      <c r="S41">
        <v>35</v>
      </c>
      <c r="T41">
        <v>45</v>
      </c>
    </row>
    <row r="42" spans="1:20">
      <c r="B42" s="509">
        <v>31</v>
      </c>
      <c r="C42">
        <v>17</v>
      </c>
      <c r="D42">
        <v>16</v>
      </c>
      <c r="E42" s="510">
        <v>20</v>
      </c>
      <c r="G42" s="509"/>
      <c r="J42" s="510">
        <v>34</v>
      </c>
      <c r="L42" s="509">
        <v>41</v>
      </c>
      <c r="O42" s="510"/>
      <c r="R42">
        <v>46</v>
      </c>
      <c r="S42">
        <v>35</v>
      </c>
      <c r="T42">
        <v>45</v>
      </c>
    </row>
    <row r="43" spans="1:20">
      <c r="B43" s="509">
        <v>19</v>
      </c>
      <c r="C43">
        <v>25</v>
      </c>
      <c r="D43">
        <v>34</v>
      </c>
      <c r="E43" s="510">
        <v>21</v>
      </c>
      <c r="G43" s="509"/>
      <c r="J43" s="510">
        <v>34</v>
      </c>
      <c r="L43" s="509">
        <v>36</v>
      </c>
      <c r="O43" s="510"/>
      <c r="R43">
        <v>35</v>
      </c>
      <c r="S43">
        <v>39</v>
      </c>
      <c r="T43">
        <v>55</v>
      </c>
    </row>
    <row r="44" spans="1:20">
      <c r="B44" s="509">
        <v>33</v>
      </c>
      <c r="C44">
        <v>45</v>
      </c>
      <c r="D44">
        <v>43</v>
      </c>
      <c r="E44" s="510">
        <v>33</v>
      </c>
      <c r="G44" s="509">
        <v>66</v>
      </c>
      <c r="H44">
        <v>60</v>
      </c>
      <c r="I44">
        <v>39</v>
      </c>
      <c r="J44" s="510">
        <v>39</v>
      </c>
      <c r="L44" s="509">
        <v>43</v>
      </c>
      <c r="M44">
        <v>39</v>
      </c>
      <c r="N44">
        <v>38</v>
      </c>
      <c r="O44" s="510">
        <v>39</v>
      </c>
      <c r="T44" s="296"/>
    </row>
    <row r="45" spans="1:20" ht="15" customHeight="1" thickBot="1">
      <c r="B45" s="511"/>
      <c r="C45" s="512">
        <v>35</v>
      </c>
      <c r="D45" s="512">
        <v>45</v>
      </c>
      <c r="E45" s="513"/>
      <c r="G45" s="509"/>
      <c r="J45" s="510">
        <v>43</v>
      </c>
      <c r="L45" s="509">
        <v>43</v>
      </c>
      <c r="O45" s="510"/>
      <c r="T45" s="296"/>
    </row>
    <row r="46" spans="1:20">
      <c r="G46" s="509"/>
      <c r="J46" s="510">
        <v>48</v>
      </c>
      <c r="L46" s="509">
        <v>56</v>
      </c>
      <c r="O46" s="510"/>
    </row>
    <row r="47" spans="1:20" ht="15" customHeight="1" thickBot="1">
      <c r="G47" s="511">
        <v>49</v>
      </c>
      <c r="H47" s="512">
        <v>39</v>
      </c>
      <c r="I47" s="512">
        <v>47</v>
      </c>
      <c r="J47" s="513">
        <v>45</v>
      </c>
      <c r="L47" s="511">
        <v>66</v>
      </c>
      <c r="M47" s="512">
        <v>50</v>
      </c>
      <c r="N47" s="512">
        <v>53</v>
      </c>
      <c r="O47" s="513">
        <v>58</v>
      </c>
    </row>
    <row r="49" spans="1:15" ht="15" customHeight="1" thickBot="1"/>
    <row r="50" spans="1:15">
      <c r="F50" t="s">
        <v>719</v>
      </c>
      <c r="G50" s="92">
        <v>77</v>
      </c>
      <c r="H50" s="507"/>
      <c r="I50" s="507"/>
      <c r="J50" s="507">
        <v>42</v>
      </c>
      <c r="K50" s="507">
        <v>44</v>
      </c>
      <c r="L50" s="507"/>
      <c r="M50" s="507"/>
      <c r="N50" s="508">
        <v>64</v>
      </c>
    </row>
    <row r="51" spans="1:15">
      <c r="G51" s="509">
        <v>56</v>
      </c>
      <c r="J51">
        <v>41</v>
      </c>
      <c r="K51">
        <v>37</v>
      </c>
      <c r="N51" s="510">
        <v>46</v>
      </c>
    </row>
    <row r="52" spans="1:15">
      <c r="E52">
        <f>AVERAGE(G50:N53)</f>
        <v>44.65</v>
      </c>
      <c r="G52" s="509">
        <v>46</v>
      </c>
      <c r="J52">
        <v>40</v>
      </c>
      <c r="K52">
        <v>34</v>
      </c>
      <c r="N52" s="510">
        <v>39</v>
      </c>
    </row>
    <row r="53" spans="1:15" ht="15" customHeight="1" thickBot="1">
      <c r="E53">
        <f>AVERAGE(G50:G52,G53:N53,J50:K52,N50:N52)</f>
        <v>44.65</v>
      </c>
      <c r="G53" s="511">
        <v>67</v>
      </c>
      <c r="H53" s="512">
        <v>51</v>
      </c>
      <c r="I53" s="512">
        <v>35</v>
      </c>
      <c r="J53" s="512">
        <v>37</v>
      </c>
      <c r="K53" s="512">
        <v>32</v>
      </c>
      <c r="L53" s="512">
        <v>28</v>
      </c>
      <c r="M53" s="512">
        <v>31</v>
      </c>
      <c r="N53" s="513">
        <v>46</v>
      </c>
    </row>
    <row r="55" spans="1:15" ht="15" customHeight="1" thickBot="1">
      <c r="A55" t="s">
        <v>721</v>
      </c>
      <c r="G55" t="s">
        <v>711</v>
      </c>
      <c r="L55" t="s">
        <v>712</v>
      </c>
    </row>
    <row r="56" spans="1:15">
      <c r="B56" s="92"/>
      <c r="C56" s="507">
        <v>43</v>
      </c>
      <c r="D56" s="507">
        <v>55</v>
      </c>
      <c r="E56" s="508"/>
      <c r="G56" s="92">
        <v>70</v>
      </c>
      <c r="H56" s="507">
        <v>59</v>
      </c>
      <c r="I56" s="507">
        <v>36</v>
      </c>
      <c r="J56" s="508">
        <v>34</v>
      </c>
      <c r="L56" s="92">
        <v>47</v>
      </c>
      <c r="M56" s="507">
        <v>60</v>
      </c>
      <c r="N56" s="507">
        <v>67</v>
      </c>
      <c r="O56" s="508">
        <v>68</v>
      </c>
    </row>
    <row r="57" spans="1:15">
      <c r="B57" s="509">
        <v>46</v>
      </c>
      <c r="C57">
        <v>39</v>
      </c>
      <c r="D57">
        <v>37</v>
      </c>
      <c r="E57" s="510">
        <v>41</v>
      </c>
      <c r="G57" s="509">
        <v>71</v>
      </c>
      <c r="H57">
        <v>58</v>
      </c>
      <c r="I57">
        <v>70</v>
      </c>
      <c r="J57" s="510">
        <v>66</v>
      </c>
      <c r="L57" s="509">
        <v>43</v>
      </c>
      <c r="M57">
        <v>59</v>
      </c>
      <c r="N57">
        <v>59</v>
      </c>
      <c r="O57" s="510">
        <v>69</v>
      </c>
    </row>
    <row r="58" spans="1:15">
      <c r="B58" s="509">
        <v>45</v>
      </c>
      <c r="C58">
        <v>50</v>
      </c>
      <c r="D58">
        <v>42</v>
      </c>
      <c r="E58" s="510">
        <v>50</v>
      </c>
      <c r="G58" s="509">
        <v>69</v>
      </c>
      <c r="H58">
        <v>67</v>
      </c>
      <c r="J58" s="510"/>
      <c r="L58" s="509">
        <v>46</v>
      </c>
      <c r="M58">
        <v>68</v>
      </c>
      <c r="N58">
        <v>78</v>
      </c>
      <c r="O58" s="510">
        <v>72</v>
      </c>
    </row>
    <row r="59" spans="1:15">
      <c r="B59" s="509">
        <v>67</v>
      </c>
      <c r="C59">
        <v>64</v>
      </c>
      <c r="D59">
        <v>51</v>
      </c>
      <c r="E59" s="510">
        <v>51</v>
      </c>
      <c r="G59" s="509">
        <v>78</v>
      </c>
      <c r="H59">
        <v>74</v>
      </c>
      <c r="I59">
        <v>71</v>
      </c>
      <c r="J59" s="510">
        <v>41</v>
      </c>
      <c r="L59" s="509">
        <v>33</v>
      </c>
      <c r="M59">
        <v>52</v>
      </c>
      <c r="N59">
        <v>77</v>
      </c>
      <c r="O59" s="510">
        <v>85</v>
      </c>
    </row>
    <row r="60" spans="1:15" ht="15" customHeight="1" thickBot="1">
      <c r="B60" s="511"/>
      <c r="C60" s="512">
        <v>73</v>
      </c>
      <c r="D60" s="512">
        <v>51</v>
      </c>
      <c r="E60" s="513"/>
      <c r="G60" s="509">
        <v>84</v>
      </c>
      <c r="H60">
        <v>89</v>
      </c>
      <c r="I60">
        <v>69</v>
      </c>
      <c r="J60" s="510">
        <v>46</v>
      </c>
      <c r="L60" s="509"/>
      <c r="O60" s="510"/>
    </row>
    <row r="61" spans="1:15" ht="15" customHeight="1" thickBot="1">
      <c r="G61" s="511">
        <v>75</v>
      </c>
      <c r="H61" s="512">
        <v>68</v>
      </c>
      <c r="I61" s="512">
        <v>79</v>
      </c>
      <c r="J61" s="513">
        <v>70</v>
      </c>
      <c r="L61" s="511">
        <v>70</v>
      </c>
      <c r="M61" s="512">
        <v>91</v>
      </c>
      <c r="N61" s="512">
        <v>93</v>
      </c>
      <c r="O61" s="513">
        <v>95</v>
      </c>
    </row>
    <row r="63" spans="1:15" ht="15" customHeight="1" thickBot="1"/>
    <row r="64" spans="1:15">
      <c r="F64" t="s">
        <v>719</v>
      </c>
      <c r="G64" s="92"/>
      <c r="H64" s="507"/>
      <c r="I64" s="507"/>
      <c r="J64" s="507">
        <v>89</v>
      </c>
      <c r="K64" s="507">
        <v>83</v>
      </c>
      <c r="L64" s="507"/>
      <c r="M64" s="507"/>
      <c r="N64" s="508"/>
    </row>
    <row r="65" spans="1:14">
      <c r="G65" s="509"/>
      <c r="J65">
        <v>85</v>
      </c>
      <c r="K65">
        <v>69</v>
      </c>
      <c r="N65" s="510"/>
    </row>
    <row r="66" spans="1:14">
      <c r="E66">
        <f>AVERAGE(G64:N67)</f>
        <v>63.083333333333336</v>
      </c>
      <c r="G66" s="509"/>
      <c r="J66">
        <v>73</v>
      </c>
      <c r="K66">
        <v>71</v>
      </c>
      <c r="N66" s="510"/>
    </row>
    <row r="67" spans="1:14" ht="15" customHeight="1" thickBot="1">
      <c r="E67">
        <f>AVERAGE(G64:G66,G67:N67,J64:K66,N64:N66)</f>
        <v>63.083333333333336</v>
      </c>
      <c r="G67" s="511"/>
      <c r="H67" s="512">
        <v>40</v>
      </c>
      <c r="I67" s="512">
        <v>46</v>
      </c>
      <c r="J67" s="512">
        <v>46</v>
      </c>
      <c r="K67" s="512">
        <v>49</v>
      </c>
      <c r="L67" s="512">
        <v>53</v>
      </c>
      <c r="M67" s="512">
        <v>53</v>
      </c>
      <c r="N67" s="513"/>
    </row>
    <row r="69" spans="1:14" ht="15" customHeight="1" thickBot="1">
      <c r="A69" t="s">
        <v>722</v>
      </c>
    </row>
    <row r="70" spans="1:14">
      <c r="B70" t="s">
        <v>668</v>
      </c>
      <c r="C70" s="92">
        <v>48</v>
      </c>
      <c r="D70" s="508">
        <v>33</v>
      </c>
      <c r="F70" t="s">
        <v>669</v>
      </c>
      <c r="G70" s="92">
        <v>90</v>
      </c>
      <c r="H70" s="508">
        <v>75</v>
      </c>
      <c r="J70" t="s">
        <v>670</v>
      </c>
      <c r="K70" s="92">
        <v>43</v>
      </c>
      <c r="L70" s="507">
        <v>60</v>
      </c>
      <c r="M70" s="508">
        <v>73</v>
      </c>
    </row>
    <row r="71" spans="1:14">
      <c r="C71" s="509">
        <v>48</v>
      </c>
      <c r="D71" s="510">
        <v>43</v>
      </c>
      <c r="G71" s="509">
        <v>90</v>
      </c>
      <c r="H71" s="510">
        <v>55</v>
      </c>
      <c r="K71" s="509">
        <v>56</v>
      </c>
      <c r="L71">
        <v>56</v>
      </c>
      <c r="M71" s="510">
        <v>56</v>
      </c>
    </row>
    <row r="72" spans="1:14">
      <c r="C72" s="509">
        <v>43</v>
      </c>
      <c r="D72" s="510">
        <v>28</v>
      </c>
      <c r="G72" s="509">
        <v>90</v>
      </c>
      <c r="H72" s="510">
        <v>25</v>
      </c>
      <c r="K72" s="509"/>
      <c r="M72" s="510"/>
    </row>
    <row r="73" spans="1:14" ht="15" customHeight="1" thickBot="1">
      <c r="C73" s="511"/>
      <c r="D73" s="513">
        <v>38</v>
      </c>
      <c r="G73" s="511">
        <v>64</v>
      </c>
      <c r="H73" s="673">
        <v>25</v>
      </c>
      <c r="K73" s="509">
        <v>55</v>
      </c>
      <c r="L73" s="674">
        <v>50</v>
      </c>
      <c r="M73" s="510">
        <v>35</v>
      </c>
    </row>
    <row r="74" spans="1:14" ht="15" customHeight="1" thickBot="1">
      <c r="K74" s="511">
        <v>95</v>
      </c>
      <c r="L74" s="512">
        <v>95</v>
      </c>
      <c r="M74" s="513">
        <v>55</v>
      </c>
    </row>
    <row r="76" spans="1:14" ht="15" customHeight="1" thickBot="1">
      <c r="A76" t="s">
        <v>723</v>
      </c>
      <c r="B76" t="s">
        <v>668</v>
      </c>
      <c r="C76" t="s">
        <v>724</v>
      </c>
      <c r="I76" t="s">
        <v>725</v>
      </c>
    </row>
    <row r="77" spans="1:14">
      <c r="B77" s="92">
        <v>69</v>
      </c>
      <c r="C77" s="507">
        <v>71</v>
      </c>
      <c r="D77" s="508">
        <v>66</v>
      </c>
      <c r="I77" s="92">
        <v>50</v>
      </c>
      <c r="J77" s="507">
        <v>60</v>
      </c>
      <c r="K77" s="508">
        <v>70</v>
      </c>
    </row>
    <row r="78" spans="1:14">
      <c r="B78" s="509">
        <v>89</v>
      </c>
      <c r="C78">
        <v>81</v>
      </c>
      <c r="D78" s="510">
        <v>53</v>
      </c>
      <c r="I78" s="509">
        <v>50</v>
      </c>
      <c r="J78">
        <v>60</v>
      </c>
      <c r="K78" s="510">
        <v>75</v>
      </c>
      <c r="L78" s="506"/>
    </row>
    <row r="79" spans="1:14" ht="15" customHeight="1" thickBot="1">
      <c r="B79" s="509">
        <v>76</v>
      </c>
      <c r="C79">
        <v>76</v>
      </c>
      <c r="D79" s="510">
        <v>66</v>
      </c>
      <c r="I79" s="511">
        <v>40</v>
      </c>
      <c r="J79" s="512">
        <v>50</v>
      </c>
      <c r="K79" s="513">
        <v>75</v>
      </c>
    </row>
    <row r="80" spans="1:14" ht="15" customHeight="1" thickBot="1">
      <c r="B80" s="511">
        <v>71</v>
      </c>
      <c r="C80" s="512">
        <v>66</v>
      </c>
      <c r="D80" s="513">
        <v>61</v>
      </c>
    </row>
    <row r="82" spans="1:16" ht="15" customHeight="1" thickBot="1"/>
    <row r="83" spans="1:16">
      <c r="B83" t="s">
        <v>669</v>
      </c>
      <c r="C83" s="92">
        <v>31</v>
      </c>
      <c r="D83" s="507">
        <v>55.5</v>
      </c>
      <c r="E83" s="507"/>
      <c r="F83" s="507">
        <v>60</v>
      </c>
      <c r="G83" s="508">
        <v>65</v>
      </c>
      <c r="I83" t="s">
        <v>670</v>
      </c>
      <c r="J83" s="92">
        <v>69</v>
      </c>
      <c r="K83" s="507">
        <v>72</v>
      </c>
      <c r="L83" s="508">
        <v>50</v>
      </c>
      <c r="N83" s="92">
        <v>56</v>
      </c>
      <c r="O83" s="507">
        <v>66</v>
      </c>
      <c r="P83" s="508">
        <v>66</v>
      </c>
    </row>
    <row r="84" spans="1:16">
      <c r="C84" s="509">
        <v>36</v>
      </c>
      <c r="D84">
        <v>36.5</v>
      </c>
      <c r="F84">
        <v>60</v>
      </c>
      <c r="G84" s="510">
        <v>62</v>
      </c>
      <c r="J84" s="509">
        <v>70</v>
      </c>
      <c r="K84">
        <v>67</v>
      </c>
      <c r="L84" s="510">
        <v>48</v>
      </c>
      <c r="N84" s="509">
        <v>70</v>
      </c>
      <c r="O84">
        <v>60</v>
      </c>
      <c r="P84" s="510">
        <v>80</v>
      </c>
    </row>
    <row r="85" spans="1:16">
      <c r="C85" s="509">
        <v>26</v>
      </c>
      <c r="D85">
        <v>36.5</v>
      </c>
      <c r="F85">
        <v>40</v>
      </c>
      <c r="G85" s="510">
        <v>58</v>
      </c>
      <c r="J85" s="509"/>
      <c r="L85" s="510"/>
      <c r="N85" s="509"/>
      <c r="P85" s="510"/>
    </row>
    <row r="86" spans="1:16" ht="15" customHeight="1" thickBot="1">
      <c r="C86" s="511">
        <v>26</v>
      </c>
      <c r="D86" s="512">
        <v>62</v>
      </c>
      <c r="E86" s="512"/>
      <c r="F86" s="512">
        <v>30</v>
      </c>
      <c r="G86" s="513">
        <v>68</v>
      </c>
      <c r="J86" s="509">
        <v>67.5</v>
      </c>
      <c r="K86">
        <v>72.5</v>
      </c>
      <c r="L86" s="510">
        <v>72.5</v>
      </c>
      <c r="N86" s="509">
        <v>45</v>
      </c>
      <c r="O86">
        <v>64</v>
      </c>
      <c r="P86" s="510">
        <v>64</v>
      </c>
    </row>
    <row r="87" spans="1:16" ht="15" customHeight="1" thickBot="1">
      <c r="J87" s="511">
        <v>135</v>
      </c>
      <c r="K87" s="512">
        <v>65</v>
      </c>
      <c r="L87" s="513">
        <v>25</v>
      </c>
      <c r="N87" s="511">
        <v>22</v>
      </c>
      <c r="O87" s="512">
        <v>54</v>
      </c>
      <c r="P87" s="513">
        <v>86</v>
      </c>
    </row>
    <row r="94" spans="1:16" ht="15" customHeight="1" thickBot="1">
      <c r="A94" t="s">
        <v>726</v>
      </c>
      <c r="B94" t="s">
        <v>668</v>
      </c>
    </row>
    <row r="95" spans="1:16">
      <c r="B95" s="92"/>
      <c r="C95" s="507"/>
      <c r="D95" s="507"/>
      <c r="E95" s="507"/>
      <c r="F95" s="507"/>
      <c r="G95" s="507"/>
      <c r="H95" s="507"/>
      <c r="I95" s="507">
        <v>15</v>
      </c>
      <c r="J95" s="507">
        <v>40</v>
      </c>
      <c r="K95" s="508">
        <v>15</v>
      </c>
    </row>
    <row r="96" spans="1:16">
      <c r="B96" s="509"/>
      <c r="I96">
        <v>25</v>
      </c>
      <c r="J96">
        <v>30</v>
      </c>
      <c r="K96" s="510">
        <v>15</v>
      </c>
      <c r="L96" s="506" t="s">
        <v>727</v>
      </c>
    </row>
    <row r="97" spans="2:11">
      <c r="B97" s="509"/>
      <c r="I97">
        <v>25</v>
      </c>
      <c r="J97">
        <v>25</v>
      </c>
      <c r="K97" s="510">
        <v>15</v>
      </c>
    </row>
    <row r="98" spans="2:11">
      <c r="B98" s="509">
        <v>23</v>
      </c>
      <c r="C98">
        <v>28</v>
      </c>
      <c r="D98">
        <v>28</v>
      </c>
      <c r="F98">
        <v>25</v>
      </c>
      <c r="G98">
        <v>25</v>
      </c>
      <c r="H98">
        <v>20</v>
      </c>
      <c r="I98">
        <v>25</v>
      </c>
      <c r="J98">
        <v>25</v>
      </c>
      <c r="K98" s="510">
        <v>20</v>
      </c>
    </row>
    <row r="99" spans="2:11" ht="15" customHeight="1" thickBot="1">
      <c r="B99" s="511">
        <v>28</v>
      </c>
      <c r="C99" s="512">
        <v>28</v>
      </c>
      <c r="D99" s="512">
        <v>28</v>
      </c>
      <c r="E99" s="512"/>
      <c r="F99" s="512">
        <v>35</v>
      </c>
      <c r="G99" s="512">
        <v>25</v>
      </c>
      <c r="H99" s="512">
        <v>20</v>
      </c>
      <c r="I99" s="512">
        <v>25</v>
      </c>
      <c r="J99" s="512">
        <v>25</v>
      </c>
      <c r="K99" s="513">
        <v>20</v>
      </c>
    </row>
    <row r="100" spans="2:11" s="506" customFormat="1">
      <c r="C100" s="506" t="s">
        <v>728</v>
      </c>
      <c r="G100" s="506" t="s">
        <v>729</v>
      </c>
      <c r="J100" s="506" t="s">
        <v>730</v>
      </c>
    </row>
    <row r="101" spans="2:11" ht="15" customHeight="1" thickBot="1">
      <c r="B101" t="s">
        <v>667</v>
      </c>
    </row>
    <row r="102" spans="2:11">
      <c r="C102" s="92">
        <v>36</v>
      </c>
      <c r="D102" s="507">
        <v>52</v>
      </c>
      <c r="E102" s="508">
        <v>36</v>
      </c>
    </row>
    <row r="103" spans="2:11">
      <c r="C103" s="509">
        <v>36</v>
      </c>
      <c r="D103">
        <v>26</v>
      </c>
      <c r="E103" s="510">
        <v>51</v>
      </c>
    </row>
    <row r="104" spans="2:11" ht="15" customHeight="1" thickBot="1">
      <c r="C104" s="511">
        <v>46</v>
      </c>
      <c r="D104" s="512">
        <v>56</v>
      </c>
      <c r="E104" s="513">
        <v>41</v>
      </c>
    </row>
    <row r="105" spans="2:11" ht="15" customHeight="1" thickBot="1">
      <c r="B105" t="s">
        <v>670</v>
      </c>
    </row>
    <row r="106" spans="2:11">
      <c r="C106" s="92">
        <v>43</v>
      </c>
      <c r="D106" s="507">
        <v>43</v>
      </c>
      <c r="E106" s="507"/>
      <c r="F106" s="507">
        <v>26</v>
      </c>
      <c r="G106" s="508">
        <v>50</v>
      </c>
    </row>
    <row r="107" spans="2:11">
      <c r="C107" s="509">
        <v>33</v>
      </c>
      <c r="D107">
        <v>33</v>
      </c>
      <c r="F107">
        <v>24</v>
      </c>
      <c r="G107" s="510">
        <v>50</v>
      </c>
    </row>
    <row r="108" spans="2:11">
      <c r="C108" s="509">
        <v>38</v>
      </c>
      <c r="D108">
        <v>38</v>
      </c>
      <c r="F108">
        <v>24</v>
      </c>
      <c r="G108" s="510">
        <v>45</v>
      </c>
    </row>
    <row r="109" spans="2:11">
      <c r="C109" s="509"/>
      <c r="G109" s="510"/>
    </row>
    <row r="110" spans="2:11">
      <c r="C110" s="509">
        <v>37</v>
      </c>
      <c r="D110">
        <v>38</v>
      </c>
      <c r="F110">
        <v>25</v>
      </c>
      <c r="G110" s="510">
        <v>37</v>
      </c>
    </row>
    <row r="111" spans="2:11">
      <c r="C111" s="509">
        <v>32</v>
      </c>
      <c r="D111">
        <v>33</v>
      </c>
      <c r="F111">
        <v>10</v>
      </c>
      <c r="G111" s="510">
        <v>32</v>
      </c>
    </row>
    <row r="112" spans="2:11" ht="15" customHeight="1" thickBot="1">
      <c r="C112" s="511">
        <v>47</v>
      </c>
      <c r="D112" s="512">
        <v>48</v>
      </c>
      <c r="E112" s="512"/>
      <c r="F112" s="512">
        <v>60</v>
      </c>
      <c r="G112" s="513">
        <v>60</v>
      </c>
    </row>
    <row r="114" spans="1:7" ht="15" customHeight="1" thickBot="1">
      <c r="B114" t="s">
        <v>669</v>
      </c>
    </row>
    <row r="115" spans="1:7">
      <c r="C115" s="92">
        <v>31</v>
      </c>
      <c r="D115" s="507">
        <v>33</v>
      </c>
      <c r="E115" s="507"/>
      <c r="F115" s="507">
        <v>31</v>
      </c>
      <c r="G115" s="508">
        <v>28</v>
      </c>
    </row>
    <row r="116" spans="1:7" ht="15" customHeight="1" thickBot="1">
      <c r="C116" s="511">
        <v>30</v>
      </c>
      <c r="D116" s="512">
        <v>28</v>
      </c>
      <c r="E116" s="512"/>
      <c r="F116" s="512">
        <v>31</v>
      </c>
      <c r="G116" s="513">
        <v>23</v>
      </c>
    </row>
    <row r="120" spans="1:7">
      <c r="A120" t="s">
        <v>731</v>
      </c>
    </row>
    <row r="121" spans="1:7" ht="15" customHeight="1" thickBot="1">
      <c r="B121" t="s">
        <v>668</v>
      </c>
    </row>
    <row r="122" spans="1:7">
      <c r="B122" s="92">
        <v>72</v>
      </c>
      <c r="C122" s="507">
        <v>74</v>
      </c>
      <c r="D122" s="507">
        <v>81</v>
      </c>
      <c r="E122" s="508">
        <v>70</v>
      </c>
    </row>
    <row r="123" spans="1:7">
      <c r="B123" s="509">
        <v>78</v>
      </c>
      <c r="C123">
        <v>80</v>
      </c>
      <c r="D123">
        <v>82</v>
      </c>
      <c r="E123" s="510">
        <v>81</v>
      </c>
    </row>
    <row r="124" spans="1:7">
      <c r="B124" s="509">
        <v>73</v>
      </c>
      <c r="C124">
        <v>85</v>
      </c>
      <c r="D124">
        <v>90</v>
      </c>
      <c r="E124" s="510">
        <v>90</v>
      </c>
    </row>
    <row r="125" spans="1:7">
      <c r="B125" s="509">
        <v>79</v>
      </c>
      <c r="C125">
        <v>90</v>
      </c>
      <c r="D125">
        <v>86</v>
      </c>
      <c r="E125" s="510">
        <v>86</v>
      </c>
    </row>
    <row r="126" spans="1:7">
      <c r="B126" s="509">
        <v>75</v>
      </c>
      <c r="C126">
        <v>78</v>
      </c>
      <c r="D126">
        <v>80</v>
      </c>
      <c r="E126" s="510">
        <v>81</v>
      </c>
    </row>
    <row r="127" spans="1:7">
      <c r="B127" s="509">
        <v>78</v>
      </c>
      <c r="C127">
        <v>70</v>
      </c>
      <c r="D127">
        <v>80</v>
      </c>
      <c r="E127" s="510">
        <v>81</v>
      </c>
    </row>
    <row r="128" spans="1:7">
      <c r="B128" s="509">
        <v>79</v>
      </c>
      <c r="C128">
        <v>71</v>
      </c>
      <c r="D128">
        <v>83</v>
      </c>
      <c r="E128" s="510">
        <v>73</v>
      </c>
    </row>
    <row r="129" spans="1:14" ht="15" customHeight="1" thickBot="1">
      <c r="B129" s="511">
        <v>72</v>
      </c>
      <c r="C129" s="512">
        <v>78</v>
      </c>
      <c r="D129" s="512">
        <v>72</v>
      </c>
      <c r="E129" s="513">
        <v>68</v>
      </c>
    </row>
    <row r="132" spans="1:14">
      <c r="A132" t="s">
        <v>732</v>
      </c>
    </row>
    <row r="133" spans="1:14" ht="15" customHeight="1" thickBot="1">
      <c r="B133" t="s">
        <v>668</v>
      </c>
      <c r="G133" t="s">
        <v>733</v>
      </c>
    </row>
    <row r="134" spans="1:14">
      <c r="B134" s="92">
        <v>25</v>
      </c>
      <c r="C134" s="507">
        <v>45</v>
      </c>
      <c r="D134" s="507">
        <v>60</v>
      </c>
      <c r="E134" s="508">
        <v>70</v>
      </c>
      <c r="G134" s="92">
        <v>130</v>
      </c>
      <c r="H134" s="507">
        <v>138</v>
      </c>
      <c r="I134" s="507">
        <v>138</v>
      </c>
      <c r="J134" s="507">
        <v>130</v>
      </c>
      <c r="K134" s="507">
        <v>133</v>
      </c>
      <c r="L134" s="507">
        <v>137</v>
      </c>
      <c r="M134" s="507">
        <v>132</v>
      </c>
      <c r="N134" s="508">
        <v>126</v>
      </c>
    </row>
    <row r="135" spans="1:14">
      <c r="B135" s="509">
        <v>35</v>
      </c>
      <c r="C135">
        <v>55</v>
      </c>
      <c r="D135">
        <v>60</v>
      </c>
      <c r="E135" s="510">
        <v>70</v>
      </c>
      <c r="G135" s="509">
        <v>130</v>
      </c>
      <c r="H135">
        <v>141</v>
      </c>
      <c r="I135">
        <v>139</v>
      </c>
      <c r="J135">
        <v>138</v>
      </c>
      <c r="K135">
        <v>134</v>
      </c>
      <c r="L135">
        <v>141</v>
      </c>
      <c r="M135">
        <v>132</v>
      </c>
      <c r="N135" s="510">
        <v>129</v>
      </c>
    </row>
    <row r="136" spans="1:14">
      <c r="B136" s="509">
        <v>47</v>
      </c>
      <c r="C136">
        <v>60</v>
      </c>
      <c r="D136">
        <v>72</v>
      </c>
      <c r="E136" s="510">
        <v>76</v>
      </c>
      <c r="G136" s="509">
        <v>133</v>
      </c>
      <c r="H136">
        <v>134</v>
      </c>
      <c r="I136">
        <v>135</v>
      </c>
      <c r="J136">
        <v>138</v>
      </c>
      <c r="K136">
        <v>135</v>
      </c>
      <c r="L136">
        <v>138</v>
      </c>
      <c r="M136">
        <v>132</v>
      </c>
      <c r="N136" s="510">
        <v>130</v>
      </c>
    </row>
    <row r="137" spans="1:14" ht="15" customHeight="1" thickBot="1">
      <c r="B137" s="509">
        <v>55</v>
      </c>
      <c r="C137">
        <v>62</v>
      </c>
      <c r="D137">
        <v>72</v>
      </c>
      <c r="E137" s="510">
        <v>79</v>
      </c>
      <c r="G137" s="511">
        <v>115</v>
      </c>
      <c r="H137" s="512">
        <v>120</v>
      </c>
      <c r="I137" s="512">
        <v>102</v>
      </c>
      <c r="J137" s="512">
        <v>125</v>
      </c>
      <c r="K137" s="512">
        <v>128</v>
      </c>
      <c r="L137" s="512">
        <v>129</v>
      </c>
      <c r="M137" s="512">
        <v>138</v>
      </c>
      <c r="N137" s="513">
        <v>121</v>
      </c>
    </row>
    <row r="138" spans="1:14">
      <c r="B138" s="509">
        <v>58</v>
      </c>
      <c r="C138">
        <v>64</v>
      </c>
      <c r="D138">
        <v>70</v>
      </c>
      <c r="E138" s="510">
        <v>73</v>
      </c>
    </row>
    <row r="139" spans="1:14">
      <c r="B139" s="509">
        <v>62</v>
      </c>
      <c r="C139">
        <v>62</v>
      </c>
      <c r="D139">
        <v>72</v>
      </c>
      <c r="E139" s="510">
        <v>74</v>
      </c>
    </row>
    <row r="140" spans="1:14">
      <c r="B140" s="509">
        <v>53</v>
      </c>
      <c r="C140">
        <v>54</v>
      </c>
      <c r="D140">
        <v>67</v>
      </c>
      <c r="E140" s="510">
        <v>68</v>
      </c>
    </row>
    <row r="141" spans="1:14" ht="15" customHeight="1" thickBot="1">
      <c r="B141" s="511">
        <v>51</v>
      </c>
      <c r="C141" s="512">
        <v>58</v>
      </c>
      <c r="D141" s="512">
        <v>66</v>
      </c>
      <c r="E141" s="513">
        <v>66</v>
      </c>
    </row>
    <row r="144" spans="1:14">
      <c r="A144" t="s">
        <v>734</v>
      </c>
    </row>
    <row r="145" spans="1:15" ht="15" customHeight="1" thickBot="1">
      <c r="B145" t="s">
        <v>668</v>
      </c>
      <c r="G145" t="s">
        <v>733</v>
      </c>
      <c r="O145" t="s">
        <v>735</v>
      </c>
    </row>
    <row r="146" spans="1:15">
      <c r="B146" s="92">
        <v>131</v>
      </c>
      <c r="C146" s="507">
        <v>124</v>
      </c>
      <c r="D146" s="507">
        <v>116</v>
      </c>
      <c r="E146" s="508">
        <v>117</v>
      </c>
      <c r="G146" s="92">
        <v>133</v>
      </c>
      <c r="H146" s="507">
        <v>139</v>
      </c>
      <c r="I146" s="507">
        <v>134</v>
      </c>
      <c r="J146" s="507">
        <v>141</v>
      </c>
      <c r="K146" s="507">
        <v>138</v>
      </c>
      <c r="L146" s="507">
        <v>126</v>
      </c>
      <c r="M146" s="507">
        <v>127</v>
      </c>
      <c r="N146" s="508">
        <v>124</v>
      </c>
      <c r="O146">
        <v>2.1</v>
      </c>
    </row>
    <row r="147" spans="1:15">
      <c r="B147" s="509">
        <v>123</v>
      </c>
      <c r="C147">
        <v>132</v>
      </c>
      <c r="D147">
        <v>129</v>
      </c>
      <c r="E147" s="510">
        <v>125</v>
      </c>
      <c r="G147" s="509">
        <v>143</v>
      </c>
      <c r="H147">
        <v>134</v>
      </c>
      <c r="I147">
        <v>136</v>
      </c>
      <c r="J147">
        <v>141</v>
      </c>
      <c r="K147">
        <v>131</v>
      </c>
      <c r="L147">
        <v>130</v>
      </c>
      <c r="M147">
        <v>129</v>
      </c>
      <c r="N147" s="510">
        <v>125</v>
      </c>
      <c r="O147">
        <v>1.6</v>
      </c>
    </row>
    <row r="148" spans="1:15">
      <c r="B148" s="509">
        <v>147</v>
      </c>
      <c r="C148">
        <v>154</v>
      </c>
      <c r="D148">
        <v>135</v>
      </c>
      <c r="E148" s="510">
        <v>130</v>
      </c>
      <c r="G148" s="509">
        <v>138</v>
      </c>
      <c r="H148">
        <v>135</v>
      </c>
      <c r="I148">
        <v>130</v>
      </c>
      <c r="J148">
        <v>132</v>
      </c>
      <c r="K148">
        <v>138</v>
      </c>
      <c r="L148">
        <v>125</v>
      </c>
      <c r="M148">
        <v>120</v>
      </c>
      <c r="N148" s="510">
        <v>126</v>
      </c>
      <c r="O148">
        <v>1.1000000000000001</v>
      </c>
    </row>
    <row r="149" spans="1:15" ht="15" customHeight="1" thickBot="1">
      <c r="B149" s="509">
        <v>147</v>
      </c>
      <c r="D149">
        <v>132</v>
      </c>
      <c r="E149" s="510">
        <v>135</v>
      </c>
      <c r="G149" s="511">
        <v>89</v>
      </c>
      <c r="H149" s="512">
        <v>99</v>
      </c>
      <c r="I149" s="512">
        <v>92</v>
      </c>
      <c r="J149" s="512">
        <v>88</v>
      </c>
      <c r="K149" s="512">
        <v>95</v>
      </c>
      <c r="L149" s="512">
        <v>93</v>
      </c>
      <c r="M149" s="512">
        <v>96</v>
      </c>
      <c r="N149" s="513">
        <v>94</v>
      </c>
      <c r="O149">
        <v>0.6</v>
      </c>
    </row>
    <row r="150" spans="1:15">
      <c r="B150" s="509">
        <v>133</v>
      </c>
      <c r="C150">
        <v>13</v>
      </c>
      <c r="D150">
        <v>144</v>
      </c>
      <c r="E150" s="510">
        <v>129</v>
      </c>
    </row>
    <row r="151" spans="1:15">
      <c r="B151" s="509">
        <v>141</v>
      </c>
      <c r="C151">
        <v>130</v>
      </c>
      <c r="D151">
        <v>131</v>
      </c>
      <c r="E151" s="510">
        <v>134</v>
      </c>
    </row>
    <row r="152" spans="1:15">
      <c r="B152" s="509">
        <v>132</v>
      </c>
      <c r="C152">
        <v>129</v>
      </c>
      <c r="D152">
        <v>131</v>
      </c>
      <c r="E152" s="510">
        <v>129</v>
      </c>
    </row>
    <row r="153" spans="1:15" ht="15" customHeight="1" thickBot="1">
      <c r="B153" s="511">
        <v>132</v>
      </c>
      <c r="C153" s="512">
        <v>123</v>
      </c>
      <c r="D153" s="512">
        <v>122</v>
      </c>
      <c r="E153" s="513">
        <v>123</v>
      </c>
    </row>
    <row r="157" spans="1:15">
      <c r="A157" t="s">
        <v>736</v>
      </c>
      <c r="F157" s="1114" t="s">
        <v>668</v>
      </c>
      <c r="G157" s="1115"/>
      <c r="H157" s="1115"/>
      <c r="I157" s="1115"/>
    </row>
    <row r="158" spans="1:15">
      <c r="F158" s="329">
        <v>10</v>
      </c>
      <c r="G158" s="533">
        <v>30</v>
      </c>
      <c r="H158" s="533">
        <v>8</v>
      </c>
      <c r="I158" s="327">
        <v>25</v>
      </c>
    </row>
    <row r="159" spans="1:15">
      <c r="F159" s="433">
        <v>15</v>
      </c>
      <c r="G159">
        <v>10</v>
      </c>
      <c r="H159">
        <v>21</v>
      </c>
      <c r="I159" s="518">
        <v>30</v>
      </c>
    </row>
    <row r="160" spans="1:15">
      <c r="F160" s="433">
        <v>13</v>
      </c>
      <c r="G160">
        <v>30</v>
      </c>
      <c r="H160">
        <v>13</v>
      </c>
      <c r="I160" s="518">
        <v>20</v>
      </c>
    </row>
    <row r="161" spans="1:27">
      <c r="F161" s="433">
        <v>13</v>
      </c>
      <c r="G161">
        <v>45</v>
      </c>
      <c r="H161">
        <v>50</v>
      </c>
      <c r="I161" s="518">
        <v>25</v>
      </c>
    </row>
    <row r="162" spans="1:27">
      <c r="F162" s="254">
        <v>50</v>
      </c>
      <c r="G162" s="255">
        <v>45</v>
      </c>
      <c r="H162" s="255">
        <v>52</v>
      </c>
      <c r="I162" s="256">
        <v>63</v>
      </c>
    </row>
    <row r="163" spans="1:27">
      <c r="B163" s="329">
        <v>38</v>
      </c>
      <c r="C163" s="327">
        <v>40</v>
      </c>
      <c r="D163" s="329"/>
      <c r="E163" s="327"/>
      <c r="F163" s="330">
        <v>50</v>
      </c>
      <c r="G163" s="483">
        <v>50</v>
      </c>
      <c r="H163" s="483">
        <v>50</v>
      </c>
      <c r="I163" s="331">
        <v>60</v>
      </c>
      <c r="J163" s="329"/>
      <c r="K163" s="327"/>
      <c r="L163" s="329">
        <v>41</v>
      </c>
      <c r="M163" s="327">
        <v>23</v>
      </c>
    </row>
    <row r="164" spans="1:27">
      <c r="B164" s="433">
        <v>5</v>
      </c>
      <c r="C164" s="518"/>
      <c r="D164" s="433">
        <v>35</v>
      </c>
      <c r="E164" s="518">
        <v>35</v>
      </c>
      <c r="F164" s="484">
        <v>50</v>
      </c>
      <c r="G164" s="257">
        <v>70</v>
      </c>
      <c r="H164" s="257">
        <v>50</v>
      </c>
      <c r="I164" s="485">
        <v>65</v>
      </c>
      <c r="J164" s="433">
        <v>43</v>
      </c>
      <c r="K164" s="518">
        <v>25</v>
      </c>
      <c r="L164" s="433">
        <v>37</v>
      </c>
      <c r="M164" s="518">
        <v>3</v>
      </c>
    </row>
    <row r="165" spans="1:27">
      <c r="B165" s="433">
        <v>3</v>
      </c>
      <c r="C165" s="518">
        <v>36</v>
      </c>
      <c r="D165" s="433">
        <v>35</v>
      </c>
      <c r="E165" s="518">
        <v>35</v>
      </c>
      <c r="F165" s="484">
        <v>72</v>
      </c>
      <c r="G165" s="257">
        <v>70</v>
      </c>
      <c r="H165" s="257">
        <v>70</v>
      </c>
      <c r="I165" s="485">
        <v>85</v>
      </c>
      <c r="J165" s="433">
        <v>35</v>
      </c>
      <c r="K165" s="518">
        <v>25</v>
      </c>
      <c r="L165" s="433">
        <v>42</v>
      </c>
      <c r="M165" s="518">
        <v>3</v>
      </c>
    </row>
    <row r="166" spans="1:27">
      <c r="B166" s="252">
        <v>3</v>
      </c>
      <c r="C166" s="253">
        <v>36</v>
      </c>
      <c r="D166" s="252"/>
      <c r="E166" s="253"/>
      <c r="F166" s="254">
        <v>81</v>
      </c>
      <c r="G166" s="255">
        <v>90</v>
      </c>
      <c r="H166" s="255">
        <v>95</v>
      </c>
      <c r="I166" s="256">
        <v>85</v>
      </c>
      <c r="J166" s="252"/>
      <c r="K166" s="253"/>
      <c r="L166" s="252">
        <v>40</v>
      </c>
      <c r="M166" s="253">
        <v>3</v>
      </c>
    </row>
    <row r="167" spans="1:27">
      <c r="B167" s="1110" t="s">
        <v>737</v>
      </c>
      <c r="C167" s="1111"/>
      <c r="D167" s="1110" t="s">
        <v>738</v>
      </c>
      <c r="E167" s="1111"/>
      <c r="F167" s="1110" t="s">
        <v>739</v>
      </c>
      <c r="G167" s="1111"/>
      <c r="H167" s="1111"/>
      <c r="I167" s="1111"/>
      <c r="J167" s="1110" t="s">
        <v>740</v>
      </c>
      <c r="K167" s="1111"/>
      <c r="L167" s="1110" t="s">
        <v>737</v>
      </c>
      <c r="M167" s="1111"/>
    </row>
    <row r="168" spans="1:27">
      <c r="F168" t="s">
        <v>741</v>
      </c>
    </row>
    <row r="171" spans="1:27">
      <c r="A171" t="s">
        <v>742</v>
      </c>
      <c r="F171" s="1114" t="s">
        <v>668</v>
      </c>
      <c r="G171" s="1115"/>
      <c r="H171" s="1115"/>
      <c r="I171" s="1115"/>
    </row>
    <row r="172" spans="1:27">
      <c r="F172" s="329">
        <v>30</v>
      </c>
      <c r="G172" s="533">
        <v>28</v>
      </c>
      <c r="H172" s="533">
        <v>36</v>
      </c>
      <c r="I172" s="327">
        <v>50</v>
      </c>
    </row>
    <row r="173" spans="1:27">
      <c r="F173" s="433">
        <v>0</v>
      </c>
      <c r="G173">
        <v>0</v>
      </c>
      <c r="H173">
        <v>0</v>
      </c>
      <c r="I173" s="518">
        <v>0</v>
      </c>
    </row>
    <row r="174" spans="1:27">
      <c r="F174" s="433">
        <v>45</v>
      </c>
      <c r="G174">
        <v>37</v>
      </c>
      <c r="H174">
        <v>39</v>
      </c>
      <c r="I174" s="518">
        <v>45</v>
      </c>
    </row>
    <row r="175" spans="1:27">
      <c r="F175" s="433">
        <v>66</v>
      </c>
      <c r="G175">
        <v>66</v>
      </c>
      <c r="H175">
        <v>39</v>
      </c>
      <c r="I175" s="518">
        <v>43</v>
      </c>
      <c r="O175">
        <v>335</v>
      </c>
      <c r="R175">
        <v>329</v>
      </c>
      <c r="S175">
        <v>330</v>
      </c>
      <c r="T175">
        <v>296</v>
      </c>
      <c r="U175">
        <v>349</v>
      </c>
      <c r="X175">
        <v>324</v>
      </c>
      <c r="Z175" t="s">
        <v>196</v>
      </c>
      <c r="AA175">
        <v>457</v>
      </c>
    </row>
    <row r="176" spans="1:27">
      <c r="B176" s="329">
        <v>45</v>
      </c>
      <c r="C176" s="327">
        <v>53</v>
      </c>
      <c r="D176" s="329"/>
      <c r="E176" s="327"/>
      <c r="F176" s="332">
        <v>0</v>
      </c>
      <c r="G176" s="486">
        <v>38</v>
      </c>
      <c r="H176" s="486">
        <v>44</v>
      </c>
      <c r="I176" s="333">
        <v>43</v>
      </c>
      <c r="J176" s="329"/>
      <c r="K176" s="327"/>
      <c r="L176" s="329">
        <v>45</v>
      </c>
      <c r="M176" s="327">
        <v>42</v>
      </c>
      <c r="O176">
        <v>115</v>
      </c>
      <c r="R176">
        <v>120</v>
      </c>
      <c r="S176">
        <v>150</v>
      </c>
      <c r="T176">
        <v>135</v>
      </c>
      <c r="U176">
        <v>115</v>
      </c>
      <c r="X176">
        <v>138</v>
      </c>
      <c r="Z176" t="s">
        <v>195</v>
      </c>
      <c r="AA176">
        <v>357</v>
      </c>
    </row>
    <row r="177" spans="1:27">
      <c r="B177" s="433">
        <v>30</v>
      </c>
      <c r="C177" s="518">
        <v>53</v>
      </c>
      <c r="D177" s="433">
        <v>50</v>
      </c>
      <c r="E177" s="518">
        <v>38</v>
      </c>
      <c r="F177" s="487">
        <v>43</v>
      </c>
      <c r="G177" s="261">
        <v>56</v>
      </c>
      <c r="H177" s="261">
        <v>44</v>
      </c>
      <c r="I177" s="488">
        <v>44</v>
      </c>
      <c r="J177" s="433">
        <v>55</v>
      </c>
      <c r="K177" s="518">
        <v>48</v>
      </c>
      <c r="L177" s="433">
        <v>45</v>
      </c>
      <c r="M177" s="518">
        <v>83</v>
      </c>
      <c r="P177">
        <v>132</v>
      </c>
      <c r="Q177">
        <v>270</v>
      </c>
      <c r="V177">
        <v>251</v>
      </c>
      <c r="W177">
        <v>265</v>
      </c>
      <c r="Z177" t="s">
        <v>743</v>
      </c>
      <c r="AA177">
        <v>457</v>
      </c>
    </row>
    <row r="178" spans="1:27">
      <c r="B178" s="433">
        <v>48</v>
      </c>
      <c r="C178" s="518">
        <v>63</v>
      </c>
      <c r="D178" s="433">
        <v>30</v>
      </c>
      <c r="E178" s="518">
        <v>48</v>
      </c>
      <c r="F178" s="487">
        <v>45</v>
      </c>
      <c r="G178" s="261"/>
      <c r="H178" s="261">
        <v>48</v>
      </c>
      <c r="I178" s="488">
        <v>53</v>
      </c>
      <c r="J178" s="433">
        <v>55</v>
      </c>
      <c r="K178" s="518">
        <v>54</v>
      </c>
      <c r="L178" s="433">
        <v>46</v>
      </c>
      <c r="M178" s="518">
        <v>50</v>
      </c>
      <c r="P178">
        <v>208</v>
      </c>
      <c r="Q178">
        <v>253</v>
      </c>
      <c r="V178">
        <v>256</v>
      </c>
      <c r="W178">
        <v>248</v>
      </c>
    </row>
    <row r="179" spans="1:27">
      <c r="B179" s="252">
        <v>34</v>
      </c>
      <c r="C179" s="253">
        <v>79</v>
      </c>
      <c r="D179" s="252"/>
      <c r="E179" s="253"/>
      <c r="F179" s="258">
        <v>45</v>
      </c>
      <c r="G179" s="259">
        <v>38</v>
      </c>
      <c r="H179" s="259">
        <v>40</v>
      </c>
      <c r="I179" s="260">
        <v>45</v>
      </c>
      <c r="J179" s="252"/>
      <c r="K179" s="253"/>
      <c r="L179" s="252">
        <v>48</v>
      </c>
      <c r="M179" s="253">
        <v>50</v>
      </c>
      <c r="P179">
        <v>252</v>
      </c>
      <c r="Q179">
        <v>241</v>
      </c>
      <c r="V179">
        <v>273</v>
      </c>
      <c r="W179">
        <v>245</v>
      </c>
    </row>
    <row r="180" spans="1:27">
      <c r="B180" s="1110" t="s">
        <v>737</v>
      </c>
      <c r="C180" s="1111"/>
      <c r="D180" s="1110" t="s">
        <v>738</v>
      </c>
      <c r="E180" s="1111"/>
      <c r="F180" s="1110" t="s">
        <v>739</v>
      </c>
      <c r="G180" s="1111"/>
      <c r="H180" s="1111"/>
      <c r="I180" s="1111"/>
      <c r="J180" s="1110" t="s">
        <v>740</v>
      </c>
      <c r="K180" s="1111"/>
      <c r="L180" s="1110" t="s">
        <v>737</v>
      </c>
      <c r="M180" s="1111"/>
      <c r="P180">
        <v>249</v>
      </c>
      <c r="Q180">
        <v>227</v>
      </c>
      <c r="V180">
        <v>257</v>
      </c>
      <c r="W180">
        <v>217</v>
      </c>
    </row>
    <row r="181" spans="1:27">
      <c r="F181" t="s">
        <v>741</v>
      </c>
    </row>
    <row r="182" spans="1:27">
      <c r="O182" s="262">
        <f>($AA$175-O175)</f>
        <v>122</v>
      </c>
      <c r="P182" s="528"/>
      <c r="Q182" s="528"/>
      <c r="R182" s="528">
        <f>($AA$175-R175)</f>
        <v>128</v>
      </c>
      <c r="S182" s="528">
        <f>($AA$175-S175)</f>
        <v>127</v>
      </c>
      <c r="T182" s="528">
        <f>($AA$175-T175)</f>
        <v>161</v>
      </c>
      <c r="U182" s="528">
        <f>($AA$175-U175)</f>
        <v>108</v>
      </c>
      <c r="V182" s="528"/>
      <c r="W182" s="528"/>
      <c r="X182" s="529">
        <f>($AA$175-X175)</f>
        <v>133</v>
      </c>
      <c r="Y182" t="s">
        <v>744</v>
      </c>
    </row>
    <row r="183" spans="1:27">
      <c r="O183" s="262">
        <f>($AA$176-O176)/2</f>
        <v>121</v>
      </c>
      <c r="P183" s="528"/>
      <c r="Q183" s="528"/>
      <c r="R183" s="528">
        <f>($AA$176-R176)/2</f>
        <v>118.5</v>
      </c>
      <c r="S183" s="528">
        <f>($AA$176-S176)/2</f>
        <v>103.5</v>
      </c>
      <c r="T183" s="528">
        <f>($AA$176-T176)/2</f>
        <v>111</v>
      </c>
      <c r="U183" s="528">
        <f>($AA$176-U176)/2</f>
        <v>121</v>
      </c>
      <c r="V183" s="528"/>
      <c r="W183" s="528"/>
      <c r="X183" s="529">
        <f>($AA$176-X176)/2</f>
        <v>109.5</v>
      </c>
      <c r="Y183" t="s">
        <v>745</v>
      </c>
    </row>
    <row r="184" spans="1:27">
      <c r="P184" s="433">
        <f t="shared" ref="P184:Q187" si="0">($AA$177-P177)/2</f>
        <v>162.5</v>
      </c>
      <c r="Q184" s="518">
        <f t="shared" si="0"/>
        <v>93.5</v>
      </c>
      <c r="V184" s="433">
        <f t="shared" ref="V184:W187" si="1">($AA$177-V177)/2</f>
        <v>103</v>
      </c>
      <c r="W184" s="518">
        <f t="shared" si="1"/>
        <v>96</v>
      </c>
    </row>
    <row r="185" spans="1:27">
      <c r="P185" s="433">
        <f t="shared" si="0"/>
        <v>124.5</v>
      </c>
      <c r="Q185" s="518">
        <f t="shared" si="0"/>
        <v>102</v>
      </c>
      <c r="V185" s="433">
        <f t="shared" si="1"/>
        <v>100.5</v>
      </c>
      <c r="W185" s="518">
        <f t="shared" si="1"/>
        <v>104.5</v>
      </c>
    </row>
    <row r="186" spans="1:27">
      <c r="P186" s="433">
        <f t="shared" si="0"/>
        <v>102.5</v>
      </c>
      <c r="Q186" s="518">
        <f t="shared" si="0"/>
        <v>108</v>
      </c>
      <c r="V186" s="433">
        <f t="shared" si="1"/>
        <v>92</v>
      </c>
      <c r="W186" s="518">
        <f t="shared" si="1"/>
        <v>106</v>
      </c>
    </row>
    <row r="187" spans="1:27">
      <c r="P187" s="252">
        <f t="shared" si="0"/>
        <v>104</v>
      </c>
      <c r="Q187" s="253">
        <f t="shared" si="0"/>
        <v>115</v>
      </c>
      <c r="V187" s="252">
        <f t="shared" si="1"/>
        <v>100</v>
      </c>
      <c r="W187" s="253">
        <f t="shared" si="1"/>
        <v>120</v>
      </c>
    </row>
    <row r="188" spans="1:27">
      <c r="P188" s="1110" t="s">
        <v>746</v>
      </c>
      <c r="Q188" s="1111"/>
      <c r="V188" s="1110" t="s">
        <v>747</v>
      </c>
      <c r="W188" s="1111"/>
    </row>
    <row r="191" spans="1:27">
      <c r="A191" t="s">
        <v>748</v>
      </c>
      <c r="F191" s="1114" t="s">
        <v>668</v>
      </c>
      <c r="G191" s="1115"/>
      <c r="H191" s="1115"/>
      <c r="I191" s="1115"/>
    </row>
    <row r="192" spans="1:27">
      <c r="F192" s="330">
        <v>50</v>
      </c>
      <c r="G192" s="483">
        <v>55</v>
      </c>
      <c r="H192" s="483">
        <v>53</v>
      </c>
      <c r="I192" s="331">
        <v>56</v>
      </c>
    </row>
    <row r="193" spans="2:24">
      <c r="F193" s="484">
        <v>49</v>
      </c>
      <c r="G193" s="257">
        <v>56</v>
      </c>
      <c r="H193" s="257">
        <v>54</v>
      </c>
      <c r="I193" s="485">
        <v>50</v>
      </c>
    </row>
    <row r="194" spans="2:24">
      <c r="F194" s="484">
        <v>61</v>
      </c>
      <c r="G194" s="257">
        <v>57</v>
      </c>
      <c r="H194" s="257">
        <v>53</v>
      </c>
      <c r="I194" s="485">
        <v>53</v>
      </c>
    </row>
    <row r="195" spans="2:24">
      <c r="F195" s="484">
        <v>50</v>
      </c>
      <c r="G195" s="257">
        <v>47</v>
      </c>
      <c r="H195" s="257">
        <v>66</v>
      </c>
      <c r="I195" s="485">
        <v>55</v>
      </c>
      <c r="O195">
        <v>380</v>
      </c>
      <c r="R195">
        <v>380</v>
      </c>
      <c r="S195">
        <v>375</v>
      </c>
      <c r="T195">
        <v>388</v>
      </c>
      <c r="U195">
        <v>382</v>
      </c>
      <c r="W195" t="s">
        <v>196</v>
      </c>
      <c r="X195">
        <v>457</v>
      </c>
    </row>
    <row r="196" spans="2:24">
      <c r="B196" s="329">
        <v>15</v>
      </c>
      <c r="C196" s="327">
        <v>36</v>
      </c>
      <c r="D196" s="329"/>
      <c r="E196" s="327"/>
      <c r="F196" s="332">
        <v>22</v>
      </c>
      <c r="G196" s="486">
        <v>23</v>
      </c>
      <c r="H196" s="486">
        <v>25</v>
      </c>
      <c r="I196" s="333">
        <v>25</v>
      </c>
      <c r="J196" s="329"/>
      <c r="K196" s="327"/>
      <c r="L196" s="329">
        <v>37</v>
      </c>
      <c r="M196" s="327">
        <v>13</v>
      </c>
      <c r="O196">
        <v>195</v>
      </c>
      <c r="R196">
        <v>200</v>
      </c>
      <c r="S196">
        <v>197</v>
      </c>
      <c r="T196">
        <v>194</v>
      </c>
      <c r="U196">
        <v>196</v>
      </c>
      <c r="W196" t="s">
        <v>195</v>
      </c>
      <c r="X196">
        <v>357</v>
      </c>
    </row>
    <row r="197" spans="2:24">
      <c r="B197" s="433">
        <v>23</v>
      </c>
      <c r="C197" s="518">
        <v>38</v>
      </c>
      <c r="D197" s="433">
        <v>25</v>
      </c>
      <c r="E197" s="518">
        <v>25</v>
      </c>
      <c r="F197" s="487">
        <v>36</v>
      </c>
      <c r="G197" s="261">
        <v>20</v>
      </c>
      <c r="H197" s="261">
        <v>35</v>
      </c>
      <c r="I197" s="488">
        <v>33</v>
      </c>
      <c r="J197" s="433">
        <v>35</v>
      </c>
      <c r="K197" s="518">
        <v>30</v>
      </c>
      <c r="L197" s="433">
        <v>37</v>
      </c>
      <c r="M197" s="518">
        <v>15</v>
      </c>
      <c r="P197">
        <v>332</v>
      </c>
      <c r="Q197">
        <v>322</v>
      </c>
      <c r="W197" t="s">
        <v>743</v>
      </c>
      <c r="X197">
        <v>457</v>
      </c>
    </row>
    <row r="198" spans="2:24">
      <c r="B198" s="433">
        <v>0</v>
      </c>
      <c r="C198" s="518">
        <v>34</v>
      </c>
      <c r="D198" s="433">
        <v>38</v>
      </c>
      <c r="E198" s="518">
        <v>24</v>
      </c>
      <c r="F198" s="487">
        <v>37</v>
      </c>
      <c r="G198" s="261">
        <v>17</v>
      </c>
      <c r="H198" s="261">
        <v>27</v>
      </c>
      <c r="I198" s="488">
        <v>45</v>
      </c>
      <c r="J198" s="433">
        <v>27</v>
      </c>
      <c r="K198" s="518">
        <v>25</v>
      </c>
      <c r="L198" s="433">
        <v>40</v>
      </c>
      <c r="M198" s="518">
        <v>0</v>
      </c>
      <c r="P198">
        <v>327</v>
      </c>
      <c r="Q198">
        <v>299</v>
      </c>
    </row>
    <row r="199" spans="2:24">
      <c r="B199" s="252">
        <v>0</v>
      </c>
      <c r="C199" s="253">
        <v>36</v>
      </c>
      <c r="D199" s="252"/>
      <c r="E199" s="253"/>
      <c r="F199" s="258">
        <v>23</v>
      </c>
      <c r="G199" s="259">
        <v>28</v>
      </c>
      <c r="H199" s="259">
        <v>24</v>
      </c>
      <c r="I199" s="260">
        <v>17</v>
      </c>
      <c r="J199" s="252"/>
      <c r="K199" s="253"/>
      <c r="L199" s="252">
        <v>39</v>
      </c>
      <c r="M199" s="253">
        <v>0</v>
      </c>
      <c r="P199">
        <v>315</v>
      </c>
      <c r="Q199">
        <v>305</v>
      </c>
    </row>
    <row r="200" spans="2:24">
      <c r="B200" s="1110" t="s">
        <v>737</v>
      </c>
      <c r="C200" s="1111"/>
      <c r="D200" s="1110" t="s">
        <v>738</v>
      </c>
      <c r="E200" s="1111"/>
      <c r="F200" s="1110" t="s">
        <v>739</v>
      </c>
      <c r="G200" s="1111"/>
      <c r="H200" s="1111"/>
      <c r="I200" s="1111"/>
      <c r="J200" s="1110" t="s">
        <v>740</v>
      </c>
      <c r="K200" s="1111"/>
      <c r="L200" s="1110" t="s">
        <v>737</v>
      </c>
      <c r="M200" s="1111"/>
      <c r="P200">
        <v>270</v>
      </c>
      <c r="Q200">
        <v>293</v>
      </c>
    </row>
    <row r="201" spans="2:24">
      <c r="F201" t="s">
        <v>741</v>
      </c>
    </row>
    <row r="202" spans="2:24">
      <c r="O202" s="262">
        <f>($AA$175-O195)</f>
        <v>77</v>
      </c>
      <c r="P202" s="528"/>
      <c r="Q202" s="528"/>
      <c r="R202" s="528">
        <f>($AA$175-R195)</f>
        <v>77</v>
      </c>
      <c r="S202" s="528">
        <f>($AA$175-S195)</f>
        <v>82</v>
      </c>
      <c r="T202" s="528">
        <f>($AA$175-T195)</f>
        <v>69</v>
      </c>
      <c r="U202" s="528">
        <f>($AA$175-U195)</f>
        <v>75</v>
      </c>
      <c r="V202" t="s">
        <v>744</v>
      </c>
    </row>
    <row r="203" spans="2:24">
      <c r="O203" s="262">
        <f>($AA$176-O196)/2</f>
        <v>81</v>
      </c>
      <c r="P203" s="528"/>
      <c r="Q203" s="528"/>
      <c r="R203" s="528">
        <f>($AA$176-R196)/2</f>
        <v>78.5</v>
      </c>
      <c r="S203" s="528">
        <f>($AA$176-S196)/2</f>
        <v>80</v>
      </c>
      <c r="T203" s="528">
        <f>($AA$176-T196)/2</f>
        <v>81.5</v>
      </c>
      <c r="U203" s="528">
        <f>($AA$176-U196)/2</f>
        <v>80.5</v>
      </c>
      <c r="V203" t="s">
        <v>745</v>
      </c>
    </row>
    <row r="204" spans="2:24">
      <c r="P204" s="433">
        <f t="shared" ref="P204:Q207" si="2">($AA$177-P197)/2</f>
        <v>62.5</v>
      </c>
      <c r="Q204" s="518">
        <f t="shared" si="2"/>
        <v>67.5</v>
      </c>
    </row>
    <row r="205" spans="2:24">
      <c r="P205" s="433">
        <f t="shared" si="2"/>
        <v>65</v>
      </c>
      <c r="Q205" s="518">
        <f t="shared" si="2"/>
        <v>79</v>
      </c>
    </row>
    <row r="206" spans="2:24">
      <c r="P206" s="433">
        <f t="shared" si="2"/>
        <v>71</v>
      </c>
      <c r="Q206" s="518">
        <f t="shared" si="2"/>
        <v>76</v>
      </c>
    </row>
    <row r="207" spans="2:24">
      <c r="P207" s="252">
        <f t="shared" si="2"/>
        <v>93.5</v>
      </c>
      <c r="Q207" s="253">
        <f t="shared" si="2"/>
        <v>82</v>
      </c>
    </row>
    <row r="208" spans="2:24">
      <c r="P208" s="1110" t="s">
        <v>746</v>
      </c>
      <c r="Q208" s="1111"/>
      <c r="V208" s="1112"/>
      <c r="W208" s="1113"/>
    </row>
    <row r="209" spans="1:13">
      <c r="A209" t="s">
        <v>749</v>
      </c>
      <c r="F209" s="1114" t="s">
        <v>668</v>
      </c>
      <c r="G209" s="1115"/>
      <c r="H209" s="1115"/>
      <c r="I209" s="1115"/>
    </row>
    <row r="210" spans="1:13">
      <c r="F210" s="330">
        <v>79</v>
      </c>
      <c r="G210" s="483">
        <v>81</v>
      </c>
      <c r="H210" s="483">
        <v>70</v>
      </c>
      <c r="I210" s="331">
        <v>88</v>
      </c>
    </row>
    <row r="211" spans="1:13">
      <c r="F211" s="484">
        <v>82</v>
      </c>
      <c r="G211" s="257">
        <v>70</v>
      </c>
      <c r="H211" s="257">
        <v>70</v>
      </c>
      <c r="I211" s="485">
        <v>90</v>
      </c>
    </row>
    <row r="212" spans="1:13">
      <c r="F212" s="484">
        <v>80</v>
      </c>
      <c r="G212" s="257">
        <v>70</v>
      </c>
      <c r="H212" s="257">
        <v>70</v>
      </c>
      <c r="I212" s="485">
        <v>75</v>
      </c>
    </row>
    <row r="213" spans="1:13">
      <c r="F213" s="484">
        <v>86</v>
      </c>
      <c r="G213" s="257">
        <v>73</v>
      </c>
      <c r="H213" s="257">
        <v>77</v>
      </c>
      <c r="I213" s="485">
        <v>79</v>
      </c>
    </row>
    <row r="214" spans="1:13">
      <c r="B214" s="329">
        <v>43</v>
      </c>
      <c r="C214" s="327">
        <v>79</v>
      </c>
      <c r="D214" s="330"/>
      <c r="E214" s="331"/>
      <c r="F214" s="332">
        <v>75</v>
      </c>
      <c r="G214" s="486">
        <v>70</v>
      </c>
      <c r="H214" s="486">
        <v>70</v>
      </c>
      <c r="I214" s="333">
        <v>38</v>
      </c>
      <c r="J214" s="330"/>
      <c r="K214" s="331"/>
      <c r="L214" s="329">
        <v>53</v>
      </c>
      <c r="M214" s="327">
        <v>50</v>
      </c>
    </row>
    <row r="215" spans="1:13">
      <c r="B215" s="433"/>
      <c r="C215" s="518">
        <v>89</v>
      </c>
      <c r="D215" s="484">
        <v>88</v>
      </c>
      <c r="E215" s="485">
        <v>83</v>
      </c>
      <c r="F215" s="487">
        <v>71</v>
      </c>
      <c r="G215" s="261">
        <v>75</v>
      </c>
      <c r="H215" s="261">
        <v>87</v>
      </c>
      <c r="I215" s="488">
        <v>73</v>
      </c>
      <c r="J215" s="484">
        <v>83</v>
      </c>
      <c r="K215" s="485">
        <v>81</v>
      </c>
      <c r="L215" s="433">
        <v>78</v>
      </c>
      <c r="M215" s="518"/>
    </row>
    <row r="216" spans="1:13">
      <c r="B216" s="433">
        <v>55</v>
      </c>
      <c r="C216" s="518">
        <v>90</v>
      </c>
      <c r="D216" s="484">
        <v>88</v>
      </c>
      <c r="E216" s="485">
        <v>88</v>
      </c>
      <c r="F216" s="487">
        <v>79</v>
      </c>
      <c r="G216" s="261">
        <v>79</v>
      </c>
      <c r="H216" s="261">
        <v>73</v>
      </c>
      <c r="I216" s="488">
        <v>82</v>
      </c>
      <c r="J216" s="484">
        <v>89</v>
      </c>
      <c r="K216" s="485">
        <v>109</v>
      </c>
      <c r="L216" s="433">
        <v>91</v>
      </c>
      <c r="M216" s="518">
        <v>55</v>
      </c>
    </row>
    <row r="217" spans="1:13">
      <c r="B217" s="252">
        <v>45</v>
      </c>
      <c r="C217" s="253">
        <v>58</v>
      </c>
      <c r="D217" s="254"/>
      <c r="E217" s="256"/>
      <c r="F217" s="258">
        <v>85</v>
      </c>
      <c r="G217" s="259">
        <v>79</v>
      </c>
      <c r="H217" s="259">
        <v>75</v>
      </c>
      <c r="I217" s="260">
        <v>83</v>
      </c>
      <c r="J217" s="254"/>
      <c r="K217" s="256"/>
      <c r="L217" s="252">
        <v>90</v>
      </c>
      <c r="M217" s="253">
        <v>35</v>
      </c>
    </row>
    <row r="218" spans="1:13">
      <c r="B218" s="1110" t="s">
        <v>737</v>
      </c>
      <c r="C218" s="1111"/>
      <c r="D218" s="1110" t="s">
        <v>738</v>
      </c>
      <c r="E218" s="1111"/>
      <c r="F218" s="1110" t="s">
        <v>739</v>
      </c>
      <c r="G218" s="1111"/>
      <c r="H218" s="1111"/>
      <c r="I218" s="1111"/>
      <c r="J218" s="1110" t="s">
        <v>740</v>
      </c>
      <c r="K218" s="1111"/>
      <c r="L218" s="1110" t="s">
        <v>737</v>
      </c>
      <c r="M218" s="1111"/>
    </row>
    <row r="219" spans="1:13">
      <c r="F219" t="s">
        <v>741</v>
      </c>
    </row>
    <row r="221" spans="1:13">
      <c r="A221" t="s">
        <v>750</v>
      </c>
    </row>
    <row r="224" spans="1:13">
      <c r="L224" t="s">
        <v>751</v>
      </c>
      <c r="M224" t="s">
        <v>306</v>
      </c>
    </row>
    <row r="226" spans="1:13">
      <c r="L226" t="s">
        <v>752</v>
      </c>
      <c r="M226">
        <v>30</v>
      </c>
    </row>
    <row r="228" spans="1:13">
      <c r="L228" t="s">
        <v>753</v>
      </c>
      <c r="M228">
        <v>30</v>
      </c>
    </row>
    <row r="230" spans="1:13">
      <c r="L230" t="s">
        <v>754</v>
      </c>
      <c r="M230">
        <v>20</v>
      </c>
    </row>
    <row r="232" spans="1:13">
      <c r="L232" t="s">
        <v>755</v>
      </c>
      <c r="M232" s="280" t="s">
        <v>756</v>
      </c>
    </row>
    <row r="236" spans="1:13">
      <c r="A236" t="s">
        <v>757</v>
      </c>
      <c r="B236" t="s">
        <v>758</v>
      </c>
    </row>
    <row r="237" spans="1:13">
      <c r="A237" t="s">
        <v>759</v>
      </c>
      <c r="B237" t="s">
        <v>368</v>
      </c>
      <c r="C237" t="s">
        <v>369</v>
      </c>
      <c r="D237" t="s">
        <v>367</v>
      </c>
    </row>
    <row r="238" spans="1:13">
      <c r="A238" t="s">
        <v>740</v>
      </c>
    </row>
    <row r="239" spans="1:13">
      <c r="A239" t="s">
        <v>760</v>
      </c>
      <c r="B239">
        <v>23</v>
      </c>
      <c r="C239">
        <v>23</v>
      </c>
      <c r="D239">
        <f>AVERAGE(B239:C239)</f>
        <v>23</v>
      </c>
    </row>
    <row r="240" spans="1:13">
      <c r="A240" t="s">
        <v>601</v>
      </c>
      <c r="B240">
        <v>47</v>
      </c>
      <c r="C240">
        <v>50</v>
      </c>
      <c r="D240">
        <f>AVERAGE(B240:C240)</f>
        <v>48.5</v>
      </c>
    </row>
    <row r="241" spans="1:21">
      <c r="A241" t="s">
        <v>738</v>
      </c>
    </row>
    <row r="242" spans="1:21">
      <c r="A242" t="s">
        <v>760</v>
      </c>
      <c r="B242">
        <v>23</v>
      </c>
      <c r="C242">
        <v>30</v>
      </c>
      <c r="D242">
        <f>AVERAGE(B242:C242)</f>
        <v>26.5</v>
      </c>
    </row>
    <row r="244" spans="1:21">
      <c r="B244">
        <f>MIN(B239:B242)</f>
        <v>23</v>
      </c>
      <c r="C244">
        <f>MAX(C239:C242)</f>
        <v>50</v>
      </c>
      <c r="D244">
        <f>AVERAGE(D239:D242)</f>
        <v>32.666666666666664</v>
      </c>
    </row>
    <row r="246" spans="1:21" ht="15.75" thickBot="1">
      <c r="Q246" t="s">
        <v>761</v>
      </c>
      <c r="R246" t="s">
        <v>443</v>
      </c>
      <c r="S246" t="s">
        <v>762</v>
      </c>
    </row>
    <row r="247" spans="1:21">
      <c r="A247" t="str">
        <f>Recap!D8</f>
        <v>McGregor_1</v>
      </c>
      <c r="Q247" s="242">
        <f>3.5-2*AF247/1000</f>
        <v>3.5</v>
      </c>
      <c r="R247" s="243">
        <f>4.5-2*AF247/1000</f>
        <v>4.5</v>
      </c>
      <c r="S247" s="243">
        <f>2.5-(AR247+BE247+BG247)/1000</f>
        <v>2.5</v>
      </c>
    </row>
    <row r="248" spans="1:21">
      <c r="Q248">
        <f>Q247/11</f>
        <v>0.31818181818181818</v>
      </c>
      <c r="R248">
        <f>R247/13</f>
        <v>0.34615384615384615</v>
      </c>
      <c r="S248">
        <f>S247/6</f>
        <v>0.41666666666666669</v>
      </c>
    </row>
    <row r="249" spans="1:21">
      <c r="T249" t="s">
        <v>763</v>
      </c>
      <c r="U249" t="s">
        <v>762</v>
      </c>
    </row>
    <row r="250" spans="1:21">
      <c r="S250" t="s">
        <v>764</v>
      </c>
      <c r="T250" t="s">
        <v>765</v>
      </c>
      <c r="U250" t="s">
        <v>766</v>
      </c>
    </row>
    <row r="254" spans="1:21">
      <c r="P254" t="s">
        <v>668</v>
      </c>
      <c r="Q254" t="s">
        <v>767</v>
      </c>
      <c r="T254" t="s">
        <v>667</v>
      </c>
      <c r="U254" t="s">
        <v>767</v>
      </c>
    </row>
    <row r="255" spans="1:21">
      <c r="P255">
        <v>60</v>
      </c>
      <c r="T255">
        <v>60</v>
      </c>
      <c r="U255">
        <v>2</v>
      </c>
    </row>
    <row r="256" spans="1:21">
      <c r="P256">
        <v>50</v>
      </c>
      <c r="Q256">
        <f>6*4+1</f>
        <v>25</v>
      </c>
      <c r="T256">
        <v>50</v>
      </c>
      <c r="U256">
        <f>7*4+1-U255</f>
        <v>27</v>
      </c>
    </row>
    <row r="257" spans="16:22">
      <c r="P257">
        <v>40</v>
      </c>
      <c r="Q257">
        <f>7*9-Q256</f>
        <v>38</v>
      </c>
      <c r="T257">
        <v>40</v>
      </c>
      <c r="U257">
        <f>9*5+1+4*3-U256-U255</f>
        <v>29</v>
      </c>
    </row>
    <row r="258" spans="16:22">
      <c r="P258">
        <v>30</v>
      </c>
      <c r="Q258">
        <f>11*10-Q257-Q256</f>
        <v>47</v>
      </c>
      <c r="T258">
        <v>30</v>
      </c>
      <c r="U258">
        <f>11*6+3*4+4*5+3-U257-U256-U255</f>
        <v>43</v>
      </c>
    </row>
    <row r="259" spans="16:22">
      <c r="P259">
        <v>20</v>
      </c>
      <c r="Q259">
        <f>R260-SUM(Q256:Q258)-Q260</f>
        <v>29</v>
      </c>
      <c r="T259">
        <v>20</v>
      </c>
      <c r="U259">
        <f>V260-SUM(U255:U258)-U260</f>
        <v>132</v>
      </c>
    </row>
    <row r="260" spans="16:22">
      <c r="P260">
        <v>10</v>
      </c>
      <c r="Q260">
        <v>4</v>
      </c>
      <c r="R260">
        <f>13*11</f>
        <v>143</v>
      </c>
      <c r="T260">
        <v>10</v>
      </c>
      <c r="U260">
        <f>2+6+5*2+6*11-5*3-3*3-4*5</f>
        <v>40</v>
      </c>
      <c r="V260">
        <f>6*13*2+6*11*2-5*3</f>
        <v>273</v>
      </c>
    </row>
    <row r="261" spans="16:22">
      <c r="Q261">
        <f>SUM(Q256:Q260)</f>
        <v>143</v>
      </c>
      <c r="U261">
        <f>SUM(U256:U260)</f>
        <v>271</v>
      </c>
    </row>
    <row r="262" spans="16:22">
      <c r="P262" t="s">
        <v>768</v>
      </c>
      <c r="Q262">
        <v>10</v>
      </c>
      <c r="T262" t="s">
        <v>768</v>
      </c>
      <c r="U262">
        <v>10</v>
      </c>
    </row>
    <row r="263" spans="16:22">
      <c r="P263" t="s">
        <v>769</v>
      </c>
      <c r="Q263">
        <v>60</v>
      </c>
      <c r="T263" t="s">
        <v>769</v>
      </c>
      <c r="U263">
        <v>60</v>
      </c>
    </row>
    <row r="264" spans="16:22">
      <c r="P264" t="s">
        <v>770</v>
      </c>
      <c r="Q264">
        <f>SUMPRODUCT(P255:P260,Q255:Q260)/Q261</f>
        <v>33.566433566433567</v>
      </c>
      <c r="T264" t="s">
        <v>770</v>
      </c>
      <c r="U264">
        <f>SUMPRODUCT(T255:T260,U255:U260)/U261</f>
        <v>25.682656826568266</v>
      </c>
    </row>
    <row r="274" spans="1:22">
      <c r="A274" t="str">
        <f>Recap!D10</f>
        <v>McGregor_3</v>
      </c>
      <c r="P274" t="s">
        <v>668</v>
      </c>
      <c r="Q274" t="s">
        <v>767</v>
      </c>
      <c r="T274" t="s">
        <v>667</v>
      </c>
      <c r="U274" t="s">
        <v>767</v>
      </c>
    </row>
    <row r="275" spans="1:22">
      <c r="P275">
        <v>60</v>
      </c>
      <c r="T275">
        <v>60</v>
      </c>
    </row>
    <row r="276" spans="1:22">
      <c r="P276">
        <v>50</v>
      </c>
      <c r="T276">
        <v>50</v>
      </c>
    </row>
    <row r="277" spans="1:22">
      <c r="P277">
        <v>40</v>
      </c>
      <c r="Q277">
        <v>1</v>
      </c>
      <c r="T277">
        <v>40</v>
      </c>
      <c r="U277">
        <v>17</v>
      </c>
    </row>
    <row r="278" spans="1:22">
      <c r="P278">
        <v>30</v>
      </c>
      <c r="Q278">
        <v>5</v>
      </c>
      <c r="T278">
        <v>30</v>
      </c>
      <c r="U278">
        <f>V280-U277-U279-U280</f>
        <v>241</v>
      </c>
    </row>
    <row r="279" spans="1:22">
      <c r="P279">
        <v>20</v>
      </c>
      <c r="Q279">
        <f>R280-SUM(Q276:Q278)-Q280</f>
        <v>137</v>
      </c>
      <c r="T279">
        <v>20</v>
      </c>
      <c r="U279">
        <v>12</v>
      </c>
    </row>
    <row r="280" spans="1:22">
      <c r="P280">
        <v>10</v>
      </c>
      <c r="R280">
        <f>13*11</f>
        <v>143</v>
      </c>
      <c r="T280">
        <v>10</v>
      </c>
      <c r="U280">
        <v>3</v>
      </c>
      <c r="V280">
        <f>6*13*2+6*11*2-5*3</f>
        <v>273</v>
      </c>
    </row>
    <row r="281" spans="1:22">
      <c r="Q281">
        <f>SUM(Q276:Q280)</f>
        <v>143</v>
      </c>
      <c r="U281">
        <f>SUM(U276:U280)</f>
        <v>273</v>
      </c>
    </row>
    <row r="282" spans="1:22">
      <c r="P282" t="s">
        <v>768</v>
      </c>
      <c r="Q282">
        <v>10</v>
      </c>
      <c r="T282" t="s">
        <v>768</v>
      </c>
      <c r="U282">
        <v>10</v>
      </c>
    </row>
    <row r="283" spans="1:22">
      <c r="P283" t="s">
        <v>769</v>
      </c>
      <c r="Q283">
        <v>60</v>
      </c>
      <c r="T283" t="s">
        <v>769</v>
      </c>
      <c r="U283">
        <v>60</v>
      </c>
    </row>
    <row r="284" spans="1:22">
      <c r="P284" t="s">
        <v>770</v>
      </c>
      <c r="Q284">
        <f>SUMPRODUCT(P275:P280,Q275:Q280)/Q281</f>
        <v>20.48951048951049</v>
      </c>
      <c r="T284" t="s">
        <v>770</v>
      </c>
      <c r="U284">
        <f>SUMPRODUCT(T275:T280,U275:U280)/U281</f>
        <v>29.963369963369964</v>
      </c>
    </row>
    <row r="298" spans="1:21">
      <c r="A298" t="str">
        <f>Recap!D12</f>
        <v>McGregor_5</v>
      </c>
      <c r="P298" t="s">
        <v>668</v>
      </c>
      <c r="Q298" t="s">
        <v>767</v>
      </c>
      <c r="T298" t="s">
        <v>667</v>
      </c>
      <c r="U298" t="s">
        <v>767</v>
      </c>
    </row>
    <row r="299" spans="1:21">
      <c r="P299">
        <v>70</v>
      </c>
      <c r="Q299">
        <f>8*11+3*4-5</f>
        <v>95</v>
      </c>
      <c r="T299">
        <v>70</v>
      </c>
      <c r="U299">
        <f>5*4+2*4+10*4+2*4</f>
        <v>76</v>
      </c>
    </row>
    <row r="300" spans="1:21">
      <c r="P300">
        <v>60</v>
      </c>
      <c r="Q300">
        <f>R305-Q299-Q301</f>
        <v>47</v>
      </c>
      <c r="T300">
        <v>60</v>
      </c>
      <c r="U300">
        <f>V305-U299-SUM(U301:U305)</f>
        <v>175</v>
      </c>
    </row>
    <row r="301" spans="1:21">
      <c r="P301">
        <v>50</v>
      </c>
      <c r="Q301">
        <v>1</v>
      </c>
      <c r="T301">
        <v>50</v>
      </c>
      <c r="U301">
        <v>18</v>
      </c>
    </row>
    <row r="302" spans="1:21">
      <c r="P302">
        <v>40</v>
      </c>
      <c r="T302">
        <v>40</v>
      </c>
      <c r="U302">
        <v>1</v>
      </c>
    </row>
    <row r="303" spans="1:21">
      <c r="P303">
        <v>30</v>
      </c>
      <c r="T303">
        <v>30</v>
      </c>
      <c r="U303">
        <v>1</v>
      </c>
    </row>
    <row r="304" spans="1:21">
      <c r="P304">
        <v>20</v>
      </c>
      <c r="T304">
        <v>20</v>
      </c>
      <c r="U304">
        <v>1</v>
      </c>
    </row>
    <row r="305" spans="16:22">
      <c r="P305">
        <v>10</v>
      </c>
      <c r="R305">
        <f>13*11</f>
        <v>143</v>
      </c>
      <c r="T305">
        <v>10</v>
      </c>
      <c r="U305">
        <v>1</v>
      </c>
      <c r="V305">
        <f>6*13*2+6*11*2-5*3</f>
        <v>273</v>
      </c>
    </row>
    <row r="306" spans="16:22">
      <c r="Q306">
        <f>SUM(Q299:Q305)</f>
        <v>143</v>
      </c>
      <c r="U306">
        <f>SUM(U299:U305)</f>
        <v>273</v>
      </c>
    </row>
    <row r="307" spans="16:22">
      <c r="P307" t="s">
        <v>768</v>
      </c>
      <c r="Q307">
        <v>10</v>
      </c>
      <c r="T307" t="s">
        <v>768</v>
      </c>
      <c r="U307">
        <v>10</v>
      </c>
    </row>
    <row r="308" spans="16:22">
      <c r="P308" t="s">
        <v>769</v>
      </c>
      <c r="Q308">
        <v>60</v>
      </c>
      <c r="T308" t="s">
        <v>769</v>
      </c>
      <c r="U308">
        <v>60</v>
      </c>
    </row>
    <row r="309" spans="16:22">
      <c r="P309" t="s">
        <v>770</v>
      </c>
      <c r="Q309">
        <f>SUMPRODUCT(P299:P305,Q299:Q305)/Q306</f>
        <v>66.573426573426573</v>
      </c>
      <c r="T309" t="s">
        <v>770</v>
      </c>
      <c r="U309">
        <f>SUMPRODUCT(T299:T305,U299:U305)/U306</f>
        <v>61.611721611721613</v>
      </c>
    </row>
    <row r="329" spans="1:3">
      <c r="A329" t="s">
        <v>586</v>
      </c>
    </row>
    <row r="330" spans="1:3">
      <c r="A330" t="s">
        <v>1063</v>
      </c>
    </row>
    <row r="331" spans="1:3">
      <c r="B331" t="s">
        <v>1064</v>
      </c>
    </row>
    <row r="332" spans="1:3">
      <c r="B332" t="s">
        <v>369</v>
      </c>
      <c r="C332">
        <v>64</v>
      </c>
    </row>
    <row r="333" spans="1:3">
      <c r="B333" t="s">
        <v>368</v>
      </c>
      <c r="C333">
        <v>41</v>
      </c>
    </row>
    <row r="334" spans="1:3">
      <c r="B334" t="s">
        <v>367</v>
      </c>
      <c r="C334" s="31">
        <f>AVERAGE(55,45,53,50)</f>
        <v>50.75</v>
      </c>
    </row>
    <row r="337" spans="1:3">
      <c r="B337" t="s">
        <v>1065</v>
      </c>
    </row>
    <row r="338" spans="1:3">
      <c r="B338" t="s">
        <v>369</v>
      </c>
      <c r="C338">
        <v>76</v>
      </c>
    </row>
    <row r="339" spans="1:3">
      <c r="B339" t="s">
        <v>368</v>
      </c>
      <c r="C339">
        <v>33</v>
      </c>
    </row>
    <row r="340" spans="1:3">
      <c r="A340" t="s">
        <v>1067</v>
      </c>
      <c r="B340" t="s">
        <v>367</v>
      </c>
      <c r="C340" s="31">
        <f>AVERAGE(33,55,55,47,64,50,49,52,66,49,58,66,44,58,59,40,61,73,48,68,76)</f>
        <v>55.761904761904759</v>
      </c>
    </row>
    <row r="341" spans="1:3">
      <c r="A341" t="s">
        <v>1068</v>
      </c>
      <c r="C341" s="1109">
        <f>AVERAGE(10,21,30,45,40,36,35,42,40,36,39,43,19,18,20,41,42,45,35,41,42,40,44,50,38,49,38)</f>
        <v>36.25925925925926</v>
      </c>
    </row>
    <row r="342" spans="1:3">
      <c r="B342" t="s">
        <v>1066</v>
      </c>
      <c r="C342" s="1109">
        <f>(C340+C341*2)/3</f>
        <v>42.760141093474431</v>
      </c>
    </row>
  </sheetData>
  <mergeCells count="28">
    <mergeCell ref="L180:M180"/>
    <mergeCell ref="F157:I157"/>
    <mergeCell ref="B167:C167"/>
    <mergeCell ref="D167:E167"/>
    <mergeCell ref="F167:I167"/>
    <mergeCell ref="J167:K167"/>
    <mergeCell ref="L167:M167"/>
    <mergeCell ref="F171:I171"/>
    <mergeCell ref="B180:C180"/>
    <mergeCell ref="D180:E180"/>
    <mergeCell ref="F180:I180"/>
    <mergeCell ref="J180:K180"/>
    <mergeCell ref="P188:Q188"/>
    <mergeCell ref="V188:W188"/>
    <mergeCell ref="F191:I191"/>
    <mergeCell ref="B200:C200"/>
    <mergeCell ref="D200:E200"/>
    <mergeCell ref="F200:I200"/>
    <mergeCell ref="J200:K200"/>
    <mergeCell ref="L200:M200"/>
    <mergeCell ref="P208:Q208"/>
    <mergeCell ref="V208:W208"/>
    <mergeCell ref="F209:I209"/>
    <mergeCell ref="B218:C218"/>
    <mergeCell ref="D218:E218"/>
    <mergeCell ref="F218:I218"/>
    <mergeCell ref="J218:K218"/>
    <mergeCell ref="L218:M218"/>
  </mergeCells>
  <pageMargins left="0.70866141732283472" right="0.70866141732283472" top="0.74803149606299213" bottom="0.74803149606299213"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AA143"/>
  <sheetViews>
    <sheetView workbookViewId="0">
      <pane xSplit="2745" ySplit="600" topLeftCell="A77" activePane="bottomRight"/>
      <selection activeCell="E19" sqref="E19"/>
      <selection pane="topRight" activeCell="E19" sqref="E19"/>
      <selection pane="bottomLeft" activeCell="E19" sqref="E19"/>
      <selection pane="bottomRight" activeCell="S43" sqref="S43"/>
    </sheetView>
  </sheetViews>
  <sheetFormatPr baseColWidth="10" defaultColWidth="11.42578125" defaultRowHeight="15"/>
  <cols>
    <col min="1" max="1" width="21.7109375" bestFit="1" customWidth="1"/>
  </cols>
  <sheetData>
    <row r="1" spans="1:27" ht="15.75" customHeight="1" thickBot="1">
      <c r="A1" t="s">
        <v>614</v>
      </c>
      <c r="B1" s="480" t="s">
        <v>615</v>
      </c>
      <c r="C1" s="480" t="s">
        <v>616</v>
      </c>
      <c r="D1" s="480" t="s">
        <v>617</v>
      </c>
      <c r="E1" s="480" t="s">
        <v>618</v>
      </c>
      <c r="F1" s="480" t="s">
        <v>619</v>
      </c>
      <c r="G1" s="480" t="s">
        <v>620</v>
      </c>
      <c r="H1" s="480" t="s">
        <v>621</v>
      </c>
      <c r="I1" s="480" t="s">
        <v>622</v>
      </c>
      <c r="J1" s="480" t="s">
        <v>623</v>
      </c>
      <c r="K1" s="480" t="s">
        <v>624</v>
      </c>
      <c r="L1" s="480" t="s">
        <v>625</v>
      </c>
      <c r="M1" s="480" t="s">
        <v>626</v>
      </c>
      <c r="N1" s="480" t="s">
        <v>627</v>
      </c>
      <c r="O1" s="480" t="s">
        <v>628</v>
      </c>
      <c r="P1" s="480" t="s">
        <v>629</v>
      </c>
      <c r="Q1" s="480" t="s">
        <v>630</v>
      </c>
      <c r="R1" s="480" t="s">
        <v>631</v>
      </c>
      <c r="S1" s="480" t="s">
        <v>632</v>
      </c>
      <c r="T1" s="480" t="s">
        <v>633</v>
      </c>
      <c r="U1" s="481" t="s">
        <v>634</v>
      </c>
      <c r="V1" s="481" t="s">
        <v>635</v>
      </c>
      <c r="W1" s="481" t="s">
        <v>636</v>
      </c>
      <c r="X1" s="481" t="s">
        <v>637</v>
      </c>
      <c r="Y1" s="481" t="s">
        <v>638</v>
      </c>
      <c r="Z1" t="s">
        <v>639</v>
      </c>
      <c r="AA1" t="s">
        <v>640</v>
      </c>
    </row>
    <row r="2" spans="1:27">
      <c r="A2" s="92" t="str">
        <f>Recap!D8</f>
        <v>McGregor_1</v>
      </c>
      <c r="B2" s="557">
        <f>Recap!AY8</f>
        <v>26</v>
      </c>
      <c r="C2" s="557">
        <f>Recap!AZ8</f>
        <v>6</v>
      </c>
      <c r="D2" s="557">
        <f>Recap!BA8</f>
        <v>60</v>
      </c>
      <c r="E2" s="557">
        <f>'Char Depth Graph'!E2</f>
        <v>0</v>
      </c>
      <c r="F2" s="557">
        <f>'Char Depth Graph'!F2</f>
        <v>0</v>
      </c>
      <c r="G2" s="557">
        <f>'Char Depth Graph'!G2</f>
        <v>0</v>
      </c>
      <c r="H2" s="557">
        <f>Recap!BC8</f>
        <v>34</v>
      </c>
      <c r="I2" s="557">
        <f>Recap!BD8</f>
        <v>12</v>
      </c>
      <c r="J2" s="557">
        <f>Recap!BE8</f>
        <v>55</v>
      </c>
      <c r="K2" s="557">
        <f>'Char Depth Graph'!K2</f>
        <v>0</v>
      </c>
      <c r="L2" s="557">
        <f>'Char Depth Graph'!L2</f>
        <v>0</v>
      </c>
      <c r="M2" s="557">
        <f>'Char Depth Graph'!M2</f>
        <v>0</v>
      </c>
      <c r="N2" s="557">
        <f>Recap!BJ8</f>
        <v>0</v>
      </c>
      <c r="O2" s="557">
        <f>Recap!BK8</f>
        <v>0</v>
      </c>
      <c r="P2" s="557">
        <f>Recap!BL8</f>
        <v>0</v>
      </c>
      <c r="Q2" s="557">
        <f>'Char Depth Graph'!Q2</f>
        <v>0</v>
      </c>
      <c r="R2" s="557">
        <f>'Char Depth Graph'!R2</f>
        <v>0</v>
      </c>
      <c r="S2" s="557">
        <f>'Char Depth Graph'!S2</f>
        <v>0</v>
      </c>
      <c r="T2" s="557">
        <f>Recap!BN8</f>
        <v>0</v>
      </c>
      <c r="U2" s="557">
        <f>Recap!BO8</f>
        <v>0</v>
      </c>
      <c r="V2" s="557">
        <f>Recap!BP8</f>
        <v>0</v>
      </c>
      <c r="W2" s="557">
        <f>'Char Depth Graph'!W2</f>
        <v>0</v>
      </c>
      <c r="X2" s="557">
        <f>'Char Depth Graph'!X2</f>
        <v>0</v>
      </c>
      <c r="Y2" s="557">
        <f>'Char Depth Graph'!Y2</f>
        <v>0</v>
      </c>
      <c r="Z2" s="263" t="str">
        <f>'Char Depth Graph'!Z2</f>
        <v>N</v>
      </c>
      <c r="AA2" s="508">
        <f>'Char Depth Graph'!AA2</f>
        <v>0</v>
      </c>
    </row>
    <row r="3" spans="1:27">
      <c r="A3" s="509" t="str">
        <f>Recap!D10</f>
        <v>McGregor_3</v>
      </c>
      <c r="B3" s="559">
        <f>Recap!AY10</f>
        <v>30</v>
      </c>
      <c r="C3" s="559">
        <f>Recap!AZ10</f>
        <v>22.5</v>
      </c>
      <c r="D3" s="559">
        <f>Recap!BA10</f>
        <v>40</v>
      </c>
      <c r="E3" s="559">
        <f>'Char Depth Graph'!E4</f>
        <v>0</v>
      </c>
      <c r="F3" s="559">
        <f>'Char Depth Graph'!F4</f>
        <v>0</v>
      </c>
      <c r="G3" s="559">
        <f>'Char Depth Graph'!G4</f>
        <v>0</v>
      </c>
      <c r="H3" s="559">
        <f>Recap!BC10</f>
        <v>20</v>
      </c>
      <c r="I3" s="559">
        <f>Recap!BD10</f>
        <v>15</v>
      </c>
      <c r="J3" s="559">
        <f>Recap!BE10</f>
        <v>40</v>
      </c>
      <c r="K3" s="559">
        <f>'Char Depth Graph'!K4</f>
        <v>0</v>
      </c>
      <c r="L3" s="559">
        <f>'Char Depth Graph'!L4</f>
        <v>0</v>
      </c>
      <c r="M3" s="559">
        <f>'Char Depth Graph'!M4</f>
        <v>0</v>
      </c>
      <c r="N3" s="559">
        <f>Recap!BJ10</f>
        <v>0</v>
      </c>
      <c r="O3" s="559">
        <f>Recap!BK10</f>
        <v>0</v>
      </c>
      <c r="P3" s="559">
        <f>Recap!BL10</f>
        <v>0</v>
      </c>
      <c r="Q3" s="559">
        <f>'Char Depth Graph'!Q4</f>
        <v>0</v>
      </c>
      <c r="R3" s="559">
        <f>'Char Depth Graph'!R4</f>
        <v>0</v>
      </c>
      <c r="S3" s="559">
        <f>'Char Depth Graph'!S4</f>
        <v>0</v>
      </c>
      <c r="T3" s="559">
        <f>Recap!BN10</f>
        <v>0</v>
      </c>
      <c r="U3" s="559">
        <f>Recap!BO10</f>
        <v>0</v>
      </c>
      <c r="V3" s="559">
        <f>Recap!BP10</f>
        <v>0</v>
      </c>
      <c r="W3" s="559">
        <f>'Char Depth Graph'!W4</f>
        <v>0</v>
      </c>
      <c r="X3" s="559">
        <f>'Char Depth Graph'!X4</f>
        <v>0</v>
      </c>
      <c r="Y3" s="559">
        <f>'Char Depth Graph'!Y4</f>
        <v>0</v>
      </c>
      <c r="Z3" s="265" t="str">
        <f>'Char Depth Graph'!Z4</f>
        <v>Y</v>
      </c>
      <c r="AA3" s="510">
        <f>'Char Depth Graph'!AA4</f>
        <v>0</v>
      </c>
    </row>
    <row r="4" spans="1:27">
      <c r="A4" s="509" t="str">
        <f>Recap!D11</f>
        <v>McGregor_4</v>
      </c>
      <c r="B4" s="559">
        <f>Recap!AY11</f>
        <v>0</v>
      </c>
      <c r="C4" s="559">
        <f>Recap!AZ11</f>
        <v>0</v>
      </c>
      <c r="D4" s="559">
        <f>Recap!BA11</f>
        <v>0</v>
      </c>
      <c r="E4" s="559">
        <f>'Char Depth Graph'!E5</f>
        <v>0</v>
      </c>
      <c r="F4" s="559">
        <f>'Char Depth Graph'!F5</f>
        <v>0</v>
      </c>
      <c r="G4" s="559">
        <f>'Char Depth Graph'!G5</f>
        <v>0</v>
      </c>
      <c r="H4" s="559">
        <f>Recap!BC11</f>
        <v>0</v>
      </c>
      <c r="I4" s="559">
        <f>Recap!BD11</f>
        <v>0</v>
      </c>
      <c r="J4" s="559">
        <f>Recap!BE11</f>
        <v>0</v>
      </c>
      <c r="K4" s="559">
        <f>'Char Depth Graph'!K5</f>
        <v>0</v>
      </c>
      <c r="L4" s="559">
        <f>'Char Depth Graph'!L5</f>
        <v>0</v>
      </c>
      <c r="M4" s="559">
        <f>'Char Depth Graph'!M5</f>
        <v>0</v>
      </c>
      <c r="N4" s="559">
        <f>Recap!BJ11</f>
        <v>0</v>
      </c>
      <c r="O4" s="559">
        <f>Recap!BK11</f>
        <v>0</v>
      </c>
      <c r="P4" s="559">
        <f>Recap!BL11</f>
        <v>0</v>
      </c>
      <c r="Q4" s="559">
        <f>'Char Depth Graph'!Q5</f>
        <v>0</v>
      </c>
      <c r="R4" s="559">
        <f>'Char Depth Graph'!R5</f>
        <v>0</v>
      </c>
      <c r="S4" s="559">
        <f>'Char Depth Graph'!S5</f>
        <v>0</v>
      </c>
      <c r="T4" s="559">
        <f>Recap!BN11</f>
        <v>0</v>
      </c>
      <c r="U4" s="559">
        <f>Recap!BO11</f>
        <v>0</v>
      </c>
      <c r="V4" s="559">
        <f>Recap!BP11</f>
        <v>0</v>
      </c>
      <c r="W4" s="559">
        <f>'Char Depth Graph'!W5</f>
        <v>0</v>
      </c>
      <c r="X4" s="559">
        <f>'Char Depth Graph'!X5</f>
        <v>0</v>
      </c>
      <c r="Y4" s="559">
        <f>'Char Depth Graph'!Y5</f>
        <v>0</v>
      </c>
      <c r="Z4" s="265" t="str">
        <f>'Char Depth Graph'!Z5</f>
        <v>Y</v>
      </c>
      <c r="AA4" s="510">
        <f>'Char Depth Graph'!AA5</f>
        <v>0</v>
      </c>
    </row>
    <row r="5" spans="1:27" ht="15.75" customHeight="1" thickBot="1">
      <c r="A5" s="511" t="str">
        <f>Recap!D12</f>
        <v>McGregor_5</v>
      </c>
      <c r="B5" s="560">
        <f>Recap!AY12</f>
        <v>62</v>
      </c>
      <c r="C5" s="560">
        <f>Recap!AZ12</f>
        <v>40</v>
      </c>
      <c r="D5" s="560">
        <f>Recap!BA12</f>
        <v>70</v>
      </c>
      <c r="E5" s="560">
        <f>'Char Depth Graph'!E6</f>
        <v>0</v>
      </c>
      <c r="F5" s="560">
        <f>'Char Depth Graph'!F6</f>
        <v>0</v>
      </c>
      <c r="G5" s="560">
        <f>'Char Depth Graph'!G6</f>
        <v>0</v>
      </c>
      <c r="H5" s="560">
        <f>Recap!BC12</f>
        <v>67</v>
      </c>
      <c r="I5" s="560">
        <f>Recap!BD12</f>
        <v>40</v>
      </c>
      <c r="J5" s="560">
        <f>Recap!BE12</f>
        <v>80</v>
      </c>
      <c r="K5" s="560">
        <f>'Char Depth Graph'!K6</f>
        <v>0</v>
      </c>
      <c r="L5" s="560">
        <f>'Char Depth Graph'!L6</f>
        <v>0</v>
      </c>
      <c r="M5" s="560">
        <f>'Char Depth Graph'!M6</f>
        <v>0</v>
      </c>
      <c r="N5" s="560">
        <f>Recap!BJ12</f>
        <v>0</v>
      </c>
      <c r="O5" s="560">
        <f>Recap!BK12</f>
        <v>0</v>
      </c>
      <c r="P5" s="560">
        <f>Recap!BL12</f>
        <v>0</v>
      </c>
      <c r="Q5" s="560">
        <f>'Char Depth Graph'!Q6</f>
        <v>0</v>
      </c>
      <c r="R5" s="560">
        <f>'Char Depth Graph'!R6</f>
        <v>0</v>
      </c>
      <c r="S5" s="560">
        <f>'Char Depth Graph'!S6</f>
        <v>0</v>
      </c>
      <c r="T5" s="560">
        <f>Recap!BN12</f>
        <v>0</v>
      </c>
      <c r="U5" s="560">
        <f>Recap!BO12</f>
        <v>0</v>
      </c>
      <c r="V5" s="560">
        <f>Recap!BP12</f>
        <v>0</v>
      </c>
      <c r="W5" s="560">
        <f>'Char Depth Graph'!W6</f>
        <v>0</v>
      </c>
      <c r="X5" s="560">
        <f>'Char Depth Graph'!X6</f>
        <v>0</v>
      </c>
      <c r="Y5" s="560">
        <f>'Char Depth Graph'!Y6</f>
        <v>0</v>
      </c>
      <c r="Z5" s="266" t="str">
        <f>'Char Depth Graph'!Z6</f>
        <v>N</v>
      </c>
      <c r="AA5" s="513">
        <f>'Char Depth Graph'!AA6</f>
        <v>0</v>
      </c>
    </row>
    <row r="6" spans="1:27">
      <c r="A6" s="92" t="str">
        <f>Recap!D13</f>
        <v>Medina_1</v>
      </c>
      <c r="B6" s="557">
        <f>Recap!AY13</f>
        <v>74.5</v>
      </c>
      <c r="C6" s="557">
        <f>Recap!AZ13</f>
        <v>71</v>
      </c>
      <c r="D6" s="557">
        <f>Recap!BA13</f>
        <v>80</v>
      </c>
      <c r="E6" s="557">
        <f>'Char Depth Graph'!E7</f>
        <v>0</v>
      </c>
      <c r="F6" s="557">
        <f>'Char Depth Graph'!F7</f>
        <v>0</v>
      </c>
      <c r="G6" s="557">
        <f>'Char Depth Graph'!G7</f>
        <v>0</v>
      </c>
      <c r="H6" s="557">
        <f>Recap!BC13</f>
        <v>37</v>
      </c>
      <c r="I6" s="557">
        <f>Recap!BD13</f>
        <v>33</v>
      </c>
      <c r="J6" s="557">
        <f>Recap!BE13</f>
        <v>41</v>
      </c>
      <c r="K6" s="557">
        <f>'Char Depth Graph'!K7</f>
        <v>0</v>
      </c>
      <c r="L6" s="557">
        <f>'Char Depth Graph'!L7</f>
        <v>0</v>
      </c>
      <c r="M6" s="557">
        <f>'Char Depth Graph'!M7</f>
        <v>0</v>
      </c>
      <c r="N6" s="557">
        <f>Recap!BJ13</f>
        <v>0</v>
      </c>
      <c r="O6" s="557">
        <f>Recap!BK13</f>
        <v>0</v>
      </c>
      <c r="P6" s="557">
        <f>Recap!BL13</f>
        <v>0</v>
      </c>
      <c r="Q6" s="557">
        <f>'Char Depth Graph'!Q7</f>
        <v>0</v>
      </c>
      <c r="R6" s="557">
        <f>'Char Depth Graph'!R7</f>
        <v>0</v>
      </c>
      <c r="S6" s="557">
        <f>'Char Depth Graph'!S7</f>
        <v>0</v>
      </c>
      <c r="T6" s="557">
        <f>Recap!BN13</f>
        <v>0</v>
      </c>
      <c r="U6" s="557">
        <f>Recap!BO13</f>
        <v>0</v>
      </c>
      <c r="V6" s="557">
        <f>Recap!BP13</f>
        <v>0</v>
      </c>
      <c r="W6" s="557">
        <f>'Char Depth Graph'!W7</f>
        <v>0</v>
      </c>
      <c r="X6" s="557">
        <f>'Char Depth Graph'!X7</f>
        <v>0</v>
      </c>
      <c r="Y6" s="557">
        <f>'Char Depth Graph'!Y7</f>
        <v>0</v>
      </c>
      <c r="Z6" s="263" t="str">
        <f>'Char Depth Graph'!Z7</f>
        <v>N</v>
      </c>
      <c r="AA6" s="508">
        <f>'Char Depth Graph'!AA7</f>
        <v>0</v>
      </c>
    </row>
    <row r="7" spans="1:27">
      <c r="A7" s="509" t="str">
        <f>Recap!D14</f>
        <v>Medina_2</v>
      </c>
      <c r="B7" s="559">
        <f>Recap!AY14</f>
        <v>56</v>
      </c>
      <c r="C7" s="559">
        <f>Recap!AZ14</f>
        <v>54</v>
      </c>
      <c r="D7" s="559">
        <f>Recap!BA14</f>
        <v>60</v>
      </c>
      <c r="E7" s="559">
        <f>'Char Depth Graph'!E8</f>
        <v>0</v>
      </c>
      <c r="F7" s="559">
        <f>'Char Depth Graph'!F8</f>
        <v>0</v>
      </c>
      <c r="G7" s="559">
        <f>'Char Depth Graph'!G8</f>
        <v>0</v>
      </c>
      <c r="H7" s="559">
        <f>Recap!BC14</f>
        <v>11.5</v>
      </c>
      <c r="I7" s="559">
        <f>Recap!BD14</f>
        <v>11</v>
      </c>
      <c r="J7" s="559">
        <f>Recap!BE14</f>
        <v>12</v>
      </c>
      <c r="K7" s="559">
        <f>'Char Depth Graph'!K8</f>
        <v>0</v>
      </c>
      <c r="L7" s="559">
        <f>'Char Depth Graph'!L8</f>
        <v>0</v>
      </c>
      <c r="M7" s="559">
        <f>'Char Depth Graph'!M8</f>
        <v>0</v>
      </c>
      <c r="N7" s="559">
        <f>Recap!BJ14</f>
        <v>0</v>
      </c>
      <c r="O7" s="559">
        <f>Recap!BK14</f>
        <v>0</v>
      </c>
      <c r="P7" s="559">
        <f>Recap!BL14</f>
        <v>0</v>
      </c>
      <c r="Q7" s="559">
        <f>'Char Depth Graph'!Q8</f>
        <v>0</v>
      </c>
      <c r="R7" s="559">
        <f>'Char Depth Graph'!R8</f>
        <v>0</v>
      </c>
      <c r="S7" s="559">
        <f>'Char Depth Graph'!S8</f>
        <v>0</v>
      </c>
      <c r="T7" s="559">
        <f>Recap!BN14</f>
        <v>0</v>
      </c>
      <c r="U7" s="559">
        <f>Recap!BO14</f>
        <v>0</v>
      </c>
      <c r="V7" s="559">
        <f>Recap!BP14</f>
        <v>0</v>
      </c>
      <c r="W7" s="559">
        <f>'Char Depth Graph'!W8</f>
        <v>0</v>
      </c>
      <c r="X7" s="559">
        <f>'Char Depth Graph'!X8</f>
        <v>0</v>
      </c>
      <c r="Y7" s="559">
        <f>'Char Depth Graph'!Y8</f>
        <v>0</v>
      </c>
      <c r="Z7" s="265" t="str">
        <f>'Char Depth Graph'!Z8</f>
        <v>N</v>
      </c>
      <c r="AA7" s="510">
        <f>'Char Depth Graph'!AA8</f>
        <v>0</v>
      </c>
    </row>
    <row r="8" spans="1:27" ht="15.75" customHeight="1" thickBot="1">
      <c r="A8" s="511" t="str">
        <f>Recap!D15</f>
        <v>Medina_3</v>
      </c>
      <c r="B8" s="560">
        <f>Recap!AY15</f>
        <v>33.25</v>
      </c>
      <c r="C8" s="560">
        <f>Recap!AZ15</f>
        <v>21</v>
      </c>
      <c r="D8" s="560">
        <f>Recap!BA15</f>
        <v>44</v>
      </c>
      <c r="E8" s="560">
        <f>'Char Depth Graph'!E9</f>
        <v>0</v>
      </c>
      <c r="F8" s="560">
        <f>'Char Depth Graph'!F9</f>
        <v>0</v>
      </c>
      <c r="G8" s="560">
        <f>'Char Depth Graph'!G9</f>
        <v>0</v>
      </c>
      <c r="H8" s="560">
        <f>Recap!BC15</f>
        <v>0</v>
      </c>
      <c r="I8" s="560">
        <f>Recap!BD15</f>
        <v>0</v>
      </c>
      <c r="J8" s="560">
        <f>Recap!BE15</f>
        <v>0</v>
      </c>
      <c r="K8" s="560">
        <f>'Char Depth Graph'!K9</f>
        <v>0</v>
      </c>
      <c r="L8" s="560">
        <f>'Char Depth Graph'!L9</f>
        <v>0</v>
      </c>
      <c r="M8" s="560">
        <f>'Char Depth Graph'!M9</f>
        <v>0</v>
      </c>
      <c r="N8" s="560">
        <f>Recap!BJ15</f>
        <v>0</v>
      </c>
      <c r="O8" s="560">
        <f>Recap!BK15</f>
        <v>0</v>
      </c>
      <c r="P8" s="560">
        <f>Recap!BL15</f>
        <v>0</v>
      </c>
      <c r="Q8" s="560">
        <f>'Char Depth Graph'!Q9</f>
        <v>0</v>
      </c>
      <c r="R8" s="560">
        <f>'Char Depth Graph'!R9</f>
        <v>0</v>
      </c>
      <c r="S8" s="560">
        <f>'Char Depth Graph'!S9</f>
        <v>0</v>
      </c>
      <c r="T8" s="560">
        <f>Recap!BN15</f>
        <v>0</v>
      </c>
      <c r="U8" s="560">
        <f>Recap!BO15</f>
        <v>0</v>
      </c>
      <c r="V8" s="560">
        <f>Recap!BP15</f>
        <v>0</v>
      </c>
      <c r="W8" s="560">
        <f>'Char Depth Graph'!W9</f>
        <v>0</v>
      </c>
      <c r="X8" s="560">
        <f>'Char Depth Graph'!X9</f>
        <v>0</v>
      </c>
      <c r="Y8" s="560">
        <f>'Char Depth Graph'!Y9</f>
        <v>0</v>
      </c>
      <c r="Z8" s="266" t="str">
        <f>'Char Depth Graph'!Z9</f>
        <v>Y</v>
      </c>
      <c r="AA8" s="513">
        <f>'Char Depth Graph'!AA9</f>
        <v>0</v>
      </c>
    </row>
    <row r="9" spans="1:27">
      <c r="A9" s="92" t="str">
        <f>Recap!D16</f>
        <v>NRCC&amp;NIST_1</v>
      </c>
      <c r="B9" s="557">
        <f>Recap!AY16</f>
        <v>0</v>
      </c>
      <c r="C9" s="557">
        <f>Recap!AZ16</f>
        <v>0</v>
      </c>
      <c r="D9" s="557">
        <f>Recap!BA16</f>
        <v>0</v>
      </c>
      <c r="E9" s="557">
        <f>'Char Depth Graph'!E10</f>
        <v>0</v>
      </c>
      <c r="F9" s="557">
        <f>'Char Depth Graph'!F10</f>
        <v>0</v>
      </c>
      <c r="G9" s="557">
        <f>'Char Depth Graph'!G10</f>
        <v>0</v>
      </c>
      <c r="H9" s="557">
        <f>Recap!BC16</f>
        <v>0</v>
      </c>
      <c r="I9" s="557">
        <f>Recap!BD16</f>
        <v>0</v>
      </c>
      <c r="J9" s="557">
        <f>Recap!BE16</f>
        <v>0</v>
      </c>
      <c r="K9" s="557">
        <f>'Char Depth Graph'!K10</f>
        <v>0</v>
      </c>
      <c r="L9" s="557">
        <f>'Char Depth Graph'!L10</f>
        <v>0</v>
      </c>
      <c r="M9" s="557">
        <f>'Char Depth Graph'!M10</f>
        <v>0</v>
      </c>
      <c r="N9" s="557">
        <f>Recap!BJ16</f>
        <v>0</v>
      </c>
      <c r="O9" s="557">
        <f>Recap!BK16</f>
        <v>0</v>
      </c>
      <c r="P9" s="557">
        <f>Recap!BL16</f>
        <v>0</v>
      </c>
      <c r="Q9" s="557">
        <f>'Char Depth Graph'!Q10</f>
        <v>0</v>
      </c>
      <c r="R9" s="557">
        <f>'Char Depth Graph'!R10</f>
        <v>0</v>
      </c>
      <c r="S9" s="557">
        <f>'Char Depth Graph'!S10</f>
        <v>0</v>
      </c>
      <c r="T9" s="557">
        <f>Recap!BN16</f>
        <v>0</v>
      </c>
      <c r="U9" s="557">
        <f>Recap!BO16</f>
        <v>0</v>
      </c>
      <c r="V9" s="557">
        <f>Recap!BP16</f>
        <v>0</v>
      </c>
      <c r="W9" s="557">
        <f>'Char Depth Graph'!W10</f>
        <v>0</v>
      </c>
      <c r="X9" s="557">
        <f>'Char Depth Graph'!X10</f>
        <v>0</v>
      </c>
      <c r="Y9" s="557">
        <f>'Char Depth Graph'!Y10</f>
        <v>0</v>
      </c>
      <c r="Z9" s="263" t="str">
        <f>'Char Depth Graph'!Z10</f>
        <v>Y</v>
      </c>
      <c r="AA9" s="508">
        <f>'Char Depth Graph'!AA10</f>
        <v>0</v>
      </c>
    </row>
    <row r="10" spans="1:27">
      <c r="A10" s="509" t="str">
        <f>Recap!D17</f>
        <v>NRCC&amp;NIST_2</v>
      </c>
      <c r="B10" s="559">
        <f>Recap!AY17</f>
        <v>0</v>
      </c>
      <c r="C10" s="559">
        <f>Recap!AZ17</f>
        <v>0</v>
      </c>
      <c r="D10" s="559">
        <f>Recap!BA17</f>
        <v>0</v>
      </c>
      <c r="E10" s="559">
        <f>'Char Depth Graph'!E11</f>
        <v>0</v>
      </c>
      <c r="F10" s="559">
        <f>'Char Depth Graph'!F11</f>
        <v>0</v>
      </c>
      <c r="G10" s="559">
        <f>'Char Depth Graph'!G11</f>
        <v>0</v>
      </c>
      <c r="H10" s="559">
        <f>Recap!BC17</f>
        <v>0</v>
      </c>
      <c r="I10" s="559">
        <f>Recap!BD17</f>
        <v>0.1</v>
      </c>
      <c r="J10" s="559">
        <f>Recap!BE17</f>
        <v>10</v>
      </c>
      <c r="K10" s="559">
        <f>'Char Depth Graph'!K11</f>
        <v>0</v>
      </c>
      <c r="L10" s="559">
        <f>'Char Depth Graph'!L11</f>
        <v>0</v>
      </c>
      <c r="M10" s="559">
        <f>'Char Depth Graph'!M11</f>
        <v>0</v>
      </c>
      <c r="N10" s="559">
        <f>Recap!BJ17</f>
        <v>0</v>
      </c>
      <c r="O10" s="559">
        <f>Recap!BK17</f>
        <v>0</v>
      </c>
      <c r="P10" s="559">
        <f>Recap!BL17</f>
        <v>0</v>
      </c>
      <c r="Q10" s="559">
        <f>'Char Depth Graph'!Q11</f>
        <v>0</v>
      </c>
      <c r="R10" s="559">
        <f>'Char Depth Graph'!R11</f>
        <v>0</v>
      </c>
      <c r="S10" s="559">
        <f>'Char Depth Graph'!S11</f>
        <v>0</v>
      </c>
      <c r="T10" s="559">
        <f>Recap!BN17</f>
        <v>0</v>
      </c>
      <c r="U10" s="559">
        <f>Recap!BO17</f>
        <v>0</v>
      </c>
      <c r="V10" s="559">
        <f>Recap!BP17</f>
        <v>0</v>
      </c>
      <c r="W10" s="559">
        <f>'Char Depth Graph'!W11</f>
        <v>0</v>
      </c>
      <c r="X10" s="559">
        <f>'Char Depth Graph'!X11</f>
        <v>0</v>
      </c>
      <c r="Y10" s="559">
        <f>'Char Depth Graph'!Y11</f>
        <v>0</v>
      </c>
      <c r="Z10" s="265" t="str">
        <f>'Char Depth Graph'!Z11</f>
        <v>Y</v>
      </c>
      <c r="AA10" s="510">
        <f>'Char Depth Graph'!AA11</f>
        <v>0</v>
      </c>
    </row>
    <row r="11" spans="1:27">
      <c r="A11" s="509" t="str">
        <f>Recap!D18</f>
        <v>NRCC&amp;NIST_3</v>
      </c>
      <c r="B11" s="559">
        <f>Recap!AY18</f>
        <v>27.5</v>
      </c>
      <c r="C11" s="559">
        <f>Recap!AZ18</f>
        <v>20</v>
      </c>
      <c r="D11" s="559">
        <f>Recap!BA18</f>
        <v>35</v>
      </c>
      <c r="E11" s="559">
        <f>'Char Depth Graph'!E12</f>
        <v>0</v>
      </c>
      <c r="F11" s="559">
        <f>'Char Depth Graph'!F12</f>
        <v>0</v>
      </c>
      <c r="G11" s="559">
        <f>'Char Depth Graph'!G12</f>
        <v>0</v>
      </c>
      <c r="H11" s="559">
        <f>Recap!BC18</f>
        <v>0</v>
      </c>
      <c r="I11" s="559">
        <f>Recap!BD18</f>
        <v>0</v>
      </c>
      <c r="J11" s="559">
        <f>Recap!BE18</f>
        <v>0</v>
      </c>
      <c r="K11" s="559">
        <f>'Char Depth Graph'!K12</f>
        <v>0</v>
      </c>
      <c r="L11" s="559">
        <f>'Char Depth Graph'!L12</f>
        <v>0</v>
      </c>
      <c r="M11" s="559">
        <f>'Char Depth Graph'!M12</f>
        <v>0</v>
      </c>
      <c r="N11" s="559">
        <f>Recap!BJ18</f>
        <v>0</v>
      </c>
      <c r="O11" s="559">
        <f>Recap!BK18</f>
        <v>0</v>
      </c>
      <c r="P11" s="559">
        <f>Recap!BL18</f>
        <v>0</v>
      </c>
      <c r="Q11" s="559">
        <f>'Char Depth Graph'!Q12</f>
        <v>0</v>
      </c>
      <c r="R11" s="559">
        <f>'Char Depth Graph'!R12</f>
        <v>0</v>
      </c>
      <c r="S11" s="559">
        <f>'Char Depth Graph'!S12</f>
        <v>0</v>
      </c>
      <c r="T11" s="559">
        <f>Recap!BN18</f>
        <v>0</v>
      </c>
      <c r="U11" s="559">
        <f>Recap!BO18</f>
        <v>0</v>
      </c>
      <c r="V11" s="559">
        <f>Recap!BP18</f>
        <v>0</v>
      </c>
      <c r="W11" s="559">
        <f>'Char Depth Graph'!W12</f>
        <v>0</v>
      </c>
      <c r="X11" s="559">
        <f>'Char Depth Graph'!X12</f>
        <v>0</v>
      </c>
      <c r="Y11" s="559">
        <f>'Char Depth Graph'!Y12</f>
        <v>0</v>
      </c>
      <c r="Z11" s="265" t="str">
        <f>'Char Depth Graph'!Z12</f>
        <v>Y</v>
      </c>
      <c r="AA11" s="510">
        <f>'Char Depth Graph'!AA12</f>
        <v>0</v>
      </c>
    </row>
    <row r="12" spans="1:27">
      <c r="A12" s="509" t="str">
        <f>Recap!D19</f>
        <v>NRCC&amp;NIST_4</v>
      </c>
      <c r="B12" s="559">
        <f>Recap!AY19</f>
        <v>0</v>
      </c>
      <c r="C12" s="559">
        <f>Recap!AZ19</f>
        <v>0</v>
      </c>
      <c r="D12" s="559">
        <f>Recap!BA19</f>
        <v>0</v>
      </c>
      <c r="E12" s="559">
        <f>'Char Depth Graph'!E13</f>
        <v>0</v>
      </c>
      <c r="F12" s="559">
        <f>'Char Depth Graph'!F13</f>
        <v>0</v>
      </c>
      <c r="G12" s="559">
        <f>'Char Depth Graph'!G13</f>
        <v>0</v>
      </c>
      <c r="H12" s="559">
        <f>Recap!BC19</f>
        <v>78.625</v>
      </c>
      <c r="I12" s="559">
        <f>Recap!BD19</f>
        <v>68</v>
      </c>
      <c r="J12" s="559">
        <f>Recap!BE19</f>
        <v>90</v>
      </c>
      <c r="K12" s="559">
        <f>'Char Depth Graph'!K13</f>
        <v>0</v>
      </c>
      <c r="L12" s="559">
        <f>'Char Depth Graph'!L13</f>
        <v>0</v>
      </c>
      <c r="M12" s="559">
        <f>'Char Depth Graph'!M13</f>
        <v>0</v>
      </c>
      <c r="N12" s="559">
        <f>Recap!BJ19</f>
        <v>0</v>
      </c>
      <c r="O12" s="559">
        <f>Recap!BK19</f>
        <v>0</v>
      </c>
      <c r="P12" s="559">
        <f>Recap!BL19</f>
        <v>0</v>
      </c>
      <c r="Q12" s="559">
        <f>'Char Depth Graph'!Q13</f>
        <v>0</v>
      </c>
      <c r="R12" s="559">
        <f>'Char Depth Graph'!R13</f>
        <v>0</v>
      </c>
      <c r="S12" s="559">
        <f>'Char Depth Graph'!S13</f>
        <v>0</v>
      </c>
      <c r="T12" s="559">
        <f>Recap!BN19</f>
        <v>0</v>
      </c>
      <c r="U12" s="559">
        <f>Recap!BO19</f>
        <v>0</v>
      </c>
      <c r="V12" s="559">
        <f>Recap!BP19</f>
        <v>0</v>
      </c>
      <c r="W12" s="559">
        <f>'Char Depth Graph'!W13</f>
        <v>0</v>
      </c>
      <c r="X12" s="559">
        <f>'Char Depth Graph'!X13</f>
        <v>0</v>
      </c>
      <c r="Y12" s="559">
        <f>'Char Depth Graph'!Y13</f>
        <v>0</v>
      </c>
      <c r="Z12" s="265" t="str">
        <f>'Char Depth Graph'!Z13</f>
        <v>N</v>
      </c>
      <c r="AA12" s="510">
        <f>'Char Depth Graph'!AA13</f>
        <v>0</v>
      </c>
    </row>
    <row r="13" spans="1:27">
      <c r="A13" s="509" t="str">
        <f>Recap!D20</f>
        <v>NRCC&amp;NIST_5</v>
      </c>
      <c r="B13" s="559">
        <f>Recap!AY20</f>
        <v>131.28125</v>
      </c>
      <c r="C13" s="559">
        <f>Recap!AZ20</f>
        <v>102</v>
      </c>
      <c r="D13" s="559">
        <f>Recap!BA20</f>
        <v>141</v>
      </c>
      <c r="E13" s="559">
        <f>'Char Depth Graph'!E14</f>
        <v>0</v>
      </c>
      <c r="F13" s="559">
        <f>'Char Depth Graph'!F14</f>
        <v>0</v>
      </c>
      <c r="G13" s="559">
        <f>'Char Depth Graph'!G14</f>
        <v>0</v>
      </c>
      <c r="H13" s="559">
        <f>Recap!BC20</f>
        <v>61.28125</v>
      </c>
      <c r="I13" s="559">
        <f>Recap!BD20</f>
        <v>25</v>
      </c>
      <c r="J13" s="559">
        <f>Recap!BE20</f>
        <v>79</v>
      </c>
      <c r="K13" s="559">
        <f>'Char Depth Graph'!K14</f>
        <v>0</v>
      </c>
      <c r="L13" s="559">
        <f>'Char Depth Graph'!L14</f>
        <v>0</v>
      </c>
      <c r="M13" s="559">
        <f>'Char Depth Graph'!M14</f>
        <v>0</v>
      </c>
      <c r="N13" s="559">
        <f>Recap!BJ20</f>
        <v>0</v>
      </c>
      <c r="O13" s="559">
        <f>Recap!BK20</f>
        <v>0</v>
      </c>
      <c r="P13" s="559">
        <f>Recap!BL20</f>
        <v>0</v>
      </c>
      <c r="Q13" s="559">
        <f>'Char Depth Graph'!Q14</f>
        <v>0</v>
      </c>
      <c r="R13" s="559">
        <f>'Char Depth Graph'!R14</f>
        <v>0</v>
      </c>
      <c r="S13" s="559">
        <f>'Char Depth Graph'!S14</f>
        <v>0</v>
      </c>
      <c r="T13" s="559">
        <f>Recap!BN20</f>
        <v>0</v>
      </c>
      <c r="U13" s="559">
        <f>Recap!BO20</f>
        <v>0</v>
      </c>
      <c r="V13" s="559">
        <f>Recap!BP20</f>
        <v>0</v>
      </c>
      <c r="W13" s="559">
        <f>'Char Depth Graph'!W14</f>
        <v>0</v>
      </c>
      <c r="X13" s="559">
        <f>'Char Depth Graph'!X14</f>
        <v>0</v>
      </c>
      <c r="Y13" s="559">
        <f>'Char Depth Graph'!Y14</f>
        <v>0</v>
      </c>
      <c r="Z13" s="265" t="str">
        <f>'Char Depth Graph'!Z14</f>
        <v>N</v>
      </c>
      <c r="AA13" s="510">
        <f>'Char Depth Graph'!AA14</f>
        <v>0</v>
      </c>
    </row>
    <row r="14" spans="1:27" ht="15.75" customHeight="1" thickBot="1">
      <c r="A14" s="511" t="str">
        <f>Recap!D21</f>
        <v>NRCC&amp;NIST_6</v>
      </c>
      <c r="B14" s="560">
        <f>Recap!AY21</f>
        <v>122.53125</v>
      </c>
      <c r="C14" s="560">
        <f>Recap!AZ21</f>
        <v>88</v>
      </c>
      <c r="D14" s="560">
        <f>Recap!BA21</f>
        <v>143</v>
      </c>
      <c r="E14" s="560">
        <f>'Char Depth Graph'!E15</f>
        <v>0</v>
      </c>
      <c r="F14" s="560">
        <f>'Char Depth Graph'!F15</f>
        <v>0</v>
      </c>
      <c r="G14" s="560">
        <f>'Char Depth Graph'!G15</f>
        <v>0</v>
      </c>
      <c r="H14" s="560">
        <f>Recap!BC21</f>
        <v>127.51612903225806</v>
      </c>
      <c r="I14" s="560">
        <f>Recap!BD21</f>
        <v>13</v>
      </c>
      <c r="J14" s="560">
        <f>Recap!BE21</f>
        <v>154</v>
      </c>
      <c r="K14" s="560">
        <f>'Char Depth Graph'!K15</f>
        <v>0</v>
      </c>
      <c r="L14" s="560">
        <f>'Char Depth Graph'!L15</f>
        <v>0</v>
      </c>
      <c r="M14" s="560">
        <f>'Char Depth Graph'!M15</f>
        <v>0</v>
      </c>
      <c r="N14" s="560">
        <f>Recap!BJ21</f>
        <v>0</v>
      </c>
      <c r="O14" s="560">
        <f>Recap!BK21</f>
        <v>0</v>
      </c>
      <c r="P14" s="560">
        <f>Recap!BL21</f>
        <v>0</v>
      </c>
      <c r="Q14" s="560">
        <f>'Char Depth Graph'!Q15</f>
        <v>0</v>
      </c>
      <c r="R14" s="560">
        <f>'Char Depth Graph'!R15</f>
        <v>0</v>
      </c>
      <c r="S14" s="560">
        <f>'Char Depth Graph'!S15</f>
        <v>0</v>
      </c>
      <c r="T14" s="560">
        <f>Recap!BN21</f>
        <v>0</v>
      </c>
      <c r="U14" s="560">
        <f>Recap!BO21</f>
        <v>0</v>
      </c>
      <c r="V14" s="560">
        <f>Recap!BP21</f>
        <v>0</v>
      </c>
      <c r="W14" s="560">
        <f>'Char Depth Graph'!W15</f>
        <v>0</v>
      </c>
      <c r="X14" s="560">
        <f>'Char Depth Graph'!X15</f>
        <v>0</v>
      </c>
      <c r="Y14" s="560">
        <f>'Char Depth Graph'!Y15</f>
        <v>0</v>
      </c>
      <c r="Z14" s="266" t="str">
        <f>'Char Depth Graph'!Z15</f>
        <v>N</v>
      </c>
      <c r="AA14" s="513">
        <f>'Char Depth Graph'!AA15</f>
        <v>0</v>
      </c>
    </row>
    <row r="15" spans="1:27">
      <c r="A15" s="509" t="str">
        <f>Recap!D23</f>
        <v>NRCC_Room_2</v>
      </c>
      <c r="B15" s="559">
        <f>Recap!AY23</f>
        <v>68.3125</v>
      </c>
      <c r="C15" s="559">
        <f>Recap!AZ23</f>
        <v>50</v>
      </c>
      <c r="D15" s="559">
        <f>Recap!BA23</f>
        <v>95</v>
      </c>
      <c r="E15" s="559">
        <f>'Char Depth Graph'!E17</f>
        <v>0</v>
      </c>
      <c r="F15" s="559">
        <f>'Char Depth Graph'!F17</f>
        <v>0</v>
      </c>
      <c r="G15" s="559">
        <f>'Char Depth Graph'!G17</f>
        <v>0</v>
      </c>
      <c r="H15" s="559">
        <f>Recap!BC23</f>
        <v>52.5</v>
      </c>
      <c r="I15" s="559">
        <f>Recap!BD23</f>
        <v>45</v>
      </c>
      <c r="J15" s="559">
        <f>Recap!BE23</f>
        <v>63</v>
      </c>
      <c r="K15" s="559">
        <f>'Char Depth Graph'!K17</f>
        <v>0</v>
      </c>
      <c r="L15" s="559">
        <f>'Char Depth Graph'!L17</f>
        <v>0</v>
      </c>
      <c r="M15" s="559">
        <f>'Char Depth Graph'!M17</f>
        <v>0</v>
      </c>
      <c r="N15" s="559">
        <f>Recap!BJ23</f>
        <v>0</v>
      </c>
      <c r="O15" s="559">
        <f>Recap!BK23</f>
        <v>0</v>
      </c>
      <c r="P15" s="559">
        <f>Recap!BL23</f>
        <v>0</v>
      </c>
      <c r="Q15" s="559">
        <f>'Char Depth Graph'!Q17</f>
        <v>0</v>
      </c>
      <c r="R15" s="559">
        <f>'Char Depth Graph'!R17</f>
        <v>0</v>
      </c>
      <c r="S15" s="559">
        <f>'Char Depth Graph'!S17</f>
        <v>0</v>
      </c>
      <c r="T15" s="559">
        <f>Recap!BN23</f>
        <v>0</v>
      </c>
      <c r="U15" s="559">
        <f>Recap!BO23</f>
        <v>0</v>
      </c>
      <c r="V15" s="559">
        <f>Recap!BP23</f>
        <v>0</v>
      </c>
      <c r="W15" s="559">
        <f>'Char Depth Graph'!W17</f>
        <v>0</v>
      </c>
      <c r="X15" s="559">
        <f>'Char Depth Graph'!X17</f>
        <v>0</v>
      </c>
      <c r="Y15" s="559">
        <f>'Char Depth Graph'!Y17</f>
        <v>0</v>
      </c>
      <c r="Z15" s="265" t="str">
        <f>'Char Depth Graph'!Z17</f>
        <v>Y</v>
      </c>
      <c r="AA15" s="510">
        <f>'Char Depth Graph'!AA17</f>
        <v>0</v>
      </c>
    </row>
    <row r="16" spans="1:27">
      <c r="A16" s="509" t="str">
        <f>Recap!D24</f>
        <v>NRCC_Room_3</v>
      </c>
      <c r="B16" s="559">
        <f>Recap!AY24</f>
        <v>46.615384615384613</v>
      </c>
      <c r="C16" s="559">
        <f>Recap!AZ24</f>
        <v>0</v>
      </c>
      <c r="D16" s="559">
        <f>Recap!BA24</f>
        <v>83</v>
      </c>
      <c r="E16" s="559">
        <f>'Char Depth Graph'!E18</f>
        <v>0</v>
      </c>
      <c r="F16" s="559">
        <f>'Char Depth Graph'!F18</f>
        <v>0</v>
      </c>
      <c r="G16" s="559">
        <f>'Char Depth Graph'!G18</f>
        <v>0</v>
      </c>
      <c r="H16" s="559">
        <f>Recap!BC24</f>
        <v>32.75</v>
      </c>
      <c r="I16" s="559">
        <f>Recap!BD24</f>
        <v>0</v>
      </c>
      <c r="J16" s="559">
        <f>Recap!BE24</f>
        <v>66</v>
      </c>
      <c r="K16" s="559">
        <f>'Char Depth Graph'!K18</f>
        <v>0</v>
      </c>
      <c r="L16" s="559">
        <f>'Char Depth Graph'!L18</f>
        <v>0</v>
      </c>
      <c r="M16" s="559">
        <f>'Char Depth Graph'!M18</f>
        <v>0</v>
      </c>
      <c r="N16" s="559">
        <f>Recap!BJ24</f>
        <v>121.95833333333333</v>
      </c>
      <c r="O16" s="559">
        <f>Recap!BK24</f>
        <v>103.5</v>
      </c>
      <c r="P16" s="559">
        <f>Recap!BL24</f>
        <v>161</v>
      </c>
      <c r="Q16" s="559">
        <f>'Char Depth Graph'!Q18</f>
        <v>0</v>
      </c>
      <c r="R16" s="559">
        <f>'Char Depth Graph'!R18</f>
        <v>0</v>
      </c>
      <c r="S16" s="559">
        <f>'Char Depth Graph'!S18</f>
        <v>0</v>
      </c>
      <c r="T16" s="559">
        <f>Recap!BN24</f>
        <v>108.375</v>
      </c>
      <c r="U16" s="559">
        <f>Recap!BO24</f>
        <v>92</v>
      </c>
      <c r="V16" s="559">
        <f>Recap!BP24</f>
        <v>162.5</v>
      </c>
      <c r="W16" s="559">
        <f>'Char Depth Graph'!W18</f>
        <v>0</v>
      </c>
      <c r="X16" s="559">
        <f>'Char Depth Graph'!X18</f>
        <v>0</v>
      </c>
      <c r="Y16" s="559">
        <f>'Char Depth Graph'!Y18</f>
        <v>0</v>
      </c>
      <c r="Z16" s="265" t="str">
        <f>'Char Depth Graph'!Z18</f>
        <v>N</v>
      </c>
      <c r="AA16" s="510">
        <f>'Char Depth Graph'!AA18</f>
        <v>0</v>
      </c>
    </row>
    <row r="17" spans="1:27">
      <c r="A17" s="509" t="str">
        <f>Recap!D25</f>
        <v>NRCC_Room_4</v>
      </c>
      <c r="B17" s="559">
        <f>Recap!AY25</f>
        <v>25.725000000000001</v>
      </c>
      <c r="C17" s="559">
        <f>Recap!AZ25</f>
        <v>0</v>
      </c>
      <c r="D17" s="559">
        <f>Recap!BA25</f>
        <v>45</v>
      </c>
      <c r="E17" s="559">
        <f>'Char Depth Graph'!E19</f>
        <v>0</v>
      </c>
      <c r="F17" s="559">
        <f>'Char Depth Graph'!F19</f>
        <v>0</v>
      </c>
      <c r="G17" s="559">
        <f>'Char Depth Graph'!G19</f>
        <v>0</v>
      </c>
      <c r="H17" s="559">
        <f>Recap!BC25</f>
        <v>54.0625</v>
      </c>
      <c r="I17" s="559">
        <f>Recap!BD25</f>
        <v>47</v>
      </c>
      <c r="J17" s="559">
        <f>Recap!BE25</f>
        <v>66</v>
      </c>
      <c r="K17" s="559">
        <f>'Char Depth Graph'!K19</f>
        <v>0</v>
      </c>
      <c r="L17" s="559">
        <f>'Char Depth Graph'!L19</f>
        <v>0</v>
      </c>
      <c r="M17" s="559">
        <f>'Char Depth Graph'!M19</f>
        <v>0</v>
      </c>
      <c r="N17" s="559">
        <f>Recap!BJ25</f>
        <v>78.150000000000006</v>
      </c>
      <c r="O17" s="559">
        <f>Recap!BK25</f>
        <v>69</v>
      </c>
      <c r="P17" s="559">
        <f>Recap!BL25</f>
        <v>82</v>
      </c>
      <c r="Q17" s="559">
        <f>'Char Depth Graph'!Q19</f>
        <v>0</v>
      </c>
      <c r="R17" s="559">
        <f>'Char Depth Graph'!R19</f>
        <v>0</v>
      </c>
      <c r="S17" s="559">
        <f>'Char Depth Graph'!S19</f>
        <v>0</v>
      </c>
      <c r="T17" s="559">
        <f>Recap!BN25</f>
        <v>74.5625</v>
      </c>
      <c r="U17" s="559">
        <f>Recap!BO25</f>
        <v>62.5</v>
      </c>
      <c r="V17" s="559">
        <f>Recap!BP25</f>
        <v>93.5</v>
      </c>
      <c r="W17" s="559">
        <f>'Char Depth Graph'!W19</f>
        <v>0</v>
      </c>
      <c r="X17" s="559">
        <f>'Char Depth Graph'!X19</f>
        <v>0</v>
      </c>
      <c r="Y17" s="559">
        <f>'Char Depth Graph'!Y19</f>
        <v>0</v>
      </c>
      <c r="Z17" s="265" t="str">
        <f>'Char Depth Graph'!Z19</f>
        <v>Y</v>
      </c>
      <c r="AA17" s="510">
        <f>'Char Depth Graph'!AA19</f>
        <v>0</v>
      </c>
    </row>
    <row r="18" spans="1:27" ht="15.75" customHeight="1" thickBot="1">
      <c r="A18" s="511" t="str">
        <f>Recap!D26</f>
        <v>NRCC_Room_5</v>
      </c>
      <c r="B18" s="560">
        <f>Recap!AY26</f>
        <v>88.625</v>
      </c>
      <c r="C18" s="560">
        <f>Recap!AZ26</f>
        <v>81</v>
      </c>
      <c r="D18" s="560">
        <f>Recap!BA26</f>
        <v>109</v>
      </c>
      <c r="E18" s="560">
        <f>'Char Depth Graph'!E20</f>
        <v>0</v>
      </c>
      <c r="F18" s="560">
        <f>'Char Depth Graph'!F20</f>
        <v>0</v>
      </c>
      <c r="G18" s="560">
        <f>'Char Depth Graph'!G20</f>
        <v>0</v>
      </c>
      <c r="H18" s="560">
        <f>Recap!BC26</f>
        <v>77.5</v>
      </c>
      <c r="I18" s="560">
        <f>Recap!BD26</f>
        <v>70</v>
      </c>
      <c r="J18" s="560">
        <f>Recap!BE26</f>
        <v>90</v>
      </c>
      <c r="K18" s="560">
        <f>'Char Depth Graph'!K20</f>
        <v>0</v>
      </c>
      <c r="L18" s="560">
        <f>'Char Depth Graph'!L20</f>
        <v>0</v>
      </c>
      <c r="M18" s="560">
        <f>'Char Depth Graph'!M20</f>
        <v>0</v>
      </c>
      <c r="N18" s="560">
        <f>Recap!BJ26</f>
        <v>0</v>
      </c>
      <c r="O18" s="560">
        <f>Recap!BK26</f>
        <v>0</v>
      </c>
      <c r="P18" s="560">
        <f>Recap!BL26</f>
        <v>0</v>
      </c>
      <c r="Q18" s="560">
        <f>'Char Depth Graph'!Q20</f>
        <v>0</v>
      </c>
      <c r="R18" s="560">
        <f>'Char Depth Graph'!R20</f>
        <v>0</v>
      </c>
      <c r="S18" s="560">
        <f>'Char Depth Graph'!S20</f>
        <v>0</v>
      </c>
      <c r="T18" s="560">
        <f>Recap!BN26</f>
        <v>0</v>
      </c>
      <c r="U18" s="560">
        <f>Recap!BO26</f>
        <v>0</v>
      </c>
      <c r="V18" s="560">
        <f>Recap!BP26</f>
        <v>0</v>
      </c>
      <c r="W18" s="560">
        <f>'Char Depth Graph'!W20</f>
        <v>0</v>
      </c>
      <c r="X18" s="560">
        <f>'Char Depth Graph'!X20</f>
        <v>0</v>
      </c>
      <c r="Y18" s="560">
        <f>'Char Depth Graph'!Y20</f>
        <v>0</v>
      </c>
      <c r="Z18" s="266" t="str">
        <f>'Char Depth Graph'!Z20</f>
        <v>N</v>
      </c>
      <c r="AA18" s="513">
        <f>'Char Depth Graph'!AA20</f>
        <v>0</v>
      </c>
    </row>
    <row r="19" spans="1:27" ht="15.75" customHeight="1" thickBot="1">
      <c r="A19" s="100" t="str">
        <f>Recap!D27</f>
        <v>NRCC_Elevator_1</v>
      </c>
      <c r="B19" s="561">
        <f>Recap!AY27</f>
        <v>5</v>
      </c>
      <c r="C19" s="561">
        <f>Recap!AZ27</f>
        <v>0.1</v>
      </c>
      <c r="D19" s="561">
        <f>Recap!BA27</f>
        <v>25</v>
      </c>
      <c r="E19" s="561">
        <f>'Char Depth Graph'!E21</f>
        <v>0</v>
      </c>
      <c r="F19" s="561">
        <f>'Char Depth Graph'!F21</f>
        <v>0</v>
      </c>
      <c r="G19" s="561">
        <f>'Char Depth Graph'!G21</f>
        <v>0</v>
      </c>
      <c r="H19" s="561">
        <f>Recap!BC27</f>
        <v>70</v>
      </c>
      <c r="I19" s="561">
        <f>Recap!BD27</f>
        <v>35</v>
      </c>
      <c r="J19" s="561">
        <f>Recap!BE27</f>
        <v>80</v>
      </c>
      <c r="K19" s="561">
        <f>'Char Depth Graph'!K21</f>
        <v>0</v>
      </c>
      <c r="L19" s="561">
        <f>'Char Depth Graph'!L21</f>
        <v>0</v>
      </c>
      <c r="M19" s="561">
        <f>'Char Depth Graph'!M21</f>
        <v>0</v>
      </c>
      <c r="N19" s="561">
        <f>Recap!BJ27</f>
        <v>0</v>
      </c>
      <c r="O19" s="561">
        <f>Recap!BK27</f>
        <v>0</v>
      </c>
      <c r="P19" s="561">
        <f>Recap!BL27</f>
        <v>0</v>
      </c>
      <c r="Q19" s="561">
        <f>'Char Depth Graph'!Q21</f>
        <v>0</v>
      </c>
      <c r="R19" s="561">
        <f>'Char Depth Graph'!R21</f>
        <v>0</v>
      </c>
      <c r="S19" s="561">
        <f>'Char Depth Graph'!S21</f>
        <v>0</v>
      </c>
      <c r="T19" s="561">
        <f>Recap!BN27</f>
        <v>0</v>
      </c>
      <c r="U19" s="561">
        <f>Recap!BO27</f>
        <v>0</v>
      </c>
      <c r="V19" s="561">
        <f>Recap!BP27</f>
        <v>0</v>
      </c>
      <c r="W19" s="561">
        <f>'Char Depth Graph'!W21</f>
        <v>0</v>
      </c>
      <c r="X19" s="561">
        <f>'Char Depth Graph'!X21</f>
        <v>0</v>
      </c>
      <c r="Y19" s="561">
        <f>'Char Depth Graph'!Y21</f>
        <v>0</v>
      </c>
      <c r="Z19" s="268" t="str">
        <f>'Char Depth Graph'!Z21</f>
        <v>N</v>
      </c>
      <c r="AA19" s="515">
        <f>'Char Depth Graph'!AA21</f>
        <v>0</v>
      </c>
    </row>
    <row r="20" spans="1:27">
      <c r="A20" s="92" t="str">
        <f>Recap!D32</f>
        <v>Edimb_1</v>
      </c>
      <c r="B20" s="557">
        <f>Recap!AY32</f>
        <v>39.322580645161288</v>
      </c>
      <c r="C20" s="557">
        <f>Recap!AZ32</f>
        <v>29.491935483870968</v>
      </c>
      <c r="D20" s="557">
        <f>Recap!BA32</f>
        <v>53</v>
      </c>
      <c r="E20" s="557">
        <f>'Char Depth Graph'!E26</f>
        <v>0</v>
      </c>
      <c r="F20" s="557">
        <f>'Char Depth Graph'!F26</f>
        <v>0</v>
      </c>
      <c r="G20" s="557">
        <f>'Char Depth Graph'!G26</f>
        <v>0</v>
      </c>
      <c r="H20" s="557">
        <f>Recap!BC32</f>
        <v>0</v>
      </c>
      <c r="I20" s="557">
        <f>Recap!BD32</f>
        <v>0</v>
      </c>
      <c r="J20" s="557">
        <f>Recap!BE32</f>
        <v>0</v>
      </c>
      <c r="K20" s="557">
        <f>'Char Depth Graph'!K26</f>
        <v>0</v>
      </c>
      <c r="L20" s="557">
        <f>'Char Depth Graph'!L26</f>
        <v>0</v>
      </c>
      <c r="M20" s="557">
        <f>'Char Depth Graph'!M26</f>
        <v>0</v>
      </c>
      <c r="N20" s="557">
        <f>Recap!BJ32</f>
        <v>0</v>
      </c>
      <c r="O20" s="557">
        <f>Recap!BK32</f>
        <v>0</v>
      </c>
      <c r="P20" s="557">
        <f>Recap!BL32</f>
        <v>0</v>
      </c>
      <c r="Q20" s="557">
        <f>'Char Depth Graph'!Q26</f>
        <v>0</v>
      </c>
      <c r="R20" s="557">
        <f>'Char Depth Graph'!R26</f>
        <v>0</v>
      </c>
      <c r="S20" s="557">
        <f>'Char Depth Graph'!S26</f>
        <v>0</v>
      </c>
      <c r="T20" s="557">
        <f>Recap!BN32</f>
        <v>0</v>
      </c>
      <c r="U20" s="557">
        <f>Recap!BO32</f>
        <v>0</v>
      </c>
      <c r="V20" s="557">
        <f>Recap!BP32</f>
        <v>0</v>
      </c>
      <c r="W20" s="557">
        <f>'Char Depth Graph'!W26</f>
        <v>0</v>
      </c>
      <c r="X20" s="557">
        <f>'Char Depth Graph'!X26</f>
        <v>0</v>
      </c>
      <c r="Y20" s="557">
        <f>'Char Depth Graph'!Y26</f>
        <v>0</v>
      </c>
      <c r="Z20" s="263" t="str">
        <f>'Char Depth Graph'!Z26</f>
        <v>N</v>
      </c>
      <c r="AA20" s="508">
        <f>'Char Depth Graph'!AA26</f>
        <v>0</v>
      </c>
    </row>
    <row r="21" spans="1:27">
      <c r="A21" s="509" t="str">
        <f>Recap!D33</f>
        <v>Edimb_2</v>
      </c>
      <c r="B21" s="559">
        <f>Recap!AY33</f>
        <v>35.852941176470587</v>
      </c>
      <c r="C21" s="559">
        <f>Recap!AZ33</f>
        <v>26.889705882352942</v>
      </c>
      <c r="D21" s="559">
        <f>Recap!BA33</f>
        <v>53</v>
      </c>
      <c r="E21" s="559">
        <f>'Char Depth Graph'!E27</f>
        <v>0</v>
      </c>
      <c r="F21" s="559">
        <f>'Char Depth Graph'!F27</f>
        <v>0</v>
      </c>
      <c r="G21" s="559">
        <f>'Char Depth Graph'!G27</f>
        <v>0</v>
      </c>
      <c r="H21" s="559">
        <f>Recap!BC33</f>
        <v>0</v>
      </c>
      <c r="I21" s="559">
        <f>Recap!BD33</f>
        <v>0</v>
      </c>
      <c r="J21" s="559">
        <f>Recap!BE33</f>
        <v>0</v>
      </c>
      <c r="K21" s="559">
        <f>'Char Depth Graph'!K27</f>
        <v>0</v>
      </c>
      <c r="L21" s="559">
        <f>'Char Depth Graph'!L27</f>
        <v>0</v>
      </c>
      <c r="M21" s="559">
        <f>'Char Depth Graph'!M27</f>
        <v>0</v>
      </c>
      <c r="N21" s="559">
        <f>Recap!BJ33</f>
        <v>0</v>
      </c>
      <c r="O21" s="559">
        <f>Recap!BK33</f>
        <v>0</v>
      </c>
      <c r="P21" s="559">
        <f>Recap!BL33</f>
        <v>0</v>
      </c>
      <c r="Q21" s="559">
        <f>'Char Depth Graph'!Q27</f>
        <v>0</v>
      </c>
      <c r="R21" s="559">
        <f>'Char Depth Graph'!R27</f>
        <v>0</v>
      </c>
      <c r="S21" s="559">
        <f>'Char Depth Graph'!S27</f>
        <v>0</v>
      </c>
      <c r="T21" s="559">
        <f>Recap!BN33</f>
        <v>0</v>
      </c>
      <c r="U21" s="559">
        <f>Recap!BO33</f>
        <v>0</v>
      </c>
      <c r="V21" s="559">
        <f>Recap!BP33</f>
        <v>0</v>
      </c>
      <c r="W21" s="559">
        <f>'Char Depth Graph'!W27</f>
        <v>0</v>
      </c>
      <c r="X21" s="559">
        <f>'Char Depth Graph'!X27</f>
        <v>0</v>
      </c>
      <c r="Y21" s="559">
        <f>'Char Depth Graph'!Y27</f>
        <v>0</v>
      </c>
      <c r="Z21" s="265" t="str">
        <f>'Char Depth Graph'!Z27</f>
        <v>N</v>
      </c>
      <c r="AA21" s="510">
        <f>'Char Depth Graph'!AA27</f>
        <v>0</v>
      </c>
    </row>
    <row r="22" spans="1:27">
      <c r="A22" s="509" t="str">
        <f>Recap!D34</f>
        <v>Edimb_3</v>
      </c>
      <c r="B22" s="559">
        <f>Recap!AY34</f>
        <v>11</v>
      </c>
      <c r="C22" s="559">
        <f>Recap!AZ34</f>
        <v>8.25</v>
      </c>
      <c r="D22" s="559">
        <f>Recap!BA34</f>
        <v>15</v>
      </c>
      <c r="E22" s="559">
        <f>'Char Depth Graph'!E28</f>
        <v>0</v>
      </c>
      <c r="F22" s="559">
        <f>'Char Depth Graph'!F28</f>
        <v>0</v>
      </c>
      <c r="G22" s="559">
        <f>'Char Depth Graph'!G28</f>
        <v>0</v>
      </c>
      <c r="H22" s="559">
        <f>Recap!BC34</f>
        <v>10</v>
      </c>
      <c r="I22" s="559">
        <f>Recap!BD34</f>
        <v>7.5</v>
      </c>
      <c r="J22" s="559">
        <f>Recap!BE34</f>
        <v>13</v>
      </c>
      <c r="K22" s="559">
        <f>'Char Depth Graph'!K28</f>
        <v>0</v>
      </c>
      <c r="L22" s="559">
        <f>'Char Depth Graph'!L28</f>
        <v>0</v>
      </c>
      <c r="M22" s="559">
        <f>'Char Depth Graph'!M28</f>
        <v>0</v>
      </c>
      <c r="N22" s="559">
        <f>Recap!BJ34</f>
        <v>0</v>
      </c>
      <c r="O22" s="559">
        <f>Recap!BK34</f>
        <v>0</v>
      </c>
      <c r="P22" s="559">
        <f>Recap!BL34</f>
        <v>0</v>
      </c>
      <c r="Q22" s="559">
        <f>'Char Depth Graph'!Q28</f>
        <v>0</v>
      </c>
      <c r="R22" s="559">
        <f>'Char Depth Graph'!R28</f>
        <v>0</v>
      </c>
      <c r="S22" s="559">
        <f>'Char Depth Graph'!S28</f>
        <v>0</v>
      </c>
      <c r="T22" s="559">
        <f>Recap!BN34</f>
        <v>0</v>
      </c>
      <c r="U22" s="559">
        <f>Recap!BO34</f>
        <v>0</v>
      </c>
      <c r="V22" s="559">
        <f>Recap!BP34</f>
        <v>0</v>
      </c>
      <c r="W22" s="559">
        <f>'Char Depth Graph'!W28</f>
        <v>0</v>
      </c>
      <c r="X22" s="559">
        <f>'Char Depth Graph'!X28</f>
        <v>0</v>
      </c>
      <c r="Y22" s="559">
        <f>'Char Depth Graph'!Y28</f>
        <v>0</v>
      </c>
      <c r="Z22" s="265" t="str">
        <f>'Char Depth Graph'!Z28</f>
        <v>Y</v>
      </c>
      <c r="AA22" s="510">
        <f>'Char Depth Graph'!AA28</f>
        <v>0</v>
      </c>
    </row>
    <row r="23" spans="1:27">
      <c r="A23" s="509" t="str">
        <f>Recap!D35</f>
        <v>Edimb_4</v>
      </c>
      <c r="B23" s="559">
        <f>Recap!AY35</f>
        <v>30.105263157894736</v>
      </c>
      <c r="C23" s="559">
        <f>Recap!AZ35</f>
        <v>22.578947368421051</v>
      </c>
      <c r="D23" s="559">
        <f>Recap!BA35</f>
        <v>44</v>
      </c>
      <c r="E23" s="559">
        <f>'Char Depth Graph'!E29</f>
        <v>0</v>
      </c>
      <c r="F23" s="559">
        <f>'Char Depth Graph'!F29</f>
        <v>0</v>
      </c>
      <c r="G23" s="559">
        <f>'Char Depth Graph'!G29</f>
        <v>0</v>
      </c>
      <c r="H23" s="559">
        <f>Recap!BC35</f>
        <v>27.368421052631575</v>
      </c>
      <c r="I23" s="559">
        <f>Recap!BD35</f>
        <v>20.526315789473681</v>
      </c>
      <c r="J23" s="559">
        <f>Recap!BE35</f>
        <v>40</v>
      </c>
      <c r="K23" s="559">
        <f>'Char Depth Graph'!K29</f>
        <v>0</v>
      </c>
      <c r="L23" s="559">
        <f>'Char Depth Graph'!L29</f>
        <v>0</v>
      </c>
      <c r="M23" s="559">
        <f>'Char Depth Graph'!M29</f>
        <v>0</v>
      </c>
      <c r="N23" s="559">
        <f>Recap!BJ35</f>
        <v>0</v>
      </c>
      <c r="O23" s="559">
        <f>Recap!BK35</f>
        <v>0</v>
      </c>
      <c r="P23" s="559">
        <f>Recap!BL35</f>
        <v>0</v>
      </c>
      <c r="Q23" s="559">
        <f>'Char Depth Graph'!Q29</f>
        <v>0</v>
      </c>
      <c r="R23" s="559">
        <f>'Char Depth Graph'!R29</f>
        <v>0</v>
      </c>
      <c r="S23" s="559">
        <f>'Char Depth Graph'!S29</f>
        <v>0</v>
      </c>
      <c r="T23" s="559">
        <f>Recap!BN35</f>
        <v>0</v>
      </c>
      <c r="U23" s="559">
        <f>Recap!BO35</f>
        <v>0</v>
      </c>
      <c r="V23" s="559">
        <f>Recap!BP35</f>
        <v>0</v>
      </c>
      <c r="W23" s="559">
        <f>'Char Depth Graph'!W29</f>
        <v>0</v>
      </c>
      <c r="X23" s="559">
        <f>'Char Depth Graph'!X29</f>
        <v>0</v>
      </c>
      <c r="Y23" s="559">
        <f>'Char Depth Graph'!Y29</f>
        <v>0</v>
      </c>
      <c r="Z23" s="265" t="str">
        <f>'Char Depth Graph'!Z29</f>
        <v>Y</v>
      </c>
      <c r="AA23" s="510">
        <f>'Char Depth Graph'!AA29</f>
        <v>0</v>
      </c>
    </row>
    <row r="24" spans="1:27" ht="15.75" customHeight="1" thickBot="1">
      <c r="A24" s="511" t="str">
        <f>Recap!D36</f>
        <v>Edimb_5</v>
      </c>
      <c r="B24" s="560">
        <f>Recap!AY36</f>
        <v>39.684210526315788</v>
      </c>
      <c r="C24" s="560">
        <f>Recap!AZ36</f>
        <v>29.763157894736842</v>
      </c>
      <c r="D24" s="560">
        <f>Recap!BA36</f>
        <v>58</v>
      </c>
      <c r="E24" s="560">
        <f>'Char Depth Graph'!E30</f>
        <v>0</v>
      </c>
      <c r="F24" s="560">
        <f>'Char Depth Graph'!F30</f>
        <v>0</v>
      </c>
      <c r="G24" s="560">
        <f>'Char Depth Graph'!G30</f>
        <v>0</v>
      </c>
      <c r="H24" s="560">
        <f>Recap!BC36</f>
        <v>36.07655502392344</v>
      </c>
      <c r="I24" s="560">
        <f>Recap!BD36</f>
        <v>27.057416267942578</v>
      </c>
      <c r="J24" s="560">
        <f>Recap!BE36</f>
        <v>52.727272727272727</v>
      </c>
      <c r="K24" s="560">
        <f>'Char Depth Graph'!K30</f>
        <v>0</v>
      </c>
      <c r="L24" s="560">
        <f>'Char Depth Graph'!L30</f>
        <v>0</v>
      </c>
      <c r="M24" s="560">
        <f>'Char Depth Graph'!M30</f>
        <v>0</v>
      </c>
      <c r="N24" s="560">
        <f>Recap!BJ36</f>
        <v>0</v>
      </c>
      <c r="O24" s="560">
        <f>Recap!BK36</f>
        <v>0</v>
      </c>
      <c r="P24" s="560">
        <f>Recap!BL36</f>
        <v>0</v>
      </c>
      <c r="Q24" s="560">
        <f>'Char Depth Graph'!Q30</f>
        <v>0</v>
      </c>
      <c r="R24" s="560">
        <f>'Char Depth Graph'!R30</f>
        <v>0</v>
      </c>
      <c r="S24" s="560">
        <f>'Char Depth Graph'!S30</f>
        <v>0</v>
      </c>
      <c r="T24" s="560">
        <f>Recap!BN36</f>
        <v>0</v>
      </c>
      <c r="U24" s="560">
        <f>Recap!BO36</f>
        <v>0</v>
      </c>
      <c r="V24" s="560">
        <f>Recap!BP36</f>
        <v>0</v>
      </c>
      <c r="W24" s="560">
        <f>'Char Depth Graph'!W30</f>
        <v>0</v>
      </c>
      <c r="X24" s="560">
        <f>'Char Depth Graph'!X30</f>
        <v>0</v>
      </c>
      <c r="Y24" s="560">
        <f>'Char Depth Graph'!Y30</f>
        <v>0</v>
      </c>
      <c r="Z24" s="266" t="str">
        <f>'Char Depth Graph'!Z30</f>
        <v>N</v>
      </c>
      <c r="AA24" s="513">
        <f>'Char Depth Graph'!AA30</f>
        <v>0</v>
      </c>
    </row>
    <row r="25" spans="1:27" ht="15.75" customHeight="1" thickBot="1">
      <c r="A25" s="100" t="str">
        <f>Recap!D37</f>
        <v>Emb_1</v>
      </c>
      <c r="B25" s="561">
        <f>Recap!AY37</f>
        <v>15</v>
      </c>
      <c r="C25" s="561">
        <f>Recap!AZ37</f>
        <v>11.25</v>
      </c>
      <c r="D25" s="561">
        <f>Recap!BA37</f>
        <v>20</v>
      </c>
      <c r="E25" s="561">
        <f>'Char Depth Graph'!E31</f>
        <v>0</v>
      </c>
      <c r="F25" s="561">
        <f>'Char Depth Graph'!F31</f>
        <v>0</v>
      </c>
      <c r="G25" s="561">
        <f>'Char Depth Graph'!G31</f>
        <v>0</v>
      </c>
      <c r="H25" s="561">
        <f>Recap!BC37</f>
        <v>15</v>
      </c>
      <c r="I25" s="561">
        <f>Recap!BD37</f>
        <v>11.25</v>
      </c>
      <c r="J25" s="561">
        <f>Recap!BE37</f>
        <v>20</v>
      </c>
      <c r="K25" s="561">
        <f>'Char Depth Graph'!K31</f>
        <v>0</v>
      </c>
      <c r="L25" s="561">
        <f>'Char Depth Graph'!L31</f>
        <v>0</v>
      </c>
      <c r="M25" s="561">
        <f>'Char Depth Graph'!M31</f>
        <v>0</v>
      </c>
      <c r="N25" s="561">
        <f>Recap!BJ37</f>
        <v>0</v>
      </c>
      <c r="O25" s="561">
        <f>Recap!BK37</f>
        <v>0</v>
      </c>
      <c r="P25" s="561">
        <f>Recap!BL37</f>
        <v>0</v>
      </c>
      <c r="Q25" s="561">
        <f>'Char Depth Graph'!Q31</f>
        <v>0</v>
      </c>
      <c r="R25" s="561">
        <f>'Char Depth Graph'!R31</f>
        <v>0</v>
      </c>
      <c r="S25" s="561">
        <f>'Char Depth Graph'!S31</f>
        <v>0</v>
      </c>
      <c r="T25" s="561">
        <f>Recap!BN37</f>
        <v>0</v>
      </c>
      <c r="U25" s="561">
        <f>Recap!BO37</f>
        <v>0</v>
      </c>
      <c r="V25" s="561">
        <f>Recap!BP37</f>
        <v>0</v>
      </c>
      <c r="W25" s="561">
        <f>'Char Depth Graph'!W31</f>
        <v>0</v>
      </c>
      <c r="X25" s="561">
        <f>'Char Depth Graph'!X31</f>
        <v>0</v>
      </c>
      <c r="Y25" s="561">
        <f>'Char Depth Graph'!Y31</f>
        <v>0</v>
      </c>
      <c r="Z25" s="268" t="str">
        <f>'Char Depth Graph'!Z31</f>
        <v>Y</v>
      </c>
      <c r="AA25" s="515">
        <f>'Char Depth Graph'!AA31</f>
        <v>0</v>
      </c>
    </row>
    <row r="26" spans="1:27">
      <c r="A26" s="509" t="str">
        <f>Recap!D39</f>
        <v>USDA_2</v>
      </c>
      <c r="B26" s="559">
        <f>Recap!AY39</f>
        <v>0</v>
      </c>
      <c r="C26" s="559">
        <f>Recap!AZ39</f>
        <v>0</v>
      </c>
      <c r="D26" s="559">
        <f>Recap!BA39</f>
        <v>0</v>
      </c>
      <c r="E26" s="559">
        <f>'Char Depth Graph'!E33</f>
        <v>0</v>
      </c>
      <c r="F26" s="559">
        <f>'Char Depth Graph'!F33</f>
        <v>0</v>
      </c>
      <c r="G26" s="559">
        <f>'Char Depth Graph'!G33</f>
        <v>0</v>
      </c>
      <c r="H26" s="559">
        <f>Recap!BC39</f>
        <v>23</v>
      </c>
      <c r="I26" s="559">
        <f>Recap!BD39</f>
        <v>23</v>
      </c>
      <c r="J26" s="559">
        <f>Recap!BE39</f>
        <v>23</v>
      </c>
      <c r="K26" s="559">
        <f>'Char Depth Graph'!K33</f>
        <v>0</v>
      </c>
      <c r="L26" s="559">
        <f>'Char Depth Graph'!L33</f>
        <v>0</v>
      </c>
      <c r="M26" s="559">
        <f>'Char Depth Graph'!M33</f>
        <v>0</v>
      </c>
      <c r="N26" s="559">
        <f>Recap!BJ39</f>
        <v>0</v>
      </c>
      <c r="O26" s="559">
        <f>Recap!BK39</f>
        <v>0</v>
      </c>
      <c r="P26" s="559">
        <f>Recap!BL39</f>
        <v>0</v>
      </c>
      <c r="Q26" s="559">
        <f>'Char Depth Graph'!Q33</f>
        <v>0</v>
      </c>
      <c r="R26" s="559">
        <f>'Char Depth Graph'!R33</f>
        <v>0</v>
      </c>
      <c r="S26" s="559">
        <f>'Char Depth Graph'!S33</f>
        <v>0</v>
      </c>
      <c r="T26" s="559">
        <f>Recap!BN39</f>
        <v>0</v>
      </c>
      <c r="U26" s="559">
        <f>Recap!BO39</f>
        <v>0</v>
      </c>
      <c r="V26" s="559">
        <f>Recap!BP39</f>
        <v>0</v>
      </c>
      <c r="W26" s="559">
        <f>'Char Depth Graph'!W33</f>
        <v>0</v>
      </c>
      <c r="X26" s="559">
        <f>'Char Depth Graph'!X33</f>
        <v>0</v>
      </c>
      <c r="Y26" s="559">
        <f>'Char Depth Graph'!Y33</f>
        <v>0</v>
      </c>
      <c r="Z26" s="265" t="str">
        <f>'Char Depth Graph'!Z33</f>
        <v>Y</v>
      </c>
      <c r="AA26" s="510">
        <f>'Char Depth Graph'!AA33</f>
        <v>0</v>
      </c>
    </row>
    <row r="27" spans="1:27">
      <c r="A27" s="509" t="str">
        <f>Recap!D40</f>
        <v>USDA_3</v>
      </c>
      <c r="B27" s="559">
        <f>Recap!AY40</f>
        <v>32.666666666666664</v>
      </c>
      <c r="C27" s="559">
        <f>Recap!AZ40</f>
        <v>23</v>
      </c>
      <c r="D27" s="559">
        <f>Recap!BA40</f>
        <v>50</v>
      </c>
      <c r="E27" s="559">
        <f>'Char Depth Graph'!E34</f>
        <v>0</v>
      </c>
      <c r="F27" s="559">
        <f>'Char Depth Graph'!F34</f>
        <v>0</v>
      </c>
      <c r="G27" s="559">
        <f>'Char Depth Graph'!G34</f>
        <v>0</v>
      </c>
      <c r="H27" s="559">
        <f>Recap!BC40</f>
        <v>0</v>
      </c>
      <c r="I27" s="559">
        <f>Recap!BD40</f>
        <v>0</v>
      </c>
      <c r="J27" s="559">
        <f>Recap!BE40</f>
        <v>0</v>
      </c>
      <c r="K27" s="559">
        <f>'Char Depth Graph'!K34</f>
        <v>0</v>
      </c>
      <c r="L27" s="559">
        <f>'Char Depth Graph'!L34</f>
        <v>0</v>
      </c>
      <c r="M27" s="559">
        <f>'Char Depth Graph'!M34</f>
        <v>0</v>
      </c>
      <c r="N27" s="559">
        <f>Recap!BJ40</f>
        <v>0</v>
      </c>
      <c r="O27" s="559">
        <f>Recap!BK40</f>
        <v>0</v>
      </c>
      <c r="P27" s="559">
        <f>Recap!BL40</f>
        <v>0</v>
      </c>
      <c r="Q27" s="559">
        <f>'Char Depth Graph'!Q34</f>
        <v>0</v>
      </c>
      <c r="R27" s="559">
        <f>'Char Depth Graph'!R34</f>
        <v>0</v>
      </c>
      <c r="S27" s="559">
        <f>'Char Depth Graph'!S34</f>
        <v>0</v>
      </c>
      <c r="T27" s="559">
        <f>Recap!BN40</f>
        <v>0</v>
      </c>
      <c r="U27" s="559">
        <f>Recap!BO40</f>
        <v>0</v>
      </c>
      <c r="V27" s="559">
        <f>Recap!BP40</f>
        <v>0</v>
      </c>
      <c r="W27" s="559">
        <f>'Char Depth Graph'!W34</f>
        <v>0</v>
      </c>
      <c r="X27" s="559">
        <f>'Char Depth Graph'!X34</f>
        <v>0</v>
      </c>
      <c r="Y27" s="559">
        <f>'Char Depth Graph'!Y34</f>
        <v>0</v>
      </c>
      <c r="Z27" s="265" t="str">
        <f>'Char Depth Graph'!Z34</f>
        <v>Y</v>
      </c>
      <c r="AA27" s="510">
        <f>'Char Depth Graph'!AA34</f>
        <v>0</v>
      </c>
    </row>
    <row r="28" spans="1:27">
      <c r="A28" s="509" t="str">
        <f>Recap!D41</f>
        <v>USDA_4</v>
      </c>
      <c r="B28" s="559">
        <f>Recap!AY41</f>
        <v>0.5</v>
      </c>
      <c r="C28" s="559">
        <f>Recap!AZ41</f>
        <v>0</v>
      </c>
      <c r="D28" s="559">
        <f>Recap!BA41</f>
        <v>0</v>
      </c>
      <c r="E28" s="559">
        <f>'Char Depth Graph'!E35</f>
        <v>0</v>
      </c>
      <c r="F28" s="559">
        <f>'Char Depth Graph'!F35</f>
        <v>0</v>
      </c>
      <c r="G28" s="559">
        <f>'Char Depth Graph'!G35</f>
        <v>0</v>
      </c>
      <c r="H28" s="559">
        <f>Recap!BC41</f>
        <v>0.5</v>
      </c>
      <c r="I28" s="559">
        <f>Recap!BD41</f>
        <v>0</v>
      </c>
      <c r="J28" s="559">
        <f>Recap!BE41</f>
        <v>0</v>
      </c>
      <c r="K28" s="559">
        <f>'Char Depth Graph'!K35</f>
        <v>0</v>
      </c>
      <c r="L28" s="559">
        <f>'Char Depth Graph'!L35</f>
        <v>0</v>
      </c>
      <c r="M28" s="559">
        <f>'Char Depth Graph'!M35</f>
        <v>0</v>
      </c>
      <c r="N28" s="559">
        <f>Recap!BJ41</f>
        <v>0</v>
      </c>
      <c r="O28" s="559">
        <f>Recap!BK41</f>
        <v>0</v>
      </c>
      <c r="P28" s="559">
        <f>Recap!BL41</f>
        <v>0</v>
      </c>
      <c r="Q28" s="559">
        <f>'Char Depth Graph'!Q35</f>
        <v>0</v>
      </c>
      <c r="R28" s="559">
        <f>'Char Depth Graph'!R35</f>
        <v>0</v>
      </c>
      <c r="S28" s="559">
        <f>'Char Depth Graph'!S35</f>
        <v>0</v>
      </c>
      <c r="T28" s="559">
        <f>Recap!BN41</f>
        <v>0</v>
      </c>
      <c r="U28" s="559">
        <f>Recap!BO41</f>
        <v>0</v>
      </c>
      <c r="V28" s="559">
        <f>Recap!BP41</f>
        <v>0</v>
      </c>
      <c r="W28" s="559">
        <f>'Char Depth Graph'!W35</f>
        <v>0</v>
      </c>
      <c r="X28" s="559">
        <f>'Char Depth Graph'!X35</f>
        <v>0</v>
      </c>
      <c r="Y28" s="559">
        <f>'Char Depth Graph'!Y35</f>
        <v>0</v>
      </c>
      <c r="Z28" s="265" t="str">
        <f>'Char Depth Graph'!Z35</f>
        <v>Y</v>
      </c>
      <c r="AA28" s="510">
        <f>'Char Depth Graph'!AA35</f>
        <v>0</v>
      </c>
    </row>
    <row r="29" spans="1:27" ht="15.75" customHeight="1" thickBot="1">
      <c r="A29" s="511" t="str">
        <f>Recap!D42</f>
        <v>USDA_5</v>
      </c>
      <c r="B29" s="560">
        <f>Recap!AY42</f>
        <v>1</v>
      </c>
      <c r="C29" s="560">
        <f>Recap!AZ42</f>
        <v>0.1</v>
      </c>
      <c r="D29" s="560">
        <f>Recap!BA42</f>
        <v>12</v>
      </c>
      <c r="E29" s="560">
        <f>'Char Depth Graph'!E36</f>
        <v>0</v>
      </c>
      <c r="F29" s="560">
        <f>'Char Depth Graph'!F36</f>
        <v>0</v>
      </c>
      <c r="G29" s="560">
        <f>'Char Depth Graph'!G36</f>
        <v>0</v>
      </c>
      <c r="H29" s="560">
        <f>Recap!BC42</f>
        <v>1</v>
      </c>
      <c r="I29" s="560">
        <f>Recap!BD42</f>
        <v>0.1</v>
      </c>
      <c r="J29" s="560">
        <f>Recap!BE42</f>
        <v>10</v>
      </c>
      <c r="K29" s="560">
        <f>'Char Depth Graph'!K36</f>
        <v>0</v>
      </c>
      <c r="L29" s="560">
        <f>'Char Depth Graph'!L36</f>
        <v>0</v>
      </c>
      <c r="M29" s="560">
        <f>'Char Depth Graph'!M36</f>
        <v>0</v>
      </c>
      <c r="N29" s="560">
        <f>Recap!BJ42</f>
        <v>0</v>
      </c>
      <c r="O29" s="560">
        <f>Recap!BK42</f>
        <v>0</v>
      </c>
      <c r="P29" s="560">
        <f>Recap!BL42</f>
        <v>0</v>
      </c>
      <c r="Q29" s="560">
        <f>'Char Depth Graph'!Q36</f>
        <v>0</v>
      </c>
      <c r="R29" s="560">
        <f>'Char Depth Graph'!R36</f>
        <v>0</v>
      </c>
      <c r="S29" s="560">
        <f>'Char Depth Graph'!S36</f>
        <v>0</v>
      </c>
      <c r="T29" s="560">
        <f>Recap!BN42</f>
        <v>0</v>
      </c>
      <c r="U29" s="560">
        <f>Recap!BO42</f>
        <v>0</v>
      </c>
      <c r="V29" s="560">
        <f>Recap!BP42</f>
        <v>0</v>
      </c>
      <c r="W29" s="560">
        <f>'Char Depth Graph'!W36</f>
        <v>0</v>
      </c>
      <c r="X29" s="560">
        <f>'Char Depth Graph'!X36</f>
        <v>0</v>
      </c>
      <c r="Y29" s="560">
        <f>'Char Depth Graph'!Y36</f>
        <v>0</v>
      </c>
      <c r="Z29" s="266" t="str">
        <f>'Char Depth Graph'!Z36</f>
        <v>Y</v>
      </c>
      <c r="AA29" s="513">
        <f>'Char Depth Graph'!AA36</f>
        <v>0</v>
      </c>
    </row>
    <row r="30" spans="1:27">
      <c r="A30" s="92" t="str">
        <f>Recap!D43</f>
        <v>Epernon_1</v>
      </c>
      <c r="B30" s="557">
        <f>Recap!AY43</f>
        <v>0</v>
      </c>
      <c r="C30" s="557">
        <f>Recap!AZ43</f>
        <v>0</v>
      </c>
      <c r="D30" s="557">
        <f>Recap!BA43</f>
        <v>0</v>
      </c>
      <c r="E30" s="557">
        <f>'Char Depth Graph'!E37</f>
        <v>0</v>
      </c>
      <c r="F30" s="557">
        <f>'Char Depth Graph'!F37</f>
        <v>0</v>
      </c>
      <c r="G30" s="557">
        <f>'Char Depth Graph'!G37</f>
        <v>0</v>
      </c>
      <c r="H30" s="557">
        <f>Recap!BC43</f>
        <v>49.5</v>
      </c>
      <c r="I30" s="557">
        <f>Recap!BD43</f>
        <v>49.5</v>
      </c>
      <c r="J30" s="557">
        <f>Recap!BE43</f>
        <v>49.5</v>
      </c>
      <c r="K30" s="557">
        <f>'Char Depth Graph'!K37</f>
        <v>0</v>
      </c>
      <c r="L30" s="557">
        <f>'Char Depth Graph'!L37</f>
        <v>0</v>
      </c>
      <c r="M30" s="557">
        <f>'Char Depth Graph'!M37</f>
        <v>0</v>
      </c>
      <c r="N30" s="557">
        <f>Recap!BJ43</f>
        <v>0</v>
      </c>
      <c r="O30" s="557">
        <f>Recap!BK43</f>
        <v>0</v>
      </c>
      <c r="P30" s="557">
        <f>Recap!BL43</f>
        <v>0</v>
      </c>
      <c r="Q30" s="557">
        <f>'Char Depth Graph'!Q37</f>
        <v>0</v>
      </c>
      <c r="R30" s="557">
        <f>'Char Depth Graph'!R37</f>
        <v>0</v>
      </c>
      <c r="S30" s="557">
        <f>'Char Depth Graph'!S37</f>
        <v>0</v>
      </c>
      <c r="T30" s="557">
        <f>Recap!BN43</f>
        <v>0</v>
      </c>
      <c r="U30" s="557">
        <f>Recap!BO43</f>
        <v>0</v>
      </c>
      <c r="V30" s="557">
        <f>Recap!BP43</f>
        <v>0</v>
      </c>
      <c r="W30" s="557">
        <f>'Char Depth Graph'!W37</f>
        <v>0</v>
      </c>
      <c r="X30" s="557">
        <f>'Char Depth Graph'!X37</f>
        <v>0</v>
      </c>
      <c r="Y30" s="557">
        <f>'Char Depth Graph'!Y37</f>
        <v>0</v>
      </c>
      <c r="Z30" s="263" t="str">
        <f>'Char Depth Graph'!Z37</f>
        <v>Y</v>
      </c>
      <c r="AA30" s="508">
        <f>'Char Depth Graph'!AA37</f>
        <v>0</v>
      </c>
    </row>
    <row r="31" spans="1:27">
      <c r="A31" s="509" t="str">
        <f>Recap!D44</f>
        <v>Epernon_2</v>
      </c>
      <c r="B31" s="559">
        <f>Recap!AY44</f>
        <v>0</v>
      </c>
      <c r="C31" s="559">
        <f>Recap!AZ44</f>
        <v>0</v>
      </c>
      <c r="D31" s="559">
        <f>Recap!BA44</f>
        <v>0</v>
      </c>
      <c r="E31" s="559">
        <f>'Char Depth Graph'!E38</f>
        <v>0</v>
      </c>
      <c r="F31" s="559">
        <f>'Char Depth Graph'!F38</f>
        <v>0</v>
      </c>
      <c r="G31" s="559">
        <f>'Char Depth Graph'!G38</f>
        <v>0</v>
      </c>
      <c r="H31" s="559">
        <f>Recap!BC44</f>
        <v>82.5</v>
      </c>
      <c r="I31" s="559">
        <f>Recap!BD44</f>
        <v>82.5</v>
      </c>
      <c r="J31" s="559">
        <f>Recap!BE44</f>
        <v>82.5</v>
      </c>
      <c r="K31" s="559">
        <f>'Char Depth Graph'!K38</f>
        <v>0</v>
      </c>
      <c r="L31" s="559">
        <f>'Char Depth Graph'!L38</f>
        <v>0</v>
      </c>
      <c r="M31" s="559">
        <f>'Char Depth Graph'!M38</f>
        <v>0</v>
      </c>
      <c r="N31" s="559">
        <f>Recap!BJ44</f>
        <v>0</v>
      </c>
      <c r="O31" s="559">
        <f>Recap!BK44</f>
        <v>0</v>
      </c>
      <c r="P31" s="559">
        <f>Recap!BL44</f>
        <v>0</v>
      </c>
      <c r="Q31" s="559">
        <f>'Char Depth Graph'!Q38</f>
        <v>0</v>
      </c>
      <c r="R31" s="559">
        <f>'Char Depth Graph'!R38</f>
        <v>0</v>
      </c>
      <c r="S31" s="559">
        <f>'Char Depth Graph'!S38</f>
        <v>0</v>
      </c>
      <c r="T31" s="559">
        <f>Recap!BN44</f>
        <v>0</v>
      </c>
      <c r="U31" s="559">
        <f>Recap!BO44</f>
        <v>0</v>
      </c>
      <c r="V31" s="559">
        <f>Recap!BP44</f>
        <v>0</v>
      </c>
      <c r="W31" s="559">
        <f>'Char Depth Graph'!W38</f>
        <v>0</v>
      </c>
      <c r="X31" s="559">
        <f>'Char Depth Graph'!X38</f>
        <v>0</v>
      </c>
      <c r="Y31" s="559">
        <f>'Char Depth Graph'!Y38</f>
        <v>0</v>
      </c>
      <c r="Z31" s="265" t="str">
        <f>'Char Depth Graph'!Z38</f>
        <v>Y</v>
      </c>
      <c r="AA31" s="510">
        <f>'Char Depth Graph'!AA38</f>
        <v>0</v>
      </c>
    </row>
    <row r="32" spans="1:27" ht="15.75" customHeight="1" thickBot="1">
      <c r="A32" s="511" t="str">
        <f>Recap!D45</f>
        <v>Epernon_3</v>
      </c>
      <c r="B32" s="560">
        <f>Recap!AY45</f>
        <v>0</v>
      </c>
      <c r="C32" s="560">
        <f>Recap!AZ45</f>
        <v>0</v>
      </c>
      <c r="D32" s="560">
        <f>Recap!BA45</f>
        <v>0</v>
      </c>
      <c r="E32" s="560">
        <f>'Char Depth Graph'!E39</f>
        <v>0</v>
      </c>
      <c r="F32" s="560">
        <f>'Char Depth Graph'!F39</f>
        <v>0</v>
      </c>
      <c r="G32" s="560">
        <f>'Char Depth Graph'!G39</f>
        <v>0</v>
      </c>
      <c r="H32" s="560">
        <f>Recap!BC45</f>
        <v>78</v>
      </c>
      <c r="I32" s="560">
        <f>Recap!BD45</f>
        <v>78</v>
      </c>
      <c r="J32" s="560">
        <f>Recap!BE45</f>
        <v>78</v>
      </c>
      <c r="K32" s="560">
        <f>'Char Depth Graph'!K39</f>
        <v>0</v>
      </c>
      <c r="L32" s="560">
        <f>'Char Depth Graph'!L39</f>
        <v>0</v>
      </c>
      <c r="M32" s="560">
        <f>'Char Depth Graph'!M39</f>
        <v>0</v>
      </c>
      <c r="N32" s="560">
        <f>Recap!BJ45</f>
        <v>0</v>
      </c>
      <c r="O32" s="560">
        <f>Recap!BK45</f>
        <v>0</v>
      </c>
      <c r="P32" s="560">
        <f>Recap!BL45</f>
        <v>0</v>
      </c>
      <c r="Q32" s="560">
        <f>'Char Depth Graph'!Q39</f>
        <v>0</v>
      </c>
      <c r="R32" s="560">
        <f>'Char Depth Graph'!R39</f>
        <v>0</v>
      </c>
      <c r="S32" s="560">
        <f>'Char Depth Graph'!S39</f>
        <v>0</v>
      </c>
      <c r="T32" s="560">
        <f>Recap!BN45</f>
        <v>0</v>
      </c>
      <c r="U32" s="560">
        <f>Recap!BO45</f>
        <v>0</v>
      </c>
      <c r="V32" s="560">
        <f>Recap!BP45</f>
        <v>0</v>
      </c>
      <c r="W32" s="560">
        <f>'Char Depth Graph'!W39</f>
        <v>0</v>
      </c>
      <c r="X32" s="560">
        <f>'Char Depth Graph'!X39</f>
        <v>0</v>
      </c>
      <c r="Y32" s="560">
        <f>'Char Depth Graph'!Y39</f>
        <v>0</v>
      </c>
      <c r="Z32" s="266" t="str">
        <f>'Char Depth Graph'!Z39</f>
        <v>N</v>
      </c>
      <c r="AA32" s="513">
        <f>'Char Depth Graph'!AA39</f>
        <v>0</v>
      </c>
    </row>
    <row r="33" spans="1:27">
      <c r="A33" s="92" t="str">
        <f>Recap!D46</f>
        <v>NRCC_LS_1</v>
      </c>
      <c r="B33" s="566">
        <f>Recap!AY46</f>
        <v>25</v>
      </c>
      <c r="C33" s="557">
        <f>Recap!AZ46</f>
        <v>25</v>
      </c>
      <c r="D33" s="557">
        <f>Recap!BA46</f>
        <v>25</v>
      </c>
      <c r="E33" s="566">
        <f>'Char Depth Graph'!E40</f>
        <v>0</v>
      </c>
      <c r="F33" s="557">
        <f>'Char Depth Graph'!F40</f>
        <v>0</v>
      </c>
      <c r="G33" s="557">
        <f>'Char Depth Graph'!G40</f>
        <v>0</v>
      </c>
      <c r="H33" s="557">
        <f>Recap!BC46</f>
        <v>25</v>
      </c>
      <c r="I33" s="557">
        <f>Recap!BD46</f>
        <v>25</v>
      </c>
      <c r="J33" s="557">
        <f>Recap!BE46</f>
        <v>25</v>
      </c>
      <c r="K33" s="557">
        <f>'Char Depth Graph'!K40</f>
        <v>0</v>
      </c>
      <c r="L33" s="557">
        <f>'Char Depth Graph'!L40</f>
        <v>0</v>
      </c>
      <c r="M33" s="557">
        <f>'Char Depth Graph'!M40</f>
        <v>0</v>
      </c>
      <c r="N33" s="557">
        <f>Recap!BJ46</f>
        <v>0</v>
      </c>
      <c r="O33" s="557">
        <f>Recap!BK46</f>
        <v>0</v>
      </c>
      <c r="P33" s="557">
        <f>Recap!BL46</f>
        <v>0</v>
      </c>
      <c r="Q33" s="557">
        <f>'Char Depth Graph'!Q40</f>
        <v>0</v>
      </c>
      <c r="R33" s="557">
        <f>'Char Depth Graph'!R40</f>
        <v>0</v>
      </c>
      <c r="S33" s="557">
        <f>'Char Depth Graph'!S40</f>
        <v>0</v>
      </c>
      <c r="T33" s="557">
        <f>Recap!BN46</f>
        <v>0</v>
      </c>
      <c r="U33" s="557">
        <f>Recap!BO46</f>
        <v>0</v>
      </c>
      <c r="V33" s="557">
        <f>Recap!BP46</f>
        <v>0</v>
      </c>
      <c r="W33" s="557">
        <f>'Char Depth Graph'!W40</f>
        <v>0</v>
      </c>
      <c r="X33" s="557">
        <f>'Char Depth Graph'!X40</f>
        <v>0</v>
      </c>
      <c r="Y33" s="557">
        <f>'Char Depth Graph'!Y40</f>
        <v>0</v>
      </c>
      <c r="Z33" s="263" t="str">
        <f>'Char Depth Graph'!Z40</f>
        <v>Y</v>
      </c>
      <c r="AA33" s="508">
        <f>'Char Depth Graph'!AA40</f>
        <v>0</v>
      </c>
    </row>
    <row r="34" spans="1:27">
      <c r="A34" s="509" t="str">
        <f>Recap!D47</f>
        <v>NRCC_LS_2</v>
      </c>
      <c r="B34" s="559">
        <f>Recap!AY47</f>
        <v>0</v>
      </c>
      <c r="C34" s="559">
        <f>Recap!AZ47</f>
        <v>0</v>
      </c>
      <c r="D34" s="559">
        <f>Recap!BA47</f>
        <v>0</v>
      </c>
      <c r="E34" s="559">
        <f>'Char Depth Graph'!E41</f>
        <v>0</v>
      </c>
      <c r="F34" s="559">
        <f>'Char Depth Graph'!F41</f>
        <v>0</v>
      </c>
      <c r="G34" s="559">
        <f>'Char Depth Graph'!G41</f>
        <v>0</v>
      </c>
      <c r="H34" s="559">
        <f>Recap!BC47</f>
        <v>40.142857142857146</v>
      </c>
      <c r="I34" s="559">
        <f>Recap!BD47</f>
        <v>28</v>
      </c>
      <c r="J34" s="559">
        <f>Recap!BE47</f>
        <v>48</v>
      </c>
      <c r="K34" s="559">
        <f>'Char Depth Graph'!K41</f>
        <v>0</v>
      </c>
      <c r="L34" s="559">
        <f>'Char Depth Graph'!L41</f>
        <v>0</v>
      </c>
      <c r="M34" s="559">
        <f>'Char Depth Graph'!M41</f>
        <v>0</v>
      </c>
      <c r="N34" s="559">
        <f>Recap!BJ47</f>
        <v>64.25</v>
      </c>
      <c r="O34" s="559">
        <f>Recap!BK47</f>
        <v>25</v>
      </c>
      <c r="P34" s="559">
        <f>Recap!BL47</f>
        <v>90</v>
      </c>
      <c r="Q34" s="559">
        <f>'Char Depth Graph'!Q41</f>
        <v>0</v>
      </c>
      <c r="R34" s="559">
        <f>'Char Depth Graph'!R41</f>
        <v>0</v>
      </c>
      <c r="S34" s="559">
        <f>'Char Depth Graph'!S41</f>
        <v>0</v>
      </c>
      <c r="T34" s="559">
        <f>Recap!BN47</f>
        <v>60.75</v>
      </c>
      <c r="U34" s="559">
        <f>Recap!BO47</f>
        <v>35</v>
      </c>
      <c r="V34" s="559">
        <f>Recap!BP47</f>
        <v>95</v>
      </c>
      <c r="W34" s="559">
        <f>'Char Depth Graph'!W41</f>
        <v>0</v>
      </c>
      <c r="X34" s="559">
        <f>'Char Depth Graph'!X41</f>
        <v>0</v>
      </c>
      <c r="Y34" s="559">
        <f>'Char Depth Graph'!Y41</f>
        <v>0</v>
      </c>
      <c r="Z34" s="51" t="str">
        <f>'Char Depth Graph'!Z41</f>
        <v>Y</v>
      </c>
      <c r="AA34" s="510">
        <f>'Char Depth Graph'!AA41</f>
        <v>0</v>
      </c>
    </row>
    <row r="35" spans="1:27">
      <c r="A35" s="509" t="str">
        <f>Recap!D48</f>
        <v>NRCC_LS_3</v>
      </c>
      <c r="B35" s="559">
        <f>Recap!AY48</f>
        <v>1</v>
      </c>
      <c r="C35" s="559">
        <f>Recap!AZ48</f>
        <v>0.1</v>
      </c>
      <c r="D35" s="559">
        <f>Recap!BA48</f>
        <v>5</v>
      </c>
      <c r="E35" s="559">
        <f>'Char Depth Graph'!E42</f>
        <v>0</v>
      </c>
      <c r="F35" s="559">
        <f>'Char Depth Graph'!F42</f>
        <v>0</v>
      </c>
      <c r="G35" s="559">
        <f>'Char Depth Graph'!G42</f>
        <v>0</v>
      </c>
      <c r="H35" s="559">
        <f>Recap!BC48</f>
        <v>1</v>
      </c>
      <c r="I35" s="559">
        <f>Recap!BD48</f>
        <v>0.1</v>
      </c>
      <c r="J35" s="559">
        <f>Recap!BE48</f>
        <v>2</v>
      </c>
      <c r="K35" s="559">
        <f>'Char Depth Graph'!K42</f>
        <v>0</v>
      </c>
      <c r="L35" s="559">
        <f>'Char Depth Graph'!L42</f>
        <v>0</v>
      </c>
      <c r="M35" s="559">
        <f>'Char Depth Graph'!M42</f>
        <v>0</v>
      </c>
      <c r="N35" s="559">
        <f>Recap!BJ48</f>
        <v>0</v>
      </c>
      <c r="O35" s="559">
        <f>Recap!BK48</f>
        <v>0</v>
      </c>
      <c r="P35" s="559">
        <f>Recap!BL48</f>
        <v>0</v>
      </c>
      <c r="Q35" s="559">
        <f>'Char Depth Graph'!Q42</f>
        <v>0</v>
      </c>
      <c r="R35" s="559">
        <f>'Char Depth Graph'!R42</f>
        <v>0</v>
      </c>
      <c r="S35" s="559">
        <f>'Char Depth Graph'!S42</f>
        <v>0</v>
      </c>
      <c r="T35" s="559">
        <f>Recap!BN48</f>
        <v>0</v>
      </c>
      <c r="U35" s="559">
        <f>Recap!BO48</f>
        <v>0</v>
      </c>
      <c r="V35" s="559">
        <f>Recap!BP48</f>
        <v>0</v>
      </c>
      <c r="W35" s="559">
        <f>'Char Depth Graph'!W42</f>
        <v>0</v>
      </c>
      <c r="X35" s="559">
        <f>'Char Depth Graph'!X42</f>
        <v>0</v>
      </c>
      <c r="Y35" s="559">
        <f>'Char Depth Graph'!Y42</f>
        <v>0</v>
      </c>
      <c r="Z35" s="265" t="str">
        <f>'Char Depth Graph'!Z42</f>
        <v>Y</v>
      </c>
      <c r="AA35" s="510">
        <f>'Char Depth Graph'!AA42</f>
        <v>0</v>
      </c>
    </row>
    <row r="36" spans="1:27" ht="15.75" thickBot="1">
      <c r="A36" s="509" t="str">
        <f>Recap!D49</f>
        <v>NRCC_LS_4</v>
      </c>
      <c r="B36" s="559">
        <f>Recap!AY49</f>
        <v>0</v>
      </c>
      <c r="C36" s="559">
        <f>Recap!AZ49</f>
        <v>0</v>
      </c>
      <c r="D36" s="559">
        <f>Recap!BA49</f>
        <v>0</v>
      </c>
      <c r="E36" s="559">
        <f>'Char Depth Graph'!E43</f>
        <v>0</v>
      </c>
      <c r="F36" s="559">
        <f>'Char Depth Graph'!F43</f>
        <v>0</v>
      </c>
      <c r="G36" s="559">
        <f>'Char Depth Graph'!G43</f>
        <v>0</v>
      </c>
      <c r="H36" s="559">
        <f>Recap!BC49</f>
        <v>70.416666666666671</v>
      </c>
      <c r="I36" s="559">
        <f>Recap!BD49</f>
        <v>53</v>
      </c>
      <c r="J36" s="559">
        <f>Recap!BE49</f>
        <v>89</v>
      </c>
      <c r="K36" s="559">
        <f>'Char Depth Graph'!K43</f>
        <v>0</v>
      </c>
      <c r="L36" s="559">
        <f>'Char Depth Graph'!L43</f>
        <v>0</v>
      </c>
      <c r="M36" s="559">
        <f>'Char Depth Graph'!M43</f>
        <v>0</v>
      </c>
      <c r="N36" s="559">
        <f>Recap!BJ49</f>
        <v>47.03125</v>
      </c>
      <c r="O36" s="559">
        <f>Recap!BK49</f>
        <v>26</v>
      </c>
      <c r="P36" s="559">
        <f>Recap!BL49</f>
        <v>68</v>
      </c>
      <c r="Q36" s="559">
        <f>'Char Depth Graph'!Q43</f>
        <v>0</v>
      </c>
      <c r="R36" s="559">
        <f>'Char Depth Graph'!R43</f>
        <v>0</v>
      </c>
      <c r="S36" s="559">
        <f>'Char Depth Graph'!S43</f>
        <v>0</v>
      </c>
      <c r="T36" s="559">
        <f>Recap!BN49</f>
        <v>64.4375</v>
      </c>
      <c r="U36" s="559">
        <f>Recap!BO49</f>
        <v>22</v>
      </c>
      <c r="V36" s="559">
        <f>Recap!BP49</f>
        <v>135</v>
      </c>
      <c r="W36" s="559">
        <f>'Char Depth Graph'!W43</f>
        <v>0</v>
      </c>
      <c r="X36" s="559">
        <f>'Char Depth Graph'!X43</f>
        <v>0</v>
      </c>
      <c r="Y36" s="559">
        <f>'Char Depth Graph'!Y43</f>
        <v>0</v>
      </c>
      <c r="Z36" s="265" t="str">
        <f>'Char Depth Graph'!Z43</f>
        <v>N</v>
      </c>
      <c r="AA36" s="510">
        <f>'Char Depth Graph'!AA43</f>
        <v>0</v>
      </c>
    </row>
    <row r="37" spans="1:27">
      <c r="A37" s="92" t="str">
        <f>Recap!D51</f>
        <v>RISE_1</v>
      </c>
      <c r="B37" s="557">
        <f>Recap!AY51</f>
        <v>0</v>
      </c>
      <c r="C37" s="557">
        <f>Recap!AZ51</f>
        <v>0</v>
      </c>
      <c r="D37" s="557">
        <f>Recap!BA51</f>
        <v>0</v>
      </c>
      <c r="E37" s="557">
        <f>'Char Depth Graph'!E44</f>
        <v>0</v>
      </c>
      <c r="F37" s="557">
        <f>'Char Depth Graph'!F44</f>
        <v>0</v>
      </c>
      <c r="G37" s="557">
        <f>'Char Depth Graph'!G44</f>
        <v>0</v>
      </c>
      <c r="H37" s="557">
        <f>Recap!BC51</f>
        <v>35.333333333333336</v>
      </c>
      <c r="I37" s="557">
        <f>Recap!BD51</f>
        <v>25</v>
      </c>
      <c r="J37" s="557">
        <f>Recap!BE51</f>
        <v>45</v>
      </c>
      <c r="K37" s="557">
        <f>'Char Depth Graph'!K44</f>
        <v>0</v>
      </c>
      <c r="L37" s="557">
        <f>'Char Depth Graph'!L44</f>
        <v>0</v>
      </c>
      <c r="M37" s="557">
        <f>'Char Depth Graph'!M44</f>
        <v>0</v>
      </c>
      <c r="N37" s="557">
        <f>Recap!BJ51</f>
        <v>32</v>
      </c>
      <c r="O37" s="557">
        <f>Recap!BK51</f>
        <v>0.1</v>
      </c>
      <c r="P37" s="557">
        <f>Recap!BL51</f>
        <v>65</v>
      </c>
      <c r="Q37" s="557">
        <f>'Char Depth Graph'!Q44</f>
        <v>0</v>
      </c>
      <c r="R37" s="557">
        <f>'Char Depth Graph'!R44</f>
        <v>0</v>
      </c>
      <c r="S37" s="557">
        <f>'Char Depth Graph'!S44</f>
        <v>0</v>
      </c>
      <c r="T37" s="557">
        <f>Recap!BN51</f>
        <v>0</v>
      </c>
      <c r="U37" s="557">
        <f>Recap!BO51</f>
        <v>0</v>
      </c>
      <c r="V37" s="557">
        <f>Recap!BP51</f>
        <v>0</v>
      </c>
      <c r="W37" s="557">
        <f>'Char Depth Graph'!W44</f>
        <v>0</v>
      </c>
      <c r="X37" s="557">
        <f>'Char Depth Graph'!X44</f>
        <v>0</v>
      </c>
      <c r="Y37" s="557">
        <f>'Char Depth Graph'!Y44</f>
        <v>0</v>
      </c>
      <c r="Z37" s="263" t="str">
        <f>'Char Depth Graph'!Z44</f>
        <v>Y</v>
      </c>
      <c r="AA37" s="508">
        <f>'Char Depth Graph'!AA44</f>
        <v>0</v>
      </c>
    </row>
    <row r="38" spans="1:27">
      <c r="A38" s="509" t="str">
        <f>Recap!D52</f>
        <v>RISE_2</v>
      </c>
      <c r="B38" s="559">
        <f>Recap!AY52</f>
        <v>60.708333333333336</v>
      </c>
      <c r="C38" s="559">
        <f>Recap!AZ52</f>
        <v>36</v>
      </c>
      <c r="D38" s="559">
        <f>Recap!BA52</f>
        <v>86</v>
      </c>
      <c r="E38" s="559">
        <f>'Char Depth Graph'!E45</f>
        <v>0</v>
      </c>
      <c r="F38" s="559">
        <f>'Char Depth Graph'!F45</f>
        <v>0</v>
      </c>
      <c r="G38" s="559">
        <f>'Char Depth Graph'!G45</f>
        <v>0</v>
      </c>
      <c r="H38" s="559">
        <f>Recap!BC52</f>
        <v>43.125</v>
      </c>
      <c r="I38" s="559">
        <f>Recap!BD52</f>
        <v>33</v>
      </c>
      <c r="J38" s="559">
        <f>Recap!BE52</f>
        <v>57</v>
      </c>
      <c r="K38" s="559">
        <f>'Char Depth Graph'!K45</f>
        <v>0</v>
      </c>
      <c r="L38" s="559">
        <f>'Char Depth Graph'!L45</f>
        <v>0</v>
      </c>
      <c r="M38" s="559">
        <f>'Char Depth Graph'!M45</f>
        <v>0</v>
      </c>
      <c r="N38" s="559">
        <f>Recap!BJ52</f>
        <v>56</v>
      </c>
      <c r="O38" s="559">
        <f>Recap!BK52</f>
        <v>20</v>
      </c>
      <c r="P38" s="559">
        <f>Recap!BL52</f>
        <v>80</v>
      </c>
      <c r="Q38" s="559">
        <f>'Char Depth Graph'!Q45</f>
        <v>0</v>
      </c>
      <c r="R38" s="559">
        <f>'Char Depth Graph'!R45</f>
        <v>0</v>
      </c>
      <c r="S38" s="559">
        <f>'Char Depth Graph'!S45</f>
        <v>0</v>
      </c>
      <c r="T38" s="559">
        <f>Recap!BN52</f>
        <v>0</v>
      </c>
      <c r="U38" s="559">
        <f>Recap!BO52</f>
        <v>0</v>
      </c>
      <c r="V38" s="559">
        <f>Recap!BP52</f>
        <v>0</v>
      </c>
      <c r="W38" s="559">
        <f>'Char Depth Graph'!W45</f>
        <v>0</v>
      </c>
      <c r="X38" s="559">
        <f>'Char Depth Graph'!X45</f>
        <v>0</v>
      </c>
      <c r="Y38" s="559">
        <f>'Char Depth Graph'!Y45</f>
        <v>0</v>
      </c>
      <c r="Z38" s="51" t="str">
        <f>'Char Depth Graph'!Z45</f>
        <v>Y</v>
      </c>
      <c r="AA38" s="510">
        <f>'Char Depth Graph'!AA45</f>
        <v>0</v>
      </c>
    </row>
    <row r="39" spans="1:27">
      <c r="A39" s="509" t="str">
        <f>Recap!D53</f>
        <v>RISE_3</v>
      </c>
      <c r="B39" s="559">
        <f>Recap!AY53</f>
        <v>69.875</v>
      </c>
      <c r="C39" s="559">
        <f>Recap!AZ53</f>
        <v>35</v>
      </c>
      <c r="D39" s="559">
        <f>Recap!BA53</f>
        <v>104</v>
      </c>
      <c r="E39" s="559">
        <f>'Char Depth Graph'!E46</f>
        <v>0</v>
      </c>
      <c r="F39" s="559">
        <f>'Char Depth Graph'!F46</f>
        <v>0</v>
      </c>
      <c r="G39" s="559">
        <f>'Char Depth Graph'!G46</f>
        <v>0</v>
      </c>
      <c r="H39" s="559">
        <f>Recap!BC53</f>
        <v>46.5625</v>
      </c>
      <c r="I39" s="559">
        <f>Recap!BD53</f>
        <v>40</v>
      </c>
      <c r="J39" s="559">
        <f>Recap!BE53</f>
        <v>58</v>
      </c>
      <c r="K39" s="559">
        <f>'Char Depth Graph'!K46</f>
        <v>0</v>
      </c>
      <c r="L39" s="559">
        <f>'Char Depth Graph'!L46</f>
        <v>0</v>
      </c>
      <c r="M39" s="559">
        <f>'Char Depth Graph'!M46</f>
        <v>0</v>
      </c>
      <c r="N39" s="559">
        <f>Recap!BJ53</f>
        <v>56</v>
      </c>
      <c r="O39" s="559">
        <f>Recap!BK53</f>
        <v>25</v>
      </c>
      <c r="P39" s="559">
        <f>Recap!BL53</f>
        <v>80</v>
      </c>
      <c r="Q39" s="559">
        <f>'Char Depth Graph'!Q46</f>
        <v>0</v>
      </c>
      <c r="R39" s="559">
        <f>'Char Depth Graph'!R46</f>
        <v>0</v>
      </c>
      <c r="S39" s="559">
        <f>'Char Depth Graph'!S46</f>
        <v>0</v>
      </c>
      <c r="T39" s="559">
        <f>Recap!BN53</f>
        <v>56</v>
      </c>
      <c r="U39" s="559">
        <f>Recap!BO53</f>
        <v>25</v>
      </c>
      <c r="V39" s="559">
        <f>Recap!BP53</f>
        <v>80</v>
      </c>
      <c r="W39" s="559">
        <f>'Char Depth Graph'!W46</f>
        <v>0</v>
      </c>
      <c r="X39" s="559">
        <f>'Char Depth Graph'!X46</f>
        <v>0</v>
      </c>
      <c r="Y39" s="559">
        <f>'Char Depth Graph'!Y46</f>
        <v>0</v>
      </c>
      <c r="Z39" s="265" t="str">
        <f>'Char Depth Graph'!Z46</f>
        <v>N</v>
      </c>
      <c r="AA39" s="510">
        <f>'Char Depth Graph'!AA46</f>
        <v>0</v>
      </c>
    </row>
    <row r="40" spans="1:27">
      <c r="A40" s="509" t="str">
        <f>Recap!D54</f>
        <v>RISE_4</v>
      </c>
      <c r="B40" s="559">
        <f>Recap!AY54</f>
        <v>47.903846153846153</v>
      </c>
      <c r="C40" s="559">
        <f>Recap!AZ54</f>
        <v>28</v>
      </c>
      <c r="D40" s="559">
        <f>Recap!BA54</f>
        <v>104</v>
      </c>
      <c r="E40" s="559">
        <f>'Char Depth Graph'!E47</f>
        <v>0</v>
      </c>
      <c r="F40" s="559">
        <f>'Char Depth Graph'!F47</f>
        <v>0</v>
      </c>
      <c r="G40" s="559">
        <f>'Char Depth Graph'!G47</f>
        <v>0</v>
      </c>
      <c r="H40" s="559">
        <f>Recap!BC54</f>
        <v>27.8125</v>
      </c>
      <c r="I40" s="559">
        <f>Recap!BD54</f>
        <v>13</v>
      </c>
      <c r="J40" s="559">
        <f>Recap!BE54</f>
        <v>45</v>
      </c>
      <c r="K40" s="559">
        <f>'Char Depth Graph'!K47</f>
        <v>0</v>
      </c>
      <c r="L40" s="559">
        <f>'Char Depth Graph'!L47</f>
        <v>0</v>
      </c>
      <c r="M40" s="559">
        <f>'Char Depth Graph'!M47</f>
        <v>0</v>
      </c>
      <c r="N40" s="559">
        <f>Recap!BJ54</f>
        <v>37.333333333333336</v>
      </c>
      <c r="O40" s="559">
        <f>Recap!BK54</f>
        <v>16.666666666666668</v>
      </c>
      <c r="P40" s="559">
        <f>Recap!BL54</f>
        <v>53.333333333333336</v>
      </c>
      <c r="Q40" s="559">
        <f>'Char Depth Graph'!Q47</f>
        <v>0</v>
      </c>
      <c r="R40" s="559">
        <f>'Char Depth Graph'!R47</f>
        <v>0</v>
      </c>
      <c r="S40" s="559">
        <f>'Char Depth Graph'!S47</f>
        <v>0</v>
      </c>
      <c r="T40" s="559">
        <f>Recap!BN54</f>
        <v>37.333333333333336</v>
      </c>
      <c r="U40" s="559">
        <f>Recap!BO54</f>
        <v>16.666666666666668</v>
      </c>
      <c r="V40" s="559">
        <f>Recap!BP54</f>
        <v>53.333333333333336</v>
      </c>
      <c r="W40" s="559">
        <f>'Char Depth Graph'!W47</f>
        <v>0</v>
      </c>
      <c r="X40" s="559">
        <f>'Char Depth Graph'!X47</f>
        <v>0</v>
      </c>
      <c r="Y40" s="559">
        <f>'Char Depth Graph'!Y47</f>
        <v>0</v>
      </c>
      <c r="Z40" s="265" t="str">
        <f>'Char Depth Graph'!Z47</f>
        <v>Y</v>
      </c>
      <c r="AA40" s="510">
        <f>'Char Depth Graph'!AA47</f>
        <v>0</v>
      </c>
    </row>
    <row r="41" spans="1:27" ht="15.75" customHeight="1" thickBot="1">
      <c r="A41" s="511" t="str">
        <f>Recap!D55</f>
        <v>RISE_5</v>
      </c>
      <c r="B41" s="560">
        <f>Recap!AY55</f>
        <v>65.425925925925924</v>
      </c>
      <c r="C41" s="560">
        <f>Recap!AZ55</f>
        <v>33</v>
      </c>
      <c r="D41" s="560">
        <f>Recap!BA55</f>
        <v>95</v>
      </c>
      <c r="E41" s="560">
        <f>'Char Depth Graph'!E48</f>
        <v>0</v>
      </c>
      <c r="F41" s="560">
        <f>'Char Depth Graph'!F48</f>
        <v>0</v>
      </c>
      <c r="G41" s="560">
        <f>'Char Depth Graph'!G48</f>
        <v>0</v>
      </c>
      <c r="H41" s="560">
        <f>Recap!BC55</f>
        <v>50.3125</v>
      </c>
      <c r="I41" s="560">
        <f>Recap!BD55</f>
        <v>37</v>
      </c>
      <c r="J41" s="560">
        <f>Recap!BE55</f>
        <v>73</v>
      </c>
      <c r="K41" s="560">
        <f>'Char Depth Graph'!K48</f>
        <v>0</v>
      </c>
      <c r="L41" s="560">
        <f>'Char Depth Graph'!L48</f>
        <v>0</v>
      </c>
      <c r="M41" s="560">
        <f>'Char Depth Graph'!M48</f>
        <v>0</v>
      </c>
      <c r="N41" s="560">
        <f>Recap!BJ55</f>
        <v>59</v>
      </c>
      <c r="O41" s="560">
        <f>Recap!BK55</f>
        <v>20</v>
      </c>
      <c r="P41" s="560">
        <f>Recap!BL55</f>
        <v>80</v>
      </c>
      <c r="Q41" s="560">
        <f>'Char Depth Graph'!Q48</f>
        <v>0</v>
      </c>
      <c r="R41" s="560">
        <f>'Char Depth Graph'!R48</f>
        <v>0</v>
      </c>
      <c r="S41" s="560">
        <f>'Char Depth Graph'!S48</f>
        <v>0</v>
      </c>
      <c r="T41" s="560">
        <f>Recap!BN55</f>
        <v>59</v>
      </c>
      <c r="U41" s="560">
        <f>Recap!BO55</f>
        <v>20</v>
      </c>
      <c r="V41" s="560">
        <f>Recap!BP55</f>
        <v>80</v>
      </c>
      <c r="W41" s="560">
        <f>'Char Depth Graph'!W48</f>
        <v>0</v>
      </c>
      <c r="X41" s="560">
        <f>'Char Depth Graph'!X48</f>
        <v>0</v>
      </c>
      <c r="Y41" s="560">
        <f>'Char Depth Graph'!Y48</f>
        <v>0</v>
      </c>
      <c r="Z41" s="6" t="str">
        <f>'Char Depth Graph'!Z48</f>
        <v>Y</v>
      </c>
      <c r="AA41" s="513">
        <f>'Char Depth Graph'!AA48</f>
        <v>0</v>
      </c>
    </row>
    <row r="42" spans="1:27">
      <c r="A42" s="92" t="str">
        <f>Recap!D56</f>
        <v>CodeRed_1</v>
      </c>
      <c r="B42" s="557">
        <f>Recap!AY56</f>
        <v>0</v>
      </c>
      <c r="C42" s="557">
        <f>Recap!AZ56</f>
        <v>0</v>
      </c>
      <c r="D42" s="557">
        <f>Recap!BA56</f>
        <v>0</v>
      </c>
      <c r="E42" s="557">
        <f>'Char Depth Graph'!E49</f>
        <v>0</v>
      </c>
      <c r="F42" s="557">
        <f>'Char Depth Graph'!F49</f>
        <v>0</v>
      </c>
      <c r="G42" s="557">
        <f>'Char Depth Graph'!G49</f>
        <v>0</v>
      </c>
      <c r="H42" s="557">
        <f>Recap!BC56</f>
        <v>25</v>
      </c>
      <c r="I42" s="557">
        <f>Recap!BD56</f>
        <v>18</v>
      </c>
      <c r="J42" s="557">
        <f>Recap!BE56</f>
        <v>31</v>
      </c>
      <c r="K42" s="557">
        <f>'Char Depth Graph'!K49</f>
        <v>0</v>
      </c>
      <c r="L42" s="557">
        <f>'Char Depth Graph'!L49</f>
        <v>0</v>
      </c>
      <c r="M42" s="557">
        <f>'Char Depth Graph'!M49</f>
        <v>0</v>
      </c>
      <c r="N42" s="557">
        <f>Recap!BJ56</f>
        <v>0</v>
      </c>
      <c r="O42" s="557">
        <f>Recap!BK56</f>
        <v>0</v>
      </c>
      <c r="P42" s="557">
        <f>Recap!BL56</f>
        <v>0</v>
      </c>
      <c r="Q42" s="557">
        <f>'Char Depth Graph'!Q49</f>
        <v>0</v>
      </c>
      <c r="R42" s="557">
        <f>'Char Depth Graph'!R49</f>
        <v>0</v>
      </c>
      <c r="S42" s="557">
        <f>'Char Depth Graph'!S49</f>
        <v>0</v>
      </c>
      <c r="T42" s="557">
        <f>Recap!BN56</f>
        <v>30</v>
      </c>
      <c r="U42" s="557">
        <f>Recap!BO56</f>
        <v>5</v>
      </c>
      <c r="V42" s="557">
        <f>Recap!BP56</f>
        <v>60</v>
      </c>
      <c r="W42" s="557">
        <f>'Char Depth Graph'!W49</f>
        <v>0</v>
      </c>
      <c r="X42" s="557">
        <f>'Char Depth Graph'!X49</f>
        <v>0</v>
      </c>
      <c r="Y42" s="557">
        <f>'Char Depth Graph'!Y49</f>
        <v>0</v>
      </c>
      <c r="Z42" s="263" t="str">
        <f>'Char Depth Graph'!Z49</f>
        <v>Y</v>
      </c>
      <c r="AA42" s="508">
        <f>'Char Depth Graph'!AA49</f>
        <v>0</v>
      </c>
    </row>
    <row r="43" spans="1:27" ht="15.75" customHeight="1" thickBot="1">
      <c r="A43" s="511" t="str">
        <f>Recap!D57</f>
        <v>CodeRed_2</v>
      </c>
      <c r="B43" s="560">
        <f>Recap!AY57</f>
        <v>0</v>
      </c>
      <c r="C43" s="560">
        <f>Recap!AZ57</f>
        <v>0</v>
      </c>
      <c r="D43" s="560">
        <f>Recap!BA57</f>
        <v>0</v>
      </c>
      <c r="E43" s="560">
        <f>'Char Depth Graph'!E50</f>
        <v>0</v>
      </c>
      <c r="F43" s="560">
        <f>'Char Depth Graph'!F50</f>
        <v>0</v>
      </c>
      <c r="G43" s="560">
        <f>'Char Depth Graph'!G50</f>
        <v>0</v>
      </c>
      <c r="H43" s="560">
        <f>Recap!BC57</f>
        <v>27.8</v>
      </c>
      <c r="I43" s="560">
        <f>Recap!BD57</f>
        <v>25</v>
      </c>
      <c r="J43" s="560">
        <f>Recap!BE57</f>
        <v>30</v>
      </c>
      <c r="K43" s="560">
        <f>'Char Depth Graph'!K50</f>
        <v>0</v>
      </c>
      <c r="L43" s="560">
        <f>'Char Depth Graph'!L50</f>
        <v>0</v>
      </c>
      <c r="M43" s="560">
        <f>'Char Depth Graph'!M50</f>
        <v>0</v>
      </c>
      <c r="N43" s="560">
        <f>Recap!BJ57</f>
        <v>0</v>
      </c>
      <c r="O43" s="560">
        <f>Recap!BK57</f>
        <v>0</v>
      </c>
      <c r="P43" s="560">
        <f>Recap!BL57</f>
        <v>0</v>
      </c>
      <c r="Q43" s="560">
        <f>'Char Depth Graph'!Q50</f>
        <v>0</v>
      </c>
      <c r="R43" s="560">
        <f>'Char Depth Graph'!R50</f>
        <v>0</v>
      </c>
      <c r="S43" s="560">
        <f>'Char Depth Graph'!S50</f>
        <v>0</v>
      </c>
      <c r="T43" s="560">
        <f>Recap!BN57</f>
        <v>35</v>
      </c>
      <c r="U43" s="560">
        <f>Recap!BO57</f>
        <v>5</v>
      </c>
      <c r="V43" s="560">
        <f>Recap!BP57</f>
        <v>96</v>
      </c>
      <c r="W43" s="560">
        <f>'Char Depth Graph'!W50</f>
        <v>0</v>
      </c>
      <c r="X43" s="560">
        <f>'Char Depth Graph'!X50</f>
        <v>0</v>
      </c>
      <c r="Y43" s="560">
        <f>'Char Depth Graph'!Y50</f>
        <v>0</v>
      </c>
      <c r="Z43" s="266" t="str">
        <f>'Char Depth Graph'!Z50</f>
        <v>Y</v>
      </c>
      <c r="AA43" s="513">
        <f>'Char Depth Graph'!AA50</f>
        <v>0</v>
      </c>
    </row>
    <row r="44" spans="1:27">
      <c r="A44" s="92" t="str">
        <f>Recap!D58</f>
        <v>FRIC_1</v>
      </c>
      <c r="B44" s="557">
        <f>Recap!AY58</f>
        <v>0</v>
      </c>
      <c r="C44" s="557">
        <f>Recap!AZ58</f>
        <v>0</v>
      </c>
      <c r="D44" s="557">
        <f>Recap!BA58</f>
        <v>0</v>
      </c>
      <c r="E44" s="557">
        <f>'Char Depth Graph'!E51</f>
        <v>0</v>
      </c>
      <c r="F44" s="557">
        <f>'Char Depth Graph'!F51</f>
        <v>0</v>
      </c>
      <c r="G44" s="557">
        <f>'Char Depth Graph'!G51</f>
        <v>0</v>
      </c>
      <c r="H44" s="557">
        <f>Recap!BC58</f>
        <v>26</v>
      </c>
      <c r="I44" s="557">
        <f>Recap!BD58</f>
        <v>20</v>
      </c>
      <c r="J44" s="557">
        <f>Recap!BE58</f>
        <v>40</v>
      </c>
      <c r="K44" s="557">
        <f>'Char Depth Graph'!K51</f>
        <v>0</v>
      </c>
      <c r="L44" s="557">
        <f>'Char Depth Graph'!L51</f>
        <v>0</v>
      </c>
      <c r="M44" s="557">
        <f>'Char Depth Graph'!M51</f>
        <v>0</v>
      </c>
      <c r="N44" s="557">
        <f>Recap!BJ58</f>
        <v>0</v>
      </c>
      <c r="O44" s="557">
        <f>Recap!BK58</f>
        <v>0</v>
      </c>
      <c r="P44" s="557">
        <f>Recap!BL58</f>
        <v>0</v>
      </c>
      <c r="Q44" s="557">
        <f>'Char Depth Graph'!Q51</f>
        <v>0</v>
      </c>
      <c r="R44" s="557">
        <f>'Char Depth Graph'!R51</f>
        <v>0</v>
      </c>
      <c r="S44" s="557">
        <f>'Char Depth Graph'!S51</f>
        <v>0</v>
      </c>
      <c r="T44" s="557">
        <f>Recap!BN58</f>
        <v>0</v>
      </c>
      <c r="U44" s="557">
        <f>Recap!BO58</f>
        <v>0</v>
      </c>
      <c r="V44" s="557">
        <f>Recap!BP58</f>
        <v>0</v>
      </c>
      <c r="W44" s="557">
        <f>'Char Depth Graph'!W51</f>
        <v>0</v>
      </c>
      <c r="X44" s="557">
        <f>'Char Depth Graph'!X51</f>
        <v>0</v>
      </c>
      <c r="Y44" s="557">
        <f>'Char Depth Graph'!Y51</f>
        <v>0</v>
      </c>
      <c r="Z44" s="263" t="str">
        <f>'Char Depth Graph'!Z51</f>
        <v>Y</v>
      </c>
      <c r="AA44" s="508">
        <f>'Char Depth Graph'!AA51</f>
        <v>0</v>
      </c>
    </row>
    <row r="45" spans="1:27" ht="15.75" customHeight="1" thickBot="1">
      <c r="A45" s="511" t="str">
        <f>Recap!D59</f>
        <v>FRIC_2</v>
      </c>
      <c r="B45" s="560">
        <f>Recap!AY59</f>
        <v>38.792003402807318</v>
      </c>
      <c r="C45" s="560">
        <f>Recap!AZ59</f>
        <v>39</v>
      </c>
      <c r="D45" s="560">
        <f>Recap!BA59</f>
        <v>39</v>
      </c>
      <c r="E45" s="560">
        <f>'Char Depth Graph'!E52</f>
        <v>0</v>
      </c>
      <c r="F45" s="560">
        <f>'Char Depth Graph'!F52</f>
        <v>0</v>
      </c>
      <c r="G45" s="560">
        <f>'Char Depth Graph'!G52</f>
        <v>0</v>
      </c>
      <c r="H45" s="560">
        <f>Recap!BC59</f>
        <v>36.363636363636367</v>
      </c>
      <c r="I45" s="560">
        <f>Recap!BD59</f>
        <v>36</v>
      </c>
      <c r="J45" s="560">
        <f>Recap!BE59</f>
        <v>36</v>
      </c>
      <c r="K45" s="560">
        <f>'Char Depth Graph'!K52</f>
        <v>0</v>
      </c>
      <c r="L45" s="560">
        <f>'Char Depth Graph'!L52</f>
        <v>0</v>
      </c>
      <c r="M45" s="560">
        <f>'Char Depth Graph'!M52</f>
        <v>0</v>
      </c>
      <c r="N45" s="560">
        <f>Recap!BJ59</f>
        <v>0</v>
      </c>
      <c r="O45" s="560">
        <f>Recap!BK59</f>
        <v>0</v>
      </c>
      <c r="P45" s="560">
        <f>Recap!BL59</f>
        <v>0</v>
      </c>
      <c r="Q45" s="560">
        <f>'Char Depth Graph'!Q52</f>
        <v>0</v>
      </c>
      <c r="R45" s="560">
        <f>'Char Depth Graph'!R52</f>
        <v>0</v>
      </c>
      <c r="S45" s="560">
        <f>'Char Depth Graph'!S52</f>
        <v>0</v>
      </c>
      <c r="T45" s="560">
        <f>Recap!BN59</f>
        <v>0</v>
      </c>
      <c r="U45" s="560">
        <f>Recap!BO59</f>
        <v>0</v>
      </c>
      <c r="V45" s="560">
        <f>Recap!BP59</f>
        <v>0</v>
      </c>
      <c r="W45" s="560">
        <f>'Char Depth Graph'!W52</f>
        <v>0</v>
      </c>
      <c r="X45" s="560">
        <f>'Char Depth Graph'!X52</f>
        <v>0</v>
      </c>
      <c r="Y45" s="560">
        <f>'Char Depth Graph'!Y52</f>
        <v>0</v>
      </c>
      <c r="Z45" s="266" t="str">
        <f>'Char Depth Graph'!Z52</f>
        <v>N</v>
      </c>
      <c r="AA45" s="513">
        <f>'Char Depth Graph'!AA52</f>
        <v>0</v>
      </c>
    </row>
    <row r="46" spans="1:27">
      <c r="A46" s="509" t="str">
        <f>Recap!D61</f>
        <v>AdivBois_1</v>
      </c>
      <c r="B46" s="559">
        <f>Recap!AY61</f>
        <v>83.5</v>
      </c>
      <c r="C46" s="559">
        <f>Recap!AZ61</f>
        <v>75</v>
      </c>
      <c r="D46" s="559">
        <f>Recap!BA61</f>
        <v>98</v>
      </c>
      <c r="E46" s="559">
        <f>'Char Depth Graph'!E54</f>
        <v>0</v>
      </c>
      <c r="F46" s="559">
        <f>'Char Depth Graph'!F54</f>
        <v>0</v>
      </c>
      <c r="G46" s="559">
        <f>'Char Depth Graph'!G54</f>
        <v>0</v>
      </c>
      <c r="H46" s="559">
        <f>Recap!BC61</f>
        <v>0</v>
      </c>
      <c r="I46" s="559">
        <f>Recap!BD61</f>
        <v>0</v>
      </c>
      <c r="J46" s="559">
        <f>Recap!BE61</f>
        <v>0</v>
      </c>
      <c r="K46" s="559">
        <f>'Char Depth Graph'!K54</f>
        <v>0</v>
      </c>
      <c r="L46" s="559">
        <f>'Char Depth Graph'!L54</f>
        <v>0</v>
      </c>
      <c r="M46" s="559">
        <f>'Char Depth Graph'!M54</f>
        <v>0</v>
      </c>
      <c r="N46" s="559">
        <f>Recap!BJ61</f>
        <v>0</v>
      </c>
      <c r="O46" s="559">
        <f>Recap!BK61</f>
        <v>0</v>
      </c>
      <c r="P46" s="559">
        <f>Recap!BL61</f>
        <v>0</v>
      </c>
      <c r="Q46" s="559">
        <f>'Char Depth Graph'!Q54</f>
        <v>0</v>
      </c>
      <c r="R46" s="559">
        <f>'Char Depth Graph'!R54</f>
        <v>0</v>
      </c>
      <c r="S46" s="559">
        <f>'Char Depth Graph'!S54</f>
        <v>0</v>
      </c>
      <c r="T46" s="559">
        <f>Recap!BN61</f>
        <v>0</v>
      </c>
      <c r="U46" s="559">
        <f>Recap!BO61</f>
        <v>0</v>
      </c>
      <c r="V46" s="559">
        <f>Recap!BP61</f>
        <v>0</v>
      </c>
      <c r="W46" s="559">
        <f>'Char Depth Graph'!W54</f>
        <v>0</v>
      </c>
      <c r="X46" s="559">
        <f>'Char Depth Graph'!X54</f>
        <v>0</v>
      </c>
      <c r="Y46" s="559">
        <f>'Char Depth Graph'!Y54</f>
        <v>0</v>
      </c>
      <c r="Z46" s="51" t="str">
        <f>'Char Depth Graph'!Z54</f>
        <v>Y</v>
      </c>
      <c r="AA46" s="510">
        <f>'Char Depth Graph'!AA54</f>
        <v>0</v>
      </c>
    </row>
    <row r="47" spans="1:27">
      <c r="A47" s="509" t="str">
        <f>Recap!D62</f>
        <v>AdivBois_2</v>
      </c>
      <c r="B47" s="559">
        <f>Recap!AY62</f>
        <v>0</v>
      </c>
      <c r="C47" s="559">
        <f>Recap!AZ62</f>
        <v>0</v>
      </c>
      <c r="D47" s="559">
        <f>Recap!BA62</f>
        <v>0</v>
      </c>
      <c r="E47" s="559">
        <f>'Char Depth Graph'!E55</f>
        <v>0</v>
      </c>
      <c r="F47" s="559">
        <f>'Char Depth Graph'!F55</f>
        <v>0</v>
      </c>
      <c r="G47" s="559">
        <f>'Char Depth Graph'!G55</f>
        <v>0</v>
      </c>
      <c r="H47" s="559">
        <f>Recap!BC62</f>
        <v>47</v>
      </c>
      <c r="I47" s="559">
        <f>Recap!BD62</f>
        <v>40</v>
      </c>
      <c r="J47" s="559">
        <f>Recap!BE62</f>
        <v>50</v>
      </c>
      <c r="K47" s="559">
        <f>'Char Depth Graph'!K55</f>
        <v>0</v>
      </c>
      <c r="L47" s="559">
        <f>'Char Depth Graph'!L55</f>
        <v>0</v>
      </c>
      <c r="M47" s="559">
        <f>'Char Depth Graph'!M55</f>
        <v>0</v>
      </c>
      <c r="N47" s="559">
        <f>Recap!BJ62</f>
        <v>0</v>
      </c>
      <c r="O47" s="559">
        <f>Recap!BK62</f>
        <v>0</v>
      </c>
      <c r="P47" s="559">
        <f>Recap!BL62</f>
        <v>0</v>
      </c>
      <c r="Q47" s="559">
        <f>'Char Depth Graph'!Q55</f>
        <v>0</v>
      </c>
      <c r="R47" s="559">
        <f>'Char Depth Graph'!R55</f>
        <v>0</v>
      </c>
      <c r="S47" s="559">
        <f>'Char Depth Graph'!S55</f>
        <v>0</v>
      </c>
      <c r="T47" s="559">
        <f>Recap!BN62</f>
        <v>0</v>
      </c>
      <c r="U47" s="559">
        <f>Recap!BO62</f>
        <v>0</v>
      </c>
      <c r="V47" s="559">
        <f>Recap!BP62</f>
        <v>0</v>
      </c>
      <c r="W47" s="559">
        <f>'Char Depth Graph'!W55</f>
        <v>0</v>
      </c>
      <c r="X47" s="559">
        <f>'Char Depth Graph'!X55</f>
        <v>0</v>
      </c>
      <c r="Y47" s="559">
        <f>'Char Depth Graph'!Y55</f>
        <v>0</v>
      </c>
      <c r="Z47" s="272" t="str">
        <f>'Char Depth Graph'!Z55</f>
        <v>Y</v>
      </c>
      <c r="AA47" s="510">
        <f>'Char Depth Graph'!AA55</f>
        <v>0</v>
      </c>
    </row>
    <row r="48" spans="1:27">
      <c r="A48" s="509" t="str">
        <f>Recap!D63</f>
        <v>AdivBois_3</v>
      </c>
      <c r="B48" s="559">
        <f>Recap!AY63</f>
        <v>0</v>
      </c>
      <c r="C48" s="559">
        <f>Recap!AZ63</f>
        <v>0</v>
      </c>
      <c r="D48" s="559">
        <f>Recap!BA63</f>
        <v>0</v>
      </c>
      <c r="E48" s="559">
        <f>'Char Depth Graph'!E56</f>
        <v>0</v>
      </c>
      <c r="F48" s="559">
        <f>'Char Depth Graph'!F56</f>
        <v>0</v>
      </c>
      <c r="G48" s="559">
        <f>'Char Depth Graph'!G56</f>
        <v>0</v>
      </c>
      <c r="H48" s="559">
        <f>Recap!BC63</f>
        <v>0</v>
      </c>
      <c r="I48" s="559">
        <f>Recap!BD63</f>
        <v>0</v>
      </c>
      <c r="J48" s="559">
        <f>Recap!BE63</f>
        <v>0</v>
      </c>
      <c r="K48" s="559">
        <f>'Char Depth Graph'!K56</f>
        <v>0</v>
      </c>
      <c r="L48" s="559">
        <f>'Char Depth Graph'!L56</f>
        <v>0</v>
      </c>
      <c r="M48" s="559">
        <f>'Char Depth Graph'!M56</f>
        <v>0</v>
      </c>
      <c r="N48" s="559">
        <f>Recap!BJ63</f>
        <v>54.6875</v>
      </c>
      <c r="O48" s="559">
        <f>Recap!BK63</f>
        <v>32.5</v>
      </c>
      <c r="P48" s="559">
        <f>Recap!BL63</f>
        <v>95</v>
      </c>
      <c r="Q48" s="559">
        <f>'Char Depth Graph'!Q56</f>
        <v>0</v>
      </c>
      <c r="R48" s="559">
        <f>'Char Depth Graph'!R56</f>
        <v>0</v>
      </c>
      <c r="S48" s="559">
        <f>'Char Depth Graph'!S56</f>
        <v>0</v>
      </c>
      <c r="T48" s="559">
        <f>Recap!BN63</f>
        <v>42.6875</v>
      </c>
      <c r="U48" s="559">
        <f>Recap!BO63</f>
        <v>27</v>
      </c>
      <c r="V48" s="559">
        <f>Recap!BP63</f>
        <v>57.5</v>
      </c>
      <c r="W48" s="559">
        <f>'Char Depth Graph'!W56</f>
        <v>0</v>
      </c>
      <c r="X48" s="559">
        <f>'Char Depth Graph'!X56</f>
        <v>0</v>
      </c>
      <c r="Y48" s="559">
        <f>'Char Depth Graph'!Y56</f>
        <v>0</v>
      </c>
      <c r="Z48" s="272" t="str">
        <f>'Char Depth Graph'!Z56</f>
        <v>Y</v>
      </c>
      <c r="AA48" s="510">
        <f>'Char Depth Graph'!AA56</f>
        <v>0</v>
      </c>
    </row>
    <row r="49" spans="1:27" ht="15.75" customHeight="1" thickBot="1">
      <c r="A49" s="511" t="str">
        <f>Recap!D64</f>
        <v>AdivBois_4</v>
      </c>
      <c r="B49" s="560">
        <f>Recap!AY64</f>
        <v>0</v>
      </c>
      <c r="C49" s="560">
        <f>Recap!AZ64</f>
        <v>0</v>
      </c>
      <c r="D49" s="560">
        <f>Recap!BA64</f>
        <v>0</v>
      </c>
      <c r="E49" s="560">
        <f>'Char Depth Graph'!E57</f>
        <v>0</v>
      </c>
      <c r="F49" s="560">
        <f>'Char Depth Graph'!F57</f>
        <v>0</v>
      </c>
      <c r="G49" s="560">
        <f>'Char Depth Graph'!G57</f>
        <v>0</v>
      </c>
      <c r="H49" s="560">
        <f>Recap!BC64</f>
        <v>94</v>
      </c>
      <c r="I49" s="560">
        <f>Recap!BD64</f>
        <v>90</v>
      </c>
      <c r="J49" s="560">
        <f>Recap!BE64</f>
        <v>102</v>
      </c>
      <c r="K49" s="560">
        <f>'Char Depth Graph'!K57</f>
        <v>0</v>
      </c>
      <c r="L49" s="560">
        <f>'Char Depth Graph'!L57</f>
        <v>0</v>
      </c>
      <c r="M49" s="560">
        <f>'Char Depth Graph'!M57</f>
        <v>0</v>
      </c>
      <c r="N49" s="560">
        <f>Recap!BJ64</f>
        <v>0</v>
      </c>
      <c r="O49" s="560">
        <f>Recap!BK64</f>
        <v>0</v>
      </c>
      <c r="P49" s="560">
        <f>Recap!BL64</f>
        <v>0</v>
      </c>
      <c r="Q49" s="560">
        <f>'Char Depth Graph'!Q57</f>
        <v>0</v>
      </c>
      <c r="R49" s="560">
        <f>'Char Depth Graph'!R57</f>
        <v>0</v>
      </c>
      <c r="S49" s="560">
        <f>'Char Depth Graph'!S57</f>
        <v>0</v>
      </c>
      <c r="T49" s="560">
        <f>Recap!BN64</f>
        <v>0</v>
      </c>
      <c r="U49" s="560">
        <f>Recap!BO64</f>
        <v>0</v>
      </c>
      <c r="V49" s="560">
        <f>Recap!BP64</f>
        <v>0</v>
      </c>
      <c r="W49" s="560">
        <f>'Char Depth Graph'!W57</f>
        <v>0</v>
      </c>
      <c r="X49" s="560">
        <f>'Char Depth Graph'!X57</f>
        <v>0</v>
      </c>
      <c r="Y49" s="560">
        <f>'Char Depth Graph'!Y57</f>
        <v>0</v>
      </c>
      <c r="Z49" s="270" t="str">
        <f>'Char Depth Graph'!Z57</f>
        <v>Y</v>
      </c>
      <c r="AA49" s="513">
        <f>'Char Depth Graph'!AA57</f>
        <v>0</v>
      </c>
    </row>
    <row r="52" spans="1:27">
      <c r="A52" t="s">
        <v>771</v>
      </c>
    </row>
    <row r="53" spans="1:27">
      <c r="A53" t="str">
        <f t="shared" ref="A53:A100" si="0">A2</f>
        <v>McGregor_1</v>
      </c>
      <c r="B53" s="630" t="str">
        <f t="shared" ref="B53:B100" si="1">IF(AND(E2&lt;&gt;0,B2&lt;&gt;0),E2-B2,"N")</f>
        <v>N</v>
      </c>
      <c r="C53" s="562" t="str">
        <f t="shared" ref="C53:C100" si="2">IF(AND(F2&lt;&gt;0,C2&lt;&gt;0),F2-C2,"N")</f>
        <v>N</v>
      </c>
      <c r="D53" s="562" t="str">
        <f t="shared" ref="D53:D100" si="3">IF(AND(G2&lt;&gt;0,D2&lt;&gt;0),G2-D2,"N")</f>
        <v>N</v>
      </c>
      <c r="E53" s="419" t="str">
        <f t="shared" ref="E53:E100" si="4">IF(B53&lt;&gt;"N",E2/B2-1,"N")</f>
        <v>N</v>
      </c>
      <c r="F53" s="419" t="str">
        <f t="shared" ref="F53:F100" si="5">IF(C53&lt;&gt;"N",F2/C2-1,"N")</f>
        <v>N</v>
      </c>
      <c r="G53" s="419" t="str">
        <f t="shared" ref="G53:G100" si="6">IF(D53&lt;&gt;"N",G2/D2-1,"N")</f>
        <v>N</v>
      </c>
      <c r="H53" s="630" t="str">
        <f t="shared" ref="H53:H100" si="7">IF(AND(K2&lt;&gt;0,H2&lt;&gt;0),K2-H2,"N")</f>
        <v>N</v>
      </c>
      <c r="I53" s="562" t="str">
        <f t="shared" ref="I53:I100" si="8">IF(AND(L2&lt;&gt;0,I2&lt;&gt;0),L2-I2,"N")</f>
        <v>N</v>
      </c>
      <c r="J53" s="562" t="str">
        <f t="shared" ref="J53:J100" si="9">IF(AND(M2&lt;&gt;0,J2&lt;&gt;0),M2-J2,"N")</f>
        <v>N</v>
      </c>
      <c r="K53" s="419" t="str">
        <f t="shared" ref="K53:K100" si="10">IF(H53&lt;&gt;"N",K2/H2-1,"N")</f>
        <v>N</v>
      </c>
      <c r="L53" s="419" t="str">
        <f t="shared" ref="L53:L100" si="11">IF(I53&lt;&gt;"N",L2/I2-1,"N")</f>
        <v>N</v>
      </c>
      <c r="M53" s="419" t="str">
        <f t="shared" ref="M53:M100" si="12">IF(J53&lt;&gt;"N",M2/J2-1,"N")</f>
        <v>N</v>
      </c>
      <c r="N53" s="630" t="str">
        <f t="shared" ref="N53:N100" si="13">IF(AND(Q2&lt;&gt;0,N2&lt;&gt;0),Q2-N2,"N")</f>
        <v>N</v>
      </c>
      <c r="O53" s="562" t="str">
        <f t="shared" ref="O53:O100" si="14">IF(AND(R2&lt;&gt;0,O2&lt;&gt;0),R2-O2,"N")</f>
        <v>N</v>
      </c>
      <c r="P53" s="562" t="str">
        <f t="shared" ref="P53:P100" si="15">IF(AND(S2&lt;&gt;0,P2&lt;&gt;0),S2-P2,"N")</f>
        <v>N</v>
      </c>
      <c r="Q53" s="419" t="str">
        <f t="shared" ref="Q53:Q100" si="16">IF(N53&lt;&gt;"N",Q2/N2-1,"N")</f>
        <v>N</v>
      </c>
      <c r="R53" s="419" t="str">
        <f t="shared" ref="R53:R100" si="17">IF(O53&lt;&gt;"N",R2/O2-1,"N")</f>
        <v>N</v>
      </c>
      <c r="S53" s="419" t="str">
        <f t="shared" ref="S53:S100" si="18">IF(P53&lt;&gt;"N",S2/P2-1,"N")</f>
        <v>N</v>
      </c>
      <c r="T53" s="630" t="str">
        <f t="shared" ref="T53:T100" si="19">IF(AND(W2&lt;&gt;0,T2&lt;&gt;0),W2-T2,"N")</f>
        <v>N</v>
      </c>
      <c r="U53" s="562" t="str">
        <f t="shared" ref="U53:U100" si="20">IF(AND(X2&lt;&gt;0,U2&lt;&gt;0),X2-U2,"N")</f>
        <v>N</v>
      </c>
      <c r="V53" s="562" t="str">
        <f t="shared" ref="V53:V100" si="21">IF(AND(Y2&lt;&gt;0,V2&lt;&gt;0),Y2-V2,"N")</f>
        <v>N</v>
      </c>
      <c r="W53" s="419" t="str">
        <f t="shared" ref="W53:W100" si="22">IF(T53&lt;&gt;"N",W2/T2-1,"N")</f>
        <v>N</v>
      </c>
      <c r="X53" s="419" t="str">
        <f t="shared" ref="X53:X100" si="23">IF(U53&lt;&gt;"N",X2/U2-1,"N")</f>
        <v>N</v>
      </c>
      <c r="Y53" s="419" t="str">
        <f t="shared" ref="Y53:Y100" si="24">IF(V53&lt;&gt;"N",Y2/V2-1,"N")</f>
        <v>N</v>
      </c>
      <c r="Z53" t="str">
        <f t="shared" ref="Z53:AA72" si="25">Z2</f>
        <v>N</v>
      </c>
      <c r="AA53">
        <f t="shared" si="25"/>
        <v>0</v>
      </c>
    </row>
    <row r="54" spans="1:27">
      <c r="A54" t="str">
        <f t="shared" si="0"/>
        <v>McGregor_3</v>
      </c>
      <c r="B54" s="630" t="str">
        <f t="shared" si="1"/>
        <v>N</v>
      </c>
      <c r="C54" s="562" t="str">
        <f t="shared" si="2"/>
        <v>N</v>
      </c>
      <c r="D54" s="562" t="str">
        <f t="shared" si="3"/>
        <v>N</v>
      </c>
      <c r="E54" s="419" t="str">
        <f t="shared" si="4"/>
        <v>N</v>
      </c>
      <c r="F54" s="419" t="str">
        <f t="shared" si="5"/>
        <v>N</v>
      </c>
      <c r="G54" s="419" t="str">
        <f t="shared" si="6"/>
        <v>N</v>
      </c>
      <c r="H54" s="630" t="str">
        <f t="shared" si="7"/>
        <v>N</v>
      </c>
      <c r="I54" s="562" t="str">
        <f t="shared" si="8"/>
        <v>N</v>
      </c>
      <c r="J54" s="562" t="str">
        <f t="shared" si="9"/>
        <v>N</v>
      </c>
      <c r="K54" s="419" t="str">
        <f t="shared" si="10"/>
        <v>N</v>
      </c>
      <c r="L54" s="419" t="str">
        <f t="shared" si="11"/>
        <v>N</v>
      </c>
      <c r="M54" s="419" t="str">
        <f t="shared" si="12"/>
        <v>N</v>
      </c>
      <c r="N54" s="630" t="str">
        <f t="shared" si="13"/>
        <v>N</v>
      </c>
      <c r="O54" s="562" t="str">
        <f t="shared" si="14"/>
        <v>N</v>
      </c>
      <c r="P54" s="562" t="str">
        <f t="shared" si="15"/>
        <v>N</v>
      </c>
      <c r="Q54" s="419" t="str">
        <f t="shared" si="16"/>
        <v>N</v>
      </c>
      <c r="R54" s="419" t="str">
        <f t="shared" si="17"/>
        <v>N</v>
      </c>
      <c r="S54" s="419" t="str">
        <f t="shared" si="18"/>
        <v>N</v>
      </c>
      <c r="T54" s="630" t="str">
        <f t="shared" si="19"/>
        <v>N</v>
      </c>
      <c r="U54" s="562" t="str">
        <f t="shared" si="20"/>
        <v>N</v>
      </c>
      <c r="V54" s="562" t="str">
        <f t="shared" si="21"/>
        <v>N</v>
      </c>
      <c r="W54" s="419" t="str">
        <f t="shared" si="22"/>
        <v>N</v>
      </c>
      <c r="X54" s="419" t="str">
        <f t="shared" si="23"/>
        <v>N</v>
      </c>
      <c r="Y54" s="419" t="str">
        <f t="shared" si="24"/>
        <v>N</v>
      </c>
      <c r="Z54" t="str">
        <f t="shared" si="25"/>
        <v>Y</v>
      </c>
      <c r="AA54">
        <f t="shared" si="25"/>
        <v>0</v>
      </c>
    </row>
    <row r="55" spans="1:27">
      <c r="A55" t="str">
        <f t="shared" si="0"/>
        <v>McGregor_4</v>
      </c>
      <c r="B55" s="630" t="str">
        <f t="shared" si="1"/>
        <v>N</v>
      </c>
      <c r="C55" s="562" t="str">
        <f t="shared" si="2"/>
        <v>N</v>
      </c>
      <c r="D55" s="562" t="str">
        <f t="shared" si="3"/>
        <v>N</v>
      </c>
      <c r="E55" s="419" t="str">
        <f t="shared" si="4"/>
        <v>N</v>
      </c>
      <c r="F55" s="419" t="str">
        <f t="shared" si="5"/>
        <v>N</v>
      </c>
      <c r="G55" s="419" t="str">
        <f t="shared" si="6"/>
        <v>N</v>
      </c>
      <c r="H55" s="630" t="str">
        <f t="shared" si="7"/>
        <v>N</v>
      </c>
      <c r="I55" s="562" t="str">
        <f t="shared" si="8"/>
        <v>N</v>
      </c>
      <c r="J55" s="562" t="str">
        <f t="shared" si="9"/>
        <v>N</v>
      </c>
      <c r="K55" s="419" t="str">
        <f t="shared" si="10"/>
        <v>N</v>
      </c>
      <c r="L55" s="419" t="str">
        <f t="shared" si="11"/>
        <v>N</v>
      </c>
      <c r="M55" s="419" t="str">
        <f t="shared" si="12"/>
        <v>N</v>
      </c>
      <c r="N55" s="630" t="str">
        <f t="shared" si="13"/>
        <v>N</v>
      </c>
      <c r="O55" s="562" t="str">
        <f t="shared" si="14"/>
        <v>N</v>
      </c>
      <c r="P55" s="562" t="str">
        <f t="shared" si="15"/>
        <v>N</v>
      </c>
      <c r="Q55" s="419" t="str">
        <f t="shared" si="16"/>
        <v>N</v>
      </c>
      <c r="R55" s="419" t="str">
        <f t="shared" si="17"/>
        <v>N</v>
      </c>
      <c r="S55" s="419" t="str">
        <f t="shared" si="18"/>
        <v>N</v>
      </c>
      <c r="T55" s="630" t="str">
        <f t="shared" si="19"/>
        <v>N</v>
      </c>
      <c r="U55" s="562" t="str">
        <f t="shared" si="20"/>
        <v>N</v>
      </c>
      <c r="V55" s="562" t="str">
        <f t="shared" si="21"/>
        <v>N</v>
      </c>
      <c r="W55" s="419" t="str">
        <f t="shared" si="22"/>
        <v>N</v>
      </c>
      <c r="X55" s="419" t="str">
        <f t="shared" si="23"/>
        <v>N</v>
      </c>
      <c r="Y55" s="419" t="str">
        <f t="shared" si="24"/>
        <v>N</v>
      </c>
      <c r="Z55" t="str">
        <f t="shared" si="25"/>
        <v>Y</v>
      </c>
      <c r="AA55">
        <f t="shared" si="25"/>
        <v>0</v>
      </c>
    </row>
    <row r="56" spans="1:27">
      <c r="A56" t="str">
        <f t="shared" si="0"/>
        <v>McGregor_5</v>
      </c>
      <c r="B56" s="630" t="str">
        <f t="shared" si="1"/>
        <v>N</v>
      </c>
      <c r="C56" s="562" t="str">
        <f t="shared" si="2"/>
        <v>N</v>
      </c>
      <c r="D56" s="562" t="str">
        <f t="shared" si="3"/>
        <v>N</v>
      </c>
      <c r="E56" s="419" t="str">
        <f t="shared" si="4"/>
        <v>N</v>
      </c>
      <c r="F56" s="419" t="str">
        <f t="shared" si="5"/>
        <v>N</v>
      </c>
      <c r="G56" s="419" t="str">
        <f t="shared" si="6"/>
        <v>N</v>
      </c>
      <c r="H56" s="630" t="str">
        <f t="shared" si="7"/>
        <v>N</v>
      </c>
      <c r="I56" s="562" t="str">
        <f t="shared" si="8"/>
        <v>N</v>
      </c>
      <c r="J56" s="562" t="str">
        <f t="shared" si="9"/>
        <v>N</v>
      </c>
      <c r="K56" s="419" t="str">
        <f t="shared" si="10"/>
        <v>N</v>
      </c>
      <c r="L56" s="419" t="str">
        <f t="shared" si="11"/>
        <v>N</v>
      </c>
      <c r="M56" s="419" t="str">
        <f t="shared" si="12"/>
        <v>N</v>
      </c>
      <c r="N56" s="630" t="str">
        <f t="shared" si="13"/>
        <v>N</v>
      </c>
      <c r="O56" s="562" t="str">
        <f t="shared" si="14"/>
        <v>N</v>
      </c>
      <c r="P56" s="562" t="str">
        <f t="shared" si="15"/>
        <v>N</v>
      </c>
      <c r="Q56" s="419" t="str">
        <f t="shared" si="16"/>
        <v>N</v>
      </c>
      <c r="R56" s="419" t="str">
        <f t="shared" si="17"/>
        <v>N</v>
      </c>
      <c r="S56" s="419" t="str">
        <f t="shared" si="18"/>
        <v>N</v>
      </c>
      <c r="T56" s="630" t="str">
        <f t="shared" si="19"/>
        <v>N</v>
      </c>
      <c r="U56" s="562" t="str">
        <f t="shared" si="20"/>
        <v>N</v>
      </c>
      <c r="V56" s="562" t="str">
        <f t="shared" si="21"/>
        <v>N</v>
      </c>
      <c r="W56" s="419" t="str">
        <f t="shared" si="22"/>
        <v>N</v>
      </c>
      <c r="X56" s="419" t="str">
        <f t="shared" si="23"/>
        <v>N</v>
      </c>
      <c r="Y56" s="419" t="str">
        <f t="shared" si="24"/>
        <v>N</v>
      </c>
      <c r="Z56" t="str">
        <f t="shared" si="25"/>
        <v>N</v>
      </c>
      <c r="AA56">
        <f t="shared" si="25"/>
        <v>0</v>
      </c>
    </row>
    <row r="57" spans="1:27">
      <c r="A57" t="str">
        <f t="shared" si="0"/>
        <v>Medina_1</v>
      </c>
      <c r="B57" s="630" t="str">
        <f t="shared" si="1"/>
        <v>N</v>
      </c>
      <c r="C57" s="562" t="str">
        <f t="shared" si="2"/>
        <v>N</v>
      </c>
      <c r="D57" s="562" t="str">
        <f t="shared" si="3"/>
        <v>N</v>
      </c>
      <c r="E57" s="419" t="str">
        <f t="shared" si="4"/>
        <v>N</v>
      </c>
      <c r="F57" s="419" t="str">
        <f t="shared" si="5"/>
        <v>N</v>
      </c>
      <c r="G57" s="419" t="str">
        <f t="shared" si="6"/>
        <v>N</v>
      </c>
      <c r="H57" s="630" t="str">
        <f t="shared" si="7"/>
        <v>N</v>
      </c>
      <c r="I57" s="562" t="str">
        <f t="shared" si="8"/>
        <v>N</v>
      </c>
      <c r="J57" s="562" t="str">
        <f t="shared" si="9"/>
        <v>N</v>
      </c>
      <c r="K57" s="419" t="str">
        <f t="shared" si="10"/>
        <v>N</v>
      </c>
      <c r="L57" s="419" t="str">
        <f t="shared" si="11"/>
        <v>N</v>
      </c>
      <c r="M57" s="419" t="str">
        <f t="shared" si="12"/>
        <v>N</v>
      </c>
      <c r="N57" s="630" t="str">
        <f t="shared" si="13"/>
        <v>N</v>
      </c>
      <c r="O57" s="562" t="str">
        <f t="shared" si="14"/>
        <v>N</v>
      </c>
      <c r="P57" s="562" t="str">
        <f t="shared" si="15"/>
        <v>N</v>
      </c>
      <c r="Q57" s="419" t="str">
        <f t="shared" si="16"/>
        <v>N</v>
      </c>
      <c r="R57" s="419" t="str">
        <f t="shared" si="17"/>
        <v>N</v>
      </c>
      <c r="S57" s="419" t="str">
        <f t="shared" si="18"/>
        <v>N</v>
      </c>
      <c r="T57" s="630" t="str">
        <f t="shared" si="19"/>
        <v>N</v>
      </c>
      <c r="U57" s="562" t="str">
        <f t="shared" si="20"/>
        <v>N</v>
      </c>
      <c r="V57" s="562" t="str">
        <f t="shared" si="21"/>
        <v>N</v>
      </c>
      <c r="W57" s="419" t="str">
        <f t="shared" si="22"/>
        <v>N</v>
      </c>
      <c r="X57" s="419" t="str">
        <f t="shared" si="23"/>
        <v>N</v>
      </c>
      <c r="Y57" s="419" t="str">
        <f t="shared" si="24"/>
        <v>N</v>
      </c>
      <c r="Z57" t="str">
        <f t="shared" si="25"/>
        <v>N</v>
      </c>
      <c r="AA57">
        <f t="shared" si="25"/>
        <v>0</v>
      </c>
    </row>
    <row r="58" spans="1:27">
      <c r="A58" t="str">
        <f t="shared" si="0"/>
        <v>Medina_2</v>
      </c>
      <c r="B58" s="630" t="str">
        <f t="shared" si="1"/>
        <v>N</v>
      </c>
      <c r="C58" s="562" t="str">
        <f t="shared" si="2"/>
        <v>N</v>
      </c>
      <c r="D58" s="562" t="str">
        <f t="shared" si="3"/>
        <v>N</v>
      </c>
      <c r="E58" s="419" t="str">
        <f t="shared" si="4"/>
        <v>N</v>
      </c>
      <c r="F58" s="419" t="str">
        <f t="shared" si="5"/>
        <v>N</v>
      </c>
      <c r="G58" s="419" t="str">
        <f t="shared" si="6"/>
        <v>N</v>
      </c>
      <c r="H58" s="630" t="str">
        <f t="shared" si="7"/>
        <v>N</v>
      </c>
      <c r="I58" s="562" t="str">
        <f t="shared" si="8"/>
        <v>N</v>
      </c>
      <c r="J58" s="562" t="str">
        <f t="shared" si="9"/>
        <v>N</v>
      </c>
      <c r="K58" s="419" t="str">
        <f t="shared" si="10"/>
        <v>N</v>
      </c>
      <c r="L58" s="419" t="str">
        <f t="shared" si="11"/>
        <v>N</v>
      </c>
      <c r="M58" s="419" t="str">
        <f t="shared" si="12"/>
        <v>N</v>
      </c>
      <c r="N58" s="630" t="str">
        <f t="shared" si="13"/>
        <v>N</v>
      </c>
      <c r="O58" s="562" t="str">
        <f t="shared" si="14"/>
        <v>N</v>
      </c>
      <c r="P58" s="562" t="str">
        <f t="shared" si="15"/>
        <v>N</v>
      </c>
      <c r="Q58" s="419" t="str">
        <f t="shared" si="16"/>
        <v>N</v>
      </c>
      <c r="R58" s="419" t="str">
        <f t="shared" si="17"/>
        <v>N</v>
      </c>
      <c r="S58" s="419" t="str">
        <f t="shared" si="18"/>
        <v>N</v>
      </c>
      <c r="T58" s="630" t="str">
        <f t="shared" si="19"/>
        <v>N</v>
      </c>
      <c r="U58" s="562" t="str">
        <f t="shared" si="20"/>
        <v>N</v>
      </c>
      <c r="V58" s="562" t="str">
        <f t="shared" si="21"/>
        <v>N</v>
      </c>
      <c r="W58" s="419" t="str">
        <f t="shared" si="22"/>
        <v>N</v>
      </c>
      <c r="X58" s="419" t="str">
        <f t="shared" si="23"/>
        <v>N</v>
      </c>
      <c r="Y58" s="419" t="str">
        <f t="shared" si="24"/>
        <v>N</v>
      </c>
      <c r="Z58" t="str">
        <f t="shared" si="25"/>
        <v>N</v>
      </c>
      <c r="AA58">
        <f t="shared" si="25"/>
        <v>0</v>
      </c>
    </row>
    <row r="59" spans="1:27">
      <c r="A59" t="str">
        <f t="shared" si="0"/>
        <v>Medina_3</v>
      </c>
      <c r="B59" s="630" t="str">
        <f t="shared" si="1"/>
        <v>N</v>
      </c>
      <c r="C59" s="562" t="str">
        <f t="shared" si="2"/>
        <v>N</v>
      </c>
      <c r="D59" s="562" t="str">
        <f t="shared" si="3"/>
        <v>N</v>
      </c>
      <c r="E59" s="419" t="str">
        <f t="shared" si="4"/>
        <v>N</v>
      </c>
      <c r="F59" s="419" t="str">
        <f t="shared" si="5"/>
        <v>N</v>
      </c>
      <c r="G59" s="419" t="str">
        <f t="shared" si="6"/>
        <v>N</v>
      </c>
      <c r="H59" s="630" t="str">
        <f t="shared" si="7"/>
        <v>N</v>
      </c>
      <c r="I59" s="562" t="str">
        <f t="shared" si="8"/>
        <v>N</v>
      </c>
      <c r="J59" s="562" t="str">
        <f t="shared" si="9"/>
        <v>N</v>
      </c>
      <c r="K59" s="419" t="str">
        <f t="shared" si="10"/>
        <v>N</v>
      </c>
      <c r="L59" s="419" t="str">
        <f t="shared" si="11"/>
        <v>N</v>
      </c>
      <c r="M59" s="419" t="str">
        <f t="shared" si="12"/>
        <v>N</v>
      </c>
      <c r="N59" s="630" t="str">
        <f t="shared" si="13"/>
        <v>N</v>
      </c>
      <c r="O59" s="562" t="str">
        <f t="shared" si="14"/>
        <v>N</v>
      </c>
      <c r="P59" s="562" t="str">
        <f t="shared" si="15"/>
        <v>N</v>
      </c>
      <c r="Q59" s="419" t="str">
        <f t="shared" si="16"/>
        <v>N</v>
      </c>
      <c r="R59" s="419" t="str">
        <f t="shared" si="17"/>
        <v>N</v>
      </c>
      <c r="S59" s="419" t="str">
        <f t="shared" si="18"/>
        <v>N</v>
      </c>
      <c r="T59" s="630" t="str">
        <f t="shared" si="19"/>
        <v>N</v>
      </c>
      <c r="U59" s="562" t="str">
        <f t="shared" si="20"/>
        <v>N</v>
      </c>
      <c r="V59" s="562" t="str">
        <f t="shared" si="21"/>
        <v>N</v>
      </c>
      <c r="W59" s="419" t="str">
        <f t="shared" si="22"/>
        <v>N</v>
      </c>
      <c r="X59" s="419" t="str">
        <f t="shared" si="23"/>
        <v>N</v>
      </c>
      <c r="Y59" s="419" t="str">
        <f t="shared" si="24"/>
        <v>N</v>
      </c>
      <c r="Z59" t="str">
        <f t="shared" si="25"/>
        <v>Y</v>
      </c>
      <c r="AA59">
        <f t="shared" si="25"/>
        <v>0</v>
      </c>
    </row>
    <row r="60" spans="1:27">
      <c r="A60" t="str">
        <f t="shared" si="0"/>
        <v>NRCC&amp;NIST_1</v>
      </c>
      <c r="B60" s="630" t="str">
        <f t="shared" si="1"/>
        <v>N</v>
      </c>
      <c r="C60" s="562" t="str">
        <f t="shared" si="2"/>
        <v>N</v>
      </c>
      <c r="D60" s="562" t="str">
        <f t="shared" si="3"/>
        <v>N</v>
      </c>
      <c r="E60" s="419" t="str">
        <f t="shared" si="4"/>
        <v>N</v>
      </c>
      <c r="F60" s="419" t="str">
        <f t="shared" si="5"/>
        <v>N</v>
      </c>
      <c r="G60" s="419" t="str">
        <f t="shared" si="6"/>
        <v>N</v>
      </c>
      <c r="H60" s="630" t="str">
        <f t="shared" si="7"/>
        <v>N</v>
      </c>
      <c r="I60" s="562" t="str">
        <f t="shared" si="8"/>
        <v>N</v>
      </c>
      <c r="J60" s="562" t="str">
        <f t="shared" si="9"/>
        <v>N</v>
      </c>
      <c r="K60" s="419" t="str">
        <f t="shared" si="10"/>
        <v>N</v>
      </c>
      <c r="L60" s="419" t="str">
        <f t="shared" si="11"/>
        <v>N</v>
      </c>
      <c r="M60" s="419" t="str">
        <f t="shared" si="12"/>
        <v>N</v>
      </c>
      <c r="N60" s="630" t="str">
        <f t="shared" si="13"/>
        <v>N</v>
      </c>
      <c r="O60" s="562" t="str">
        <f t="shared" si="14"/>
        <v>N</v>
      </c>
      <c r="P60" s="562" t="str">
        <f t="shared" si="15"/>
        <v>N</v>
      </c>
      <c r="Q60" s="419" t="str">
        <f t="shared" si="16"/>
        <v>N</v>
      </c>
      <c r="R60" s="419" t="str">
        <f t="shared" si="17"/>
        <v>N</v>
      </c>
      <c r="S60" s="419" t="str">
        <f t="shared" si="18"/>
        <v>N</v>
      </c>
      <c r="T60" s="630" t="str">
        <f t="shared" si="19"/>
        <v>N</v>
      </c>
      <c r="U60" s="562" t="str">
        <f t="shared" si="20"/>
        <v>N</v>
      </c>
      <c r="V60" s="562" t="str">
        <f t="shared" si="21"/>
        <v>N</v>
      </c>
      <c r="W60" s="419" t="str">
        <f t="shared" si="22"/>
        <v>N</v>
      </c>
      <c r="X60" s="419" t="str">
        <f t="shared" si="23"/>
        <v>N</v>
      </c>
      <c r="Y60" s="419" t="str">
        <f t="shared" si="24"/>
        <v>N</v>
      </c>
      <c r="Z60" t="str">
        <f t="shared" si="25"/>
        <v>Y</v>
      </c>
      <c r="AA60">
        <f t="shared" si="25"/>
        <v>0</v>
      </c>
    </row>
    <row r="61" spans="1:27">
      <c r="A61" t="str">
        <f t="shared" si="0"/>
        <v>NRCC&amp;NIST_2</v>
      </c>
      <c r="B61" s="630" t="str">
        <f t="shared" si="1"/>
        <v>N</v>
      </c>
      <c r="C61" s="562" t="str">
        <f t="shared" si="2"/>
        <v>N</v>
      </c>
      <c r="D61" s="562" t="str">
        <f t="shared" si="3"/>
        <v>N</v>
      </c>
      <c r="E61" s="419" t="str">
        <f t="shared" si="4"/>
        <v>N</v>
      </c>
      <c r="F61" s="419" t="str">
        <f t="shared" si="5"/>
        <v>N</v>
      </c>
      <c r="G61" s="419" t="str">
        <f t="shared" si="6"/>
        <v>N</v>
      </c>
      <c r="H61" s="630" t="str">
        <f t="shared" si="7"/>
        <v>N</v>
      </c>
      <c r="I61" s="562" t="str">
        <f t="shared" si="8"/>
        <v>N</v>
      </c>
      <c r="J61" s="562" t="str">
        <f t="shared" si="9"/>
        <v>N</v>
      </c>
      <c r="K61" s="419" t="str">
        <f t="shared" si="10"/>
        <v>N</v>
      </c>
      <c r="L61" s="419" t="str">
        <f t="shared" si="11"/>
        <v>N</v>
      </c>
      <c r="M61" s="419" t="str">
        <f t="shared" si="12"/>
        <v>N</v>
      </c>
      <c r="N61" s="630" t="str">
        <f t="shared" si="13"/>
        <v>N</v>
      </c>
      <c r="O61" s="562" t="str">
        <f t="shared" si="14"/>
        <v>N</v>
      </c>
      <c r="P61" s="562" t="str">
        <f t="shared" si="15"/>
        <v>N</v>
      </c>
      <c r="Q61" s="419" t="str">
        <f t="shared" si="16"/>
        <v>N</v>
      </c>
      <c r="R61" s="419" t="str">
        <f t="shared" si="17"/>
        <v>N</v>
      </c>
      <c r="S61" s="419" t="str">
        <f t="shared" si="18"/>
        <v>N</v>
      </c>
      <c r="T61" s="630" t="str">
        <f t="shared" si="19"/>
        <v>N</v>
      </c>
      <c r="U61" s="562" t="str">
        <f t="shared" si="20"/>
        <v>N</v>
      </c>
      <c r="V61" s="562" t="str">
        <f t="shared" si="21"/>
        <v>N</v>
      </c>
      <c r="W61" s="419" t="str">
        <f t="shared" si="22"/>
        <v>N</v>
      </c>
      <c r="X61" s="419" t="str">
        <f t="shared" si="23"/>
        <v>N</v>
      </c>
      <c r="Y61" s="419" t="str">
        <f t="shared" si="24"/>
        <v>N</v>
      </c>
      <c r="Z61" t="str">
        <f t="shared" si="25"/>
        <v>Y</v>
      </c>
      <c r="AA61">
        <f t="shared" si="25"/>
        <v>0</v>
      </c>
    </row>
    <row r="62" spans="1:27">
      <c r="A62" t="str">
        <f t="shared" si="0"/>
        <v>NRCC&amp;NIST_3</v>
      </c>
      <c r="B62" s="630" t="str">
        <f t="shared" si="1"/>
        <v>N</v>
      </c>
      <c r="C62" s="562" t="str">
        <f t="shared" si="2"/>
        <v>N</v>
      </c>
      <c r="D62" s="562" t="str">
        <f t="shared" si="3"/>
        <v>N</v>
      </c>
      <c r="E62" s="419" t="str">
        <f t="shared" si="4"/>
        <v>N</v>
      </c>
      <c r="F62" s="419" t="str">
        <f t="shared" si="5"/>
        <v>N</v>
      </c>
      <c r="G62" s="419" t="str">
        <f t="shared" si="6"/>
        <v>N</v>
      </c>
      <c r="H62" s="630" t="str">
        <f t="shared" si="7"/>
        <v>N</v>
      </c>
      <c r="I62" s="562" t="str">
        <f t="shared" si="8"/>
        <v>N</v>
      </c>
      <c r="J62" s="562" t="str">
        <f t="shared" si="9"/>
        <v>N</v>
      </c>
      <c r="K62" s="419" t="str">
        <f t="shared" si="10"/>
        <v>N</v>
      </c>
      <c r="L62" s="419" t="str">
        <f t="shared" si="11"/>
        <v>N</v>
      </c>
      <c r="M62" s="419" t="str">
        <f t="shared" si="12"/>
        <v>N</v>
      </c>
      <c r="N62" s="630" t="str">
        <f t="shared" si="13"/>
        <v>N</v>
      </c>
      <c r="O62" s="562" t="str">
        <f t="shared" si="14"/>
        <v>N</v>
      </c>
      <c r="P62" s="562" t="str">
        <f t="shared" si="15"/>
        <v>N</v>
      </c>
      <c r="Q62" s="419" t="str">
        <f t="shared" si="16"/>
        <v>N</v>
      </c>
      <c r="R62" s="419" t="str">
        <f t="shared" si="17"/>
        <v>N</v>
      </c>
      <c r="S62" s="419" t="str">
        <f t="shared" si="18"/>
        <v>N</v>
      </c>
      <c r="T62" s="630" t="str">
        <f t="shared" si="19"/>
        <v>N</v>
      </c>
      <c r="U62" s="562" t="str">
        <f t="shared" si="20"/>
        <v>N</v>
      </c>
      <c r="V62" s="562" t="str">
        <f t="shared" si="21"/>
        <v>N</v>
      </c>
      <c r="W62" s="419" t="str">
        <f t="shared" si="22"/>
        <v>N</v>
      </c>
      <c r="X62" s="419" t="str">
        <f t="shared" si="23"/>
        <v>N</v>
      </c>
      <c r="Y62" s="419" t="str">
        <f t="shared" si="24"/>
        <v>N</v>
      </c>
      <c r="Z62" t="str">
        <f t="shared" si="25"/>
        <v>Y</v>
      </c>
      <c r="AA62">
        <f t="shared" si="25"/>
        <v>0</v>
      </c>
    </row>
    <row r="63" spans="1:27">
      <c r="A63" t="str">
        <f t="shared" si="0"/>
        <v>NRCC&amp;NIST_4</v>
      </c>
      <c r="B63" s="630" t="str">
        <f t="shared" si="1"/>
        <v>N</v>
      </c>
      <c r="C63" s="562" t="str">
        <f t="shared" si="2"/>
        <v>N</v>
      </c>
      <c r="D63" s="562" t="str">
        <f t="shared" si="3"/>
        <v>N</v>
      </c>
      <c r="E63" s="419" t="str">
        <f t="shared" si="4"/>
        <v>N</v>
      </c>
      <c r="F63" s="419" t="str">
        <f t="shared" si="5"/>
        <v>N</v>
      </c>
      <c r="G63" s="419" t="str">
        <f t="shared" si="6"/>
        <v>N</v>
      </c>
      <c r="H63" s="630" t="str">
        <f t="shared" si="7"/>
        <v>N</v>
      </c>
      <c r="I63" s="562" t="str">
        <f t="shared" si="8"/>
        <v>N</v>
      </c>
      <c r="J63" s="562" t="str">
        <f t="shared" si="9"/>
        <v>N</v>
      </c>
      <c r="K63" s="419" t="str">
        <f t="shared" si="10"/>
        <v>N</v>
      </c>
      <c r="L63" s="419" t="str">
        <f t="shared" si="11"/>
        <v>N</v>
      </c>
      <c r="M63" s="419" t="str">
        <f t="shared" si="12"/>
        <v>N</v>
      </c>
      <c r="N63" s="630" t="str">
        <f t="shared" si="13"/>
        <v>N</v>
      </c>
      <c r="O63" s="562" t="str">
        <f t="shared" si="14"/>
        <v>N</v>
      </c>
      <c r="P63" s="562" t="str">
        <f t="shared" si="15"/>
        <v>N</v>
      </c>
      <c r="Q63" s="419" t="str">
        <f t="shared" si="16"/>
        <v>N</v>
      </c>
      <c r="R63" s="419" t="str">
        <f t="shared" si="17"/>
        <v>N</v>
      </c>
      <c r="S63" s="419" t="str">
        <f t="shared" si="18"/>
        <v>N</v>
      </c>
      <c r="T63" s="630" t="str">
        <f t="shared" si="19"/>
        <v>N</v>
      </c>
      <c r="U63" s="562" t="str">
        <f t="shared" si="20"/>
        <v>N</v>
      </c>
      <c r="V63" s="562" t="str">
        <f t="shared" si="21"/>
        <v>N</v>
      </c>
      <c r="W63" s="419" t="str">
        <f t="shared" si="22"/>
        <v>N</v>
      </c>
      <c r="X63" s="419" t="str">
        <f t="shared" si="23"/>
        <v>N</v>
      </c>
      <c r="Y63" s="419" t="str">
        <f t="shared" si="24"/>
        <v>N</v>
      </c>
      <c r="Z63" t="str">
        <f t="shared" si="25"/>
        <v>N</v>
      </c>
      <c r="AA63">
        <f t="shared" si="25"/>
        <v>0</v>
      </c>
    </row>
    <row r="64" spans="1:27">
      <c r="A64" t="str">
        <f t="shared" si="0"/>
        <v>NRCC&amp;NIST_5</v>
      </c>
      <c r="B64" s="630" t="str">
        <f t="shared" si="1"/>
        <v>N</v>
      </c>
      <c r="C64" s="562" t="str">
        <f t="shared" si="2"/>
        <v>N</v>
      </c>
      <c r="D64" s="562" t="str">
        <f t="shared" si="3"/>
        <v>N</v>
      </c>
      <c r="E64" s="419" t="str">
        <f t="shared" si="4"/>
        <v>N</v>
      </c>
      <c r="F64" s="419" t="str">
        <f t="shared" si="5"/>
        <v>N</v>
      </c>
      <c r="G64" s="419" t="str">
        <f t="shared" si="6"/>
        <v>N</v>
      </c>
      <c r="H64" s="630" t="str">
        <f t="shared" si="7"/>
        <v>N</v>
      </c>
      <c r="I64" s="562" t="str">
        <f t="shared" si="8"/>
        <v>N</v>
      </c>
      <c r="J64" s="562" t="str">
        <f t="shared" si="9"/>
        <v>N</v>
      </c>
      <c r="K64" s="419" t="str">
        <f t="shared" si="10"/>
        <v>N</v>
      </c>
      <c r="L64" s="419" t="str">
        <f t="shared" si="11"/>
        <v>N</v>
      </c>
      <c r="M64" s="419" t="str">
        <f t="shared" si="12"/>
        <v>N</v>
      </c>
      <c r="N64" s="630" t="str">
        <f t="shared" si="13"/>
        <v>N</v>
      </c>
      <c r="O64" s="562" t="str">
        <f t="shared" si="14"/>
        <v>N</v>
      </c>
      <c r="P64" s="562" t="str">
        <f t="shared" si="15"/>
        <v>N</v>
      </c>
      <c r="Q64" s="419" t="str">
        <f t="shared" si="16"/>
        <v>N</v>
      </c>
      <c r="R64" s="419" t="str">
        <f t="shared" si="17"/>
        <v>N</v>
      </c>
      <c r="S64" s="419" t="str">
        <f t="shared" si="18"/>
        <v>N</v>
      </c>
      <c r="T64" s="630" t="str">
        <f t="shared" si="19"/>
        <v>N</v>
      </c>
      <c r="U64" s="562" t="str">
        <f t="shared" si="20"/>
        <v>N</v>
      </c>
      <c r="V64" s="562" t="str">
        <f t="shared" si="21"/>
        <v>N</v>
      </c>
      <c r="W64" s="419" t="str">
        <f t="shared" si="22"/>
        <v>N</v>
      </c>
      <c r="X64" s="419" t="str">
        <f t="shared" si="23"/>
        <v>N</v>
      </c>
      <c r="Y64" s="419" t="str">
        <f t="shared" si="24"/>
        <v>N</v>
      </c>
      <c r="Z64" t="str">
        <f t="shared" si="25"/>
        <v>N</v>
      </c>
      <c r="AA64">
        <f t="shared" si="25"/>
        <v>0</v>
      </c>
    </row>
    <row r="65" spans="1:27">
      <c r="A65" t="str">
        <f t="shared" si="0"/>
        <v>NRCC&amp;NIST_6</v>
      </c>
      <c r="B65" s="630" t="str">
        <f t="shared" si="1"/>
        <v>N</v>
      </c>
      <c r="C65" s="562" t="str">
        <f t="shared" si="2"/>
        <v>N</v>
      </c>
      <c r="D65" s="562" t="str">
        <f t="shared" si="3"/>
        <v>N</v>
      </c>
      <c r="E65" s="419" t="str">
        <f t="shared" si="4"/>
        <v>N</v>
      </c>
      <c r="F65" s="419" t="str">
        <f t="shared" si="5"/>
        <v>N</v>
      </c>
      <c r="G65" s="419" t="str">
        <f t="shared" si="6"/>
        <v>N</v>
      </c>
      <c r="H65" s="630" t="str">
        <f t="shared" si="7"/>
        <v>N</v>
      </c>
      <c r="I65" s="562" t="str">
        <f t="shared" si="8"/>
        <v>N</v>
      </c>
      <c r="J65" s="562" t="str">
        <f t="shared" si="9"/>
        <v>N</v>
      </c>
      <c r="K65" s="419" t="str">
        <f t="shared" si="10"/>
        <v>N</v>
      </c>
      <c r="L65" s="419" t="str">
        <f t="shared" si="11"/>
        <v>N</v>
      </c>
      <c r="M65" s="419" t="str">
        <f t="shared" si="12"/>
        <v>N</v>
      </c>
      <c r="N65" s="630" t="str">
        <f t="shared" si="13"/>
        <v>N</v>
      </c>
      <c r="O65" s="562" t="str">
        <f t="shared" si="14"/>
        <v>N</v>
      </c>
      <c r="P65" s="562" t="str">
        <f t="shared" si="15"/>
        <v>N</v>
      </c>
      <c r="Q65" s="419" t="str">
        <f t="shared" si="16"/>
        <v>N</v>
      </c>
      <c r="R65" s="419" t="str">
        <f t="shared" si="17"/>
        <v>N</v>
      </c>
      <c r="S65" s="419" t="str">
        <f t="shared" si="18"/>
        <v>N</v>
      </c>
      <c r="T65" s="630" t="str">
        <f t="shared" si="19"/>
        <v>N</v>
      </c>
      <c r="U65" s="562" t="str">
        <f t="shared" si="20"/>
        <v>N</v>
      </c>
      <c r="V65" s="562" t="str">
        <f t="shared" si="21"/>
        <v>N</v>
      </c>
      <c r="W65" s="419" t="str">
        <f t="shared" si="22"/>
        <v>N</v>
      </c>
      <c r="X65" s="419" t="str">
        <f t="shared" si="23"/>
        <v>N</v>
      </c>
      <c r="Y65" s="419" t="str">
        <f t="shared" si="24"/>
        <v>N</v>
      </c>
      <c r="Z65" t="str">
        <f t="shared" si="25"/>
        <v>N</v>
      </c>
      <c r="AA65">
        <f t="shared" si="25"/>
        <v>0</v>
      </c>
    </row>
    <row r="66" spans="1:27">
      <c r="A66" t="str">
        <f t="shared" si="0"/>
        <v>NRCC_Room_2</v>
      </c>
      <c r="B66" s="630" t="str">
        <f t="shared" si="1"/>
        <v>N</v>
      </c>
      <c r="C66" s="562" t="str">
        <f t="shared" si="2"/>
        <v>N</v>
      </c>
      <c r="D66" s="562" t="str">
        <f t="shared" si="3"/>
        <v>N</v>
      </c>
      <c r="E66" s="419" t="str">
        <f t="shared" si="4"/>
        <v>N</v>
      </c>
      <c r="F66" s="419" t="str">
        <f t="shared" si="5"/>
        <v>N</v>
      </c>
      <c r="G66" s="419" t="str">
        <f t="shared" si="6"/>
        <v>N</v>
      </c>
      <c r="H66" s="630" t="str">
        <f t="shared" si="7"/>
        <v>N</v>
      </c>
      <c r="I66" s="562" t="str">
        <f t="shared" si="8"/>
        <v>N</v>
      </c>
      <c r="J66" s="562" t="str">
        <f t="shared" si="9"/>
        <v>N</v>
      </c>
      <c r="K66" s="419" t="str">
        <f t="shared" si="10"/>
        <v>N</v>
      </c>
      <c r="L66" s="419" t="str">
        <f t="shared" si="11"/>
        <v>N</v>
      </c>
      <c r="M66" s="419" t="str">
        <f t="shared" si="12"/>
        <v>N</v>
      </c>
      <c r="N66" s="630" t="str">
        <f t="shared" si="13"/>
        <v>N</v>
      </c>
      <c r="O66" s="562" t="str">
        <f t="shared" si="14"/>
        <v>N</v>
      </c>
      <c r="P66" s="562" t="str">
        <f t="shared" si="15"/>
        <v>N</v>
      </c>
      <c r="Q66" s="419" t="str">
        <f t="shared" si="16"/>
        <v>N</v>
      </c>
      <c r="R66" s="419" t="str">
        <f t="shared" si="17"/>
        <v>N</v>
      </c>
      <c r="S66" s="419" t="str">
        <f t="shared" si="18"/>
        <v>N</v>
      </c>
      <c r="T66" s="630" t="str">
        <f t="shared" si="19"/>
        <v>N</v>
      </c>
      <c r="U66" s="562" t="str">
        <f t="shared" si="20"/>
        <v>N</v>
      </c>
      <c r="V66" s="562" t="str">
        <f t="shared" si="21"/>
        <v>N</v>
      </c>
      <c r="W66" s="419" t="str">
        <f t="shared" si="22"/>
        <v>N</v>
      </c>
      <c r="X66" s="419" t="str">
        <f t="shared" si="23"/>
        <v>N</v>
      </c>
      <c r="Y66" s="419" t="str">
        <f t="shared" si="24"/>
        <v>N</v>
      </c>
      <c r="Z66" t="str">
        <f t="shared" si="25"/>
        <v>Y</v>
      </c>
      <c r="AA66">
        <f t="shared" si="25"/>
        <v>0</v>
      </c>
    </row>
    <row r="67" spans="1:27">
      <c r="A67" t="str">
        <f t="shared" si="0"/>
        <v>NRCC_Room_3</v>
      </c>
      <c r="B67" s="630" t="str">
        <f t="shared" si="1"/>
        <v>N</v>
      </c>
      <c r="C67" s="562" t="str">
        <f t="shared" si="2"/>
        <v>N</v>
      </c>
      <c r="D67" s="562" t="str">
        <f t="shared" si="3"/>
        <v>N</v>
      </c>
      <c r="E67" s="419" t="str">
        <f t="shared" si="4"/>
        <v>N</v>
      </c>
      <c r="F67" s="419" t="str">
        <f t="shared" si="5"/>
        <v>N</v>
      </c>
      <c r="G67" s="419" t="str">
        <f t="shared" si="6"/>
        <v>N</v>
      </c>
      <c r="H67" s="630" t="str">
        <f t="shared" si="7"/>
        <v>N</v>
      </c>
      <c r="I67" s="562" t="str">
        <f t="shared" si="8"/>
        <v>N</v>
      </c>
      <c r="J67" s="562" t="str">
        <f t="shared" si="9"/>
        <v>N</v>
      </c>
      <c r="K67" s="419" t="str">
        <f t="shared" si="10"/>
        <v>N</v>
      </c>
      <c r="L67" s="419" t="str">
        <f t="shared" si="11"/>
        <v>N</v>
      </c>
      <c r="M67" s="419" t="str">
        <f t="shared" si="12"/>
        <v>N</v>
      </c>
      <c r="N67" s="630" t="str">
        <f t="shared" si="13"/>
        <v>N</v>
      </c>
      <c r="O67" s="562" t="str">
        <f t="shared" si="14"/>
        <v>N</v>
      </c>
      <c r="P67" s="562" t="str">
        <f t="shared" si="15"/>
        <v>N</v>
      </c>
      <c r="Q67" s="419" t="str">
        <f t="shared" si="16"/>
        <v>N</v>
      </c>
      <c r="R67" s="419" t="str">
        <f t="shared" si="17"/>
        <v>N</v>
      </c>
      <c r="S67" s="419" t="str">
        <f t="shared" si="18"/>
        <v>N</v>
      </c>
      <c r="T67" s="630" t="str">
        <f t="shared" si="19"/>
        <v>N</v>
      </c>
      <c r="U67" s="562" t="str">
        <f t="shared" si="20"/>
        <v>N</v>
      </c>
      <c r="V67" s="562" t="str">
        <f t="shared" si="21"/>
        <v>N</v>
      </c>
      <c r="W67" s="419" t="str">
        <f t="shared" si="22"/>
        <v>N</v>
      </c>
      <c r="X67" s="419" t="str">
        <f t="shared" si="23"/>
        <v>N</v>
      </c>
      <c r="Y67" s="419" t="str">
        <f t="shared" si="24"/>
        <v>N</v>
      </c>
      <c r="Z67" t="str">
        <f t="shared" si="25"/>
        <v>N</v>
      </c>
      <c r="AA67">
        <f t="shared" si="25"/>
        <v>0</v>
      </c>
    </row>
    <row r="68" spans="1:27">
      <c r="A68" t="str">
        <f t="shared" si="0"/>
        <v>NRCC_Room_4</v>
      </c>
      <c r="B68" s="630" t="str">
        <f t="shared" si="1"/>
        <v>N</v>
      </c>
      <c r="C68" s="562" t="str">
        <f t="shared" si="2"/>
        <v>N</v>
      </c>
      <c r="D68" s="562" t="str">
        <f t="shared" si="3"/>
        <v>N</v>
      </c>
      <c r="E68" s="419" t="str">
        <f t="shared" si="4"/>
        <v>N</v>
      </c>
      <c r="F68" s="419" t="str">
        <f t="shared" si="5"/>
        <v>N</v>
      </c>
      <c r="G68" s="419" t="str">
        <f t="shared" si="6"/>
        <v>N</v>
      </c>
      <c r="H68" s="630" t="str">
        <f t="shared" si="7"/>
        <v>N</v>
      </c>
      <c r="I68" s="562" t="str">
        <f t="shared" si="8"/>
        <v>N</v>
      </c>
      <c r="J68" s="562" t="str">
        <f t="shared" si="9"/>
        <v>N</v>
      </c>
      <c r="K68" s="419" t="str">
        <f t="shared" si="10"/>
        <v>N</v>
      </c>
      <c r="L68" s="419" t="str">
        <f t="shared" si="11"/>
        <v>N</v>
      </c>
      <c r="M68" s="419" t="str">
        <f t="shared" si="12"/>
        <v>N</v>
      </c>
      <c r="N68" s="630" t="str">
        <f t="shared" si="13"/>
        <v>N</v>
      </c>
      <c r="O68" s="562" t="str">
        <f t="shared" si="14"/>
        <v>N</v>
      </c>
      <c r="P68" s="562" t="str">
        <f t="shared" si="15"/>
        <v>N</v>
      </c>
      <c r="Q68" s="419" t="str">
        <f t="shared" si="16"/>
        <v>N</v>
      </c>
      <c r="R68" s="419" t="str">
        <f t="shared" si="17"/>
        <v>N</v>
      </c>
      <c r="S68" s="419" t="str">
        <f t="shared" si="18"/>
        <v>N</v>
      </c>
      <c r="T68" s="630" t="str">
        <f t="shared" si="19"/>
        <v>N</v>
      </c>
      <c r="U68" s="562" t="str">
        <f t="shared" si="20"/>
        <v>N</v>
      </c>
      <c r="V68" s="562" t="str">
        <f t="shared" si="21"/>
        <v>N</v>
      </c>
      <c r="W68" s="419" t="str">
        <f t="shared" si="22"/>
        <v>N</v>
      </c>
      <c r="X68" s="419" t="str">
        <f t="shared" si="23"/>
        <v>N</v>
      </c>
      <c r="Y68" s="419" t="str">
        <f t="shared" si="24"/>
        <v>N</v>
      </c>
      <c r="Z68" t="str">
        <f t="shared" si="25"/>
        <v>Y</v>
      </c>
      <c r="AA68">
        <f t="shared" si="25"/>
        <v>0</v>
      </c>
    </row>
    <row r="69" spans="1:27">
      <c r="A69" t="str">
        <f t="shared" si="0"/>
        <v>NRCC_Room_5</v>
      </c>
      <c r="B69" s="630" t="str">
        <f t="shared" si="1"/>
        <v>N</v>
      </c>
      <c r="C69" s="562" t="str">
        <f t="shared" si="2"/>
        <v>N</v>
      </c>
      <c r="D69" s="562" t="str">
        <f t="shared" si="3"/>
        <v>N</v>
      </c>
      <c r="E69" s="419" t="str">
        <f t="shared" si="4"/>
        <v>N</v>
      </c>
      <c r="F69" s="419" t="str">
        <f t="shared" si="5"/>
        <v>N</v>
      </c>
      <c r="G69" s="419" t="str">
        <f t="shared" si="6"/>
        <v>N</v>
      </c>
      <c r="H69" s="630" t="str">
        <f t="shared" si="7"/>
        <v>N</v>
      </c>
      <c r="I69" s="562" t="str">
        <f t="shared" si="8"/>
        <v>N</v>
      </c>
      <c r="J69" s="562" t="str">
        <f t="shared" si="9"/>
        <v>N</v>
      </c>
      <c r="K69" s="419" t="str">
        <f t="shared" si="10"/>
        <v>N</v>
      </c>
      <c r="L69" s="419" t="str">
        <f t="shared" si="11"/>
        <v>N</v>
      </c>
      <c r="M69" s="419" t="str">
        <f t="shared" si="12"/>
        <v>N</v>
      </c>
      <c r="N69" s="630" t="str">
        <f t="shared" si="13"/>
        <v>N</v>
      </c>
      <c r="O69" s="562" t="str">
        <f t="shared" si="14"/>
        <v>N</v>
      </c>
      <c r="P69" s="562" t="str">
        <f t="shared" si="15"/>
        <v>N</v>
      </c>
      <c r="Q69" s="419" t="str">
        <f t="shared" si="16"/>
        <v>N</v>
      </c>
      <c r="R69" s="419" t="str">
        <f t="shared" si="17"/>
        <v>N</v>
      </c>
      <c r="S69" s="419" t="str">
        <f t="shared" si="18"/>
        <v>N</v>
      </c>
      <c r="T69" s="630" t="str">
        <f t="shared" si="19"/>
        <v>N</v>
      </c>
      <c r="U69" s="562" t="str">
        <f t="shared" si="20"/>
        <v>N</v>
      </c>
      <c r="V69" s="562" t="str">
        <f t="shared" si="21"/>
        <v>N</v>
      </c>
      <c r="W69" s="419" t="str">
        <f t="shared" si="22"/>
        <v>N</v>
      </c>
      <c r="X69" s="419" t="str">
        <f t="shared" si="23"/>
        <v>N</v>
      </c>
      <c r="Y69" s="419" t="str">
        <f t="shared" si="24"/>
        <v>N</v>
      </c>
      <c r="Z69" t="str">
        <f t="shared" si="25"/>
        <v>N</v>
      </c>
      <c r="AA69">
        <f t="shared" si="25"/>
        <v>0</v>
      </c>
    </row>
    <row r="70" spans="1:27">
      <c r="A70" t="str">
        <f t="shared" si="0"/>
        <v>NRCC_Elevator_1</v>
      </c>
      <c r="B70" s="630" t="str">
        <f t="shared" si="1"/>
        <v>N</v>
      </c>
      <c r="C70" s="562" t="str">
        <f t="shared" si="2"/>
        <v>N</v>
      </c>
      <c r="D70" s="562" t="str">
        <f t="shared" si="3"/>
        <v>N</v>
      </c>
      <c r="E70" s="419" t="str">
        <f t="shared" si="4"/>
        <v>N</v>
      </c>
      <c r="F70" s="419" t="str">
        <f t="shared" si="5"/>
        <v>N</v>
      </c>
      <c r="G70" s="419" t="str">
        <f t="shared" si="6"/>
        <v>N</v>
      </c>
      <c r="H70" s="630" t="str">
        <f t="shared" si="7"/>
        <v>N</v>
      </c>
      <c r="I70" s="562" t="str">
        <f t="shared" si="8"/>
        <v>N</v>
      </c>
      <c r="J70" s="562" t="str">
        <f t="shared" si="9"/>
        <v>N</v>
      </c>
      <c r="K70" s="419" t="str">
        <f t="shared" si="10"/>
        <v>N</v>
      </c>
      <c r="L70" s="419" t="str">
        <f t="shared" si="11"/>
        <v>N</v>
      </c>
      <c r="M70" s="419" t="str">
        <f t="shared" si="12"/>
        <v>N</v>
      </c>
      <c r="N70" s="630" t="str">
        <f t="shared" si="13"/>
        <v>N</v>
      </c>
      <c r="O70" s="562" t="str">
        <f t="shared" si="14"/>
        <v>N</v>
      </c>
      <c r="P70" s="562" t="str">
        <f t="shared" si="15"/>
        <v>N</v>
      </c>
      <c r="Q70" s="419" t="str">
        <f t="shared" si="16"/>
        <v>N</v>
      </c>
      <c r="R70" s="419" t="str">
        <f t="shared" si="17"/>
        <v>N</v>
      </c>
      <c r="S70" s="419" t="str">
        <f t="shared" si="18"/>
        <v>N</v>
      </c>
      <c r="T70" s="630" t="str">
        <f t="shared" si="19"/>
        <v>N</v>
      </c>
      <c r="U70" s="562" t="str">
        <f t="shared" si="20"/>
        <v>N</v>
      </c>
      <c r="V70" s="562" t="str">
        <f t="shared" si="21"/>
        <v>N</v>
      </c>
      <c r="W70" s="419" t="str">
        <f t="shared" si="22"/>
        <v>N</v>
      </c>
      <c r="X70" s="419" t="str">
        <f t="shared" si="23"/>
        <v>N</v>
      </c>
      <c r="Y70" s="419" t="str">
        <f t="shared" si="24"/>
        <v>N</v>
      </c>
      <c r="Z70" t="str">
        <f t="shared" si="25"/>
        <v>N</v>
      </c>
      <c r="AA70">
        <f t="shared" si="25"/>
        <v>0</v>
      </c>
    </row>
    <row r="71" spans="1:27">
      <c r="A71" t="str">
        <f t="shared" si="0"/>
        <v>Edimb_1</v>
      </c>
      <c r="B71" s="630" t="str">
        <f t="shared" si="1"/>
        <v>N</v>
      </c>
      <c r="C71" s="562" t="str">
        <f t="shared" si="2"/>
        <v>N</v>
      </c>
      <c r="D71" s="562" t="str">
        <f t="shared" si="3"/>
        <v>N</v>
      </c>
      <c r="E71" s="419" t="str">
        <f t="shared" si="4"/>
        <v>N</v>
      </c>
      <c r="F71" s="419" t="str">
        <f t="shared" si="5"/>
        <v>N</v>
      </c>
      <c r="G71" s="419" t="str">
        <f t="shared" si="6"/>
        <v>N</v>
      </c>
      <c r="H71" s="630" t="str">
        <f t="shared" si="7"/>
        <v>N</v>
      </c>
      <c r="I71" s="562" t="str">
        <f t="shared" si="8"/>
        <v>N</v>
      </c>
      <c r="J71" s="562" t="str">
        <f t="shared" si="9"/>
        <v>N</v>
      </c>
      <c r="K71" s="419" t="str">
        <f t="shared" si="10"/>
        <v>N</v>
      </c>
      <c r="L71" s="419" t="str">
        <f t="shared" si="11"/>
        <v>N</v>
      </c>
      <c r="M71" s="419" t="str">
        <f t="shared" si="12"/>
        <v>N</v>
      </c>
      <c r="N71" s="630" t="str">
        <f t="shared" si="13"/>
        <v>N</v>
      </c>
      <c r="O71" s="562" t="str">
        <f t="shared" si="14"/>
        <v>N</v>
      </c>
      <c r="P71" s="562" t="str">
        <f t="shared" si="15"/>
        <v>N</v>
      </c>
      <c r="Q71" s="419" t="str">
        <f t="shared" si="16"/>
        <v>N</v>
      </c>
      <c r="R71" s="419" t="str">
        <f t="shared" si="17"/>
        <v>N</v>
      </c>
      <c r="S71" s="419" t="str">
        <f t="shared" si="18"/>
        <v>N</v>
      </c>
      <c r="T71" s="630" t="str">
        <f t="shared" si="19"/>
        <v>N</v>
      </c>
      <c r="U71" s="562" t="str">
        <f t="shared" si="20"/>
        <v>N</v>
      </c>
      <c r="V71" s="562" t="str">
        <f t="shared" si="21"/>
        <v>N</v>
      </c>
      <c r="W71" s="419" t="str">
        <f t="shared" si="22"/>
        <v>N</v>
      </c>
      <c r="X71" s="419" t="str">
        <f t="shared" si="23"/>
        <v>N</v>
      </c>
      <c r="Y71" s="419" t="str">
        <f t="shared" si="24"/>
        <v>N</v>
      </c>
      <c r="Z71" t="str">
        <f t="shared" si="25"/>
        <v>N</v>
      </c>
      <c r="AA71">
        <f t="shared" si="25"/>
        <v>0</v>
      </c>
    </row>
    <row r="72" spans="1:27">
      <c r="A72" t="str">
        <f t="shared" si="0"/>
        <v>Edimb_2</v>
      </c>
      <c r="B72" s="630" t="str">
        <f t="shared" si="1"/>
        <v>N</v>
      </c>
      <c r="C72" s="562" t="str">
        <f t="shared" si="2"/>
        <v>N</v>
      </c>
      <c r="D72" s="562" t="str">
        <f t="shared" si="3"/>
        <v>N</v>
      </c>
      <c r="E72" s="419" t="str">
        <f t="shared" si="4"/>
        <v>N</v>
      </c>
      <c r="F72" s="419" t="str">
        <f t="shared" si="5"/>
        <v>N</v>
      </c>
      <c r="G72" s="419" t="str">
        <f t="shared" si="6"/>
        <v>N</v>
      </c>
      <c r="H72" s="630" t="str">
        <f t="shared" si="7"/>
        <v>N</v>
      </c>
      <c r="I72" s="562" t="str">
        <f t="shared" si="8"/>
        <v>N</v>
      </c>
      <c r="J72" s="562" t="str">
        <f t="shared" si="9"/>
        <v>N</v>
      </c>
      <c r="K72" s="419" t="str">
        <f t="shared" si="10"/>
        <v>N</v>
      </c>
      <c r="L72" s="419" t="str">
        <f t="shared" si="11"/>
        <v>N</v>
      </c>
      <c r="M72" s="419" t="str">
        <f t="shared" si="12"/>
        <v>N</v>
      </c>
      <c r="N72" s="630" t="str">
        <f t="shared" si="13"/>
        <v>N</v>
      </c>
      <c r="O72" s="562" t="str">
        <f t="shared" si="14"/>
        <v>N</v>
      </c>
      <c r="P72" s="562" t="str">
        <f t="shared" si="15"/>
        <v>N</v>
      </c>
      <c r="Q72" s="419" t="str">
        <f t="shared" si="16"/>
        <v>N</v>
      </c>
      <c r="R72" s="419" t="str">
        <f t="shared" si="17"/>
        <v>N</v>
      </c>
      <c r="S72" s="419" t="str">
        <f t="shared" si="18"/>
        <v>N</v>
      </c>
      <c r="T72" s="630" t="str">
        <f t="shared" si="19"/>
        <v>N</v>
      </c>
      <c r="U72" s="562" t="str">
        <f t="shared" si="20"/>
        <v>N</v>
      </c>
      <c r="V72" s="562" t="str">
        <f t="shared" si="21"/>
        <v>N</v>
      </c>
      <c r="W72" s="419" t="str">
        <f t="shared" si="22"/>
        <v>N</v>
      </c>
      <c r="X72" s="419" t="str">
        <f t="shared" si="23"/>
        <v>N</v>
      </c>
      <c r="Y72" s="419" t="str">
        <f t="shared" si="24"/>
        <v>N</v>
      </c>
      <c r="Z72" t="str">
        <f t="shared" si="25"/>
        <v>N</v>
      </c>
      <c r="AA72">
        <f t="shared" si="25"/>
        <v>0</v>
      </c>
    </row>
    <row r="73" spans="1:27">
      <c r="A73" t="str">
        <f t="shared" si="0"/>
        <v>Edimb_3</v>
      </c>
      <c r="B73" s="630" t="str">
        <f t="shared" si="1"/>
        <v>N</v>
      </c>
      <c r="C73" s="562" t="str">
        <f t="shared" si="2"/>
        <v>N</v>
      </c>
      <c r="D73" s="562" t="str">
        <f t="shared" si="3"/>
        <v>N</v>
      </c>
      <c r="E73" s="419" t="str">
        <f t="shared" si="4"/>
        <v>N</v>
      </c>
      <c r="F73" s="419" t="str">
        <f t="shared" si="5"/>
        <v>N</v>
      </c>
      <c r="G73" s="419" t="str">
        <f t="shared" si="6"/>
        <v>N</v>
      </c>
      <c r="H73" s="630" t="str">
        <f t="shared" si="7"/>
        <v>N</v>
      </c>
      <c r="I73" s="562" t="str">
        <f t="shared" si="8"/>
        <v>N</v>
      </c>
      <c r="J73" s="562" t="str">
        <f t="shared" si="9"/>
        <v>N</v>
      </c>
      <c r="K73" s="419" t="str">
        <f t="shared" si="10"/>
        <v>N</v>
      </c>
      <c r="L73" s="419" t="str">
        <f t="shared" si="11"/>
        <v>N</v>
      </c>
      <c r="M73" s="419" t="str">
        <f t="shared" si="12"/>
        <v>N</v>
      </c>
      <c r="N73" s="630" t="str">
        <f t="shared" si="13"/>
        <v>N</v>
      </c>
      <c r="O73" s="562" t="str">
        <f t="shared" si="14"/>
        <v>N</v>
      </c>
      <c r="P73" s="562" t="str">
        <f t="shared" si="15"/>
        <v>N</v>
      </c>
      <c r="Q73" s="419" t="str">
        <f t="shared" si="16"/>
        <v>N</v>
      </c>
      <c r="R73" s="419" t="str">
        <f t="shared" si="17"/>
        <v>N</v>
      </c>
      <c r="S73" s="419" t="str">
        <f t="shared" si="18"/>
        <v>N</v>
      </c>
      <c r="T73" s="630" t="str">
        <f t="shared" si="19"/>
        <v>N</v>
      </c>
      <c r="U73" s="562" t="str">
        <f t="shared" si="20"/>
        <v>N</v>
      </c>
      <c r="V73" s="562" t="str">
        <f t="shared" si="21"/>
        <v>N</v>
      </c>
      <c r="W73" s="419" t="str">
        <f t="shared" si="22"/>
        <v>N</v>
      </c>
      <c r="X73" s="419" t="str">
        <f t="shared" si="23"/>
        <v>N</v>
      </c>
      <c r="Y73" s="419" t="str">
        <f t="shared" si="24"/>
        <v>N</v>
      </c>
      <c r="Z73" t="str">
        <f t="shared" ref="Z73:AA92" si="26">Z22</f>
        <v>Y</v>
      </c>
      <c r="AA73">
        <f t="shared" si="26"/>
        <v>0</v>
      </c>
    </row>
    <row r="74" spans="1:27">
      <c r="A74" t="str">
        <f t="shared" si="0"/>
        <v>Edimb_4</v>
      </c>
      <c r="B74" s="630" t="str">
        <f t="shared" si="1"/>
        <v>N</v>
      </c>
      <c r="C74" s="562" t="str">
        <f t="shared" si="2"/>
        <v>N</v>
      </c>
      <c r="D74" s="562" t="str">
        <f t="shared" si="3"/>
        <v>N</v>
      </c>
      <c r="E74" s="419" t="str">
        <f t="shared" si="4"/>
        <v>N</v>
      </c>
      <c r="F74" s="419" t="str">
        <f t="shared" si="5"/>
        <v>N</v>
      </c>
      <c r="G74" s="419" t="str">
        <f t="shared" si="6"/>
        <v>N</v>
      </c>
      <c r="H74" s="630" t="str">
        <f t="shared" si="7"/>
        <v>N</v>
      </c>
      <c r="I74" s="562" t="str">
        <f t="shared" si="8"/>
        <v>N</v>
      </c>
      <c r="J74" s="562" t="str">
        <f t="shared" si="9"/>
        <v>N</v>
      </c>
      <c r="K74" s="419" t="str">
        <f t="shared" si="10"/>
        <v>N</v>
      </c>
      <c r="L74" s="419" t="str">
        <f t="shared" si="11"/>
        <v>N</v>
      </c>
      <c r="M74" s="419" t="str">
        <f t="shared" si="12"/>
        <v>N</v>
      </c>
      <c r="N74" s="630" t="str">
        <f t="shared" si="13"/>
        <v>N</v>
      </c>
      <c r="O74" s="562" t="str">
        <f t="shared" si="14"/>
        <v>N</v>
      </c>
      <c r="P74" s="562" t="str">
        <f t="shared" si="15"/>
        <v>N</v>
      </c>
      <c r="Q74" s="419" t="str">
        <f t="shared" si="16"/>
        <v>N</v>
      </c>
      <c r="R74" s="419" t="str">
        <f t="shared" si="17"/>
        <v>N</v>
      </c>
      <c r="S74" s="419" t="str">
        <f t="shared" si="18"/>
        <v>N</v>
      </c>
      <c r="T74" s="630" t="str">
        <f t="shared" si="19"/>
        <v>N</v>
      </c>
      <c r="U74" s="562" t="str">
        <f t="shared" si="20"/>
        <v>N</v>
      </c>
      <c r="V74" s="562" t="str">
        <f t="shared" si="21"/>
        <v>N</v>
      </c>
      <c r="W74" s="419" t="str">
        <f t="shared" si="22"/>
        <v>N</v>
      </c>
      <c r="X74" s="419" t="str">
        <f t="shared" si="23"/>
        <v>N</v>
      </c>
      <c r="Y74" s="419" t="str">
        <f t="shared" si="24"/>
        <v>N</v>
      </c>
      <c r="Z74" t="str">
        <f t="shared" si="26"/>
        <v>Y</v>
      </c>
      <c r="AA74">
        <f t="shared" si="26"/>
        <v>0</v>
      </c>
    </row>
    <row r="75" spans="1:27">
      <c r="A75" t="str">
        <f t="shared" si="0"/>
        <v>Edimb_5</v>
      </c>
      <c r="B75" s="630" t="str">
        <f t="shared" si="1"/>
        <v>N</v>
      </c>
      <c r="C75" s="562" t="str">
        <f t="shared" si="2"/>
        <v>N</v>
      </c>
      <c r="D75" s="562" t="str">
        <f t="shared" si="3"/>
        <v>N</v>
      </c>
      <c r="E75" s="419" t="str">
        <f t="shared" si="4"/>
        <v>N</v>
      </c>
      <c r="F75" s="419" t="str">
        <f t="shared" si="5"/>
        <v>N</v>
      </c>
      <c r="G75" s="419" t="str">
        <f t="shared" si="6"/>
        <v>N</v>
      </c>
      <c r="H75" s="630" t="str">
        <f t="shared" si="7"/>
        <v>N</v>
      </c>
      <c r="I75" s="562" t="str">
        <f t="shared" si="8"/>
        <v>N</v>
      </c>
      <c r="J75" s="562" t="str">
        <f t="shared" si="9"/>
        <v>N</v>
      </c>
      <c r="K75" s="419" t="str">
        <f t="shared" si="10"/>
        <v>N</v>
      </c>
      <c r="L75" s="419" t="str">
        <f t="shared" si="11"/>
        <v>N</v>
      </c>
      <c r="M75" s="419" t="str">
        <f t="shared" si="12"/>
        <v>N</v>
      </c>
      <c r="N75" s="630" t="str">
        <f t="shared" si="13"/>
        <v>N</v>
      </c>
      <c r="O75" s="562" t="str">
        <f t="shared" si="14"/>
        <v>N</v>
      </c>
      <c r="P75" s="562" t="str">
        <f t="shared" si="15"/>
        <v>N</v>
      </c>
      <c r="Q75" s="419" t="str">
        <f t="shared" si="16"/>
        <v>N</v>
      </c>
      <c r="R75" s="419" t="str">
        <f t="shared" si="17"/>
        <v>N</v>
      </c>
      <c r="S75" s="419" t="str">
        <f t="shared" si="18"/>
        <v>N</v>
      </c>
      <c r="T75" s="630" t="str">
        <f t="shared" si="19"/>
        <v>N</v>
      </c>
      <c r="U75" s="562" t="str">
        <f t="shared" si="20"/>
        <v>N</v>
      </c>
      <c r="V75" s="562" t="str">
        <f t="shared" si="21"/>
        <v>N</v>
      </c>
      <c r="W75" s="419" t="str">
        <f t="shared" si="22"/>
        <v>N</v>
      </c>
      <c r="X75" s="419" t="str">
        <f t="shared" si="23"/>
        <v>N</v>
      </c>
      <c r="Y75" s="419" t="str">
        <f t="shared" si="24"/>
        <v>N</v>
      </c>
      <c r="Z75" t="str">
        <f t="shared" si="26"/>
        <v>N</v>
      </c>
      <c r="AA75">
        <f t="shared" si="26"/>
        <v>0</v>
      </c>
    </row>
    <row r="76" spans="1:27">
      <c r="A76" t="str">
        <f t="shared" si="0"/>
        <v>Emb_1</v>
      </c>
      <c r="B76" s="630" t="str">
        <f t="shared" si="1"/>
        <v>N</v>
      </c>
      <c r="C76" s="562" t="str">
        <f t="shared" si="2"/>
        <v>N</v>
      </c>
      <c r="D76" s="562" t="str">
        <f t="shared" si="3"/>
        <v>N</v>
      </c>
      <c r="E76" s="419" t="str">
        <f t="shared" si="4"/>
        <v>N</v>
      </c>
      <c r="F76" s="419" t="str">
        <f t="shared" si="5"/>
        <v>N</v>
      </c>
      <c r="G76" s="419" t="str">
        <f t="shared" si="6"/>
        <v>N</v>
      </c>
      <c r="H76" s="630" t="str">
        <f t="shared" si="7"/>
        <v>N</v>
      </c>
      <c r="I76" s="562" t="str">
        <f t="shared" si="8"/>
        <v>N</v>
      </c>
      <c r="J76" s="562" t="str">
        <f t="shared" si="9"/>
        <v>N</v>
      </c>
      <c r="K76" s="419" t="str">
        <f t="shared" si="10"/>
        <v>N</v>
      </c>
      <c r="L76" s="419" t="str">
        <f t="shared" si="11"/>
        <v>N</v>
      </c>
      <c r="M76" s="419" t="str">
        <f t="shared" si="12"/>
        <v>N</v>
      </c>
      <c r="N76" s="630" t="str">
        <f t="shared" si="13"/>
        <v>N</v>
      </c>
      <c r="O76" s="562" t="str">
        <f t="shared" si="14"/>
        <v>N</v>
      </c>
      <c r="P76" s="562" t="str">
        <f t="shared" si="15"/>
        <v>N</v>
      </c>
      <c r="Q76" s="419" t="str">
        <f t="shared" si="16"/>
        <v>N</v>
      </c>
      <c r="R76" s="419" t="str">
        <f t="shared" si="17"/>
        <v>N</v>
      </c>
      <c r="S76" s="419" t="str">
        <f t="shared" si="18"/>
        <v>N</v>
      </c>
      <c r="T76" s="630" t="str">
        <f t="shared" si="19"/>
        <v>N</v>
      </c>
      <c r="U76" s="562" t="str">
        <f t="shared" si="20"/>
        <v>N</v>
      </c>
      <c r="V76" s="562" t="str">
        <f t="shared" si="21"/>
        <v>N</v>
      </c>
      <c r="W76" s="419" t="str">
        <f t="shared" si="22"/>
        <v>N</v>
      </c>
      <c r="X76" s="419" t="str">
        <f t="shared" si="23"/>
        <v>N</v>
      </c>
      <c r="Y76" s="419" t="str">
        <f t="shared" si="24"/>
        <v>N</v>
      </c>
      <c r="Z76" t="str">
        <f t="shared" si="26"/>
        <v>Y</v>
      </c>
      <c r="AA76">
        <f t="shared" si="26"/>
        <v>0</v>
      </c>
    </row>
    <row r="77" spans="1:27">
      <c r="A77" t="str">
        <f t="shared" si="0"/>
        <v>USDA_2</v>
      </c>
      <c r="B77" s="630" t="str">
        <f t="shared" si="1"/>
        <v>N</v>
      </c>
      <c r="C77" s="562" t="str">
        <f t="shared" si="2"/>
        <v>N</v>
      </c>
      <c r="D77" s="562" t="str">
        <f t="shared" si="3"/>
        <v>N</v>
      </c>
      <c r="E77" s="419" t="str">
        <f t="shared" si="4"/>
        <v>N</v>
      </c>
      <c r="F77" s="419" t="str">
        <f t="shared" si="5"/>
        <v>N</v>
      </c>
      <c r="G77" s="419" t="str">
        <f t="shared" si="6"/>
        <v>N</v>
      </c>
      <c r="H77" s="630" t="str">
        <f t="shared" si="7"/>
        <v>N</v>
      </c>
      <c r="I77" s="562" t="str">
        <f t="shared" si="8"/>
        <v>N</v>
      </c>
      <c r="J77" s="562" t="str">
        <f t="shared" si="9"/>
        <v>N</v>
      </c>
      <c r="K77" s="419" t="str">
        <f t="shared" si="10"/>
        <v>N</v>
      </c>
      <c r="L77" s="419" t="str">
        <f t="shared" si="11"/>
        <v>N</v>
      </c>
      <c r="M77" s="419" t="str">
        <f t="shared" si="12"/>
        <v>N</v>
      </c>
      <c r="N77" s="630" t="str">
        <f t="shared" si="13"/>
        <v>N</v>
      </c>
      <c r="O77" s="562" t="str">
        <f t="shared" si="14"/>
        <v>N</v>
      </c>
      <c r="P77" s="562" t="str">
        <f t="shared" si="15"/>
        <v>N</v>
      </c>
      <c r="Q77" s="419" t="str">
        <f t="shared" si="16"/>
        <v>N</v>
      </c>
      <c r="R77" s="419" t="str">
        <f t="shared" si="17"/>
        <v>N</v>
      </c>
      <c r="S77" s="419" t="str">
        <f t="shared" si="18"/>
        <v>N</v>
      </c>
      <c r="T77" s="630" t="str">
        <f t="shared" si="19"/>
        <v>N</v>
      </c>
      <c r="U77" s="562" t="str">
        <f t="shared" si="20"/>
        <v>N</v>
      </c>
      <c r="V77" s="562" t="str">
        <f t="shared" si="21"/>
        <v>N</v>
      </c>
      <c r="W77" s="419" t="str">
        <f t="shared" si="22"/>
        <v>N</v>
      </c>
      <c r="X77" s="419" t="str">
        <f t="shared" si="23"/>
        <v>N</v>
      </c>
      <c r="Y77" s="419" t="str">
        <f t="shared" si="24"/>
        <v>N</v>
      </c>
      <c r="Z77" t="str">
        <f t="shared" si="26"/>
        <v>Y</v>
      </c>
      <c r="AA77">
        <f t="shared" si="26"/>
        <v>0</v>
      </c>
    </row>
    <row r="78" spans="1:27">
      <c r="A78" t="str">
        <f t="shared" si="0"/>
        <v>USDA_3</v>
      </c>
      <c r="B78" s="630" t="str">
        <f t="shared" si="1"/>
        <v>N</v>
      </c>
      <c r="C78" s="562" t="str">
        <f t="shared" si="2"/>
        <v>N</v>
      </c>
      <c r="D78" s="562" t="str">
        <f t="shared" si="3"/>
        <v>N</v>
      </c>
      <c r="E78" s="419" t="str">
        <f t="shared" si="4"/>
        <v>N</v>
      </c>
      <c r="F78" s="419" t="str">
        <f t="shared" si="5"/>
        <v>N</v>
      </c>
      <c r="G78" s="419" t="str">
        <f t="shared" si="6"/>
        <v>N</v>
      </c>
      <c r="H78" s="630" t="str">
        <f t="shared" si="7"/>
        <v>N</v>
      </c>
      <c r="I78" s="562" t="str">
        <f t="shared" si="8"/>
        <v>N</v>
      </c>
      <c r="J78" s="562" t="str">
        <f t="shared" si="9"/>
        <v>N</v>
      </c>
      <c r="K78" s="419" t="str">
        <f t="shared" si="10"/>
        <v>N</v>
      </c>
      <c r="L78" s="419" t="str">
        <f t="shared" si="11"/>
        <v>N</v>
      </c>
      <c r="M78" s="419" t="str">
        <f t="shared" si="12"/>
        <v>N</v>
      </c>
      <c r="N78" s="630" t="str">
        <f t="shared" si="13"/>
        <v>N</v>
      </c>
      <c r="O78" s="562" t="str">
        <f t="shared" si="14"/>
        <v>N</v>
      </c>
      <c r="P78" s="562" t="str">
        <f t="shared" si="15"/>
        <v>N</v>
      </c>
      <c r="Q78" s="419" t="str">
        <f t="shared" si="16"/>
        <v>N</v>
      </c>
      <c r="R78" s="419" t="str">
        <f t="shared" si="17"/>
        <v>N</v>
      </c>
      <c r="S78" s="419" t="str">
        <f t="shared" si="18"/>
        <v>N</v>
      </c>
      <c r="T78" s="630" t="str">
        <f t="shared" si="19"/>
        <v>N</v>
      </c>
      <c r="U78" s="562" t="str">
        <f t="shared" si="20"/>
        <v>N</v>
      </c>
      <c r="V78" s="562" t="str">
        <f t="shared" si="21"/>
        <v>N</v>
      </c>
      <c r="W78" s="419" t="str">
        <f t="shared" si="22"/>
        <v>N</v>
      </c>
      <c r="X78" s="419" t="str">
        <f t="shared" si="23"/>
        <v>N</v>
      </c>
      <c r="Y78" s="419" t="str">
        <f t="shared" si="24"/>
        <v>N</v>
      </c>
      <c r="Z78" t="str">
        <f t="shared" si="26"/>
        <v>Y</v>
      </c>
      <c r="AA78">
        <f t="shared" si="26"/>
        <v>0</v>
      </c>
    </row>
    <row r="79" spans="1:27">
      <c r="A79" t="str">
        <f t="shared" si="0"/>
        <v>USDA_4</v>
      </c>
      <c r="B79" s="630" t="str">
        <f t="shared" si="1"/>
        <v>N</v>
      </c>
      <c r="C79" s="562" t="str">
        <f t="shared" si="2"/>
        <v>N</v>
      </c>
      <c r="D79" s="562" t="str">
        <f t="shared" si="3"/>
        <v>N</v>
      </c>
      <c r="E79" s="419" t="str">
        <f t="shared" si="4"/>
        <v>N</v>
      </c>
      <c r="F79" s="419" t="str">
        <f t="shared" si="5"/>
        <v>N</v>
      </c>
      <c r="G79" s="419" t="str">
        <f t="shared" si="6"/>
        <v>N</v>
      </c>
      <c r="H79" s="630" t="str">
        <f t="shared" si="7"/>
        <v>N</v>
      </c>
      <c r="I79" s="562" t="str">
        <f t="shared" si="8"/>
        <v>N</v>
      </c>
      <c r="J79" s="562" t="str">
        <f t="shared" si="9"/>
        <v>N</v>
      </c>
      <c r="K79" s="419" t="str">
        <f t="shared" si="10"/>
        <v>N</v>
      </c>
      <c r="L79" s="419" t="str">
        <f t="shared" si="11"/>
        <v>N</v>
      </c>
      <c r="M79" s="419" t="str">
        <f t="shared" si="12"/>
        <v>N</v>
      </c>
      <c r="N79" s="630" t="str">
        <f t="shared" si="13"/>
        <v>N</v>
      </c>
      <c r="O79" s="562" t="str">
        <f t="shared" si="14"/>
        <v>N</v>
      </c>
      <c r="P79" s="562" t="str">
        <f t="shared" si="15"/>
        <v>N</v>
      </c>
      <c r="Q79" s="419" t="str">
        <f t="shared" si="16"/>
        <v>N</v>
      </c>
      <c r="R79" s="419" t="str">
        <f t="shared" si="17"/>
        <v>N</v>
      </c>
      <c r="S79" s="419" t="str">
        <f t="shared" si="18"/>
        <v>N</v>
      </c>
      <c r="T79" s="630" t="str">
        <f t="shared" si="19"/>
        <v>N</v>
      </c>
      <c r="U79" s="562" t="str">
        <f t="shared" si="20"/>
        <v>N</v>
      </c>
      <c r="V79" s="562" t="str">
        <f t="shared" si="21"/>
        <v>N</v>
      </c>
      <c r="W79" s="419" t="str">
        <f t="shared" si="22"/>
        <v>N</v>
      </c>
      <c r="X79" s="419" t="str">
        <f t="shared" si="23"/>
        <v>N</v>
      </c>
      <c r="Y79" s="419" t="str">
        <f t="shared" si="24"/>
        <v>N</v>
      </c>
      <c r="Z79" t="str">
        <f t="shared" si="26"/>
        <v>Y</v>
      </c>
      <c r="AA79">
        <f t="shared" si="26"/>
        <v>0</v>
      </c>
    </row>
    <row r="80" spans="1:27">
      <c r="A80" t="str">
        <f t="shared" si="0"/>
        <v>USDA_5</v>
      </c>
      <c r="B80" s="630" t="str">
        <f t="shared" si="1"/>
        <v>N</v>
      </c>
      <c r="C80" s="562" t="str">
        <f t="shared" si="2"/>
        <v>N</v>
      </c>
      <c r="D80" s="562" t="str">
        <f t="shared" si="3"/>
        <v>N</v>
      </c>
      <c r="E80" s="419" t="str">
        <f t="shared" si="4"/>
        <v>N</v>
      </c>
      <c r="F80" s="419" t="str">
        <f t="shared" si="5"/>
        <v>N</v>
      </c>
      <c r="G80" s="419" t="str">
        <f t="shared" si="6"/>
        <v>N</v>
      </c>
      <c r="H80" s="630" t="str">
        <f t="shared" si="7"/>
        <v>N</v>
      </c>
      <c r="I80" s="562" t="str">
        <f t="shared" si="8"/>
        <v>N</v>
      </c>
      <c r="J80" s="562" t="str">
        <f t="shared" si="9"/>
        <v>N</v>
      </c>
      <c r="K80" s="419" t="str">
        <f t="shared" si="10"/>
        <v>N</v>
      </c>
      <c r="L80" s="419" t="str">
        <f t="shared" si="11"/>
        <v>N</v>
      </c>
      <c r="M80" s="419" t="str">
        <f t="shared" si="12"/>
        <v>N</v>
      </c>
      <c r="N80" s="630" t="str">
        <f t="shared" si="13"/>
        <v>N</v>
      </c>
      <c r="O80" s="562" t="str">
        <f t="shared" si="14"/>
        <v>N</v>
      </c>
      <c r="P80" s="562" t="str">
        <f t="shared" si="15"/>
        <v>N</v>
      </c>
      <c r="Q80" s="419" t="str">
        <f t="shared" si="16"/>
        <v>N</v>
      </c>
      <c r="R80" s="419" t="str">
        <f t="shared" si="17"/>
        <v>N</v>
      </c>
      <c r="S80" s="419" t="str">
        <f t="shared" si="18"/>
        <v>N</v>
      </c>
      <c r="T80" s="630" t="str">
        <f t="shared" si="19"/>
        <v>N</v>
      </c>
      <c r="U80" s="562" t="str">
        <f t="shared" si="20"/>
        <v>N</v>
      </c>
      <c r="V80" s="562" t="str">
        <f t="shared" si="21"/>
        <v>N</v>
      </c>
      <c r="W80" s="419" t="str">
        <f t="shared" si="22"/>
        <v>N</v>
      </c>
      <c r="X80" s="419" t="str">
        <f t="shared" si="23"/>
        <v>N</v>
      </c>
      <c r="Y80" s="419" t="str">
        <f t="shared" si="24"/>
        <v>N</v>
      </c>
      <c r="Z80" t="str">
        <f t="shared" si="26"/>
        <v>Y</v>
      </c>
      <c r="AA80">
        <f t="shared" si="26"/>
        <v>0</v>
      </c>
    </row>
    <row r="81" spans="1:27">
      <c r="A81" t="str">
        <f t="shared" si="0"/>
        <v>Epernon_1</v>
      </c>
      <c r="B81" s="630" t="str">
        <f t="shared" si="1"/>
        <v>N</v>
      </c>
      <c r="C81" s="562" t="str">
        <f t="shared" si="2"/>
        <v>N</v>
      </c>
      <c r="D81" s="562" t="str">
        <f t="shared" si="3"/>
        <v>N</v>
      </c>
      <c r="E81" s="419" t="str">
        <f t="shared" si="4"/>
        <v>N</v>
      </c>
      <c r="F81" s="419" t="str">
        <f t="shared" si="5"/>
        <v>N</v>
      </c>
      <c r="G81" s="419" t="str">
        <f t="shared" si="6"/>
        <v>N</v>
      </c>
      <c r="H81" s="630" t="str">
        <f t="shared" si="7"/>
        <v>N</v>
      </c>
      <c r="I81" s="562" t="str">
        <f t="shared" si="8"/>
        <v>N</v>
      </c>
      <c r="J81" s="562" t="str">
        <f t="shared" si="9"/>
        <v>N</v>
      </c>
      <c r="K81" s="419" t="str">
        <f t="shared" si="10"/>
        <v>N</v>
      </c>
      <c r="L81" s="419" t="str">
        <f t="shared" si="11"/>
        <v>N</v>
      </c>
      <c r="M81" s="419" t="str">
        <f t="shared" si="12"/>
        <v>N</v>
      </c>
      <c r="N81" s="630" t="str">
        <f t="shared" si="13"/>
        <v>N</v>
      </c>
      <c r="O81" s="562" t="str">
        <f t="shared" si="14"/>
        <v>N</v>
      </c>
      <c r="P81" s="562" t="str">
        <f t="shared" si="15"/>
        <v>N</v>
      </c>
      <c r="Q81" s="419" t="str">
        <f t="shared" si="16"/>
        <v>N</v>
      </c>
      <c r="R81" s="419" t="str">
        <f t="shared" si="17"/>
        <v>N</v>
      </c>
      <c r="S81" s="419" t="str">
        <f t="shared" si="18"/>
        <v>N</v>
      </c>
      <c r="T81" s="630" t="str">
        <f t="shared" si="19"/>
        <v>N</v>
      </c>
      <c r="U81" s="562" t="str">
        <f t="shared" si="20"/>
        <v>N</v>
      </c>
      <c r="V81" s="562" t="str">
        <f t="shared" si="21"/>
        <v>N</v>
      </c>
      <c r="W81" s="419" t="str">
        <f t="shared" si="22"/>
        <v>N</v>
      </c>
      <c r="X81" s="419" t="str">
        <f t="shared" si="23"/>
        <v>N</v>
      </c>
      <c r="Y81" s="419" t="str">
        <f t="shared" si="24"/>
        <v>N</v>
      </c>
      <c r="Z81" t="str">
        <f t="shared" si="26"/>
        <v>Y</v>
      </c>
      <c r="AA81">
        <f t="shared" si="26"/>
        <v>0</v>
      </c>
    </row>
    <row r="82" spans="1:27">
      <c r="A82" t="str">
        <f t="shared" si="0"/>
        <v>Epernon_2</v>
      </c>
      <c r="B82" s="630" t="str">
        <f t="shared" si="1"/>
        <v>N</v>
      </c>
      <c r="C82" s="562" t="str">
        <f t="shared" si="2"/>
        <v>N</v>
      </c>
      <c r="D82" s="562" t="str">
        <f t="shared" si="3"/>
        <v>N</v>
      </c>
      <c r="E82" s="419" t="str">
        <f t="shared" si="4"/>
        <v>N</v>
      </c>
      <c r="F82" s="419" t="str">
        <f t="shared" si="5"/>
        <v>N</v>
      </c>
      <c r="G82" s="419" t="str">
        <f t="shared" si="6"/>
        <v>N</v>
      </c>
      <c r="H82" s="630" t="str">
        <f t="shared" si="7"/>
        <v>N</v>
      </c>
      <c r="I82" s="562" t="str">
        <f t="shared" si="8"/>
        <v>N</v>
      </c>
      <c r="J82" s="562" t="str">
        <f t="shared" si="9"/>
        <v>N</v>
      </c>
      <c r="K82" s="419" t="str">
        <f t="shared" si="10"/>
        <v>N</v>
      </c>
      <c r="L82" s="419" t="str">
        <f t="shared" si="11"/>
        <v>N</v>
      </c>
      <c r="M82" s="419" t="str">
        <f t="shared" si="12"/>
        <v>N</v>
      </c>
      <c r="N82" s="630" t="str">
        <f t="shared" si="13"/>
        <v>N</v>
      </c>
      <c r="O82" s="562" t="str">
        <f t="shared" si="14"/>
        <v>N</v>
      </c>
      <c r="P82" s="562" t="str">
        <f t="shared" si="15"/>
        <v>N</v>
      </c>
      <c r="Q82" s="419" t="str">
        <f t="shared" si="16"/>
        <v>N</v>
      </c>
      <c r="R82" s="419" t="str">
        <f t="shared" si="17"/>
        <v>N</v>
      </c>
      <c r="S82" s="419" t="str">
        <f t="shared" si="18"/>
        <v>N</v>
      </c>
      <c r="T82" s="630" t="str">
        <f t="shared" si="19"/>
        <v>N</v>
      </c>
      <c r="U82" s="562" t="str">
        <f t="shared" si="20"/>
        <v>N</v>
      </c>
      <c r="V82" s="562" t="str">
        <f t="shared" si="21"/>
        <v>N</v>
      </c>
      <c r="W82" s="419" t="str">
        <f t="shared" si="22"/>
        <v>N</v>
      </c>
      <c r="X82" s="419" t="str">
        <f t="shared" si="23"/>
        <v>N</v>
      </c>
      <c r="Y82" s="419" t="str">
        <f t="shared" si="24"/>
        <v>N</v>
      </c>
      <c r="Z82" t="str">
        <f t="shared" si="26"/>
        <v>Y</v>
      </c>
      <c r="AA82">
        <f t="shared" si="26"/>
        <v>0</v>
      </c>
    </row>
    <row r="83" spans="1:27">
      <c r="A83" t="str">
        <f t="shared" si="0"/>
        <v>Epernon_3</v>
      </c>
      <c r="B83" s="630" t="str">
        <f t="shared" si="1"/>
        <v>N</v>
      </c>
      <c r="C83" s="562" t="str">
        <f t="shared" si="2"/>
        <v>N</v>
      </c>
      <c r="D83" s="562" t="str">
        <f t="shared" si="3"/>
        <v>N</v>
      </c>
      <c r="E83" s="419" t="str">
        <f t="shared" si="4"/>
        <v>N</v>
      </c>
      <c r="F83" s="419" t="str">
        <f t="shared" si="5"/>
        <v>N</v>
      </c>
      <c r="G83" s="419" t="str">
        <f t="shared" si="6"/>
        <v>N</v>
      </c>
      <c r="H83" s="630" t="str">
        <f t="shared" si="7"/>
        <v>N</v>
      </c>
      <c r="I83" s="562" t="str">
        <f t="shared" si="8"/>
        <v>N</v>
      </c>
      <c r="J83" s="562" t="str">
        <f t="shared" si="9"/>
        <v>N</v>
      </c>
      <c r="K83" s="419" t="str">
        <f t="shared" si="10"/>
        <v>N</v>
      </c>
      <c r="L83" s="419" t="str">
        <f t="shared" si="11"/>
        <v>N</v>
      </c>
      <c r="M83" s="419" t="str">
        <f t="shared" si="12"/>
        <v>N</v>
      </c>
      <c r="N83" s="630" t="str">
        <f t="shared" si="13"/>
        <v>N</v>
      </c>
      <c r="O83" s="562" t="str">
        <f t="shared" si="14"/>
        <v>N</v>
      </c>
      <c r="P83" s="562" t="str">
        <f t="shared" si="15"/>
        <v>N</v>
      </c>
      <c r="Q83" s="419" t="str">
        <f t="shared" si="16"/>
        <v>N</v>
      </c>
      <c r="R83" s="419" t="str">
        <f t="shared" si="17"/>
        <v>N</v>
      </c>
      <c r="S83" s="419" t="str">
        <f t="shared" si="18"/>
        <v>N</v>
      </c>
      <c r="T83" s="630" t="str">
        <f t="shared" si="19"/>
        <v>N</v>
      </c>
      <c r="U83" s="562" t="str">
        <f t="shared" si="20"/>
        <v>N</v>
      </c>
      <c r="V83" s="562" t="str">
        <f t="shared" si="21"/>
        <v>N</v>
      </c>
      <c r="W83" s="419" t="str">
        <f t="shared" si="22"/>
        <v>N</v>
      </c>
      <c r="X83" s="419" t="str">
        <f t="shared" si="23"/>
        <v>N</v>
      </c>
      <c r="Y83" s="419" t="str">
        <f t="shared" si="24"/>
        <v>N</v>
      </c>
      <c r="Z83" t="str">
        <f t="shared" si="26"/>
        <v>N</v>
      </c>
      <c r="AA83">
        <f t="shared" si="26"/>
        <v>0</v>
      </c>
    </row>
    <row r="84" spans="1:27">
      <c r="A84" t="str">
        <f t="shared" si="0"/>
        <v>NRCC_LS_1</v>
      </c>
      <c r="B84" s="630" t="s">
        <v>417</v>
      </c>
      <c r="C84" s="562" t="str">
        <f t="shared" si="2"/>
        <v>N</v>
      </c>
      <c r="D84" s="562" t="str">
        <f t="shared" si="3"/>
        <v>N</v>
      </c>
      <c r="E84" s="419" t="str">
        <f t="shared" si="4"/>
        <v>N</v>
      </c>
      <c r="F84" s="419" t="str">
        <f t="shared" si="5"/>
        <v>N</v>
      </c>
      <c r="G84" s="419" t="str">
        <f t="shared" si="6"/>
        <v>N</v>
      </c>
      <c r="H84" s="630" t="str">
        <f t="shared" si="7"/>
        <v>N</v>
      </c>
      <c r="I84" s="562" t="str">
        <f t="shared" si="8"/>
        <v>N</v>
      </c>
      <c r="J84" s="562" t="str">
        <f t="shared" si="9"/>
        <v>N</v>
      </c>
      <c r="K84" s="419" t="str">
        <f t="shared" si="10"/>
        <v>N</v>
      </c>
      <c r="L84" s="419" t="str">
        <f t="shared" si="11"/>
        <v>N</v>
      </c>
      <c r="M84" s="419" t="str">
        <f t="shared" si="12"/>
        <v>N</v>
      </c>
      <c r="N84" s="630" t="str">
        <f t="shared" si="13"/>
        <v>N</v>
      </c>
      <c r="O84" s="562" t="str">
        <f t="shared" si="14"/>
        <v>N</v>
      </c>
      <c r="P84" s="562" t="str">
        <f t="shared" si="15"/>
        <v>N</v>
      </c>
      <c r="Q84" s="419" t="str">
        <f t="shared" si="16"/>
        <v>N</v>
      </c>
      <c r="R84" s="419" t="str">
        <f t="shared" si="17"/>
        <v>N</v>
      </c>
      <c r="S84" s="419" t="str">
        <f t="shared" si="18"/>
        <v>N</v>
      </c>
      <c r="T84" s="630" t="str">
        <f t="shared" si="19"/>
        <v>N</v>
      </c>
      <c r="U84" s="562" t="str">
        <f t="shared" si="20"/>
        <v>N</v>
      </c>
      <c r="V84" s="562" t="str">
        <f t="shared" si="21"/>
        <v>N</v>
      </c>
      <c r="W84" s="419" t="str">
        <f t="shared" si="22"/>
        <v>N</v>
      </c>
      <c r="X84" s="419" t="str">
        <f t="shared" si="23"/>
        <v>N</v>
      </c>
      <c r="Y84" s="419" t="str">
        <f t="shared" si="24"/>
        <v>N</v>
      </c>
      <c r="Z84" t="str">
        <f t="shared" si="26"/>
        <v>Y</v>
      </c>
      <c r="AA84">
        <f t="shared" si="26"/>
        <v>0</v>
      </c>
    </row>
    <row r="85" spans="1:27">
      <c r="A85" t="str">
        <f t="shared" si="0"/>
        <v>NRCC_LS_2</v>
      </c>
      <c r="B85" s="630" t="s">
        <v>417</v>
      </c>
      <c r="C85" s="562" t="str">
        <f t="shared" si="2"/>
        <v>N</v>
      </c>
      <c r="D85" s="562" t="str">
        <f t="shared" si="3"/>
        <v>N</v>
      </c>
      <c r="E85" s="419" t="str">
        <f t="shared" si="4"/>
        <v>N</v>
      </c>
      <c r="F85" s="419" t="str">
        <f t="shared" si="5"/>
        <v>N</v>
      </c>
      <c r="G85" s="419" t="str">
        <f t="shared" si="6"/>
        <v>N</v>
      </c>
      <c r="H85" s="630" t="str">
        <f t="shared" si="7"/>
        <v>N</v>
      </c>
      <c r="I85" s="562" t="str">
        <f t="shared" si="8"/>
        <v>N</v>
      </c>
      <c r="J85" s="562" t="str">
        <f t="shared" si="9"/>
        <v>N</v>
      </c>
      <c r="K85" s="419" t="str">
        <f t="shared" si="10"/>
        <v>N</v>
      </c>
      <c r="L85" s="419" t="str">
        <f t="shared" si="11"/>
        <v>N</v>
      </c>
      <c r="M85" s="419" t="str">
        <f t="shared" si="12"/>
        <v>N</v>
      </c>
      <c r="N85" s="630" t="str">
        <f t="shared" si="13"/>
        <v>N</v>
      </c>
      <c r="O85" s="562" t="str">
        <f t="shared" si="14"/>
        <v>N</v>
      </c>
      <c r="P85" s="562" t="str">
        <f t="shared" si="15"/>
        <v>N</v>
      </c>
      <c r="Q85" s="419" t="str">
        <f t="shared" si="16"/>
        <v>N</v>
      </c>
      <c r="R85" s="419" t="str">
        <f t="shared" si="17"/>
        <v>N</v>
      </c>
      <c r="S85" s="419" t="str">
        <f t="shared" si="18"/>
        <v>N</v>
      </c>
      <c r="T85" s="630" t="str">
        <f t="shared" si="19"/>
        <v>N</v>
      </c>
      <c r="U85" s="562" t="str">
        <f t="shared" si="20"/>
        <v>N</v>
      </c>
      <c r="V85" s="562" t="str">
        <f t="shared" si="21"/>
        <v>N</v>
      </c>
      <c r="W85" s="419" t="str">
        <f t="shared" si="22"/>
        <v>N</v>
      </c>
      <c r="X85" s="419" t="str">
        <f t="shared" si="23"/>
        <v>N</v>
      </c>
      <c r="Y85" s="419" t="str">
        <f t="shared" si="24"/>
        <v>N</v>
      </c>
      <c r="Z85" t="str">
        <f t="shared" si="26"/>
        <v>Y</v>
      </c>
      <c r="AA85">
        <f t="shared" si="26"/>
        <v>0</v>
      </c>
    </row>
    <row r="86" spans="1:27">
      <c r="A86" t="str">
        <f t="shared" si="0"/>
        <v>NRCC_LS_3</v>
      </c>
      <c r="B86" s="630" t="str">
        <f t="shared" si="1"/>
        <v>N</v>
      </c>
      <c r="C86" s="562" t="str">
        <f t="shared" si="2"/>
        <v>N</v>
      </c>
      <c r="D86" s="562" t="str">
        <f t="shared" si="3"/>
        <v>N</v>
      </c>
      <c r="E86" s="419" t="str">
        <f t="shared" si="4"/>
        <v>N</v>
      </c>
      <c r="F86" s="419" t="str">
        <f t="shared" si="5"/>
        <v>N</v>
      </c>
      <c r="G86" s="419" t="str">
        <f t="shared" si="6"/>
        <v>N</v>
      </c>
      <c r="H86" s="630" t="str">
        <f t="shared" si="7"/>
        <v>N</v>
      </c>
      <c r="I86" s="562" t="str">
        <f t="shared" si="8"/>
        <v>N</v>
      </c>
      <c r="J86" s="562" t="str">
        <f t="shared" si="9"/>
        <v>N</v>
      </c>
      <c r="K86" s="419" t="str">
        <f t="shared" si="10"/>
        <v>N</v>
      </c>
      <c r="L86" s="419" t="str">
        <f t="shared" si="11"/>
        <v>N</v>
      </c>
      <c r="M86" s="419" t="str">
        <f t="shared" si="12"/>
        <v>N</v>
      </c>
      <c r="N86" s="630" t="str">
        <f t="shared" si="13"/>
        <v>N</v>
      </c>
      <c r="O86" s="562" t="str">
        <f t="shared" si="14"/>
        <v>N</v>
      </c>
      <c r="P86" s="562" t="str">
        <f t="shared" si="15"/>
        <v>N</v>
      </c>
      <c r="Q86" s="419" t="str">
        <f t="shared" si="16"/>
        <v>N</v>
      </c>
      <c r="R86" s="419" t="str">
        <f t="shared" si="17"/>
        <v>N</v>
      </c>
      <c r="S86" s="419" t="str">
        <f t="shared" si="18"/>
        <v>N</v>
      </c>
      <c r="T86" s="630" t="str">
        <f t="shared" si="19"/>
        <v>N</v>
      </c>
      <c r="U86" s="562" t="str">
        <f t="shared" si="20"/>
        <v>N</v>
      </c>
      <c r="V86" s="562" t="str">
        <f t="shared" si="21"/>
        <v>N</v>
      </c>
      <c r="W86" s="419" t="str">
        <f t="shared" si="22"/>
        <v>N</v>
      </c>
      <c r="X86" s="419" t="str">
        <f t="shared" si="23"/>
        <v>N</v>
      </c>
      <c r="Y86" s="419" t="str">
        <f t="shared" si="24"/>
        <v>N</v>
      </c>
      <c r="Z86" t="str">
        <f t="shared" si="26"/>
        <v>Y</v>
      </c>
      <c r="AA86">
        <f t="shared" si="26"/>
        <v>0</v>
      </c>
    </row>
    <row r="87" spans="1:27">
      <c r="A87" t="str">
        <f t="shared" si="0"/>
        <v>NRCC_LS_4</v>
      </c>
      <c r="B87" s="630" t="str">
        <f t="shared" si="1"/>
        <v>N</v>
      </c>
      <c r="C87" s="562" t="str">
        <f t="shared" si="2"/>
        <v>N</v>
      </c>
      <c r="D87" s="562" t="str">
        <f t="shared" si="3"/>
        <v>N</v>
      </c>
      <c r="E87" s="419" t="str">
        <f t="shared" si="4"/>
        <v>N</v>
      </c>
      <c r="F87" s="419" t="str">
        <f t="shared" si="5"/>
        <v>N</v>
      </c>
      <c r="G87" s="419" t="str">
        <f t="shared" si="6"/>
        <v>N</v>
      </c>
      <c r="H87" s="630" t="str">
        <f t="shared" si="7"/>
        <v>N</v>
      </c>
      <c r="I87" s="562" t="str">
        <f t="shared" si="8"/>
        <v>N</v>
      </c>
      <c r="J87" s="562" t="str">
        <f t="shared" si="9"/>
        <v>N</v>
      </c>
      <c r="K87" s="419" t="str">
        <f t="shared" si="10"/>
        <v>N</v>
      </c>
      <c r="L87" s="419" t="str">
        <f t="shared" si="11"/>
        <v>N</v>
      </c>
      <c r="M87" s="419" t="str">
        <f t="shared" si="12"/>
        <v>N</v>
      </c>
      <c r="N87" s="630" t="str">
        <f t="shared" si="13"/>
        <v>N</v>
      </c>
      <c r="O87" s="562" t="str">
        <f t="shared" si="14"/>
        <v>N</v>
      </c>
      <c r="P87" s="562" t="str">
        <f t="shared" si="15"/>
        <v>N</v>
      </c>
      <c r="Q87" s="419" t="str">
        <f t="shared" si="16"/>
        <v>N</v>
      </c>
      <c r="R87" s="419" t="str">
        <f t="shared" si="17"/>
        <v>N</v>
      </c>
      <c r="S87" s="419" t="str">
        <f t="shared" si="18"/>
        <v>N</v>
      </c>
      <c r="T87" s="630" t="str">
        <f t="shared" si="19"/>
        <v>N</v>
      </c>
      <c r="U87" s="562" t="str">
        <f t="shared" si="20"/>
        <v>N</v>
      </c>
      <c r="V87" s="562" t="str">
        <f t="shared" si="21"/>
        <v>N</v>
      </c>
      <c r="W87" s="419" t="str">
        <f t="shared" si="22"/>
        <v>N</v>
      </c>
      <c r="X87" s="419" t="str">
        <f t="shared" si="23"/>
        <v>N</v>
      </c>
      <c r="Y87" s="419" t="str">
        <f t="shared" si="24"/>
        <v>N</v>
      </c>
      <c r="Z87" t="str">
        <f t="shared" si="26"/>
        <v>N</v>
      </c>
      <c r="AA87">
        <f t="shared" si="26"/>
        <v>0</v>
      </c>
    </row>
    <row r="88" spans="1:27">
      <c r="A88" t="str">
        <f t="shared" si="0"/>
        <v>RISE_1</v>
      </c>
      <c r="B88" s="630" t="str">
        <f t="shared" si="1"/>
        <v>N</v>
      </c>
      <c r="C88" s="562" t="str">
        <f t="shared" si="2"/>
        <v>N</v>
      </c>
      <c r="D88" s="562" t="str">
        <f t="shared" si="3"/>
        <v>N</v>
      </c>
      <c r="E88" s="419" t="str">
        <f t="shared" si="4"/>
        <v>N</v>
      </c>
      <c r="F88" s="419" t="str">
        <f t="shared" si="5"/>
        <v>N</v>
      </c>
      <c r="G88" s="419" t="str">
        <f t="shared" si="6"/>
        <v>N</v>
      </c>
      <c r="H88" s="630" t="str">
        <f t="shared" si="7"/>
        <v>N</v>
      </c>
      <c r="I88" s="562" t="str">
        <f t="shared" si="8"/>
        <v>N</v>
      </c>
      <c r="J88" s="562" t="str">
        <f t="shared" si="9"/>
        <v>N</v>
      </c>
      <c r="K88" s="419" t="str">
        <f t="shared" si="10"/>
        <v>N</v>
      </c>
      <c r="L88" s="419" t="str">
        <f t="shared" si="11"/>
        <v>N</v>
      </c>
      <c r="M88" s="419" t="str">
        <f t="shared" si="12"/>
        <v>N</v>
      </c>
      <c r="N88" s="630" t="str">
        <f t="shared" si="13"/>
        <v>N</v>
      </c>
      <c r="O88" s="562" t="str">
        <f t="shared" si="14"/>
        <v>N</v>
      </c>
      <c r="P88" s="562" t="str">
        <f t="shared" si="15"/>
        <v>N</v>
      </c>
      <c r="Q88" s="419" t="str">
        <f t="shared" si="16"/>
        <v>N</v>
      </c>
      <c r="R88" s="419" t="str">
        <f t="shared" si="17"/>
        <v>N</v>
      </c>
      <c r="S88" s="419" t="str">
        <f t="shared" si="18"/>
        <v>N</v>
      </c>
      <c r="T88" s="630" t="str">
        <f t="shared" si="19"/>
        <v>N</v>
      </c>
      <c r="U88" s="562" t="str">
        <f t="shared" si="20"/>
        <v>N</v>
      </c>
      <c r="V88" s="562" t="str">
        <f t="shared" si="21"/>
        <v>N</v>
      </c>
      <c r="W88" s="419" t="str">
        <f t="shared" si="22"/>
        <v>N</v>
      </c>
      <c r="X88" s="419" t="str">
        <f t="shared" si="23"/>
        <v>N</v>
      </c>
      <c r="Y88" s="419" t="str">
        <f t="shared" si="24"/>
        <v>N</v>
      </c>
      <c r="Z88" t="str">
        <f t="shared" si="26"/>
        <v>Y</v>
      </c>
      <c r="AA88">
        <f t="shared" si="26"/>
        <v>0</v>
      </c>
    </row>
    <row r="89" spans="1:27">
      <c r="A89" t="str">
        <f t="shared" si="0"/>
        <v>RISE_2</v>
      </c>
      <c r="B89" s="630" t="str">
        <f t="shared" si="1"/>
        <v>N</v>
      </c>
      <c r="C89" s="562" t="str">
        <f t="shared" si="2"/>
        <v>N</v>
      </c>
      <c r="D89" s="562" t="str">
        <f t="shared" si="3"/>
        <v>N</v>
      </c>
      <c r="E89" s="419" t="str">
        <f t="shared" si="4"/>
        <v>N</v>
      </c>
      <c r="F89" s="419" t="str">
        <f t="shared" si="5"/>
        <v>N</v>
      </c>
      <c r="G89" s="419" t="str">
        <f t="shared" si="6"/>
        <v>N</v>
      </c>
      <c r="H89" s="630" t="str">
        <f t="shared" si="7"/>
        <v>N</v>
      </c>
      <c r="I89" s="562" t="str">
        <f t="shared" si="8"/>
        <v>N</v>
      </c>
      <c r="J89" s="562" t="str">
        <f t="shared" si="9"/>
        <v>N</v>
      </c>
      <c r="K89" s="419" t="str">
        <f t="shared" si="10"/>
        <v>N</v>
      </c>
      <c r="L89" s="419" t="str">
        <f t="shared" si="11"/>
        <v>N</v>
      </c>
      <c r="M89" s="419" t="str">
        <f t="shared" si="12"/>
        <v>N</v>
      </c>
      <c r="N89" s="630" t="str">
        <f t="shared" si="13"/>
        <v>N</v>
      </c>
      <c r="O89" s="562" t="str">
        <f t="shared" si="14"/>
        <v>N</v>
      </c>
      <c r="P89" s="562" t="str">
        <f t="shared" si="15"/>
        <v>N</v>
      </c>
      <c r="Q89" s="419" t="str">
        <f t="shared" si="16"/>
        <v>N</v>
      </c>
      <c r="R89" s="419" t="str">
        <f t="shared" si="17"/>
        <v>N</v>
      </c>
      <c r="S89" s="419" t="str">
        <f t="shared" si="18"/>
        <v>N</v>
      </c>
      <c r="T89" s="630" t="str">
        <f t="shared" si="19"/>
        <v>N</v>
      </c>
      <c r="U89" s="562" t="str">
        <f t="shared" si="20"/>
        <v>N</v>
      </c>
      <c r="V89" s="562" t="str">
        <f t="shared" si="21"/>
        <v>N</v>
      </c>
      <c r="W89" s="419" t="str">
        <f t="shared" si="22"/>
        <v>N</v>
      </c>
      <c r="X89" s="419" t="str">
        <f t="shared" si="23"/>
        <v>N</v>
      </c>
      <c r="Y89" s="419" t="str">
        <f t="shared" si="24"/>
        <v>N</v>
      </c>
      <c r="Z89" t="str">
        <f t="shared" si="26"/>
        <v>Y</v>
      </c>
      <c r="AA89">
        <f t="shared" si="26"/>
        <v>0</v>
      </c>
    </row>
    <row r="90" spans="1:27">
      <c r="A90" t="str">
        <f t="shared" si="0"/>
        <v>RISE_3</v>
      </c>
      <c r="B90" s="630" t="str">
        <f t="shared" si="1"/>
        <v>N</v>
      </c>
      <c r="C90" s="562" t="str">
        <f t="shared" si="2"/>
        <v>N</v>
      </c>
      <c r="D90" s="562" t="str">
        <f t="shared" si="3"/>
        <v>N</v>
      </c>
      <c r="E90" s="419" t="str">
        <f t="shared" si="4"/>
        <v>N</v>
      </c>
      <c r="F90" s="419" t="str">
        <f t="shared" si="5"/>
        <v>N</v>
      </c>
      <c r="G90" s="419" t="str">
        <f t="shared" si="6"/>
        <v>N</v>
      </c>
      <c r="H90" s="630" t="str">
        <f t="shared" si="7"/>
        <v>N</v>
      </c>
      <c r="I90" s="562" t="str">
        <f t="shared" si="8"/>
        <v>N</v>
      </c>
      <c r="J90" s="562" t="str">
        <f t="shared" si="9"/>
        <v>N</v>
      </c>
      <c r="K90" s="419" t="str">
        <f t="shared" si="10"/>
        <v>N</v>
      </c>
      <c r="L90" s="419" t="str">
        <f t="shared" si="11"/>
        <v>N</v>
      </c>
      <c r="M90" s="419" t="str">
        <f t="shared" si="12"/>
        <v>N</v>
      </c>
      <c r="N90" s="630" t="str">
        <f t="shared" si="13"/>
        <v>N</v>
      </c>
      <c r="O90" s="562" t="str">
        <f t="shared" si="14"/>
        <v>N</v>
      </c>
      <c r="P90" s="562" t="str">
        <f t="shared" si="15"/>
        <v>N</v>
      </c>
      <c r="Q90" s="419" t="str">
        <f t="shared" si="16"/>
        <v>N</v>
      </c>
      <c r="R90" s="419" t="str">
        <f t="shared" si="17"/>
        <v>N</v>
      </c>
      <c r="S90" s="419" t="str">
        <f t="shared" si="18"/>
        <v>N</v>
      </c>
      <c r="T90" s="630" t="str">
        <f t="shared" si="19"/>
        <v>N</v>
      </c>
      <c r="U90" s="562" t="str">
        <f t="shared" si="20"/>
        <v>N</v>
      </c>
      <c r="V90" s="562" t="str">
        <f t="shared" si="21"/>
        <v>N</v>
      </c>
      <c r="W90" s="419" t="str">
        <f t="shared" si="22"/>
        <v>N</v>
      </c>
      <c r="X90" s="419" t="str">
        <f t="shared" si="23"/>
        <v>N</v>
      </c>
      <c r="Y90" s="419" t="str">
        <f t="shared" si="24"/>
        <v>N</v>
      </c>
      <c r="Z90" t="str">
        <f t="shared" si="26"/>
        <v>N</v>
      </c>
      <c r="AA90">
        <f t="shared" si="26"/>
        <v>0</v>
      </c>
    </row>
    <row r="91" spans="1:27">
      <c r="A91" t="str">
        <f t="shared" si="0"/>
        <v>RISE_4</v>
      </c>
      <c r="B91" s="630" t="str">
        <f t="shared" si="1"/>
        <v>N</v>
      </c>
      <c r="C91" s="562" t="str">
        <f t="shared" si="2"/>
        <v>N</v>
      </c>
      <c r="D91" s="562" t="str">
        <f t="shared" si="3"/>
        <v>N</v>
      </c>
      <c r="E91" s="419" t="str">
        <f t="shared" si="4"/>
        <v>N</v>
      </c>
      <c r="F91" s="419" t="str">
        <f t="shared" si="5"/>
        <v>N</v>
      </c>
      <c r="G91" s="419" t="str">
        <f t="shared" si="6"/>
        <v>N</v>
      </c>
      <c r="H91" s="630" t="str">
        <f t="shared" si="7"/>
        <v>N</v>
      </c>
      <c r="I91" s="562" t="str">
        <f t="shared" si="8"/>
        <v>N</v>
      </c>
      <c r="J91" s="562" t="str">
        <f t="shared" si="9"/>
        <v>N</v>
      </c>
      <c r="K91" s="419" t="str">
        <f t="shared" si="10"/>
        <v>N</v>
      </c>
      <c r="L91" s="419" t="str">
        <f t="shared" si="11"/>
        <v>N</v>
      </c>
      <c r="M91" s="419" t="str">
        <f t="shared" si="12"/>
        <v>N</v>
      </c>
      <c r="N91" s="630" t="str">
        <f t="shared" si="13"/>
        <v>N</v>
      </c>
      <c r="O91" s="562" t="str">
        <f t="shared" si="14"/>
        <v>N</v>
      </c>
      <c r="P91" s="562" t="str">
        <f t="shared" si="15"/>
        <v>N</v>
      </c>
      <c r="Q91" s="419" t="str">
        <f t="shared" si="16"/>
        <v>N</v>
      </c>
      <c r="R91" s="419" t="str">
        <f t="shared" si="17"/>
        <v>N</v>
      </c>
      <c r="S91" s="419" t="str">
        <f t="shared" si="18"/>
        <v>N</v>
      </c>
      <c r="T91" s="630" t="str">
        <f t="shared" si="19"/>
        <v>N</v>
      </c>
      <c r="U91" s="562" t="str">
        <f t="shared" si="20"/>
        <v>N</v>
      </c>
      <c r="V91" s="562" t="str">
        <f t="shared" si="21"/>
        <v>N</v>
      </c>
      <c r="W91" s="419" t="str">
        <f t="shared" si="22"/>
        <v>N</v>
      </c>
      <c r="X91" s="419" t="str">
        <f t="shared" si="23"/>
        <v>N</v>
      </c>
      <c r="Y91" s="419" t="str">
        <f t="shared" si="24"/>
        <v>N</v>
      </c>
      <c r="Z91" t="str">
        <f t="shared" si="26"/>
        <v>Y</v>
      </c>
      <c r="AA91">
        <f t="shared" si="26"/>
        <v>0</v>
      </c>
    </row>
    <row r="92" spans="1:27">
      <c r="A92" t="str">
        <f t="shared" si="0"/>
        <v>RISE_5</v>
      </c>
      <c r="B92" s="630" t="str">
        <f t="shared" si="1"/>
        <v>N</v>
      </c>
      <c r="C92" s="562" t="str">
        <f t="shared" si="2"/>
        <v>N</v>
      </c>
      <c r="D92" s="562" t="str">
        <f t="shared" si="3"/>
        <v>N</v>
      </c>
      <c r="E92" s="419" t="str">
        <f t="shared" si="4"/>
        <v>N</v>
      </c>
      <c r="F92" s="419" t="str">
        <f t="shared" si="5"/>
        <v>N</v>
      </c>
      <c r="G92" s="419" t="str">
        <f t="shared" si="6"/>
        <v>N</v>
      </c>
      <c r="H92" s="630" t="str">
        <f t="shared" si="7"/>
        <v>N</v>
      </c>
      <c r="I92" s="562" t="str">
        <f t="shared" si="8"/>
        <v>N</v>
      </c>
      <c r="J92" s="562" t="str">
        <f t="shared" si="9"/>
        <v>N</v>
      </c>
      <c r="K92" s="419" t="str">
        <f t="shared" si="10"/>
        <v>N</v>
      </c>
      <c r="L92" s="419" t="str">
        <f t="shared" si="11"/>
        <v>N</v>
      </c>
      <c r="M92" s="419" t="str">
        <f t="shared" si="12"/>
        <v>N</v>
      </c>
      <c r="N92" s="630" t="str">
        <f t="shared" si="13"/>
        <v>N</v>
      </c>
      <c r="O92" s="562" t="str">
        <f t="shared" si="14"/>
        <v>N</v>
      </c>
      <c r="P92" s="562" t="str">
        <f t="shared" si="15"/>
        <v>N</v>
      </c>
      <c r="Q92" s="419" t="str">
        <f t="shared" si="16"/>
        <v>N</v>
      </c>
      <c r="R92" s="419" t="str">
        <f t="shared" si="17"/>
        <v>N</v>
      </c>
      <c r="S92" s="419" t="str">
        <f t="shared" si="18"/>
        <v>N</v>
      </c>
      <c r="T92" s="630" t="str">
        <f t="shared" si="19"/>
        <v>N</v>
      </c>
      <c r="U92" s="562" t="str">
        <f t="shared" si="20"/>
        <v>N</v>
      </c>
      <c r="V92" s="562" t="str">
        <f t="shared" si="21"/>
        <v>N</v>
      </c>
      <c r="W92" s="419" t="str">
        <f t="shared" si="22"/>
        <v>N</v>
      </c>
      <c r="X92" s="419" t="str">
        <f t="shared" si="23"/>
        <v>N</v>
      </c>
      <c r="Y92" s="419" t="str">
        <f t="shared" si="24"/>
        <v>N</v>
      </c>
      <c r="Z92" t="str">
        <f t="shared" si="26"/>
        <v>Y</v>
      </c>
      <c r="AA92">
        <f t="shared" si="26"/>
        <v>0</v>
      </c>
    </row>
    <row r="93" spans="1:27">
      <c r="A93" t="str">
        <f t="shared" si="0"/>
        <v>CodeRed_1</v>
      </c>
      <c r="B93" s="630" t="str">
        <f t="shared" si="1"/>
        <v>N</v>
      </c>
      <c r="C93" s="562" t="str">
        <f t="shared" si="2"/>
        <v>N</v>
      </c>
      <c r="D93" s="562" t="str">
        <f t="shared" si="3"/>
        <v>N</v>
      </c>
      <c r="E93" s="419" t="str">
        <f t="shared" si="4"/>
        <v>N</v>
      </c>
      <c r="F93" s="419" t="str">
        <f t="shared" si="5"/>
        <v>N</v>
      </c>
      <c r="G93" s="419" t="str">
        <f t="shared" si="6"/>
        <v>N</v>
      </c>
      <c r="H93" s="630" t="str">
        <f t="shared" si="7"/>
        <v>N</v>
      </c>
      <c r="I93" s="562" t="str">
        <f t="shared" si="8"/>
        <v>N</v>
      </c>
      <c r="J93" s="562" t="str">
        <f t="shared" si="9"/>
        <v>N</v>
      </c>
      <c r="K93" s="419" t="str">
        <f t="shared" si="10"/>
        <v>N</v>
      </c>
      <c r="L93" s="419" t="str">
        <f t="shared" si="11"/>
        <v>N</v>
      </c>
      <c r="M93" s="419" t="str">
        <f t="shared" si="12"/>
        <v>N</v>
      </c>
      <c r="N93" s="630" t="str">
        <f t="shared" si="13"/>
        <v>N</v>
      </c>
      <c r="O93" s="562" t="str">
        <f t="shared" si="14"/>
        <v>N</v>
      </c>
      <c r="P93" s="562" t="str">
        <f t="shared" si="15"/>
        <v>N</v>
      </c>
      <c r="Q93" s="419" t="str">
        <f t="shared" si="16"/>
        <v>N</v>
      </c>
      <c r="R93" s="419" t="str">
        <f t="shared" si="17"/>
        <v>N</v>
      </c>
      <c r="S93" s="419" t="str">
        <f t="shared" si="18"/>
        <v>N</v>
      </c>
      <c r="T93" s="630" t="str">
        <f t="shared" si="19"/>
        <v>N</v>
      </c>
      <c r="U93" s="562" t="str">
        <f t="shared" si="20"/>
        <v>N</v>
      </c>
      <c r="V93" s="562" t="str">
        <f t="shared" si="21"/>
        <v>N</v>
      </c>
      <c r="W93" s="419" t="str">
        <f t="shared" si="22"/>
        <v>N</v>
      </c>
      <c r="X93" s="419" t="str">
        <f t="shared" si="23"/>
        <v>N</v>
      </c>
      <c r="Y93" s="419" t="str">
        <f t="shared" si="24"/>
        <v>N</v>
      </c>
      <c r="Z93" t="str">
        <f t="shared" ref="Z93:AA96" si="27">Z42</f>
        <v>Y</v>
      </c>
      <c r="AA93">
        <f t="shared" si="27"/>
        <v>0</v>
      </c>
    </row>
    <row r="94" spans="1:27">
      <c r="A94" t="str">
        <f t="shared" si="0"/>
        <v>CodeRed_2</v>
      </c>
      <c r="B94" s="630" t="str">
        <f t="shared" si="1"/>
        <v>N</v>
      </c>
      <c r="C94" s="562" t="str">
        <f t="shared" si="2"/>
        <v>N</v>
      </c>
      <c r="D94" s="562" t="str">
        <f t="shared" si="3"/>
        <v>N</v>
      </c>
      <c r="E94" s="419" t="str">
        <f t="shared" si="4"/>
        <v>N</v>
      </c>
      <c r="F94" s="419" t="str">
        <f t="shared" si="5"/>
        <v>N</v>
      </c>
      <c r="G94" s="419" t="str">
        <f t="shared" si="6"/>
        <v>N</v>
      </c>
      <c r="H94" s="630" t="str">
        <f t="shared" si="7"/>
        <v>N</v>
      </c>
      <c r="I94" s="562" t="str">
        <f t="shared" si="8"/>
        <v>N</v>
      </c>
      <c r="J94" s="562" t="str">
        <f t="shared" si="9"/>
        <v>N</v>
      </c>
      <c r="K94" s="419" t="str">
        <f t="shared" si="10"/>
        <v>N</v>
      </c>
      <c r="L94" s="419" t="str">
        <f t="shared" si="11"/>
        <v>N</v>
      </c>
      <c r="M94" s="419" t="str">
        <f t="shared" si="12"/>
        <v>N</v>
      </c>
      <c r="N94" s="630" t="str">
        <f t="shared" si="13"/>
        <v>N</v>
      </c>
      <c r="O94" s="562" t="str">
        <f t="shared" si="14"/>
        <v>N</v>
      </c>
      <c r="P94" s="562" t="str">
        <f t="shared" si="15"/>
        <v>N</v>
      </c>
      <c r="Q94" s="419" t="str">
        <f t="shared" si="16"/>
        <v>N</v>
      </c>
      <c r="R94" s="419" t="str">
        <f t="shared" si="17"/>
        <v>N</v>
      </c>
      <c r="S94" s="419" t="str">
        <f t="shared" si="18"/>
        <v>N</v>
      </c>
      <c r="T94" s="630" t="str">
        <f t="shared" si="19"/>
        <v>N</v>
      </c>
      <c r="U94" s="562" t="str">
        <f t="shared" si="20"/>
        <v>N</v>
      </c>
      <c r="V94" s="562" t="str">
        <f t="shared" si="21"/>
        <v>N</v>
      </c>
      <c r="W94" s="419" t="str">
        <f t="shared" si="22"/>
        <v>N</v>
      </c>
      <c r="X94" s="419" t="str">
        <f t="shared" si="23"/>
        <v>N</v>
      </c>
      <c r="Y94" s="419" t="str">
        <f t="shared" si="24"/>
        <v>N</v>
      </c>
      <c r="Z94" t="str">
        <f t="shared" si="27"/>
        <v>Y</v>
      </c>
      <c r="AA94">
        <f t="shared" si="27"/>
        <v>0</v>
      </c>
    </row>
    <row r="95" spans="1:27">
      <c r="A95" t="str">
        <f t="shared" si="0"/>
        <v>FRIC_1</v>
      </c>
      <c r="B95" s="630" t="str">
        <f t="shared" si="1"/>
        <v>N</v>
      </c>
      <c r="C95" s="562" t="str">
        <f t="shared" si="2"/>
        <v>N</v>
      </c>
      <c r="D95" s="562" t="str">
        <f t="shared" si="3"/>
        <v>N</v>
      </c>
      <c r="E95" s="419" t="str">
        <f t="shared" si="4"/>
        <v>N</v>
      </c>
      <c r="F95" s="419" t="str">
        <f t="shared" si="5"/>
        <v>N</v>
      </c>
      <c r="G95" s="419" t="str">
        <f t="shared" si="6"/>
        <v>N</v>
      </c>
      <c r="H95" s="630" t="str">
        <f t="shared" si="7"/>
        <v>N</v>
      </c>
      <c r="I95" s="562" t="str">
        <f t="shared" si="8"/>
        <v>N</v>
      </c>
      <c r="J95" s="562" t="str">
        <f t="shared" si="9"/>
        <v>N</v>
      </c>
      <c r="K95" s="419" t="str">
        <f t="shared" si="10"/>
        <v>N</v>
      </c>
      <c r="L95" s="419" t="str">
        <f t="shared" si="11"/>
        <v>N</v>
      </c>
      <c r="M95" s="419" t="str">
        <f t="shared" si="12"/>
        <v>N</v>
      </c>
      <c r="N95" s="630" t="str">
        <f t="shared" si="13"/>
        <v>N</v>
      </c>
      <c r="O95" s="562" t="str">
        <f t="shared" si="14"/>
        <v>N</v>
      </c>
      <c r="P95" s="562" t="str">
        <f t="shared" si="15"/>
        <v>N</v>
      </c>
      <c r="Q95" s="419" t="str">
        <f t="shared" si="16"/>
        <v>N</v>
      </c>
      <c r="R95" s="419" t="str">
        <f t="shared" si="17"/>
        <v>N</v>
      </c>
      <c r="S95" s="419" t="str">
        <f t="shared" si="18"/>
        <v>N</v>
      </c>
      <c r="T95" s="630" t="str">
        <f t="shared" si="19"/>
        <v>N</v>
      </c>
      <c r="U95" s="562" t="str">
        <f t="shared" si="20"/>
        <v>N</v>
      </c>
      <c r="V95" s="562" t="str">
        <f t="shared" si="21"/>
        <v>N</v>
      </c>
      <c r="W95" s="419" t="str">
        <f t="shared" si="22"/>
        <v>N</v>
      </c>
      <c r="X95" s="419" t="str">
        <f t="shared" si="23"/>
        <v>N</v>
      </c>
      <c r="Y95" s="419" t="str">
        <f t="shared" si="24"/>
        <v>N</v>
      </c>
      <c r="Z95" t="str">
        <f t="shared" si="27"/>
        <v>Y</v>
      </c>
      <c r="AA95">
        <f t="shared" si="27"/>
        <v>0</v>
      </c>
    </row>
    <row r="96" spans="1:27">
      <c r="A96" t="str">
        <f t="shared" si="0"/>
        <v>FRIC_2</v>
      </c>
      <c r="B96" s="630" t="str">
        <f t="shared" si="1"/>
        <v>N</v>
      </c>
      <c r="C96" s="562" t="str">
        <f t="shared" si="2"/>
        <v>N</v>
      </c>
      <c r="D96" s="562" t="str">
        <f t="shared" si="3"/>
        <v>N</v>
      </c>
      <c r="E96" s="419" t="str">
        <f t="shared" si="4"/>
        <v>N</v>
      </c>
      <c r="F96" s="419" t="str">
        <f t="shared" si="5"/>
        <v>N</v>
      </c>
      <c r="G96" s="419" t="str">
        <f t="shared" si="6"/>
        <v>N</v>
      </c>
      <c r="H96" s="630" t="str">
        <f t="shared" si="7"/>
        <v>N</v>
      </c>
      <c r="I96" s="562" t="str">
        <f t="shared" si="8"/>
        <v>N</v>
      </c>
      <c r="J96" s="562" t="str">
        <f t="shared" si="9"/>
        <v>N</v>
      </c>
      <c r="K96" s="419" t="str">
        <f t="shared" si="10"/>
        <v>N</v>
      </c>
      <c r="L96" s="419" t="str">
        <f t="shared" si="11"/>
        <v>N</v>
      </c>
      <c r="M96" s="419" t="str">
        <f t="shared" si="12"/>
        <v>N</v>
      </c>
      <c r="N96" s="630" t="str">
        <f t="shared" si="13"/>
        <v>N</v>
      </c>
      <c r="O96" s="562" t="str">
        <f t="shared" si="14"/>
        <v>N</v>
      </c>
      <c r="P96" s="562" t="str">
        <f t="shared" si="15"/>
        <v>N</v>
      </c>
      <c r="Q96" s="419" t="str">
        <f t="shared" si="16"/>
        <v>N</v>
      </c>
      <c r="R96" s="419" t="str">
        <f t="shared" si="17"/>
        <v>N</v>
      </c>
      <c r="S96" s="419" t="str">
        <f t="shared" si="18"/>
        <v>N</v>
      </c>
      <c r="T96" s="630" t="str">
        <f t="shared" si="19"/>
        <v>N</v>
      </c>
      <c r="U96" s="562" t="str">
        <f t="shared" si="20"/>
        <v>N</v>
      </c>
      <c r="V96" s="562" t="str">
        <f t="shared" si="21"/>
        <v>N</v>
      </c>
      <c r="W96" s="419" t="str">
        <f t="shared" si="22"/>
        <v>N</v>
      </c>
      <c r="X96" s="419" t="str">
        <f t="shared" si="23"/>
        <v>N</v>
      </c>
      <c r="Y96" s="419" t="str">
        <f t="shared" si="24"/>
        <v>N</v>
      </c>
      <c r="Z96" t="str">
        <f t="shared" si="27"/>
        <v>N</v>
      </c>
      <c r="AA96">
        <f t="shared" si="27"/>
        <v>0</v>
      </c>
    </row>
    <row r="97" spans="1:27">
      <c r="A97" t="str">
        <f t="shared" si="0"/>
        <v>AdivBois_1</v>
      </c>
      <c r="B97" s="630" t="str">
        <f t="shared" si="1"/>
        <v>N</v>
      </c>
      <c r="C97" s="562" t="str">
        <f t="shared" si="2"/>
        <v>N</v>
      </c>
      <c r="D97" s="562" t="str">
        <f t="shared" si="3"/>
        <v>N</v>
      </c>
      <c r="E97" s="419" t="str">
        <f t="shared" si="4"/>
        <v>N</v>
      </c>
      <c r="F97" s="419" t="str">
        <f t="shared" si="5"/>
        <v>N</v>
      </c>
      <c r="G97" s="419" t="str">
        <f t="shared" si="6"/>
        <v>N</v>
      </c>
      <c r="H97" s="630" t="str">
        <f t="shared" si="7"/>
        <v>N</v>
      </c>
      <c r="I97" s="562" t="str">
        <f t="shared" si="8"/>
        <v>N</v>
      </c>
      <c r="J97" s="562" t="str">
        <f t="shared" si="9"/>
        <v>N</v>
      </c>
      <c r="K97" s="419" t="str">
        <f t="shared" si="10"/>
        <v>N</v>
      </c>
      <c r="L97" s="419" t="str">
        <f t="shared" si="11"/>
        <v>N</v>
      </c>
      <c r="M97" s="419" t="str">
        <f t="shared" si="12"/>
        <v>N</v>
      </c>
      <c r="N97" s="630" t="str">
        <f t="shared" si="13"/>
        <v>N</v>
      </c>
      <c r="O97" s="562" t="str">
        <f t="shared" si="14"/>
        <v>N</v>
      </c>
      <c r="P97" s="562" t="str">
        <f t="shared" si="15"/>
        <v>N</v>
      </c>
      <c r="Q97" s="419" t="str">
        <f t="shared" si="16"/>
        <v>N</v>
      </c>
      <c r="R97" s="419" t="str">
        <f t="shared" si="17"/>
        <v>N</v>
      </c>
      <c r="S97" s="419" t="str">
        <f t="shared" si="18"/>
        <v>N</v>
      </c>
      <c r="T97" s="630" t="str">
        <f t="shared" si="19"/>
        <v>N</v>
      </c>
      <c r="U97" s="562" t="str">
        <f t="shared" si="20"/>
        <v>N</v>
      </c>
      <c r="V97" s="562" t="str">
        <f t="shared" si="21"/>
        <v>N</v>
      </c>
      <c r="W97" s="419" t="str">
        <f t="shared" si="22"/>
        <v>N</v>
      </c>
      <c r="X97" s="419" t="str">
        <f t="shared" si="23"/>
        <v>N</v>
      </c>
      <c r="Y97" s="419" t="str">
        <f t="shared" si="24"/>
        <v>N</v>
      </c>
      <c r="Z97" t="str">
        <f t="shared" ref="Z97:AA100" si="28">Z46</f>
        <v>Y</v>
      </c>
      <c r="AA97">
        <f t="shared" si="28"/>
        <v>0</v>
      </c>
    </row>
    <row r="98" spans="1:27">
      <c r="A98" t="str">
        <f t="shared" si="0"/>
        <v>AdivBois_2</v>
      </c>
      <c r="B98" s="630" t="str">
        <f t="shared" si="1"/>
        <v>N</v>
      </c>
      <c r="C98" s="562" t="str">
        <f t="shared" si="2"/>
        <v>N</v>
      </c>
      <c r="D98" s="562" t="str">
        <f t="shared" si="3"/>
        <v>N</v>
      </c>
      <c r="E98" s="419" t="str">
        <f t="shared" si="4"/>
        <v>N</v>
      </c>
      <c r="F98" s="419" t="str">
        <f t="shared" si="5"/>
        <v>N</v>
      </c>
      <c r="G98" s="419" t="str">
        <f t="shared" si="6"/>
        <v>N</v>
      </c>
      <c r="H98" s="630" t="str">
        <f t="shared" si="7"/>
        <v>N</v>
      </c>
      <c r="I98" s="562" t="str">
        <f t="shared" si="8"/>
        <v>N</v>
      </c>
      <c r="J98" s="562" t="str">
        <f t="shared" si="9"/>
        <v>N</v>
      </c>
      <c r="K98" s="419" t="str">
        <f t="shared" si="10"/>
        <v>N</v>
      </c>
      <c r="L98" s="419" t="str">
        <f t="shared" si="11"/>
        <v>N</v>
      </c>
      <c r="M98" s="419" t="str">
        <f t="shared" si="12"/>
        <v>N</v>
      </c>
      <c r="N98" s="630" t="str">
        <f t="shared" si="13"/>
        <v>N</v>
      </c>
      <c r="O98" s="562" t="str">
        <f t="shared" si="14"/>
        <v>N</v>
      </c>
      <c r="P98" s="562" t="str">
        <f t="shared" si="15"/>
        <v>N</v>
      </c>
      <c r="Q98" s="419" t="str">
        <f t="shared" si="16"/>
        <v>N</v>
      </c>
      <c r="R98" s="419" t="str">
        <f t="shared" si="17"/>
        <v>N</v>
      </c>
      <c r="S98" s="419" t="str">
        <f t="shared" si="18"/>
        <v>N</v>
      </c>
      <c r="T98" s="630" t="str">
        <f t="shared" si="19"/>
        <v>N</v>
      </c>
      <c r="U98" s="562" t="str">
        <f t="shared" si="20"/>
        <v>N</v>
      </c>
      <c r="V98" s="562" t="str">
        <f t="shared" si="21"/>
        <v>N</v>
      </c>
      <c r="W98" s="419" t="str">
        <f t="shared" si="22"/>
        <v>N</v>
      </c>
      <c r="X98" s="419" t="str">
        <f t="shared" si="23"/>
        <v>N</v>
      </c>
      <c r="Y98" s="419" t="str">
        <f t="shared" si="24"/>
        <v>N</v>
      </c>
      <c r="Z98" t="str">
        <f t="shared" si="28"/>
        <v>Y</v>
      </c>
      <c r="AA98">
        <f t="shared" si="28"/>
        <v>0</v>
      </c>
    </row>
    <row r="99" spans="1:27">
      <c r="A99" t="str">
        <f t="shared" si="0"/>
        <v>AdivBois_3</v>
      </c>
      <c r="B99" s="630" t="str">
        <f t="shared" si="1"/>
        <v>N</v>
      </c>
      <c r="C99" s="562" t="str">
        <f t="shared" si="2"/>
        <v>N</v>
      </c>
      <c r="D99" s="562" t="str">
        <f t="shared" si="3"/>
        <v>N</v>
      </c>
      <c r="E99" s="419" t="str">
        <f t="shared" si="4"/>
        <v>N</v>
      </c>
      <c r="F99" s="419" t="str">
        <f t="shared" si="5"/>
        <v>N</v>
      </c>
      <c r="G99" s="419" t="str">
        <f t="shared" si="6"/>
        <v>N</v>
      </c>
      <c r="H99" s="630" t="str">
        <f t="shared" si="7"/>
        <v>N</v>
      </c>
      <c r="I99" s="562" t="str">
        <f t="shared" si="8"/>
        <v>N</v>
      </c>
      <c r="J99" s="562" t="str">
        <f t="shared" si="9"/>
        <v>N</v>
      </c>
      <c r="K99" s="419" t="str">
        <f t="shared" si="10"/>
        <v>N</v>
      </c>
      <c r="L99" s="419" t="str">
        <f t="shared" si="11"/>
        <v>N</v>
      </c>
      <c r="M99" s="419" t="str">
        <f t="shared" si="12"/>
        <v>N</v>
      </c>
      <c r="N99" s="630" t="str">
        <f t="shared" si="13"/>
        <v>N</v>
      </c>
      <c r="O99" s="562" t="str">
        <f t="shared" si="14"/>
        <v>N</v>
      </c>
      <c r="P99" s="562" t="str">
        <f t="shared" si="15"/>
        <v>N</v>
      </c>
      <c r="Q99" s="419" t="str">
        <f t="shared" si="16"/>
        <v>N</v>
      </c>
      <c r="R99" s="419" t="str">
        <f t="shared" si="17"/>
        <v>N</v>
      </c>
      <c r="S99" s="419" t="str">
        <f t="shared" si="18"/>
        <v>N</v>
      </c>
      <c r="T99" s="630" t="str">
        <f t="shared" si="19"/>
        <v>N</v>
      </c>
      <c r="U99" s="562" t="str">
        <f t="shared" si="20"/>
        <v>N</v>
      </c>
      <c r="V99" s="562" t="str">
        <f t="shared" si="21"/>
        <v>N</v>
      </c>
      <c r="W99" s="419" t="str">
        <f t="shared" si="22"/>
        <v>N</v>
      </c>
      <c r="X99" s="419" t="str">
        <f t="shared" si="23"/>
        <v>N</v>
      </c>
      <c r="Y99" s="419" t="str">
        <f t="shared" si="24"/>
        <v>N</v>
      </c>
      <c r="Z99" t="str">
        <f t="shared" si="28"/>
        <v>Y</v>
      </c>
      <c r="AA99">
        <f t="shared" si="28"/>
        <v>0</v>
      </c>
    </row>
    <row r="100" spans="1:27">
      <c r="A100" t="str">
        <f t="shared" si="0"/>
        <v>AdivBois_4</v>
      </c>
      <c r="B100" s="630" t="str">
        <f t="shared" si="1"/>
        <v>N</v>
      </c>
      <c r="C100" s="562" t="str">
        <f t="shared" si="2"/>
        <v>N</v>
      </c>
      <c r="D100" s="562" t="str">
        <f t="shared" si="3"/>
        <v>N</v>
      </c>
      <c r="E100" s="419" t="str">
        <f t="shared" si="4"/>
        <v>N</v>
      </c>
      <c r="F100" s="419" t="str">
        <f t="shared" si="5"/>
        <v>N</v>
      </c>
      <c r="G100" s="419" t="str">
        <f t="shared" si="6"/>
        <v>N</v>
      </c>
      <c r="H100" s="630" t="str">
        <f t="shared" si="7"/>
        <v>N</v>
      </c>
      <c r="I100" s="562" t="str">
        <f t="shared" si="8"/>
        <v>N</v>
      </c>
      <c r="J100" s="562" t="str">
        <f t="shared" si="9"/>
        <v>N</v>
      </c>
      <c r="K100" s="419" t="str">
        <f t="shared" si="10"/>
        <v>N</v>
      </c>
      <c r="L100" s="419" t="str">
        <f t="shared" si="11"/>
        <v>N</v>
      </c>
      <c r="M100" s="419" t="str">
        <f t="shared" si="12"/>
        <v>N</v>
      </c>
      <c r="N100" s="630" t="str">
        <f t="shared" si="13"/>
        <v>N</v>
      </c>
      <c r="O100" s="562" t="str">
        <f t="shared" si="14"/>
        <v>N</v>
      </c>
      <c r="P100" s="562" t="str">
        <f t="shared" si="15"/>
        <v>N</v>
      </c>
      <c r="Q100" s="419" t="str">
        <f t="shared" si="16"/>
        <v>N</v>
      </c>
      <c r="R100" s="419" t="str">
        <f t="shared" si="17"/>
        <v>N</v>
      </c>
      <c r="S100" s="419" t="str">
        <f t="shared" si="18"/>
        <v>N</v>
      </c>
      <c r="T100" s="630" t="str">
        <f t="shared" si="19"/>
        <v>N</v>
      </c>
      <c r="U100" s="562" t="str">
        <f t="shared" si="20"/>
        <v>N</v>
      </c>
      <c r="V100" s="562" t="str">
        <f t="shared" si="21"/>
        <v>N</v>
      </c>
      <c r="W100" s="419" t="str">
        <f t="shared" si="22"/>
        <v>N</v>
      </c>
      <c r="X100" s="419" t="str">
        <f t="shared" si="23"/>
        <v>N</v>
      </c>
      <c r="Y100" s="419" t="str">
        <f t="shared" si="24"/>
        <v>N</v>
      </c>
      <c r="Z100" t="str">
        <f t="shared" si="28"/>
        <v>Y</v>
      </c>
      <c r="AA100">
        <f t="shared" si="28"/>
        <v>0</v>
      </c>
    </row>
    <row r="101" spans="1:27" ht="15.75" thickBot="1">
      <c r="B101" s="562"/>
      <c r="C101" s="562"/>
      <c r="D101" s="562"/>
      <c r="E101" s="419"/>
      <c r="F101" s="419"/>
      <c r="G101" s="419"/>
      <c r="H101" s="562"/>
      <c r="I101" s="562"/>
      <c r="J101" s="562"/>
      <c r="K101" s="419"/>
      <c r="L101" s="419"/>
      <c r="M101" s="419"/>
      <c r="N101" s="562"/>
      <c r="O101" s="562"/>
      <c r="P101" s="562"/>
      <c r="Q101" s="419"/>
      <c r="R101" s="419"/>
      <c r="S101" s="419"/>
      <c r="T101" s="562"/>
      <c r="U101" s="562"/>
      <c r="V101" s="562"/>
      <c r="W101" s="419"/>
      <c r="X101" s="419"/>
      <c r="Y101" s="419"/>
    </row>
    <row r="102" spans="1:27">
      <c r="A102" s="507" t="s">
        <v>772</v>
      </c>
      <c r="B102" s="578" t="s">
        <v>317</v>
      </c>
      <c r="C102" s="578" t="s">
        <v>317</v>
      </c>
      <c r="D102" s="578" t="s">
        <v>317</v>
      </c>
      <c r="E102" s="579" t="s">
        <v>773</v>
      </c>
      <c r="F102" s="579" t="s">
        <v>773</v>
      </c>
      <c r="G102" s="579" t="s">
        <v>773</v>
      </c>
      <c r="H102" s="578" t="s">
        <v>317</v>
      </c>
      <c r="I102" s="578" t="s">
        <v>317</v>
      </c>
      <c r="J102" s="578" t="s">
        <v>317</v>
      </c>
      <c r="K102" s="579" t="s">
        <v>773</v>
      </c>
      <c r="L102" s="579" t="s">
        <v>773</v>
      </c>
      <c r="M102" s="579" t="s">
        <v>773</v>
      </c>
      <c r="N102" s="578" t="s">
        <v>317</v>
      </c>
      <c r="O102" s="578" t="s">
        <v>317</v>
      </c>
      <c r="P102" s="578" t="s">
        <v>317</v>
      </c>
      <c r="Q102" s="579" t="s">
        <v>773</v>
      </c>
      <c r="R102" s="579" t="s">
        <v>773</v>
      </c>
      <c r="S102" s="579" t="s">
        <v>773</v>
      </c>
      <c r="T102" s="578" t="s">
        <v>317</v>
      </c>
      <c r="U102" s="578" t="s">
        <v>317</v>
      </c>
      <c r="V102" s="578" t="s">
        <v>317</v>
      </c>
      <c r="W102" s="579" t="s">
        <v>773</v>
      </c>
      <c r="X102" s="579" t="s">
        <v>773</v>
      </c>
      <c r="Y102" s="579" t="s">
        <v>773</v>
      </c>
    </row>
    <row r="103" spans="1:27">
      <c r="A103" t="s">
        <v>367</v>
      </c>
      <c r="B103" s="559" t="e">
        <f t="array" ref="B103">AVERAGE(IF(ISNUMBER(B53:B100),B53:B100))</f>
        <v>#DIV/0!</v>
      </c>
      <c r="C103" s="559" t="e">
        <f t="array" ref="C103">AVERAGE(IF(ISNUMBER(C53:C100),C53:C100))</f>
        <v>#DIV/0!</v>
      </c>
      <c r="D103" s="559" t="e">
        <f t="array" ref="D103">AVERAGE(IF(ISNUMBER(D53:D100),D53:D100))</f>
        <v>#DIV/0!</v>
      </c>
      <c r="E103" s="419" t="e">
        <f t="array" ref="E103">AVERAGE(IF(ISNUMBER(E53:E100),E53:E100))</f>
        <v>#DIV/0!</v>
      </c>
      <c r="F103" s="419" t="e">
        <f t="array" ref="F103">AVERAGE(IF(ISNUMBER(F53:F100),F53:F100))</f>
        <v>#DIV/0!</v>
      </c>
      <c r="G103" s="419" t="e">
        <f t="array" ref="G103">AVERAGE(IF(ISNUMBER(G53:G100),G53:G100))</f>
        <v>#DIV/0!</v>
      </c>
      <c r="H103" s="559" t="e">
        <f t="array" ref="H103">AVERAGE(IF(ISNUMBER(H53:H100),H53:H100))</f>
        <v>#DIV/0!</v>
      </c>
      <c r="I103" s="559" t="e">
        <f t="array" ref="I103">AVERAGE(IF(ISNUMBER(I53:I100),I53:I100))</f>
        <v>#DIV/0!</v>
      </c>
      <c r="J103" s="559" t="e">
        <f t="array" ref="J103">AVERAGE(IF(ISNUMBER(J53:J100),J53:J100))</f>
        <v>#DIV/0!</v>
      </c>
      <c r="K103" s="419" t="e">
        <f t="array" ref="K103">AVERAGE(IF(ISNUMBER(K53:K100),K53:K100))</f>
        <v>#DIV/0!</v>
      </c>
      <c r="L103" s="419" t="e">
        <f t="array" ref="L103">AVERAGE(IF(ISNUMBER(L53:L100),L53:L100))</f>
        <v>#DIV/0!</v>
      </c>
      <c r="M103" s="419" t="e">
        <f t="array" ref="M103">AVERAGE(IF(ISNUMBER(M53:M100),M53:M100))</f>
        <v>#DIV/0!</v>
      </c>
      <c r="N103" s="559" t="e">
        <f t="array" ref="N103">AVERAGE(IF(ISNUMBER(N53:N100),N53:N100))</f>
        <v>#DIV/0!</v>
      </c>
      <c r="O103" s="559" t="e">
        <f t="array" ref="O103">AVERAGE(IF(ISNUMBER(O53:O100),O53:O100))</f>
        <v>#DIV/0!</v>
      </c>
      <c r="P103" s="559" t="e">
        <f t="array" ref="P103">AVERAGE(IF(ISNUMBER(P53:P100),P53:P100))</f>
        <v>#DIV/0!</v>
      </c>
      <c r="Q103" s="419" t="e">
        <f t="array" ref="Q103">AVERAGE(IF(ISNUMBER(Q53:Q100),Q53:Q100))</f>
        <v>#DIV/0!</v>
      </c>
      <c r="R103" s="419" t="e">
        <f t="array" ref="R103">AVERAGE(IF(ISNUMBER(R53:R100),R53:R100))</f>
        <v>#DIV/0!</v>
      </c>
      <c r="S103" s="419" t="e">
        <f t="array" ref="S103">AVERAGE(IF(ISNUMBER(S53:S100),S53:S100))</f>
        <v>#DIV/0!</v>
      </c>
      <c r="T103" s="559" t="e">
        <f t="array" ref="T103">AVERAGE(IF(ISNUMBER(T53:T100),T53:T100))</f>
        <v>#DIV/0!</v>
      </c>
      <c r="U103" s="559" t="e">
        <f t="array" ref="U103">AVERAGE(IF(ISNUMBER(U53:U100),U53:U100))</f>
        <v>#DIV/0!</v>
      </c>
      <c r="V103" s="559" t="e">
        <f t="array" ref="V103">AVERAGE(IF(ISNUMBER(V53:V100),V53:V100))</f>
        <v>#DIV/0!</v>
      </c>
      <c r="W103" s="419" t="e">
        <f t="array" ref="W103">AVERAGE(IF(ISNUMBER(W53:W100),W53:W100))</f>
        <v>#DIV/0!</v>
      </c>
      <c r="X103" s="419" t="e">
        <f t="array" ref="X103">AVERAGE(IF(ISNUMBER(X53:X100),X53:X100))</f>
        <v>#DIV/0!</v>
      </c>
      <c r="Y103" s="419" t="e">
        <f t="array" ref="Y103">AVERAGE(IF(ISNUMBER(Y53:Y100),Y53:Y100))</f>
        <v>#DIV/0!</v>
      </c>
    </row>
    <row r="104" spans="1:27">
      <c r="A104" t="s">
        <v>369</v>
      </c>
      <c r="B104" s="559">
        <f t="array" ref="B104">MAX(IF(ISNUMBER(B53:B100),B53:B100))</f>
        <v>0</v>
      </c>
      <c r="C104" s="559">
        <f t="array" ref="C104">MAX(IF(ISNUMBER(C53:C100),C53:C100))</f>
        <v>0</v>
      </c>
      <c r="D104" s="559">
        <f t="array" ref="D104">MAX(IF(ISNUMBER(D53:D100),D53:D100))</f>
        <v>0</v>
      </c>
      <c r="E104" s="419">
        <f t="array" ref="E104">MAX(IF(ISNUMBER(E53:E100),E53:E100))</f>
        <v>0</v>
      </c>
      <c r="F104" s="419">
        <f t="array" ref="F104">MAX(IF(ISNUMBER(F53:F100),F53:F100))</f>
        <v>0</v>
      </c>
      <c r="G104" s="419">
        <f t="array" ref="G104">MAX(IF(ISNUMBER(G53:G100),G53:G100))</f>
        <v>0</v>
      </c>
      <c r="H104" s="559">
        <f t="array" ref="H104">MAX(IF(ISNUMBER(H53:H100),H53:H100))</f>
        <v>0</v>
      </c>
      <c r="I104" s="559">
        <f t="array" ref="I104">MAX(IF(ISNUMBER(I53:I100),I53:I100))</f>
        <v>0</v>
      </c>
      <c r="J104" s="559">
        <f t="array" ref="J104">MAX(IF(ISNUMBER(J53:J100),J53:J100))</f>
        <v>0</v>
      </c>
      <c r="K104" s="419">
        <f t="array" ref="K104">MAX(IF(ISNUMBER(K53:K100),K53:K100))</f>
        <v>0</v>
      </c>
      <c r="L104" s="419">
        <f t="array" ref="L104">MAX(IF(ISNUMBER(L53:L100),L53:L100))</f>
        <v>0</v>
      </c>
      <c r="M104" s="419">
        <f t="array" ref="M104">MAX(IF(ISNUMBER(M53:M100),M53:M100))</f>
        <v>0</v>
      </c>
      <c r="N104" s="559">
        <f t="array" ref="N104">MAX(IF(ISNUMBER(N53:N100),N53:N100))</f>
        <v>0</v>
      </c>
      <c r="O104" s="559">
        <f t="array" ref="O104">MAX(IF(ISNUMBER(O53:O100),O53:O100))</f>
        <v>0</v>
      </c>
      <c r="P104" s="559">
        <f t="array" ref="P104">MAX(IF(ISNUMBER(P53:P100),P53:P100))</f>
        <v>0</v>
      </c>
      <c r="Q104" s="419">
        <f t="array" ref="Q104">MAX(IF(ISNUMBER(Q53:Q100),Q53:Q100))</f>
        <v>0</v>
      </c>
      <c r="R104" s="419">
        <f t="array" ref="R104">MAX(IF(ISNUMBER(R53:R100),R53:R100))</f>
        <v>0</v>
      </c>
      <c r="S104" s="419">
        <f t="array" ref="S104">MAX(IF(ISNUMBER(S53:S100),S53:S100))</f>
        <v>0</v>
      </c>
      <c r="T104" s="559">
        <f t="array" ref="T104">MAX(IF(ISNUMBER(T53:T100),T53:T100))</f>
        <v>0</v>
      </c>
      <c r="U104" s="559">
        <f t="array" ref="U104">MAX(IF(ISNUMBER(U53:U100),U53:U100))</f>
        <v>0</v>
      </c>
      <c r="V104" s="559">
        <f t="array" ref="V104">MAX(IF(ISNUMBER(V53:V100),V53:V100))</f>
        <v>0</v>
      </c>
      <c r="W104" s="419">
        <f t="array" ref="W104">MAX(IF(ISNUMBER(W53:W100),W53:W100))</f>
        <v>0</v>
      </c>
      <c r="X104" s="419">
        <f t="array" ref="X104">MAX(IF(ISNUMBER(X53:X100),X53:X100))</f>
        <v>0</v>
      </c>
      <c r="Y104" s="419">
        <f t="array" ref="Y104">MAX(IF(ISNUMBER(Y53:Y100),Y53:Y100))</f>
        <v>0</v>
      </c>
    </row>
    <row r="105" spans="1:27">
      <c r="A105" t="s">
        <v>368</v>
      </c>
      <c r="B105" s="559">
        <f t="array" ref="B105">MIN(IF(ISNUMBER(B53:B100),B53:B100))</f>
        <v>0</v>
      </c>
      <c r="C105" s="559">
        <f t="array" ref="C105">MIN(IF(ISNUMBER(C53:C100),C53:C100))</f>
        <v>0</v>
      </c>
      <c r="D105" s="559">
        <f t="array" ref="D105">MIN(IF(ISNUMBER(D53:D100),D53:D100))</f>
        <v>0</v>
      </c>
      <c r="E105" s="419">
        <f t="array" ref="E105">MIN(IF(ISNUMBER(E53:E100),E53:E100))</f>
        <v>0</v>
      </c>
      <c r="F105" s="419">
        <f t="array" ref="F105">MIN(IF(ISNUMBER(F53:F100),F53:F100))</f>
        <v>0</v>
      </c>
      <c r="G105" s="419">
        <f t="array" ref="G105">MIN(IF(ISNUMBER(G53:G100),G53:G100))</f>
        <v>0</v>
      </c>
      <c r="H105" s="559">
        <f t="array" ref="H105">MIN(IF(ISNUMBER(H53:H100),H53:H100))</f>
        <v>0</v>
      </c>
      <c r="I105" s="559">
        <f t="array" ref="I105">MIN(IF(ISNUMBER(I53:I100),I53:I100))</f>
        <v>0</v>
      </c>
      <c r="J105" s="559">
        <f t="array" ref="J105">MIN(IF(ISNUMBER(J53:J100),J53:J100))</f>
        <v>0</v>
      </c>
      <c r="K105" s="419">
        <f t="array" ref="K105">MIN(IF(ISNUMBER(K53:K100),K53:K100))</f>
        <v>0</v>
      </c>
      <c r="L105" s="419">
        <f t="array" ref="L105">MIN(IF(ISNUMBER(L53:L100),L53:L100))</f>
        <v>0</v>
      </c>
      <c r="M105" s="419">
        <f t="array" ref="M105">MIN(IF(ISNUMBER(M53:M100),M53:M100))</f>
        <v>0</v>
      </c>
      <c r="N105" s="559">
        <f t="array" ref="N105">MIN(IF(ISNUMBER(N53:N100),N53:N100))</f>
        <v>0</v>
      </c>
      <c r="O105" s="559">
        <f t="array" ref="O105">MIN(IF(ISNUMBER(O53:O100),O53:O100))</f>
        <v>0</v>
      </c>
      <c r="P105" s="559">
        <f t="array" ref="P105">MIN(IF(ISNUMBER(P53:P100),P53:P100))</f>
        <v>0</v>
      </c>
      <c r="Q105" s="419">
        <f t="array" ref="Q105">MIN(IF(ISNUMBER(Q53:Q100),Q53:Q100))</f>
        <v>0</v>
      </c>
      <c r="R105" s="419">
        <f t="array" ref="R105">MIN(IF(ISNUMBER(R53:R100),R53:R100))</f>
        <v>0</v>
      </c>
      <c r="S105" s="419">
        <f t="array" ref="S105">MIN(IF(ISNUMBER(S53:S100),S53:S100))</f>
        <v>0</v>
      </c>
      <c r="T105" s="559">
        <f t="array" ref="T105">MIN(IF(ISNUMBER(T53:T100),T53:T100))</f>
        <v>0</v>
      </c>
      <c r="U105" s="559">
        <f t="array" ref="U105">MIN(IF(ISNUMBER(U53:U100),U53:U100))</f>
        <v>0</v>
      </c>
      <c r="V105" s="559">
        <f t="array" ref="V105">MIN(IF(ISNUMBER(V53:V100),V53:V100))</f>
        <v>0</v>
      </c>
      <c r="W105" s="419">
        <f t="array" ref="W105">MIN(IF(ISNUMBER(W53:W100),W53:W100))</f>
        <v>0</v>
      </c>
      <c r="X105" s="419">
        <f t="array" ref="X105">MIN(IF(ISNUMBER(X53:X100),X53:X100))</f>
        <v>0</v>
      </c>
      <c r="Y105" s="419">
        <f t="array" ref="Y105">MIN(IF(ISNUMBER(Y53:Y100),Y53:Y100))</f>
        <v>0</v>
      </c>
    </row>
    <row r="106" spans="1:27" ht="15.75" thickBot="1">
      <c r="B106" s="559"/>
      <c r="C106" s="559"/>
      <c r="D106" s="559"/>
      <c r="E106" s="419"/>
      <c r="F106" s="419"/>
      <c r="G106" s="419"/>
      <c r="H106" s="559"/>
      <c r="I106" s="559"/>
      <c r="J106" s="559"/>
      <c r="K106" s="419"/>
      <c r="L106" s="419"/>
      <c r="M106" s="419"/>
      <c r="N106" s="559"/>
      <c r="O106" s="559"/>
      <c r="P106" s="559"/>
      <c r="Q106" s="419"/>
      <c r="R106" s="419"/>
      <c r="S106" s="419"/>
      <c r="T106" s="559"/>
      <c r="U106" s="559"/>
      <c r="V106" s="559"/>
      <c r="W106" s="419"/>
      <c r="X106" s="419"/>
      <c r="Y106" s="419"/>
    </row>
    <row r="107" spans="1:27" ht="15.75" thickBot="1">
      <c r="A107" s="580">
        <v>0.1</v>
      </c>
    </row>
    <row r="108" spans="1:27">
      <c r="A108" s="581" t="s">
        <v>774</v>
      </c>
      <c r="B108" s="507"/>
      <c r="C108" s="507"/>
      <c r="D108" s="507"/>
      <c r="E108" s="569">
        <f>$A$107</f>
        <v>0.1</v>
      </c>
      <c r="F108" s="570">
        <f t="shared" ref="F108:G108" si="29">$A$107</f>
        <v>0.1</v>
      </c>
      <c r="G108" s="571">
        <f t="shared" si="29"/>
        <v>0.1</v>
      </c>
      <c r="H108" s="507"/>
      <c r="I108" s="507"/>
      <c r="J108" s="507"/>
      <c r="K108" s="569">
        <f>$A$107</f>
        <v>0.1</v>
      </c>
      <c r="L108" s="570">
        <f t="shared" ref="L108:M108" si="30">$A$107</f>
        <v>0.1</v>
      </c>
      <c r="M108" s="571">
        <f t="shared" si="30"/>
        <v>0.1</v>
      </c>
      <c r="N108" s="507"/>
      <c r="O108" s="507"/>
      <c r="P108" s="507"/>
      <c r="Q108" s="569">
        <f>$A$107</f>
        <v>0.1</v>
      </c>
      <c r="R108" s="570">
        <f t="shared" ref="R108:S108" si="31">$A$107</f>
        <v>0.1</v>
      </c>
      <c r="S108" s="571">
        <f t="shared" si="31"/>
        <v>0.1</v>
      </c>
      <c r="T108" s="507"/>
      <c r="U108" s="507"/>
      <c r="V108" s="507"/>
      <c r="W108" s="569">
        <f>$A$107</f>
        <v>0.1</v>
      </c>
      <c r="X108" s="570">
        <f t="shared" ref="X108:Y108" si="32">$A$107</f>
        <v>0.1</v>
      </c>
      <c r="Y108" s="572">
        <f t="shared" si="32"/>
        <v>0.1</v>
      </c>
      <c r="Z108" t="s">
        <v>595</v>
      </c>
    </row>
    <row r="109" spans="1:27">
      <c r="A109" s="509" t="s">
        <v>775</v>
      </c>
      <c r="B109" cm="1">
        <f t="array" ref="B109">SUMPRODUCT(--(B2:B49&lt;E2:E49))</f>
        <v>0</v>
      </c>
      <c r="C109" cm="1">
        <f t="array" ref="C109">SUMPRODUCT(--(C2:C49&gt;F2:F49))</f>
        <v>28</v>
      </c>
      <c r="D109" cm="1">
        <f t="array" ref="D109">SUMPRODUCT(--(D2:D49&lt;G2:G49))</f>
        <v>0</v>
      </c>
      <c r="E109" s="567" t="e" cm="1" vm="1">
        <f t="array" ref="E109">SUMPRODUCT(--(ABS(_xlfn._xlws.FILTER(E$53:E$100,ISNUMBER(E$53:E$100)))&lt;E$108))</f>
        <v>#VALUE!</v>
      </c>
      <c r="F109" s="530" t="e" cm="1" vm="1">
        <f t="array" ref="F109">SUMPRODUCT(--(ABS(_xlfn._xlws.FILTER(F$53:F$100,ISNUMBER(F$53:F$100)))&lt;F$108))</f>
        <v>#VALUE!</v>
      </c>
      <c r="G109" s="568" t="e" cm="1" vm="1">
        <f t="array" ref="G109">SUMPRODUCT(--(ABS(_xlfn._xlws.FILTER(G$53:G$100,ISNUMBER(G$53:G$100)))&lt;G$108))</f>
        <v>#VALUE!</v>
      </c>
      <c r="H109" cm="1">
        <f t="array" ref="H109">SUMPRODUCT(--(H2:H49&lt;K2:K49))</f>
        <v>0</v>
      </c>
      <c r="I109" cm="1">
        <f t="array" ref="I109">SUMPRODUCT(--(I2:I49&gt;L2:L49))</f>
        <v>37</v>
      </c>
      <c r="J109" cm="1">
        <f t="array" ref="J109">SUMPRODUCT(--(J2:J49&lt;M2:M49))</f>
        <v>0</v>
      </c>
      <c r="K109" s="567" t="e" cm="1" vm="1">
        <f t="array" ref="K109">SUMPRODUCT(--(ABS(_xlfn._xlws.FILTER(K$53:K$100,ISNUMBER(K$53:K$100)))&lt;K$108))</f>
        <v>#VALUE!</v>
      </c>
      <c r="L109" s="530" t="e" cm="1" vm="1">
        <f t="array" ref="L109">SUMPRODUCT(--(ABS(_xlfn._xlws.FILTER(L$53:L$100,ISNUMBER(L$53:L$100)))&lt;L$108))</f>
        <v>#VALUE!</v>
      </c>
      <c r="M109" s="568" t="e" cm="1" vm="1">
        <f t="array" ref="M109">SUMPRODUCT(--(ABS(_xlfn._xlws.FILTER(M$53:M$100,ISNUMBER(M$53:M$100)))&lt;M$108))</f>
        <v>#VALUE!</v>
      </c>
      <c r="N109" cm="1">
        <f t="array" ref="N109">SUMPRODUCT(--(N2:N49&lt;Q2:Q49))</f>
        <v>0</v>
      </c>
      <c r="O109" cm="1">
        <f t="array" ref="O109">SUMPRODUCT(--(O2:O49&gt;R2:R49))</f>
        <v>10</v>
      </c>
      <c r="P109" cm="1">
        <f t="array" ref="P109">SUMPRODUCT(--(P2:P49&lt;S2:S49))</f>
        <v>0</v>
      </c>
      <c r="Q109" s="567" t="e" cm="1" vm="1">
        <f t="array" ref="Q109">SUMPRODUCT(--(ABS(_xlfn._xlws.FILTER(Q$53:Q$100,ISNUMBER(Q$53:Q$100)))&lt;Q$108))</f>
        <v>#VALUE!</v>
      </c>
      <c r="R109" s="530" t="e" cm="1" vm="1">
        <f t="array" ref="R109">SUMPRODUCT(--(ABS(_xlfn._xlws.FILTER(R$53:R$100,ISNUMBER(R$53:R$100)))&lt;R$108))</f>
        <v>#VALUE!</v>
      </c>
      <c r="S109" s="568" t="e" cm="1" vm="1">
        <f t="array" ref="S109">SUMPRODUCT(--(ABS(_xlfn._xlws.FILTER(S$53:S$100,ISNUMBER(S$53:S$100)))&lt;S$108))</f>
        <v>#VALUE!</v>
      </c>
      <c r="T109" cm="1">
        <f t="array" ref="T109">SUMPRODUCT(--(T2:T49&lt;W2:W49))</f>
        <v>0</v>
      </c>
      <c r="U109" cm="1">
        <f t="array" ref="U109">SUMPRODUCT(--(U2:U49&gt;X2:X49))</f>
        <v>10</v>
      </c>
      <c r="V109" cm="1">
        <f t="array" ref="V109">SUMPRODUCT(--(V2:V49&lt;Y2:Y49))</f>
        <v>0</v>
      </c>
      <c r="W109" s="567" t="e" cm="1" vm="1">
        <f t="array" ref="W109">SUMPRODUCT(--(ABS(_xlfn._xlws.FILTER(W$53:W$100,ISNUMBER(W$53:W$100)))&lt;W$108))</f>
        <v>#VALUE!</v>
      </c>
      <c r="X109" s="530" t="e" cm="1" vm="1">
        <f t="array" ref="X109">SUMPRODUCT(--(ABS(_xlfn._xlws.FILTER(X$53:X$100,ISNUMBER(X$53:X$100)))&lt;X$108))</f>
        <v>#VALUE!</v>
      </c>
      <c r="Y109" s="573" t="e" cm="1" vm="1">
        <f t="array" ref="Y109">SUMPRODUCT(--(ABS(_xlfn._xlws.FILTER(Y$53:Y$100,ISNUMBER(Y$53:Y$100)))&lt;Y$108))</f>
        <v>#VALUE!</v>
      </c>
      <c r="Z109">
        <f>B109+H109+N109+T109</f>
        <v>0</v>
      </c>
    </row>
    <row r="110" spans="1:27">
      <c r="A110" s="509" t="s">
        <v>776</v>
      </c>
      <c r="B110" cm="1">
        <f t="array" ref="B110">SUMPRODUCT(--(B2:B49=E2:E49),--(B2:B49&gt;0))</f>
        <v>0</v>
      </c>
      <c r="C110" cm="1">
        <f t="array" ref="C110">SUMPRODUCT(--(C2:C49=F2:F49),--(C2:C49&gt;0))</f>
        <v>0</v>
      </c>
      <c r="D110" cm="1">
        <f t="array" ref="D110">SUMPRODUCT(--(D2:D49=G2:G49),--(D2:D49&gt;0))</f>
        <v>0</v>
      </c>
      <c r="E110" s="567" t="e" cm="1" vm="1">
        <f t="array" ref="E110">SUMPRODUCT(--(ABS(_xlfn._xlws.FILTER(E$53:E$100,ISNUMBER(E$53:E$100)))=E$108))</f>
        <v>#VALUE!</v>
      </c>
      <c r="F110" s="530" t="e" cm="1" vm="1">
        <f t="array" ref="F110">SUMPRODUCT(--(ABS(_xlfn._xlws.FILTER(F$53:F$100,ISNUMBER(F$53:F$100)))=F$108))</f>
        <v>#VALUE!</v>
      </c>
      <c r="G110" s="568" t="e" cm="1" vm="1">
        <f t="array" ref="G110">SUMPRODUCT(--(ABS(_xlfn._xlws.FILTER(G$53:G$100,ISNUMBER(G$53:G$100)))=G$108))</f>
        <v>#VALUE!</v>
      </c>
      <c r="H110" cm="1">
        <f t="array" ref="H110">SUMPRODUCT(--(H2:H49=K2:K49),--(H2:H49&gt;0))</f>
        <v>0</v>
      </c>
      <c r="I110" cm="1">
        <f t="array" ref="I110">SUMPRODUCT(--(I2:I49=L2:L49),--(I2:I49&gt;0))</f>
        <v>0</v>
      </c>
      <c r="J110" cm="1">
        <f t="array" ref="J110">SUMPRODUCT(--(J2:J49=M2:M49),--(J2:J49&gt;0))</f>
        <v>0</v>
      </c>
      <c r="K110" s="567" t="e" cm="1" vm="1">
        <f t="array" ref="K110">SUMPRODUCT(--(ABS(_xlfn._xlws.FILTER(K$53:K$100,ISNUMBER(K$53:K$100)))=K$108))</f>
        <v>#VALUE!</v>
      </c>
      <c r="L110" s="530" t="e" cm="1" vm="1">
        <f t="array" ref="L110">SUMPRODUCT(--(ABS(_xlfn._xlws.FILTER(L$53:L$100,ISNUMBER(L$53:L$100)))=L$108))</f>
        <v>#VALUE!</v>
      </c>
      <c r="M110" s="568" t="e" cm="1" vm="1">
        <f t="array" ref="M110">SUMPRODUCT(--(ABS(_xlfn._xlws.FILTER(M$53:M$100,ISNUMBER(M$53:M$100)))=M$108))</f>
        <v>#VALUE!</v>
      </c>
      <c r="N110" cm="1">
        <f t="array" ref="N110">SUMPRODUCT(--(N2:N49=Q2:Q49),--(N2:N49&gt;0))</f>
        <v>0</v>
      </c>
      <c r="O110" cm="1">
        <f t="array" ref="O110">SUMPRODUCT(--(O2:O49=R2:R49),--(O2:O49&gt;0))</f>
        <v>0</v>
      </c>
      <c r="P110" cm="1">
        <f t="array" ref="P110">SUMPRODUCT(--(P2:P49=S2:S49),--(P2:P49&gt;0))</f>
        <v>0</v>
      </c>
      <c r="Q110" s="567" t="e" cm="1" vm="1">
        <f t="array" ref="Q110">SUMPRODUCT(--(ABS(_xlfn._xlws.FILTER(Q$53:Q$100,ISNUMBER(Q$53:Q$100)))=Q$108))</f>
        <v>#VALUE!</v>
      </c>
      <c r="R110" s="530" t="e" cm="1" vm="1">
        <f t="array" ref="R110">SUMPRODUCT(--(ABS(_xlfn._xlws.FILTER(R$53:R$100,ISNUMBER(R$53:R$100)))=R$108))</f>
        <v>#VALUE!</v>
      </c>
      <c r="S110" s="568" t="e" cm="1" vm="1">
        <f t="array" ref="S110">SUMPRODUCT(--(ABS(_xlfn._xlws.FILTER(S$53:S$100,ISNUMBER(S$53:S$100)))=S$108))</f>
        <v>#VALUE!</v>
      </c>
      <c r="T110" cm="1">
        <f t="array" ref="T110">SUMPRODUCT(--(T2:T49=W2:W49),--(T2:T49&gt;0))</f>
        <v>0</v>
      </c>
      <c r="U110" cm="1">
        <f t="array" ref="U110">SUMPRODUCT(--(U2:U49=X2:X49),--(U2:U49&gt;0))</f>
        <v>0</v>
      </c>
      <c r="V110" cm="1">
        <f t="array" ref="V110">SUMPRODUCT(--(V2:V49=Y2:Y49),--(V2:V49&gt;0))</f>
        <v>0</v>
      </c>
      <c r="W110" s="567" t="e" cm="1" vm="1">
        <f t="array" ref="W110">SUMPRODUCT(--(ABS(_xlfn._xlws.FILTER(W$53:W$100,ISNUMBER(W$53:W$100)))=W$108))</f>
        <v>#VALUE!</v>
      </c>
      <c r="X110" s="530" t="e" cm="1" vm="1">
        <f t="array" ref="X110">SUMPRODUCT(--(ABS(_xlfn._xlws.FILTER(X$53:X$100,ISNUMBER(X$53:X$100)))=X$108))</f>
        <v>#VALUE!</v>
      </c>
      <c r="Y110" s="573" t="e" cm="1" vm="1">
        <f t="array" ref="Y110">SUMPRODUCT(--(ABS(_xlfn._xlws.FILTER(Y$53:Y$100,ISNUMBER(Y$53:Y$100)))=Y$108))</f>
        <v>#VALUE!</v>
      </c>
      <c r="Z110">
        <f>B110+H110+N110+T110</f>
        <v>0</v>
      </c>
    </row>
    <row r="111" spans="1:27">
      <c r="A111" s="509" t="s">
        <v>671</v>
      </c>
      <c r="B111" cm="1">
        <f t="array" ref="B111">SUMPRODUCT(--(B2:B49&gt;0))</f>
        <v>31</v>
      </c>
      <c r="C111" cm="1">
        <f t="array" ref="C111">SUMPRODUCT(--(C2:C49&gt;0))</f>
        <v>28</v>
      </c>
      <c r="D111" cm="1">
        <f t="array" ref="D111">SUMPRODUCT(--(D2:D49&gt;0))</f>
        <v>30</v>
      </c>
      <c r="E111" s="567" t="e" cm="1" vm="1">
        <f t="array" ref="E111">SUMPRODUCT(--(ABS(_xlfn._xlws.FILTER(E$53:E$100,ISNUMBER(E$53:E$100)))&gt;0))</f>
        <v>#VALUE!</v>
      </c>
      <c r="F111" s="530" t="e" cm="1" vm="1">
        <f t="array" ref="F111">SUMPRODUCT(--(ABS(_xlfn._xlws.FILTER(F$53:F$100,ISNUMBER(F$53:F$100)))&gt;0))</f>
        <v>#VALUE!</v>
      </c>
      <c r="G111" s="568" t="e" cm="1" vm="1">
        <f t="array" ref="G111">SUMPRODUCT(--(ABS(_xlfn._xlws.FILTER(G$53:G$100,ISNUMBER(G$53:G$100)))&gt;0))</f>
        <v>#VALUE!</v>
      </c>
      <c r="H111" cm="1">
        <f t="array" ref="H111">SUMPRODUCT(--(H2:H49&gt;0))</f>
        <v>38</v>
      </c>
      <c r="I111" cm="1">
        <f t="array" ref="I111">SUMPRODUCT(--(I2:I49&gt;0))</f>
        <v>37</v>
      </c>
      <c r="J111" cm="1">
        <f t="array" ref="J111">SUMPRODUCT(--(J2:J49&gt;0))</f>
        <v>38</v>
      </c>
      <c r="K111" s="567" t="e" cm="1" vm="1">
        <f t="array" ref="K111">SUMPRODUCT(--(ABS(_xlfn._xlws.FILTER(K$53:K$100,ISNUMBER(K$53:K$100)))&gt;0))</f>
        <v>#VALUE!</v>
      </c>
      <c r="L111" s="530" t="e" cm="1" vm="1">
        <f t="array" ref="L111">SUMPRODUCT(--(ABS(_xlfn._xlws.FILTER(L$53:L$100,ISNUMBER(L$53:L$100)))&gt;0))</f>
        <v>#VALUE!</v>
      </c>
      <c r="M111" s="568" t="e" cm="1" vm="1">
        <f t="array" ref="M111">SUMPRODUCT(--(ABS(_xlfn._xlws.FILTER(M$53:M$100,ISNUMBER(M$53:M$100)))&gt;0))</f>
        <v>#VALUE!</v>
      </c>
      <c r="N111" cm="1">
        <f t="array" ref="N111">SUMPRODUCT(--(N2:N49&gt;0))</f>
        <v>10</v>
      </c>
      <c r="O111" cm="1">
        <f t="array" ref="O111">SUMPRODUCT(--(O2:O49&gt;0))</f>
        <v>10</v>
      </c>
      <c r="P111" cm="1">
        <f t="array" ref="P111">SUMPRODUCT(--(P2:P49&gt;0))</f>
        <v>10</v>
      </c>
      <c r="Q111" s="567" t="e" cm="1" vm="1">
        <f t="array" ref="Q111">SUMPRODUCT(--(ABS(_xlfn._xlws.FILTER(Q$53:Q$100,ISNUMBER(Q$53:Q$100)))&gt;0))</f>
        <v>#VALUE!</v>
      </c>
      <c r="R111" s="530" t="e" cm="1" vm="1">
        <f t="array" ref="R111">SUMPRODUCT(--(ABS(_xlfn._xlws.FILTER(R$53:R$100,ISNUMBER(R$53:R$100)))&gt;0))</f>
        <v>#VALUE!</v>
      </c>
      <c r="S111" s="568" t="e" cm="1" vm="1">
        <f t="array" ref="S111">SUMPRODUCT(--(ABS(_xlfn._xlws.FILTER(S$53:S$100,ISNUMBER(S$53:S$100)))&gt;0))</f>
        <v>#VALUE!</v>
      </c>
      <c r="T111" cm="1">
        <f t="array" ref="T111">SUMPRODUCT(--(T2:T49&gt;0))</f>
        <v>10</v>
      </c>
      <c r="U111" cm="1">
        <f t="array" ref="U111">SUMPRODUCT(--(U2:U49&gt;0))</f>
        <v>10</v>
      </c>
      <c r="V111" cm="1">
        <f t="array" ref="V111">SUMPRODUCT(--(V2:V49&gt;0))</f>
        <v>10</v>
      </c>
      <c r="W111" s="567" t="e" cm="1" vm="1">
        <f t="array" ref="W111">SUMPRODUCT(--(ABS(_xlfn._xlws.FILTER(W$53:W$100,ISNUMBER(W$53:W$100)))&gt;0))</f>
        <v>#VALUE!</v>
      </c>
      <c r="X111" s="530" t="e" cm="1" vm="1">
        <f t="array" ref="X111">SUMPRODUCT(--(ABS(_xlfn._xlws.FILTER(X$53:X$100,ISNUMBER(X$53:X$100)))&gt;0))</f>
        <v>#VALUE!</v>
      </c>
      <c r="Y111" s="573" t="e" cm="1" vm="1">
        <f t="array" ref="Y111">SUMPRODUCT(--(ABS(_xlfn._xlws.FILTER(Y$53:Y$100,ISNUMBER(Y$53:Y$100)))&gt;0))</f>
        <v>#VALUE!</v>
      </c>
      <c r="Z111">
        <f>B111+H111+N111+T111</f>
        <v>89</v>
      </c>
    </row>
    <row r="112" spans="1:27" ht="15.75" thickBot="1">
      <c r="A112" s="511" t="s">
        <v>777</v>
      </c>
      <c r="B112" s="574">
        <f>(B109+B110)/B111</f>
        <v>0</v>
      </c>
      <c r="C112" s="574">
        <f>(C109+C110)/B111</f>
        <v>0.90322580645161288</v>
      </c>
      <c r="D112" s="574">
        <f>(D109+D110)/B111</f>
        <v>0</v>
      </c>
      <c r="E112" s="575" t="e" vm="2">
        <f>(E109+E110)/E111</f>
        <v>#VALUE!</v>
      </c>
      <c r="F112" s="576" t="e" vm="2">
        <f>(F109+F110)/F111</f>
        <v>#VALUE!</v>
      </c>
      <c r="G112" s="577" t="e" vm="2">
        <f>(G109+G110)/G111</f>
        <v>#VALUE!</v>
      </c>
      <c r="H112" s="574">
        <f>(H109+H110)/H111</f>
        <v>0</v>
      </c>
      <c r="I112" s="574">
        <f>(I109+I110)/H111</f>
        <v>0.97368421052631582</v>
      </c>
      <c r="J112" s="574">
        <f>(J109+J110)/H111</f>
        <v>0</v>
      </c>
      <c r="K112" s="575" t="e" vm="2">
        <f>(K109+K110)/K111</f>
        <v>#VALUE!</v>
      </c>
      <c r="L112" s="576" t="e" vm="2">
        <f>(L109+L110)/L111</f>
        <v>#VALUE!</v>
      </c>
      <c r="M112" s="577" t="e" vm="2">
        <f>(M109+M110)/M111</f>
        <v>#VALUE!</v>
      </c>
      <c r="N112" s="574">
        <f>(N109+N110)/N111</f>
        <v>0</v>
      </c>
      <c r="O112" s="574">
        <f>(O109+O110)/N111</f>
        <v>1</v>
      </c>
      <c r="P112" s="574">
        <f>(P109+P110)/N111</f>
        <v>0</v>
      </c>
      <c r="Q112" s="575" t="e" vm="2">
        <f>(Q109+Q110)/Q111</f>
        <v>#VALUE!</v>
      </c>
      <c r="R112" s="576" t="e" vm="2">
        <f>(R109+R110)/R111</f>
        <v>#VALUE!</v>
      </c>
      <c r="S112" s="577" t="e" vm="2">
        <f>(S109+S110)/S111</f>
        <v>#VALUE!</v>
      </c>
      <c r="T112" s="574">
        <f>(T109+T110)/T111</f>
        <v>0</v>
      </c>
      <c r="U112" s="574">
        <f>(U109+U110)/T111</f>
        <v>1</v>
      </c>
      <c r="V112" s="574">
        <f>(V109+V110)/T111</f>
        <v>0</v>
      </c>
      <c r="W112" s="575" t="e" vm="2">
        <f>(W109+W110)/W111</f>
        <v>#VALUE!</v>
      </c>
      <c r="X112" s="576" t="e" vm="2">
        <f>(X109+X110)/X111</f>
        <v>#VALUE!</v>
      </c>
      <c r="Y112" s="577" t="e" vm="2">
        <f>(Y109+Y110)/Y111</f>
        <v>#VALUE!</v>
      </c>
      <c r="Z112" s="574">
        <f>(Z109+Z110)/Z111</f>
        <v>0</v>
      </c>
    </row>
    <row r="113" spans="1:27">
      <c r="A113" s="509" t="s">
        <v>778</v>
      </c>
      <c r="B113" s="587">
        <f>(B109+B110-$C$120)/(B111-$B$120)</f>
        <v>0</v>
      </c>
      <c r="C113" s="419"/>
      <c r="D113" s="419"/>
      <c r="E113" s="419" t="e" vm="2">
        <f>(E109+E110-E120)/(E111-B120)</f>
        <v>#VALUE!</v>
      </c>
      <c r="F113" s="419" t="e" vm="2">
        <f>(F109+F110-F120)/(F111-B120)</f>
        <v>#VALUE!</v>
      </c>
      <c r="G113" s="419" t="e" vm="2">
        <f>(G109+G110-G120)/(G111-B120)</f>
        <v>#VALUE!</v>
      </c>
      <c r="H113" s="587">
        <f>(H109+H110-$I$120)/(H111-$H$120)</f>
        <v>0</v>
      </c>
      <c r="I113" s="419"/>
      <c r="J113" s="419"/>
      <c r="K113" s="419" t="e" vm="2">
        <f>(K109+K110-K120)/(K111-H120)</f>
        <v>#VALUE!</v>
      </c>
      <c r="L113" s="419" t="e" vm="2">
        <f>(L109+L110-L120)/(L111-H120)</f>
        <v>#VALUE!</v>
      </c>
      <c r="M113" s="419" t="e" vm="2">
        <f>(M109+M110-M120)/(M111-H120)</f>
        <v>#VALUE!</v>
      </c>
      <c r="N113" s="587">
        <f>(N109+N110-$O$120)/(N111-$N$120)</f>
        <v>0</v>
      </c>
      <c r="O113" s="419"/>
      <c r="P113" s="419"/>
      <c r="Q113" s="419" t="e" vm="2">
        <f>(Q109+Q110-Q120)/(Q111-N120)</f>
        <v>#VALUE!</v>
      </c>
      <c r="R113" s="419" t="e" vm="2">
        <f>(R109+R110-R120)/(R111-N120)</f>
        <v>#VALUE!</v>
      </c>
      <c r="S113" s="419" t="e" vm="2">
        <f>(S109+S110-S120)/(S111-N120)</f>
        <v>#VALUE!</v>
      </c>
      <c r="T113" s="587">
        <f>(T109+T110-$U$120)/(T111-$T$120)</f>
        <v>0</v>
      </c>
      <c r="U113" s="419"/>
      <c r="V113" s="419"/>
      <c r="W113" s="419" t="e" vm="2">
        <f>(W109+W110-W120)/(W111-T120)</f>
        <v>#VALUE!</v>
      </c>
      <c r="X113" s="419" t="e" vm="2">
        <f>(X109+X110-X120)/(X111-T120)</f>
        <v>#VALUE!</v>
      </c>
      <c r="Y113" s="419" t="e" vm="2">
        <f>(Y109+Y110-Y120)/(Y111-T120)</f>
        <v>#VALUE!</v>
      </c>
      <c r="Z113" s="587">
        <f>(Z109+Z110-$AA$120)/(Z111-$Z$120)</f>
        <v>0</v>
      </c>
    </row>
    <row r="115" spans="1:27">
      <c r="A115" t="s">
        <v>779</v>
      </c>
    </row>
    <row r="116" spans="1:27">
      <c r="A116" t="s">
        <v>780</v>
      </c>
      <c r="B116" t="e">
        <f>_xlfn.XLOOKUP(A116,$A$2:$A$49,$B$2:$B$49)</f>
        <v>#N/A</v>
      </c>
      <c r="C116" t="e">
        <f>_xlfn.XLOOKUP(A116,$A$53:$A$100,$B$53:$B$100)</f>
        <v>#N/A</v>
      </c>
      <c r="E116" t="b">
        <f>IF(ISNUMBER(_xlfn.XLOOKUP($A116,$A$2:$A$49,E$53:E$100)),ABS(_xlfn.XLOOKUP($A116,$A$2:$A$49,E$53:E$100))&lt;$A$107,FALSE)</f>
        <v>0</v>
      </c>
      <c r="F116" t="b">
        <f t="shared" ref="F116:G118" si="33">IF(ISNUMBER(_xlfn.XLOOKUP($A116,$A$2:$A$49,F$53:F$100)),ABS(_xlfn.XLOOKUP($A116,$A$2:$A$49,F$53:F$100))&lt;$A$107,FALSE)</f>
        <v>0</v>
      </c>
      <c r="G116" t="b">
        <f t="shared" si="33"/>
        <v>0</v>
      </c>
      <c r="H116" t="e">
        <f>_xlfn.XLOOKUP($A$116,$A$2:$A$49,$H$2:$H$49)</f>
        <v>#N/A</v>
      </c>
      <c r="I116" t="e">
        <f>_xlfn.XLOOKUP($A$116,$A$53:$A$100,$H$53:$H$100)</f>
        <v>#N/A</v>
      </c>
      <c r="K116" t="b">
        <f>IF(ISNUMBER(_xlfn.XLOOKUP($A116,$A$2:$A$49,K$53:K$100)),ABS(_xlfn.XLOOKUP($A116,$A$2:$A$49,K$53:K$100))&lt;$A$107,FALSE)</f>
        <v>0</v>
      </c>
      <c r="L116" t="b">
        <f t="shared" ref="L116:M118" si="34">IF(ISNUMBER(_xlfn.XLOOKUP($A116,$A$2:$A$49,L$53:L$100)),ABS(_xlfn.XLOOKUP($A116,$A$2:$A$49,L$53:L$100))&lt;$A$107,FALSE)</f>
        <v>0</v>
      </c>
      <c r="M116" t="b">
        <f t="shared" si="34"/>
        <v>0</v>
      </c>
      <c r="N116" t="e">
        <f>_xlfn.XLOOKUP($A116,$A$2:$A$49,$N$2:$N$49)</f>
        <v>#N/A</v>
      </c>
      <c r="O116" t="e">
        <f>_xlfn.XLOOKUP($A116,$A$53:$A$100,$N$53:$N$100)</f>
        <v>#N/A</v>
      </c>
      <c r="Q116" t="b">
        <f>IF(ISNUMBER(_xlfn.XLOOKUP($A116,$A$2:$A$49,Q$53:Q$100)),ABS(_xlfn.XLOOKUP($A116,$A$2:$A$49,Q$53:Q$100))&lt;$A$107,FALSE)</f>
        <v>0</v>
      </c>
      <c r="R116" t="b">
        <f t="shared" ref="R116:S118" si="35">IF(ISNUMBER(_xlfn.XLOOKUP($A116,$A$2:$A$49,R$53:R$100)),ABS(_xlfn.XLOOKUP($A116,$A$2:$A$49,R$53:R$100))&lt;$A$107,FALSE)</f>
        <v>0</v>
      </c>
      <c r="S116" t="b">
        <f t="shared" si="35"/>
        <v>0</v>
      </c>
      <c r="T116" t="e">
        <f>_xlfn.XLOOKUP($A116,$A$2:$A$49,$T$2:$T$49)</f>
        <v>#N/A</v>
      </c>
      <c r="U116" t="e">
        <f>_xlfn.XLOOKUP($A116,$A$53:$A$100,$T$53:$T$100)</f>
        <v>#N/A</v>
      </c>
      <c r="W116" t="b">
        <f>IF(ISNUMBER(_xlfn.XLOOKUP($A116,$A$2:$A$49,W$53:W$100)),ABS(_xlfn.XLOOKUP($A116,$A$2:$A$49,W$53:W$100))&lt;$A$107,FALSE)</f>
        <v>0</v>
      </c>
      <c r="X116" t="b">
        <f t="shared" ref="X116:Y118" si="36">IF(ISNUMBER(_xlfn.XLOOKUP($A116,$A$2:$A$49,X$53:X$100)),ABS(_xlfn.XLOOKUP($A116,$A$2:$A$49,X$53:X$100))&lt;$A$107,FALSE)</f>
        <v>0</v>
      </c>
      <c r="Y116" t="b">
        <f t="shared" si="36"/>
        <v>0</v>
      </c>
    </row>
    <row r="117" spans="1:27">
      <c r="A117" t="s">
        <v>781</v>
      </c>
      <c r="B117" t="e">
        <f t="shared" ref="B117:B118" si="37">_xlfn.XLOOKUP(A117,$A$2:$A$49,$B$2:$B$49)</f>
        <v>#N/A</v>
      </c>
      <c r="C117" t="e">
        <f t="shared" ref="C117:C118" si="38">_xlfn.XLOOKUP(A117,$A$53:$A$100,$B$53:$B$100)</f>
        <v>#N/A</v>
      </c>
      <c r="E117" t="b">
        <f t="shared" ref="E117:E118" si="39">IF(ISNUMBER(_xlfn.XLOOKUP($A117,$A$2:$A$49,E$53:E$100)),ABS(_xlfn.XLOOKUP($A117,$A$2:$A$49,E$53:E$100))&lt;$A$107,FALSE)</f>
        <v>0</v>
      </c>
      <c r="F117" t="b">
        <f t="shared" si="33"/>
        <v>0</v>
      </c>
      <c r="G117" t="b">
        <f t="shared" si="33"/>
        <v>0</v>
      </c>
      <c r="H117" t="e">
        <f>_xlfn.XLOOKUP($A$117,$A$2:$A$49,$H$2:$H$49)</f>
        <v>#N/A</v>
      </c>
      <c r="I117" t="e">
        <f>_xlfn.XLOOKUP($A$117,$A$53:$A$100,$H$53:$H$100)</f>
        <v>#N/A</v>
      </c>
      <c r="K117" t="b">
        <f t="shared" ref="K117:K118" si="40">IF(ISNUMBER(_xlfn.XLOOKUP($A117,$A$2:$A$49,K$53:K$100)),ABS(_xlfn.XLOOKUP($A117,$A$2:$A$49,K$53:K$100))&lt;$A$107,FALSE)</f>
        <v>0</v>
      </c>
      <c r="L117" t="b">
        <f t="shared" si="34"/>
        <v>0</v>
      </c>
      <c r="M117" t="b">
        <f t="shared" si="34"/>
        <v>0</v>
      </c>
      <c r="N117" t="e">
        <f t="shared" ref="N117:N118" si="41">_xlfn.XLOOKUP($A117,$A$2:$A$49,$N$2:$N$49)</f>
        <v>#N/A</v>
      </c>
      <c r="O117" t="e">
        <f t="shared" ref="O117:O118" si="42">_xlfn.XLOOKUP($A117,$A$53:$A$100,$N$53:$N$100)</f>
        <v>#N/A</v>
      </c>
      <c r="Q117" t="b">
        <f t="shared" ref="Q117:Q118" si="43">IF(ISNUMBER(_xlfn.XLOOKUP($A117,$A$2:$A$49,Q$53:Q$100)),ABS(_xlfn.XLOOKUP($A117,$A$2:$A$49,Q$53:Q$100))&lt;$A$107,FALSE)</f>
        <v>0</v>
      </c>
      <c r="R117" t="b">
        <f t="shared" si="35"/>
        <v>0</v>
      </c>
      <c r="S117" t="b">
        <f t="shared" si="35"/>
        <v>0</v>
      </c>
      <c r="T117" t="e">
        <f t="shared" ref="T117:T118" si="44">_xlfn.XLOOKUP($A117,$A$2:$A$49,$T$2:$T$49)</f>
        <v>#N/A</v>
      </c>
      <c r="U117" t="e">
        <f t="shared" ref="U117:U118" si="45">_xlfn.XLOOKUP($A117,$A$53:$A$100,$T$53:$T$100)</f>
        <v>#N/A</v>
      </c>
      <c r="W117" t="b">
        <f t="shared" ref="W117:W118" si="46">IF(ISNUMBER(_xlfn.XLOOKUP($A117,$A$2:$A$49,W$53:W$100)),ABS(_xlfn.XLOOKUP($A117,$A$2:$A$49,W$53:W$100))&lt;$A$107,FALSE)</f>
        <v>0</v>
      </c>
      <c r="X117" t="b">
        <f t="shared" si="36"/>
        <v>0</v>
      </c>
      <c r="Y117" t="b">
        <f t="shared" si="36"/>
        <v>0</v>
      </c>
    </row>
    <row r="118" spans="1:27">
      <c r="A118" t="s">
        <v>782</v>
      </c>
      <c r="B118" t="e">
        <f t="shared" si="37"/>
        <v>#N/A</v>
      </c>
      <c r="C118" t="e">
        <f t="shared" si="38"/>
        <v>#N/A</v>
      </c>
      <c r="E118" t="b">
        <f t="shared" si="39"/>
        <v>0</v>
      </c>
      <c r="F118" t="b">
        <f t="shared" si="33"/>
        <v>0</v>
      </c>
      <c r="G118" t="b">
        <f t="shared" si="33"/>
        <v>0</v>
      </c>
      <c r="H118" t="e">
        <f>_xlfn.XLOOKUP($A$118,$A$2:$A$49,$H$2:$H$49)</f>
        <v>#N/A</v>
      </c>
      <c r="I118" t="e">
        <f>_xlfn.XLOOKUP($A$118,$A$53:$A$100,$H$53:$H$100)</f>
        <v>#N/A</v>
      </c>
      <c r="K118" t="b">
        <f t="shared" si="40"/>
        <v>0</v>
      </c>
      <c r="L118" t="b">
        <f t="shared" si="34"/>
        <v>0</v>
      </c>
      <c r="M118" t="b">
        <f t="shared" si="34"/>
        <v>0</v>
      </c>
      <c r="N118" t="e">
        <f t="shared" si="41"/>
        <v>#N/A</v>
      </c>
      <c r="O118" t="e">
        <f t="shared" si="42"/>
        <v>#N/A</v>
      </c>
      <c r="Q118" t="b">
        <f t="shared" si="43"/>
        <v>0</v>
      </c>
      <c r="R118" t="b">
        <f t="shared" si="35"/>
        <v>0</v>
      </c>
      <c r="S118" t="b">
        <f t="shared" si="35"/>
        <v>0</v>
      </c>
      <c r="T118" t="e">
        <f t="shared" si="44"/>
        <v>#N/A</v>
      </c>
      <c r="U118" t="e">
        <f t="shared" si="45"/>
        <v>#N/A</v>
      </c>
      <c r="W118" t="b">
        <f t="shared" si="46"/>
        <v>0</v>
      </c>
      <c r="X118" t="b">
        <f t="shared" si="36"/>
        <v>0</v>
      </c>
      <c r="Y118" t="b">
        <f t="shared" si="36"/>
        <v>0</v>
      </c>
    </row>
    <row r="120" spans="1:27">
      <c r="B120">
        <f>COUNTIF(B116:B119,"&gt;0")</f>
        <v>0</v>
      </c>
      <c r="C120">
        <f>COUNTIF(C116:C119,"&gt;=0")</f>
        <v>0</v>
      </c>
      <c r="E120">
        <f>COUNTIF(E116:E119,TRUE)</f>
        <v>0</v>
      </c>
      <c r="F120">
        <f t="shared" ref="F120:G120" si="47">COUNTIF(F116:F119,TRUE)</f>
        <v>0</v>
      </c>
      <c r="G120">
        <f t="shared" si="47"/>
        <v>0</v>
      </c>
      <c r="H120">
        <f>COUNTIF(H116:H119,"&gt;0")</f>
        <v>0</v>
      </c>
      <c r="I120">
        <f>COUNTIF(I116:I119,"&gt;=0")</f>
        <v>0</v>
      </c>
      <c r="K120">
        <f>COUNTIF(K116:K119,TRUE)</f>
        <v>0</v>
      </c>
      <c r="L120">
        <f t="shared" ref="L120" si="48">COUNTIF(L116:L119,TRUE)</f>
        <v>0</v>
      </c>
      <c r="M120">
        <f t="shared" ref="M120" si="49">COUNTIF(M116:M119,TRUE)</f>
        <v>0</v>
      </c>
      <c r="N120">
        <f>COUNTIF(N116:N119,"&gt;0")</f>
        <v>0</v>
      </c>
      <c r="O120">
        <f>COUNTIF(O116:O119,"&gt;=0")</f>
        <v>0</v>
      </c>
      <c r="Q120">
        <f>COUNTIF(Q116:Q119,TRUE)</f>
        <v>0</v>
      </c>
      <c r="R120">
        <f t="shared" ref="R120" si="50">COUNTIF(R116:R119,TRUE)</f>
        <v>0</v>
      </c>
      <c r="S120">
        <f t="shared" ref="S120" si="51">COUNTIF(S116:S119,TRUE)</f>
        <v>0</v>
      </c>
      <c r="T120">
        <f>COUNTIF(T116:T119,"&gt;0")</f>
        <v>0</v>
      </c>
      <c r="U120">
        <f>COUNTIF(U116:U119,"&gt;=0")</f>
        <v>0</v>
      </c>
      <c r="W120">
        <f>COUNTIF(W116:W119,TRUE)</f>
        <v>0</v>
      </c>
      <c r="X120">
        <f t="shared" ref="X120" si="52">COUNTIF(X116:X119,TRUE)</f>
        <v>0</v>
      </c>
      <c r="Y120">
        <f t="shared" ref="Y120" si="53">COUNTIF(Y116:Y119,TRUE)</f>
        <v>0</v>
      </c>
      <c r="Z120">
        <f>B120+H120+N120+T120</f>
        <v>0</v>
      </c>
      <c r="AA120">
        <f>C120+I120+O120+U120</f>
        <v>0</v>
      </c>
    </row>
    <row r="121" spans="1:27">
      <c r="L121" s="419"/>
    </row>
    <row r="122" spans="1:27">
      <c r="L122" s="419"/>
    </row>
    <row r="123" spans="1:27">
      <c r="L123" s="419"/>
    </row>
    <row r="124" spans="1:27">
      <c r="L124" s="419"/>
    </row>
    <row r="125" spans="1:27">
      <c r="L125" s="419"/>
    </row>
    <row r="126" spans="1:27">
      <c r="L126" s="419"/>
    </row>
    <row r="127" spans="1:27">
      <c r="L127" s="419"/>
    </row>
    <row r="128" spans="1:27">
      <c r="L128" s="419"/>
    </row>
    <row r="129" spans="12:12">
      <c r="L129" s="419"/>
    </row>
    <row r="130" spans="12:12">
      <c r="L130" s="419"/>
    </row>
    <row r="131" spans="12:12">
      <c r="L131" s="419"/>
    </row>
    <row r="132" spans="12:12">
      <c r="L132" s="419"/>
    </row>
    <row r="133" spans="12:12">
      <c r="L133" s="419"/>
    </row>
    <row r="134" spans="12:12">
      <c r="L134" s="419"/>
    </row>
    <row r="135" spans="12:12">
      <c r="L135" s="419"/>
    </row>
    <row r="136" spans="12:12">
      <c r="L136" s="419"/>
    </row>
    <row r="137" spans="12:12">
      <c r="L137" s="419"/>
    </row>
    <row r="138" spans="12:12">
      <c r="L138" s="419"/>
    </row>
    <row r="139" spans="12:12">
      <c r="L139" s="419"/>
    </row>
    <row r="140" spans="12:12">
      <c r="L140" s="419"/>
    </row>
    <row r="141" spans="12:12">
      <c r="L141" s="419"/>
    </row>
    <row r="142" spans="12:12">
      <c r="L142" s="419"/>
    </row>
    <row r="143" spans="12:12">
      <c r="L143" s="419"/>
    </row>
  </sheetData>
  <conditionalFormatting sqref="B53:B102 C102:D102 H102:J102 N102:P102 T102:V102">
    <cfRule type="colorScale" priority="609">
      <colorScale>
        <cfvo type="min"/>
        <cfvo type="percentile" val="50"/>
        <cfvo type="max"/>
        <color rgb="FFF8696B"/>
        <color rgb="FFFFEB84"/>
        <color rgb="FF63BE7B"/>
      </colorScale>
    </cfRule>
  </conditionalFormatting>
  <conditionalFormatting sqref="C53:C101">
    <cfRule type="colorScale" priority="611">
      <colorScale>
        <cfvo type="min"/>
        <cfvo type="percentile" val="50"/>
        <cfvo type="max"/>
        <color rgb="FFF8696B"/>
        <color rgb="FFFFEB84"/>
        <color rgb="FF63BE7B"/>
      </colorScale>
    </cfRule>
  </conditionalFormatting>
  <conditionalFormatting sqref="D53:D101">
    <cfRule type="colorScale" priority="613">
      <colorScale>
        <cfvo type="min"/>
        <cfvo type="percentile" val="50"/>
        <cfvo type="max"/>
        <color rgb="FFF8696B"/>
        <color rgb="FFFFEB84"/>
        <color rgb="FF63BE7B"/>
      </colorScale>
    </cfRule>
  </conditionalFormatting>
  <conditionalFormatting sqref="E53:E102 F102:G102 K102:M102 Q102:S102 W102:Y102">
    <cfRule type="colorScale" priority="615">
      <colorScale>
        <cfvo type="min"/>
        <cfvo type="percentile" val="50"/>
        <cfvo type="max"/>
        <color rgb="FFF8696B"/>
        <color rgb="FFFFEB84"/>
        <color rgb="FF63BE7B"/>
      </colorScale>
    </cfRule>
  </conditionalFormatting>
  <conditionalFormatting sqref="F53:F101">
    <cfRule type="colorScale" priority="617">
      <colorScale>
        <cfvo type="min"/>
        <cfvo type="percentile" val="50"/>
        <cfvo type="max"/>
        <color rgb="FFF8696B"/>
        <color rgb="FFFFEB84"/>
        <color rgb="FF63BE7B"/>
      </colorScale>
    </cfRule>
  </conditionalFormatting>
  <conditionalFormatting sqref="G53:G101">
    <cfRule type="colorScale" priority="619">
      <colorScale>
        <cfvo type="min"/>
        <cfvo type="percentile" val="50"/>
        <cfvo type="max"/>
        <color rgb="FFF8696B"/>
        <color rgb="FFFFEB84"/>
        <color rgb="FF63BE7B"/>
      </colorScale>
    </cfRule>
  </conditionalFormatting>
  <conditionalFormatting sqref="H53:H101">
    <cfRule type="colorScale" priority="621">
      <colorScale>
        <cfvo type="min"/>
        <cfvo type="percentile" val="50"/>
        <cfvo type="max"/>
        <color rgb="FFF8696B"/>
        <color rgb="FFFFEB84"/>
        <color rgb="FF63BE7B"/>
      </colorScale>
    </cfRule>
  </conditionalFormatting>
  <conditionalFormatting sqref="I53:I101">
    <cfRule type="colorScale" priority="623">
      <colorScale>
        <cfvo type="min"/>
        <cfvo type="percentile" val="50"/>
        <cfvo type="max"/>
        <color rgb="FFF8696B"/>
        <color rgb="FFFFEB84"/>
        <color rgb="FF63BE7B"/>
      </colorScale>
    </cfRule>
  </conditionalFormatting>
  <conditionalFormatting sqref="J53:J101">
    <cfRule type="colorScale" priority="625">
      <colorScale>
        <cfvo type="min"/>
        <cfvo type="percentile" val="50"/>
        <cfvo type="max"/>
        <color rgb="FFF8696B"/>
        <color rgb="FFFFEB84"/>
        <color rgb="FF63BE7B"/>
      </colorScale>
    </cfRule>
  </conditionalFormatting>
  <conditionalFormatting sqref="K53:K101">
    <cfRule type="colorScale" priority="627">
      <colorScale>
        <cfvo type="min"/>
        <cfvo type="percentile" val="50"/>
        <cfvo type="max"/>
        <color rgb="FFF8696B"/>
        <color rgb="FFFFEB84"/>
        <color rgb="FF63BE7B"/>
      </colorScale>
    </cfRule>
  </conditionalFormatting>
  <conditionalFormatting sqref="L53:L101">
    <cfRule type="colorScale" priority="629">
      <colorScale>
        <cfvo type="min"/>
        <cfvo type="percentile" val="50"/>
        <cfvo type="max"/>
        <color rgb="FFF8696B"/>
        <color rgb="FFFFEB84"/>
        <color rgb="FF63BE7B"/>
      </colorScale>
    </cfRule>
  </conditionalFormatting>
  <conditionalFormatting sqref="M53:M101">
    <cfRule type="colorScale" priority="631">
      <colorScale>
        <cfvo type="min"/>
        <cfvo type="percentile" val="50"/>
        <cfvo type="max"/>
        <color rgb="FFF8696B"/>
        <color rgb="FFFFEB84"/>
        <color rgb="FF63BE7B"/>
      </colorScale>
    </cfRule>
  </conditionalFormatting>
  <conditionalFormatting sqref="N53:N101">
    <cfRule type="colorScale" priority="633">
      <colorScale>
        <cfvo type="min"/>
        <cfvo type="percentile" val="50"/>
        <cfvo type="max"/>
        <color rgb="FFF8696B"/>
        <color rgb="FFFFEB84"/>
        <color rgb="FF63BE7B"/>
      </colorScale>
    </cfRule>
  </conditionalFormatting>
  <conditionalFormatting sqref="O53:O101">
    <cfRule type="colorScale" priority="635">
      <colorScale>
        <cfvo type="min"/>
        <cfvo type="percentile" val="50"/>
        <cfvo type="max"/>
        <color rgb="FFF8696B"/>
        <color rgb="FFFFEB84"/>
        <color rgb="FF63BE7B"/>
      </colorScale>
    </cfRule>
  </conditionalFormatting>
  <conditionalFormatting sqref="P53:P101">
    <cfRule type="colorScale" priority="637">
      <colorScale>
        <cfvo type="min"/>
        <cfvo type="percentile" val="50"/>
        <cfvo type="max"/>
        <color rgb="FFF8696B"/>
        <color rgb="FFFFEB84"/>
        <color rgb="FF63BE7B"/>
      </colorScale>
    </cfRule>
  </conditionalFormatting>
  <conditionalFormatting sqref="Q53:Q101">
    <cfRule type="colorScale" priority="639">
      <colorScale>
        <cfvo type="min"/>
        <cfvo type="percentile" val="50"/>
        <cfvo type="max"/>
        <color rgb="FFF8696B"/>
        <color rgb="FFFFEB84"/>
        <color rgb="FF63BE7B"/>
      </colorScale>
    </cfRule>
  </conditionalFormatting>
  <conditionalFormatting sqref="R53:R101">
    <cfRule type="colorScale" priority="641">
      <colorScale>
        <cfvo type="min"/>
        <cfvo type="percentile" val="50"/>
        <cfvo type="max"/>
        <color rgb="FFF8696B"/>
        <color rgb="FFFFEB84"/>
        <color rgb="FF63BE7B"/>
      </colorScale>
    </cfRule>
  </conditionalFormatting>
  <conditionalFormatting sqref="S53:S101">
    <cfRule type="colorScale" priority="643">
      <colorScale>
        <cfvo type="min"/>
        <cfvo type="percentile" val="50"/>
        <cfvo type="max"/>
        <color rgb="FFF8696B"/>
        <color rgb="FFFFEB84"/>
        <color rgb="FF63BE7B"/>
      </colorScale>
    </cfRule>
  </conditionalFormatting>
  <conditionalFormatting sqref="T53:T101">
    <cfRule type="colorScale" priority="645">
      <colorScale>
        <cfvo type="min"/>
        <cfvo type="percentile" val="50"/>
        <cfvo type="max"/>
        <color rgb="FFF8696B"/>
        <color rgb="FFFFEB84"/>
        <color rgb="FF63BE7B"/>
      </colorScale>
    </cfRule>
  </conditionalFormatting>
  <conditionalFormatting sqref="U53:U101">
    <cfRule type="colorScale" priority="647">
      <colorScale>
        <cfvo type="min"/>
        <cfvo type="percentile" val="50"/>
        <cfvo type="max"/>
        <color rgb="FFF8696B"/>
        <color rgb="FFFFEB84"/>
        <color rgb="FF63BE7B"/>
      </colorScale>
    </cfRule>
  </conditionalFormatting>
  <conditionalFormatting sqref="V53:V101">
    <cfRule type="colorScale" priority="649">
      <colorScale>
        <cfvo type="min"/>
        <cfvo type="percentile" val="50"/>
        <cfvo type="max"/>
        <color rgb="FFF8696B"/>
        <color rgb="FFFFEB84"/>
        <color rgb="FF63BE7B"/>
      </colorScale>
    </cfRule>
  </conditionalFormatting>
  <conditionalFormatting sqref="W53:W101">
    <cfRule type="colorScale" priority="651">
      <colorScale>
        <cfvo type="min"/>
        <cfvo type="percentile" val="50"/>
        <cfvo type="max"/>
        <color rgb="FFF8696B"/>
        <color rgb="FFFFEB84"/>
        <color rgb="FF63BE7B"/>
      </colorScale>
    </cfRule>
  </conditionalFormatting>
  <conditionalFormatting sqref="X53:X101">
    <cfRule type="colorScale" priority="653">
      <colorScale>
        <cfvo type="min"/>
        <cfvo type="percentile" val="50"/>
        <cfvo type="max"/>
        <color rgb="FFF8696B"/>
        <color rgb="FFFFEB84"/>
        <color rgb="FF63BE7B"/>
      </colorScale>
    </cfRule>
  </conditionalFormatting>
  <conditionalFormatting sqref="Y53:Y101">
    <cfRule type="colorScale" priority="655">
      <colorScale>
        <cfvo type="min"/>
        <cfvo type="percentile" val="50"/>
        <cfvo type="max"/>
        <color rgb="FFF8696B"/>
        <color rgb="FFFFEB84"/>
        <color rgb="FF63BE7B"/>
      </colorScale>
    </cfRule>
  </conditionalFormatting>
  <conditionalFormatting sqref="Z2:Z49">
    <cfRule type="containsText" dxfId="2" priority="25" operator="containsText" text="Y">
      <formula>NOT(ISERROR(SEARCH("Y",Z2)))</formula>
    </cfRule>
    <cfRule type="containsText" dxfId="1" priority="26" operator="containsText" text="N">
      <formula>NOT(ISERROR(SEARCH("N",Z2)))</formula>
    </cfRule>
  </conditionalFormatting>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81397-FF8C-40CC-88B8-D45736D4E223}">
  <sheetPr codeName="Feuil6"/>
  <dimension ref="A1:V74"/>
  <sheetViews>
    <sheetView workbookViewId="0">
      <selection activeCell="E2" sqref="E2"/>
    </sheetView>
  </sheetViews>
  <sheetFormatPr baseColWidth="10" defaultRowHeight="15"/>
  <cols>
    <col min="1" max="1" width="22.28515625" bestFit="1" customWidth="1"/>
    <col min="2" max="2" width="15.7109375" customWidth="1"/>
    <col min="3" max="3" width="16.7109375" customWidth="1"/>
    <col min="4" max="4" width="13.140625" customWidth="1"/>
    <col min="5" max="5" width="12.5703125" style="917" customWidth="1"/>
    <col min="6" max="7" width="16.5703125" bestFit="1" customWidth="1"/>
    <col min="8" max="8" width="11.5703125" customWidth="1"/>
    <col min="9" max="9" width="11.85546875" customWidth="1"/>
    <col min="10" max="10" width="8.28515625" customWidth="1"/>
    <col min="19" max="19" width="11.42578125" style="548"/>
  </cols>
  <sheetData>
    <row r="1" spans="1:22" ht="15.75" thickBot="1">
      <c r="A1" s="7" t="s">
        <v>614</v>
      </c>
      <c r="B1" s="857" t="s">
        <v>113</v>
      </c>
      <c r="C1" s="857" t="s">
        <v>114</v>
      </c>
      <c r="D1" s="857" t="s">
        <v>925</v>
      </c>
      <c r="E1" s="915" t="s">
        <v>926</v>
      </c>
      <c r="F1" s="858" t="s">
        <v>900</v>
      </c>
      <c r="G1" s="858" t="s">
        <v>901</v>
      </c>
      <c r="H1" s="858" t="s">
        <v>881</v>
      </c>
      <c r="I1" s="858" t="s">
        <v>882</v>
      </c>
      <c r="J1" s="858" t="s">
        <v>880</v>
      </c>
      <c r="K1" s="858" t="s">
        <v>907</v>
      </c>
      <c r="L1" s="858" t="s">
        <v>905</v>
      </c>
      <c r="M1" s="858" t="s">
        <v>908</v>
      </c>
      <c r="N1" s="858" t="s">
        <v>906</v>
      </c>
      <c r="O1" s="858" t="s">
        <v>909</v>
      </c>
      <c r="P1" s="858" t="s">
        <v>910</v>
      </c>
      <c r="Q1" s="858" t="s">
        <v>911</v>
      </c>
      <c r="R1" s="858" t="s">
        <v>927</v>
      </c>
      <c r="S1" s="858" t="s">
        <v>934</v>
      </c>
      <c r="U1" s="129" t="s">
        <v>1001</v>
      </c>
      <c r="V1" s="129" t="s">
        <v>1002</v>
      </c>
    </row>
    <row r="2" spans="1:22">
      <c r="A2" s="425" t="str">
        <f>Recap!D8</f>
        <v>McGregor_1</v>
      </c>
      <c r="B2" s="846">
        <f>Recap!AP8</f>
        <v>60</v>
      </c>
      <c r="C2" s="846">
        <f>Recap!AQ8</f>
        <v>41</v>
      </c>
      <c r="D2" s="882">
        <f>IF(Recap!AT8&gt;0,Recap!CS8,"")</f>
        <v>25.4</v>
      </c>
      <c r="E2" s="908">
        <f>IF(Recap!AU8&gt;0,Recap!DE8,"")</f>
        <v>25.4</v>
      </c>
      <c r="F2" s="425">
        <f>IF(Recap!AT8&gt;0,MIN(Recap!AR8,Recap!AT8),"")</f>
        <v>45.9</v>
      </c>
      <c r="G2" s="425">
        <f>IF(Recap!AU8&gt;0,MIN(Recap!AS8,Recap!AU8),"")</f>
        <v>36.200000000000003</v>
      </c>
      <c r="H2" s="425"/>
      <c r="I2" s="425"/>
      <c r="J2" s="425"/>
      <c r="K2" s="425"/>
      <c r="L2" s="425"/>
      <c r="M2" s="860"/>
      <c r="N2" s="425"/>
      <c r="O2" s="869"/>
      <c r="P2" s="425"/>
      <c r="Q2" s="425"/>
      <c r="R2" s="425"/>
      <c r="S2" s="548">
        <f>IF(MIN(D2:E2)&gt;0,R2/MIN(D2:E2),0)</f>
        <v>0</v>
      </c>
      <c r="U2" t="str">
        <f>IF(AND(ISBLANK(H2),ISBLANK(P2)),"",H2-P2)</f>
        <v/>
      </c>
      <c r="V2" t="str">
        <f>IF(AND(ISBLANK(J2),ISBLANK(Q2)),"",J2-Q2)</f>
        <v/>
      </c>
    </row>
    <row r="3" spans="1:22">
      <c r="A3" s="843" t="str">
        <f>Recap!D9</f>
        <v>McGregor_2</v>
      </c>
      <c r="B3" s="847">
        <f>Recap!AP9</f>
        <v>0</v>
      </c>
      <c r="C3" s="847">
        <f>Recap!AQ9</f>
        <v>0</v>
      </c>
      <c r="D3" s="906">
        <f>IF(Recap!AT9&gt;0,Recap!CS9,"")</f>
        <v>25.4</v>
      </c>
      <c r="E3" s="906">
        <f>IF(Recap!AU9&gt;0,Recap!DE9,"")</f>
        <v>25.4</v>
      </c>
      <c r="F3" s="843">
        <f>IF(Recap!AT9&gt;0,MIN(Recap!AR9,Recap!AT9),"")</f>
        <v>45.9</v>
      </c>
      <c r="G3" s="843">
        <f>IF(Recap!AU9&gt;0,MIN(Recap!AS9,Recap!AU9),"")</f>
        <v>36.200000000000003</v>
      </c>
      <c r="H3" s="843"/>
      <c r="I3" s="843"/>
      <c r="J3" s="843"/>
      <c r="K3" s="843"/>
      <c r="L3" s="843"/>
      <c r="M3" s="859"/>
      <c r="N3" s="843"/>
      <c r="O3" s="870"/>
      <c r="P3" s="843"/>
      <c r="Q3" s="843"/>
      <c r="R3" s="843"/>
      <c r="S3" s="548">
        <f t="shared" ref="S3:S66" si="0">IF(MIN(D3:E3)&gt;0,R3/MIN(D3:E3),0)</f>
        <v>0</v>
      </c>
      <c r="U3" t="str">
        <f t="shared" ref="U3:U66" si="1">IF(AND(ISBLANK(H3),ISBLANK(P3)),"",H3-P3)</f>
        <v/>
      </c>
      <c r="V3" t="str">
        <f t="shared" ref="V3:V66" si="2">IF(AND(ISBLANK(J3),ISBLANK(Q3)),"",J3-Q3)</f>
        <v/>
      </c>
    </row>
    <row r="4" spans="1:22">
      <c r="A4" s="843" t="str">
        <f>Recap!D10</f>
        <v>McGregor_3</v>
      </c>
      <c r="B4" s="847">
        <f>Recap!AP10</f>
        <v>0</v>
      </c>
      <c r="C4" s="847">
        <f>Recap!AQ10</f>
        <v>0</v>
      </c>
      <c r="D4" s="906" t="str">
        <f>IF(Recap!AT10&gt;0,Recap!CS10,"")</f>
        <v/>
      </c>
      <c r="E4" s="906" t="str">
        <f>IF(Recap!AU10&gt;0,Recap!DE10,"")</f>
        <v/>
      </c>
      <c r="F4" s="843" t="str">
        <f>IF(Recap!AT10&gt;0,MIN(Recap!AR10,Recap!AT10),"")</f>
        <v/>
      </c>
      <c r="G4" s="843" t="str">
        <f>IF(Recap!AU10&gt;0,MIN(Recap!AS10,Recap!AU10),"")</f>
        <v/>
      </c>
      <c r="H4" s="843"/>
      <c r="I4" s="843"/>
      <c r="J4" s="843"/>
      <c r="K4" s="843"/>
      <c r="L4" s="843"/>
      <c r="M4" s="859"/>
      <c r="N4" s="843"/>
      <c r="O4" s="870"/>
      <c r="P4" s="843"/>
      <c r="Q4" s="843"/>
      <c r="R4" s="843"/>
      <c r="S4" s="548">
        <f t="shared" si="0"/>
        <v>0</v>
      </c>
      <c r="U4" t="str">
        <f t="shared" si="1"/>
        <v/>
      </c>
      <c r="V4" t="str">
        <f t="shared" si="2"/>
        <v/>
      </c>
    </row>
    <row r="5" spans="1:22">
      <c r="A5" s="843" t="str">
        <f>Recap!D11</f>
        <v>McGregor_4</v>
      </c>
      <c r="B5" s="847">
        <f>Recap!AP11</f>
        <v>0</v>
      </c>
      <c r="C5" s="847">
        <f>Recap!AQ11</f>
        <v>0</v>
      </c>
      <c r="D5" s="906">
        <f>IF(Recap!AT11&gt;0,Recap!CS11,"")</f>
        <v>25.4</v>
      </c>
      <c r="E5" s="906">
        <f>IF(Recap!AU11&gt;0,Recap!DE11,"")</f>
        <v>25.4</v>
      </c>
      <c r="F5" s="843">
        <f>IF(Recap!AT11&gt;0,MIN(Recap!AR11,Recap!AT11),"")</f>
        <v>45.9</v>
      </c>
      <c r="G5" s="843">
        <f>IF(Recap!AU11&gt;0,MIN(Recap!AS11,Recap!AU11),"")</f>
        <v>36.200000000000003</v>
      </c>
      <c r="H5" s="843"/>
      <c r="I5" s="843"/>
      <c r="J5" s="843"/>
      <c r="K5" s="843"/>
      <c r="L5" s="843"/>
      <c r="M5" s="859"/>
      <c r="N5" s="843"/>
      <c r="O5" s="870"/>
      <c r="P5" s="843"/>
      <c r="Q5" s="843"/>
      <c r="R5" s="843"/>
      <c r="S5" s="548">
        <f t="shared" si="0"/>
        <v>0</v>
      </c>
      <c r="U5" t="str">
        <f t="shared" si="1"/>
        <v/>
      </c>
      <c r="V5" t="str">
        <f t="shared" si="2"/>
        <v/>
      </c>
    </row>
    <row r="6" spans="1:22" ht="15.75" thickBot="1">
      <c r="A6" s="7" t="str">
        <f>Recap!D12</f>
        <v>McGregor_5</v>
      </c>
      <c r="B6" s="848">
        <f>Recap!AP12</f>
        <v>0</v>
      </c>
      <c r="C6" s="848">
        <f>Recap!AQ12</f>
        <v>0</v>
      </c>
      <c r="D6" s="907" t="str">
        <f>IF(Recap!AT12&gt;0,Recap!CS12,"")</f>
        <v/>
      </c>
      <c r="E6" s="907" t="str">
        <f>IF(Recap!AU12&gt;0,Recap!DE12,"")</f>
        <v/>
      </c>
      <c r="F6" s="7" t="str">
        <f>IF(Recap!AT12&gt;0,MIN(Recap!AR12,Recap!AT12),"")</f>
        <v/>
      </c>
      <c r="G6" s="7" t="str">
        <f>IF(Recap!AU12&gt;0,MIN(Recap!AS12,Recap!AU12),"")</f>
        <v/>
      </c>
      <c r="H6" s="7"/>
      <c r="I6" s="7"/>
      <c r="J6" s="7"/>
      <c r="K6" s="7"/>
      <c r="L6" s="7"/>
      <c r="M6" s="861"/>
      <c r="N6" s="7"/>
      <c r="O6" s="871"/>
      <c r="P6" s="7"/>
      <c r="Q6" s="7"/>
      <c r="R6" s="7"/>
      <c r="S6" s="548">
        <f t="shared" si="0"/>
        <v>0</v>
      </c>
      <c r="U6" t="str">
        <f t="shared" si="1"/>
        <v/>
      </c>
      <c r="V6" t="str">
        <f t="shared" si="2"/>
        <v/>
      </c>
    </row>
    <row r="7" spans="1:22">
      <c r="A7" s="843" t="str">
        <f>Recap!D13</f>
        <v>Medina_1</v>
      </c>
      <c r="B7" s="847">
        <f>Recap!AP13</f>
        <v>0</v>
      </c>
      <c r="C7" s="847">
        <f>Recap!AQ13</f>
        <v>87</v>
      </c>
      <c r="D7" s="906">
        <f>IF(Recap!AT13&gt;0,Recap!CS13,"")</f>
        <v>25.4</v>
      </c>
      <c r="E7" s="906">
        <f>IF(Recap!AU13&gt;0,Recap!DE13,"")</f>
        <v>25.4</v>
      </c>
      <c r="F7" s="843">
        <f>IF(Recap!AT13&gt;0,MIN(Recap!AR13,Recap!AT13),"")</f>
        <v>50</v>
      </c>
      <c r="G7" s="843">
        <f>IF(Recap!AU13&gt;0,MIN(Recap!AS13,Recap!AU13),"")</f>
        <v>50</v>
      </c>
      <c r="H7" s="843"/>
      <c r="I7" s="843"/>
      <c r="J7" s="843"/>
      <c r="K7" s="843"/>
      <c r="L7" s="843"/>
      <c r="M7" s="859"/>
      <c r="N7" s="843"/>
      <c r="O7" s="870"/>
      <c r="P7" s="843"/>
      <c r="Q7" s="843"/>
      <c r="R7" s="843"/>
      <c r="S7" s="548">
        <f t="shared" si="0"/>
        <v>0</v>
      </c>
      <c r="U7" t="str">
        <f t="shared" si="1"/>
        <v/>
      </c>
      <c r="V7" t="str">
        <f t="shared" si="2"/>
        <v/>
      </c>
    </row>
    <row r="8" spans="1:22">
      <c r="A8" s="843" t="str">
        <f>Recap!D14</f>
        <v>Medina_2</v>
      </c>
      <c r="B8" s="847">
        <f>Recap!AP14</f>
        <v>0</v>
      </c>
      <c r="C8" s="847">
        <f>Recap!AQ14</f>
        <v>45</v>
      </c>
      <c r="D8" s="906">
        <f>IF(Recap!AT14&gt;0,Recap!CS14,"")</f>
        <v>25.4</v>
      </c>
      <c r="E8" s="906">
        <f>IF(Recap!AU14&gt;0,Recap!DE14,"")</f>
        <v>25.4</v>
      </c>
      <c r="F8" s="843">
        <f>IF(Recap!AT14&gt;0,MIN(Recap!AR14,Recap!AT14),"")</f>
        <v>50</v>
      </c>
      <c r="G8" s="843">
        <f>IF(Recap!AU14&gt;0,MIN(Recap!AS14,Recap!AU14),"")</f>
        <v>50</v>
      </c>
      <c r="H8" s="843"/>
      <c r="I8" s="843"/>
      <c r="J8" s="843"/>
      <c r="K8" s="843"/>
      <c r="L8" s="843"/>
      <c r="M8" s="859"/>
      <c r="N8" s="843"/>
      <c r="O8" s="870"/>
      <c r="P8" s="843"/>
      <c r="Q8" s="843"/>
      <c r="R8" s="843"/>
      <c r="S8" s="548">
        <f t="shared" si="0"/>
        <v>0</v>
      </c>
      <c r="U8" t="str">
        <f t="shared" si="1"/>
        <v/>
      </c>
      <c r="V8" t="str">
        <f t="shared" si="2"/>
        <v/>
      </c>
    </row>
    <row r="9" spans="1:22" ht="15.75" thickBot="1">
      <c r="A9" s="7" t="str">
        <f>Recap!D15</f>
        <v>Medina_3</v>
      </c>
      <c r="B9" s="848">
        <f>Recap!AP15</f>
        <v>0</v>
      </c>
      <c r="C9" s="848">
        <f>Recap!AQ15</f>
        <v>0</v>
      </c>
      <c r="D9" s="907">
        <f>IF(Recap!AT15&gt;0,Recap!CS15,"")</f>
        <v>25.4</v>
      </c>
      <c r="E9" s="907">
        <f>IF(Recap!AU15&gt;0,Recap!DE15,"")</f>
        <v>25.4</v>
      </c>
      <c r="F9" s="7">
        <f>IF(Recap!AT15&gt;0,MIN(Recap!AR15,Recap!AT15),"")</f>
        <v>50</v>
      </c>
      <c r="G9" s="7">
        <f>IF(Recap!AU15&gt;0,MIN(Recap!AS15,Recap!AU15),"")</f>
        <v>50</v>
      </c>
      <c r="H9" s="7"/>
      <c r="I9" s="7"/>
      <c r="J9" s="7"/>
      <c r="K9" s="7"/>
      <c r="L9" s="7"/>
      <c r="M9" s="861"/>
      <c r="N9" s="7"/>
      <c r="O9" s="871"/>
      <c r="P9" s="7"/>
      <c r="Q9" s="7"/>
      <c r="R9" s="7"/>
      <c r="S9" s="548">
        <f t="shared" si="0"/>
        <v>0</v>
      </c>
      <c r="U9" t="str">
        <f t="shared" si="1"/>
        <v/>
      </c>
      <c r="V9" t="str">
        <f t="shared" si="2"/>
        <v/>
      </c>
    </row>
    <row r="10" spans="1:22">
      <c r="A10" s="843" t="str">
        <f>Recap!D16</f>
        <v>NRCC&amp;NIST_1</v>
      </c>
      <c r="B10" s="847">
        <f>Recap!AP16</f>
        <v>0</v>
      </c>
      <c r="C10" s="847">
        <f>Recap!AQ16</f>
        <v>0</v>
      </c>
      <c r="D10" s="906">
        <f>IF(Recap!AT16&gt;0,Recap!CS16,"")</f>
        <v>47.7</v>
      </c>
      <c r="E10" s="906">
        <f>IF(Recap!AU16&gt;0,Recap!DE16,"")</f>
        <v>47.7</v>
      </c>
      <c r="F10" s="843">
        <f>IF(Recap!AT16&gt;0,MIN(Recap!AR16,Recap!AT16),"")</f>
        <v>88.4</v>
      </c>
      <c r="G10" s="843">
        <f>IF(Recap!AU16&gt;0,MIN(Recap!AS16,Recap!AU16),"")</f>
        <v>82.8</v>
      </c>
      <c r="H10" s="843"/>
      <c r="I10" s="843"/>
      <c r="J10" s="843"/>
      <c r="K10" s="843"/>
      <c r="L10" s="843"/>
      <c r="M10" s="859"/>
      <c r="N10" s="843"/>
      <c r="O10" s="870"/>
      <c r="P10" s="843"/>
      <c r="Q10" s="843"/>
      <c r="R10" s="843"/>
      <c r="S10" s="548">
        <f t="shared" si="0"/>
        <v>0</v>
      </c>
      <c r="U10" t="str">
        <f t="shared" si="1"/>
        <v/>
      </c>
      <c r="V10" t="str">
        <f t="shared" si="2"/>
        <v/>
      </c>
    </row>
    <row r="11" spans="1:22">
      <c r="A11" s="843" t="str">
        <f>Recap!D17</f>
        <v>NRCC&amp;NIST_2</v>
      </c>
      <c r="B11" s="847">
        <f>Recap!AP17</f>
        <v>0</v>
      </c>
      <c r="C11" s="847">
        <f>Recap!AQ17</f>
        <v>0</v>
      </c>
      <c r="D11" s="906">
        <f>IF(Recap!AT17&gt;0,Recap!CS17,"")</f>
        <v>31.8</v>
      </c>
      <c r="E11" s="906">
        <f>IF(Recap!AU17&gt;0,Recap!DE17,"")</f>
        <v>31.8</v>
      </c>
      <c r="F11" s="843">
        <f>IF(Recap!AT17&gt;0,MIN(Recap!AR17,Recap!AT17),"")</f>
        <v>66.099999999999994</v>
      </c>
      <c r="G11" s="843">
        <f>IF(Recap!AU17&gt;0,MIN(Recap!AS17,Recap!AU17),"")</f>
        <v>66.099999999999994</v>
      </c>
      <c r="H11" s="843"/>
      <c r="I11" s="843"/>
      <c r="J11" s="843"/>
      <c r="K11" s="843"/>
      <c r="L11" s="843"/>
      <c r="M11" s="859"/>
      <c r="N11" s="843"/>
      <c r="O11" s="870"/>
      <c r="P11" s="843"/>
      <c r="Q11" s="843"/>
      <c r="R11" s="843"/>
      <c r="S11" s="548">
        <f t="shared" si="0"/>
        <v>0</v>
      </c>
      <c r="U11" t="str">
        <f t="shared" si="1"/>
        <v/>
      </c>
      <c r="V11" t="str">
        <f t="shared" si="2"/>
        <v/>
      </c>
    </row>
    <row r="12" spans="1:22">
      <c r="A12" s="843" t="str">
        <f>Recap!D18</f>
        <v>NRCC&amp;NIST_3</v>
      </c>
      <c r="B12" s="847">
        <f>Recap!AP18</f>
        <v>0</v>
      </c>
      <c r="C12" s="847">
        <f>Recap!AQ18</f>
        <v>0</v>
      </c>
      <c r="D12" s="906">
        <f>IF(Recap!AT18&gt;0,Recap!CS18,"")</f>
        <v>31.8</v>
      </c>
      <c r="E12" s="906">
        <f>IF(Recap!AU18&gt;0,Recap!DE18,"")</f>
        <v>31.8</v>
      </c>
      <c r="F12" s="843">
        <f>IF(Recap!AT18&gt;0,MIN(Recap!AR18,Recap!AT18),"")</f>
        <v>66.099999999999994</v>
      </c>
      <c r="G12" s="843">
        <f>IF(Recap!AU18&gt;0,MIN(Recap!AS18,Recap!AU18),"")</f>
        <v>66.099999999999994</v>
      </c>
      <c r="H12" s="843"/>
      <c r="I12" s="843"/>
      <c r="J12" s="843"/>
      <c r="K12" s="843"/>
      <c r="L12" s="843"/>
      <c r="M12" s="859"/>
      <c r="N12" s="843"/>
      <c r="O12" s="870"/>
      <c r="P12" s="843"/>
      <c r="Q12" s="843"/>
      <c r="R12" s="843"/>
      <c r="S12" s="548">
        <f t="shared" si="0"/>
        <v>0</v>
      </c>
      <c r="U12" t="str">
        <f t="shared" si="1"/>
        <v/>
      </c>
      <c r="V12" t="str">
        <f t="shared" si="2"/>
        <v/>
      </c>
    </row>
    <row r="13" spans="1:22">
      <c r="A13" s="843" t="str">
        <f>Recap!D19</f>
        <v>NRCC&amp;NIST_4</v>
      </c>
      <c r="B13" s="847">
        <f>Recap!AP19</f>
        <v>0</v>
      </c>
      <c r="C13" s="847">
        <f>Recap!AQ19</f>
        <v>0</v>
      </c>
      <c r="D13" s="906">
        <f>IF(Recap!AT19&gt;0,Recap!CS19,"")</f>
        <v>47.7</v>
      </c>
      <c r="E13" s="906" t="str">
        <f>IF(Recap!AU19&gt;0,Recap!DE19,"")</f>
        <v/>
      </c>
      <c r="F13" s="843">
        <f>IF(Recap!AT19&gt;0,MIN(Recap!AR19,Recap!AT19),"")</f>
        <v>88.4</v>
      </c>
      <c r="G13" s="843" t="str">
        <f>IF(Recap!AU19&gt;0,MIN(Recap!AS19,Recap!AU19),"")</f>
        <v/>
      </c>
      <c r="H13" s="843"/>
      <c r="I13" s="843"/>
      <c r="J13" s="843"/>
      <c r="K13" s="843"/>
      <c r="L13" s="843"/>
      <c r="M13" s="859"/>
      <c r="N13" s="843"/>
      <c r="O13" s="870"/>
      <c r="P13" s="843"/>
      <c r="Q13" s="843"/>
      <c r="R13" s="843"/>
      <c r="S13" s="548">
        <f t="shared" si="0"/>
        <v>0</v>
      </c>
      <c r="U13" t="str">
        <f t="shared" si="1"/>
        <v/>
      </c>
      <c r="V13" t="str">
        <f t="shared" si="2"/>
        <v/>
      </c>
    </row>
    <row r="14" spans="1:22">
      <c r="A14" s="843" t="str">
        <f>Recap!D20</f>
        <v>NRCC&amp;NIST_5</v>
      </c>
      <c r="B14" s="847">
        <f>Recap!AP20</f>
        <v>185</v>
      </c>
      <c r="C14" s="847">
        <f>Recap!AQ20</f>
        <v>144</v>
      </c>
      <c r="D14" s="906">
        <f>IF(Recap!AT20&gt;0,Recap!CS20,"")</f>
        <v>47.7</v>
      </c>
      <c r="E14" s="906">
        <f>IF(Recap!AU20&gt;0,Recap!DE20,"")</f>
        <v>47.7</v>
      </c>
      <c r="F14" s="843">
        <f>IF(Recap!AT20&gt;0,MIN(Recap!AR20,Recap!AT20),"")</f>
        <v>88.4</v>
      </c>
      <c r="G14" s="843">
        <f>IF(Recap!AU20&gt;0,MIN(Recap!AS20,Recap!AU20),"")</f>
        <v>82.8</v>
      </c>
      <c r="H14" s="843"/>
      <c r="I14" s="843"/>
      <c r="J14" s="843"/>
      <c r="K14" s="843"/>
      <c r="L14" s="843"/>
      <c r="M14" s="859"/>
      <c r="N14" s="843"/>
      <c r="O14" s="870"/>
      <c r="P14" s="843"/>
      <c r="Q14" s="843"/>
      <c r="R14" s="843"/>
      <c r="S14" s="548">
        <f t="shared" si="0"/>
        <v>0</v>
      </c>
      <c r="U14" t="str">
        <f t="shared" si="1"/>
        <v/>
      </c>
      <c r="V14" t="str">
        <f t="shared" si="2"/>
        <v/>
      </c>
    </row>
    <row r="15" spans="1:22" ht="15.75" thickBot="1">
      <c r="A15" s="7" t="str">
        <f>Recap!D21</f>
        <v>NRCC&amp;NIST_6</v>
      </c>
      <c r="B15" s="848">
        <f>Recap!AP21</f>
        <v>125</v>
      </c>
      <c r="C15" s="848">
        <f>Recap!AQ21</f>
        <v>0</v>
      </c>
      <c r="D15" s="907">
        <f>IF(Recap!AT21&gt;0,Recap!CS21,"")</f>
        <v>47.7</v>
      </c>
      <c r="E15" s="907" t="str">
        <f>IF(Recap!AU21&gt;0,Recap!DE21,"")</f>
        <v/>
      </c>
      <c r="F15" s="7">
        <f>IF(Recap!AT21&gt;0,MIN(Recap!AR21,Recap!AT21),"")</f>
        <v>88.4</v>
      </c>
      <c r="G15" s="7" t="str">
        <f>IF(Recap!AU21&gt;0,MIN(Recap!AS21,Recap!AU21),"")</f>
        <v/>
      </c>
      <c r="H15" s="7"/>
      <c r="I15" s="7"/>
      <c r="J15" s="7"/>
      <c r="K15" s="7"/>
      <c r="L15" s="7"/>
      <c r="M15" s="861"/>
      <c r="N15" s="7"/>
      <c r="O15" s="871"/>
      <c r="P15" s="7"/>
      <c r="Q15" s="7"/>
      <c r="R15" s="7"/>
      <c r="S15" s="548">
        <f t="shared" si="0"/>
        <v>0</v>
      </c>
      <c r="U15" t="str">
        <f t="shared" si="1"/>
        <v/>
      </c>
      <c r="V15" t="str">
        <f t="shared" si="2"/>
        <v/>
      </c>
    </row>
    <row r="16" spans="1:22">
      <c r="A16" s="425" t="str">
        <f>Recap!D22</f>
        <v>NRCC_Room_1</v>
      </c>
      <c r="B16" s="846">
        <f>Recap!AP22</f>
        <v>0</v>
      </c>
      <c r="C16" s="846">
        <f>Recap!AQ22</f>
        <v>0</v>
      </c>
      <c r="D16" s="908">
        <f>IF(Recap!AT22&gt;0,Recap!CS22,"")</f>
        <v>41.3</v>
      </c>
      <c r="E16" s="908">
        <f>IF(Recap!AU22&gt;0,Recap!DE22,"")</f>
        <v>41.3</v>
      </c>
      <c r="F16" s="425">
        <f>IF(Recap!AT22&gt;0,MIN(Recap!AR22,Recap!AT22),"")</f>
        <v>72.3</v>
      </c>
      <c r="G16" s="425">
        <f>IF(Recap!AU22&gt;0,MIN(Recap!AS22,Recap!AU22),"")</f>
        <v>72.3</v>
      </c>
      <c r="H16" s="425"/>
      <c r="I16" s="425"/>
      <c r="J16" s="425"/>
      <c r="K16" s="425"/>
      <c r="L16" s="425"/>
      <c r="M16" s="860"/>
      <c r="N16" s="425"/>
      <c r="O16" s="869"/>
      <c r="P16" s="425"/>
      <c r="Q16" s="425"/>
      <c r="R16" s="425"/>
      <c r="S16" s="548">
        <f t="shared" si="0"/>
        <v>0</v>
      </c>
      <c r="U16" t="str">
        <f t="shared" si="1"/>
        <v/>
      </c>
      <c r="V16" t="str">
        <f t="shared" si="2"/>
        <v/>
      </c>
    </row>
    <row r="17" spans="1:22">
      <c r="A17" s="843" t="str">
        <f>Recap!D23</f>
        <v>NRCC_Room_2</v>
      </c>
      <c r="B17" s="847">
        <f>Recap!AP23</f>
        <v>46.5</v>
      </c>
      <c r="C17" s="847">
        <f>Recap!AQ23</f>
        <v>52</v>
      </c>
      <c r="D17" s="906">
        <f>IF(Recap!AT23&gt;0,Recap!CS23,"")</f>
        <v>25.4</v>
      </c>
      <c r="E17" s="906">
        <f>IF(Recap!AU23&gt;0,Recap!DE23,"")</f>
        <v>25.4</v>
      </c>
      <c r="F17" s="843">
        <f>IF(Recap!AT23&gt;0,MIN(Recap!AR23,Recap!AT23),"")</f>
        <v>50</v>
      </c>
      <c r="G17" s="843">
        <f>IF(Recap!AU23&gt;0,MIN(Recap!AS23,Recap!AU23),"")</f>
        <v>50</v>
      </c>
      <c r="H17" s="843"/>
      <c r="I17" s="843"/>
      <c r="J17" s="843"/>
      <c r="K17" s="843"/>
      <c r="L17" s="843"/>
      <c r="M17" s="859"/>
      <c r="N17" s="843"/>
      <c r="O17" s="870"/>
      <c r="P17" s="843"/>
      <c r="Q17" s="843"/>
      <c r="R17" s="843"/>
      <c r="S17" s="548">
        <f t="shared" si="0"/>
        <v>0</v>
      </c>
      <c r="U17" t="str">
        <f t="shared" si="1"/>
        <v/>
      </c>
      <c r="V17" t="str">
        <f t="shared" si="2"/>
        <v/>
      </c>
    </row>
    <row r="18" spans="1:22">
      <c r="A18" s="843" t="str">
        <f>Recap!D24</f>
        <v>NRCC_Room_3</v>
      </c>
      <c r="B18" s="847">
        <f>Recap!AP24</f>
        <v>55.5</v>
      </c>
      <c r="C18" s="847">
        <f>Recap!AQ24</f>
        <v>55.5</v>
      </c>
      <c r="D18" s="906">
        <f>IF(Recap!AT24&gt;0,Recap!CS24,"")</f>
        <v>25.4</v>
      </c>
      <c r="E18" s="906">
        <f>IF(Recap!AU24&gt;0,Recap!DE24,"")</f>
        <v>25.4</v>
      </c>
      <c r="F18" s="843">
        <f>IF(Recap!AT24&gt;0,MIN(Recap!AR24,Recap!AT24),"")</f>
        <v>50</v>
      </c>
      <c r="G18" s="843">
        <f>IF(Recap!AU24&gt;0,MIN(Recap!AS24,Recap!AU24),"")</f>
        <v>50</v>
      </c>
      <c r="H18" s="843"/>
      <c r="I18" s="843"/>
      <c r="J18" s="843"/>
      <c r="K18" s="843"/>
      <c r="L18" s="843"/>
      <c r="M18" s="859"/>
      <c r="N18" s="843"/>
      <c r="O18" s="870"/>
      <c r="P18" s="843"/>
      <c r="Q18" s="843"/>
      <c r="R18" s="843"/>
      <c r="S18" s="548">
        <f t="shared" si="0"/>
        <v>0</v>
      </c>
      <c r="U18" t="str">
        <f t="shared" si="1"/>
        <v/>
      </c>
      <c r="V18" t="str">
        <f t="shared" si="2"/>
        <v/>
      </c>
    </row>
    <row r="19" spans="1:22">
      <c r="A19" s="843" t="str">
        <f>Recap!D25</f>
        <v>NRCC_Room_4</v>
      </c>
      <c r="B19" s="847">
        <f>Recap!AP25</f>
        <v>55</v>
      </c>
      <c r="C19" s="847">
        <f>Recap!AQ25</f>
        <v>0</v>
      </c>
      <c r="D19" s="906">
        <f>IF(Recap!AT25&gt;0,Recap!CS25,"")</f>
        <v>25.4</v>
      </c>
      <c r="E19" s="906" t="str">
        <f>IF(Recap!AU25&gt;0,Recap!DE25,"")</f>
        <v/>
      </c>
      <c r="F19" s="843">
        <f>IF(Recap!AT25&gt;0,MIN(Recap!AR25,Recap!AT25),"")</f>
        <v>50</v>
      </c>
      <c r="G19" s="843" t="str">
        <f>IF(Recap!AU25&gt;0,MIN(Recap!AS25,Recap!AU25),"")</f>
        <v/>
      </c>
      <c r="H19" s="843"/>
      <c r="I19" s="843"/>
      <c r="J19" s="843"/>
      <c r="K19" s="843"/>
      <c r="L19" s="843"/>
      <c r="M19" s="859"/>
      <c r="N19" s="843"/>
      <c r="O19" s="870"/>
      <c r="P19" s="843"/>
      <c r="Q19" s="843"/>
      <c r="R19" s="843"/>
      <c r="S19" s="548">
        <f t="shared" si="0"/>
        <v>0</v>
      </c>
      <c r="U19" t="str">
        <f t="shared" si="1"/>
        <v/>
      </c>
      <c r="V19" t="str">
        <f t="shared" si="2"/>
        <v/>
      </c>
    </row>
    <row r="20" spans="1:22" ht="15.75" thickBot="1">
      <c r="A20" s="7" t="str">
        <f>Recap!D26</f>
        <v>NRCC_Room_5</v>
      </c>
      <c r="B20" s="848">
        <f>Recap!AP26</f>
        <v>46</v>
      </c>
      <c r="C20" s="848">
        <f>Recap!AQ26</f>
        <v>0</v>
      </c>
      <c r="D20" s="907">
        <f>IF(Recap!AT26&gt;0,Recap!CS26,"")</f>
        <v>25.4</v>
      </c>
      <c r="E20" s="907" t="str">
        <f>IF(Recap!AU26&gt;0,Recap!DE26,"")</f>
        <v/>
      </c>
      <c r="F20" s="7">
        <f>IF(Recap!AT26&gt;0,MIN(Recap!AR26,Recap!AT26),"")</f>
        <v>50</v>
      </c>
      <c r="G20" s="7" t="str">
        <f>IF(Recap!AU26&gt;0,MIN(Recap!AS26,Recap!AU26),"")</f>
        <v/>
      </c>
      <c r="H20" s="7"/>
      <c r="I20" s="7"/>
      <c r="J20" s="7"/>
      <c r="K20" s="7"/>
      <c r="L20" s="7"/>
      <c r="M20" s="861"/>
      <c r="N20" s="7"/>
      <c r="O20" s="871"/>
      <c r="P20" s="7"/>
      <c r="Q20" s="7"/>
      <c r="R20" s="7"/>
      <c r="S20" s="548">
        <f t="shared" si="0"/>
        <v>0</v>
      </c>
      <c r="U20" t="str">
        <f t="shared" si="1"/>
        <v/>
      </c>
      <c r="V20" t="str">
        <f t="shared" si="2"/>
        <v/>
      </c>
    </row>
    <row r="21" spans="1:22" ht="15.75" thickBot="1">
      <c r="A21" s="7" t="str">
        <f>Recap!D27</f>
        <v>NRCC_Elevator_1</v>
      </c>
      <c r="B21" s="848">
        <f>Recap!AP27</f>
        <v>60.9</v>
      </c>
      <c r="C21" s="848">
        <f>Recap!AQ27</f>
        <v>15.7</v>
      </c>
      <c r="D21" s="907">
        <f>IF(Recap!AT27&gt;0,Recap!CS27,"")</f>
        <v>31.8</v>
      </c>
      <c r="E21" s="907">
        <f>IF(Recap!AU27&gt;0,Recap!DE27,"")</f>
        <v>15.9</v>
      </c>
      <c r="F21" s="7">
        <f>IF(Recap!AT27&gt;0,MIN(Recap!AR27,Recap!AT27),"")</f>
        <v>66.099999999999994</v>
      </c>
      <c r="G21" s="7">
        <f>IF(Recap!AU27&gt;0,MIN(Recap!AS27,Recap!AU27),"")</f>
        <v>30.5</v>
      </c>
      <c r="H21" s="7"/>
      <c r="I21" s="7"/>
      <c r="J21" s="7"/>
      <c r="K21" s="7"/>
      <c r="L21" s="7"/>
      <c r="M21" s="861"/>
      <c r="N21" s="7"/>
      <c r="O21" s="871"/>
      <c r="P21" s="7"/>
      <c r="Q21" s="7"/>
      <c r="R21" s="7"/>
      <c r="S21" s="548">
        <f t="shared" si="0"/>
        <v>0</v>
      </c>
      <c r="U21" t="str">
        <f t="shared" si="1"/>
        <v/>
      </c>
      <c r="V21" t="str">
        <f t="shared" si="2"/>
        <v/>
      </c>
    </row>
    <row r="22" spans="1:22">
      <c r="A22" s="425" t="str">
        <f>Recap!D28</f>
        <v>NRCC_Encaps_LWF1</v>
      </c>
      <c r="B22" s="846">
        <f>Recap!AP28</f>
        <v>0</v>
      </c>
      <c r="C22" s="846">
        <f>Recap!AQ28</f>
        <v>0</v>
      </c>
      <c r="D22" s="908" t="str">
        <f>IF(Recap!AT28&gt;0,Recap!CS28,"")</f>
        <v/>
      </c>
      <c r="E22" s="908" t="str">
        <f>IF(Recap!AU28&gt;0,Recap!DE28,"")</f>
        <v/>
      </c>
      <c r="F22" s="425" t="str">
        <f>IF(Recap!AT28&gt;0,MIN(Recap!AR28,Recap!AT28),"")</f>
        <v/>
      </c>
      <c r="G22" s="425" t="str">
        <f>IF(Recap!AU28&gt;0,MIN(Recap!AS28,Recap!AU28),"")</f>
        <v/>
      </c>
      <c r="H22" s="425"/>
      <c r="I22" s="425"/>
      <c r="J22" s="425"/>
      <c r="K22" s="425"/>
      <c r="L22" s="425"/>
      <c r="M22" s="860"/>
      <c r="N22" s="425"/>
      <c r="O22" s="869"/>
      <c r="P22" s="425"/>
      <c r="Q22" s="425"/>
      <c r="R22" s="425"/>
      <c r="S22" s="548">
        <f t="shared" si="0"/>
        <v>0</v>
      </c>
      <c r="U22" t="str">
        <f t="shared" si="1"/>
        <v/>
      </c>
      <c r="V22" t="str">
        <f t="shared" si="2"/>
        <v/>
      </c>
    </row>
    <row r="23" spans="1:22">
      <c r="A23" s="843" t="str">
        <f>Recap!D29</f>
        <v>NRCC_Encaps_CLT</v>
      </c>
      <c r="B23" s="847">
        <f>Recap!AP29</f>
        <v>0</v>
      </c>
      <c r="C23" s="847">
        <f>Recap!AQ29</f>
        <v>0</v>
      </c>
      <c r="D23" s="906" t="str">
        <f>IF(Recap!AT29&gt;0,Recap!CS29,"")</f>
        <v/>
      </c>
      <c r="E23" s="906" t="str">
        <f>IF(Recap!AU29&gt;0,Recap!DE29,"")</f>
        <v/>
      </c>
      <c r="F23" s="843" t="str">
        <f>IF(Recap!AT29&gt;0,MIN(Recap!AR29,Recap!AT29),"")</f>
        <v/>
      </c>
      <c r="G23" s="843" t="str">
        <f>IF(Recap!AU29&gt;0,MIN(Recap!AS29,Recap!AU29),"")</f>
        <v/>
      </c>
      <c r="H23" s="843"/>
      <c r="I23" s="843"/>
      <c r="J23" s="843"/>
      <c r="K23" s="843"/>
      <c r="L23" s="843"/>
      <c r="M23" s="859"/>
      <c r="N23" s="843"/>
      <c r="O23" s="870"/>
      <c r="P23" s="843"/>
      <c r="Q23" s="843"/>
      <c r="R23" s="843"/>
      <c r="S23" s="548">
        <f t="shared" si="0"/>
        <v>0</v>
      </c>
      <c r="U23" t="str">
        <f t="shared" si="1"/>
        <v/>
      </c>
      <c r="V23" t="str">
        <f t="shared" si="2"/>
        <v/>
      </c>
    </row>
    <row r="24" spans="1:22">
      <c r="A24" s="843" t="str">
        <f>Recap!D30</f>
        <v>NRCC_Encaps_LSF</v>
      </c>
      <c r="B24" s="847">
        <f>Recap!AP30</f>
        <v>0</v>
      </c>
      <c r="C24" s="847">
        <f>Recap!AQ30</f>
        <v>0</v>
      </c>
      <c r="D24" s="906" t="str">
        <f>IF(Recap!AT30&gt;0,Recap!CS30,"")</f>
        <v/>
      </c>
      <c r="E24" s="906" t="str">
        <f>IF(Recap!AU30&gt;0,Recap!DE30,"")</f>
        <v/>
      </c>
      <c r="F24" s="843" t="str">
        <f>IF(Recap!AT30&gt;0,MIN(Recap!AR30,Recap!AT30),"")</f>
        <v/>
      </c>
      <c r="G24" s="843" t="str">
        <f>IF(Recap!AU30&gt;0,MIN(Recap!AS30,Recap!AU30),"")</f>
        <v/>
      </c>
      <c r="H24" s="843"/>
      <c r="I24" s="843"/>
      <c r="J24" s="843"/>
      <c r="K24" s="843"/>
      <c r="L24" s="843"/>
      <c r="M24" s="859"/>
      <c r="N24" s="843"/>
      <c r="O24" s="870"/>
      <c r="P24" s="843"/>
      <c r="Q24" s="843"/>
      <c r="R24" s="843"/>
      <c r="S24" s="548">
        <f t="shared" si="0"/>
        <v>0</v>
      </c>
      <c r="U24" t="str">
        <f t="shared" si="1"/>
        <v/>
      </c>
      <c r="V24" t="str">
        <f t="shared" si="2"/>
        <v/>
      </c>
    </row>
    <row r="25" spans="1:22" ht="15.75" thickBot="1">
      <c r="A25" s="7" t="str">
        <f>Recap!D31</f>
        <v>NRCC_Encaps_LWF2</v>
      </c>
      <c r="B25" s="848">
        <f>Recap!AP31</f>
        <v>0</v>
      </c>
      <c r="C25" s="848">
        <f>Recap!AQ31</f>
        <v>0</v>
      </c>
      <c r="D25" s="907" t="str">
        <f>IF(Recap!AT31&gt;0,Recap!CS31,"")</f>
        <v/>
      </c>
      <c r="E25" s="907" t="str">
        <f>IF(Recap!AU31&gt;0,Recap!DE31,"")</f>
        <v/>
      </c>
      <c r="F25" s="7" t="str">
        <f>IF(Recap!AT31&gt;0,MIN(Recap!AR31,Recap!AT31),"")</f>
        <v/>
      </c>
      <c r="G25" s="7" t="str">
        <f>IF(Recap!AU31&gt;0,MIN(Recap!AS31,Recap!AU31),"")</f>
        <v/>
      </c>
      <c r="H25" s="7"/>
      <c r="I25" s="7"/>
      <c r="J25" s="7"/>
      <c r="K25" s="7"/>
      <c r="L25" s="7"/>
      <c r="M25" s="861"/>
      <c r="N25" s="7"/>
      <c r="O25" s="871"/>
      <c r="P25" s="7"/>
      <c r="Q25" s="7"/>
      <c r="R25" s="7"/>
      <c r="S25" s="548">
        <f t="shared" si="0"/>
        <v>0</v>
      </c>
      <c r="U25" t="str">
        <f t="shared" si="1"/>
        <v/>
      </c>
      <c r="V25" t="str">
        <f t="shared" si="2"/>
        <v/>
      </c>
    </row>
    <row r="26" spans="1:22">
      <c r="A26" s="425" t="str">
        <f>Recap!D32</f>
        <v>Edimb_1</v>
      </c>
      <c r="B26" s="846">
        <f>Recap!AP32</f>
        <v>23</v>
      </c>
      <c r="C26" s="846">
        <f>Recap!AQ32</f>
        <v>0</v>
      </c>
      <c r="D26" s="908">
        <f>IF(Recap!AT32&gt;0,Recap!CS32,"")</f>
        <v>25</v>
      </c>
      <c r="E26" s="908">
        <f>IF(Recap!AU32&gt;0,Recap!DE32,"")</f>
        <v>25</v>
      </c>
      <c r="F26" s="425">
        <f>IF(Recap!AT32&gt;0,MIN(Recap!AR32,Recap!AT32),"")</f>
        <v>49</v>
      </c>
      <c r="G26" s="425">
        <f>IF(Recap!AU32&gt;0,MIN(Recap!AS32,Recap!AU32),"")</f>
        <v>49</v>
      </c>
      <c r="H26" s="425"/>
      <c r="I26" s="425"/>
      <c r="J26" s="425"/>
      <c r="K26" s="425"/>
      <c r="L26" s="425"/>
      <c r="M26" s="860"/>
      <c r="N26" s="425"/>
      <c r="O26" s="869"/>
      <c r="P26" s="425"/>
      <c r="Q26" s="425"/>
      <c r="R26" s="425"/>
      <c r="S26" s="548">
        <f t="shared" si="0"/>
        <v>0</v>
      </c>
      <c r="U26" t="str">
        <f t="shared" si="1"/>
        <v/>
      </c>
      <c r="V26" t="str">
        <f t="shared" si="2"/>
        <v/>
      </c>
    </row>
    <row r="27" spans="1:22">
      <c r="A27" s="843" t="str">
        <f>Recap!D33</f>
        <v>Edimb_2</v>
      </c>
      <c r="B27" s="847">
        <f>Recap!AP33</f>
        <v>25</v>
      </c>
      <c r="C27" s="847">
        <f>Recap!AQ33</f>
        <v>0</v>
      </c>
      <c r="D27" s="906">
        <f>IF(Recap!AT33&gt;0,Recap!CS33,"")</f>
        <v>25</v>
      </c>
      <c r="E27" s="906">
        <f>IF(Recap!AU33&gt;0,Recap!DE33,"")</f>
        <v>25</v>
      </c>
      <c r="F27" s="843">
        <f>IF(Recap!AT33&gt;0,MIN(Recap!AR33,Recap!AT33),"")</f>
        <v>49</v>
      </c>
      <c r="G27" s="843">
        <f>IF(Recap!AU33&gt;0,MIN(Recap!AS33,Recap!AU33),"")</f>
        <v>49</v>
      </c>
      <c r="H27" s="843"/>
      <c r="I27" s="843"/>
      <c r="J27" s="843"/>
      <c r="K27" s="843"/>
      <c r="L27" s="843"/>
      <c r="M27" s="859"/>
      <c r="N27" s="843"/>
      <c r="O27" s="870"/>
      <c r="P27" s="843"/>
      <c r="Q27" s="843"/>
      <c r="R27" s="843"/>
      <c r="S27" s="548">
        <f t="shared" si="0"/>
        <v>0</v>
      </c>
      <c r="U27" t="str">
        <f t="shared" si="1"/>
        <v/>
      </c>
      <c r="V27" t="str">
        <f t="shared" si="2"/>
        <v/>
      </c>
    </row>
    <row r="28" spans="1:22">
      <c r="A28" s="843" t="str">
        <f>Recap!D34</f>
        <v>Edimb_3</v>
      </c>
      <c r="B28" s="847">
        <f>Recap!AP34</f>
        <v>0</v>
      </c>
      <c r="C28" s="847">
        <f>Recap!AQ34</f>
        <v>0</v>
      </c>
      <c r="D28" s="906">
        <f>IF(Recap!AT34&gt;0,Recap!CS34,"")</f>
        <v>25</v>
      </c>
      <c r="E28" s="906" t="str">
        <f>IF(Recap!AU34&gt;0,Recap!DE34,"")</f>
        <v/>
      </c>
      <c r="F28" s="843">
        <f>IF(Recap!AT34&gt;0,MIN(Recap!AR34,Recap!AT34),"")</f>
        <v>49</v>
      </c>
      <c r="G28" s="843" t="str">
        <f>IF(Recap!AU34&gt;0,MIN(Recap!AS34,Recap!AU34),"")</f>
        <v/>
      </c>
      <c r="H28" s="843"/>
      <c r="I28" s="843"/>
      <c r="J28" s="843"/>
      <c r="K28" s="843"/>
      <c r="L28" s="843"/>
      <c r="M28" s="859"/>
      <c r="N28" s="843"/>
      <c r="O28" s="870"/>
      <c r="P28" s="843"/>
      <c r="Q28" s="843"/>
      <c r="R28" s="843"/>
      <c r="S28" s="548">
        <f t="shared" si="0"/>
        <v>0</v>
      </c>
      <c r="U28" t="str">
        <f t="shared" si="1"/>
        <v/>
      </c>
      <c r="V28" t="str">
        <f t="shared" si="2"/>
        <v/>
      </c>
    </row>
    <row r="29" spans="1:22">
      <c r="A29" s="843" t="str">
        <f>Recap!D35</f>
        <v>Edimb_4</v>
      </c>
      <c r="B29" s="847">
        <f>Recap!AP35</f>
        <v>23</v>
      </c>
      <c r="C29" s="847">
        <f>Recap!AQ35</f>
        <v>0</v>
      </c>
      <c r="D29" s="906">
        <f>IF(Recap!AT35&gt;0,Recap!CS35,"")</f>
        <v>25</v>
      </c>
      <c r="E29" s="906" t="str">
        <f>IF(Recap!AU35&gt;0,Recap!DE35,"")</f>
        <v/>
      </c>
      <c r="F29" s="843">
        <f>IF(Recap!AT35&gt;0,MIN(Recap!AR35,Recap!AT35),"")</f>
        <v>49</v>
      </c>
      <c r="G29" s="843" t="str">
        <f>IF(Recap!AU35&gt;0,MIN(Recap!AS35,Recap!AU35),"")</f>
        <v/>
      </c>
      <c r="H29" s="843"/>
      <c r="I29" s="843"/>
      <c r="J29" s="843"/>
      <c r="K29" s="843"/>
      <c r="L29" s="843"/>
      <c r="M29" s="859"/>
      <c r="N29" s="843"/>
      <c r="O29" s="870"/>
      <c r="P29" s="843"/>
      <c r="Q29" s="843"/>
      <c r="R29" s="843"/>
      <c r="S29" s="548">
        <f t="shared" si="0"/>
        <v>0</v>
      </c>
      <c r="U29" t="str">
        <f t="shared" si="1"/>
        <v/>
      </c>
      <c r="V29" t="str">
        <f t="shared" si="2"/>
        <v/>
      </c>
    </row>
    <row r="30" spans="1:22" ht="15.75" thickBot="1">
      <c r="A30" s="7" t="str">
        <f>Recap!D36</f>
        <v>Edimb_5</v>
      </c>
      <c r="B30" s="848">
        <f>Recap!AP36</f>
        <v>0</v>
      </c>
      <c r="C30" s="848">
        <f>Recap!AQ36</f>
        <v>0</v>
      </c>
      <c r="D30" s="907">
        <f>IF(Recap!AT36&gt;0,Recap!CS36,"")</f>
        <v>25</v>
      </c>
      <c r="E30" s="907" t="str">
        <f>IF(Recap!AU36&gt;0,Recap!DE36,"")</f>
        <v/>
      </c>
      <c r="F30" s="7">
        <f>IF(Recap!AT36&gt;0,MIN(Recap!AR36,Recap!AT36),"")</f>
        <v>49</v>
      </c>
      <c r="G30" s="7" t="str">
        <f>IF(Recap!AU36&gt;0,MIN(Recap!AS36,Recap!AU36),"")</f>
        <v/>
      </c>
      <c r="H30" s="7"/>
      <c r="I30" s="7"/>
      <c r="J30" s="7"/>
      <c r="K30" s="7"/>
      <c r="L30" s="7"/>
      <c r="M30" s="861"/>
      <c r="N30" s="7"/>
      <c r="O30" s="871"/>
      <c r="P30" s="7"/>
      <c r="Q30" s="7"/>
      <c r="R30" s="7"/>
      <c r="S30" s="548">
        <f t="shared" si="0"/>
        <v>0</v>
      </c>
      <c r="U30" t="str">
        <f t="shared" si="1"/>
        <v/>
      </c>
      <c r="V30" t="str">
        <f t="shared" si="2"/>
        <v/>
      </c>
    </row>
    <row r="31" spans="1:22" ht="15.75" thickBot="1">
      <c r="A31" s="7" t="str">
        <f>Recap!D37</f>
        <v>Emb_1</v>
      </c>
      <c r="B31" s="848">
        <f>Recap!AP37</f>
        <v>0</v>
      </c>
      <c r="C31" s="848">
        <f>Recap!AQ37</f>
        <v>0</v>
      </c>
      <c r="D31" s="907">
        <f>IF(Recap!AT37&gt;0,Recap!CS37,"")</f>
        <v>26</v>
      </c>
      <c r="E31" s="907" t="str">
        <f>IF(Recap!AU37&gt;0,Recap!DE37,"")</f>
        <v/>
      </c>
      <c r="F31" s="7">
        <f>IF(Recap!AT37&gt;0,MIN(Recap!AR37,Recap!AT37),"")</f>
        <v>51.5</v>
      </c>
      <c r="G31" s="7" t="str">
        <f>IF(Recap!AU37&gt;0,MIN(Recap!AS37,Recap!AU37),"")</f>
        <v/>
      </c>
      <c r="H31" s="7"/>
      <c r="I31" s="7"/>
      <c r="J31" s="7"/>
      <c r="K31" s="7"/>
      <c r="L31" s="7"/>
      <c r="M31" s="861"/>
      <c r="N31" s="7"/>
      <c r="O31" s="871"/>
      <c r="P31" s="7"/>
      <c r="Q31" s="7"/>
      <c r="R31" s="7"/>
      <c r="S31" s="548">
        <f t="shared" si="0"/>
        <v>0</v>
      </c>
      <c r="U31" t="str">
        <f t="shared" si="1"/>
        <v/>
      </c>
      <c r="V31" t="str">
        <f t="shared" si="2"/>
        <v/>
      </c>
    </row>
    <row r="32" spans="1:22">
      <c r="A32" s="425" t="str">
        <f>Recap!D38</f>
        <v>USDA_1</v>
      </c>
      <c r="B32" s="846">
        <f>Recap!AP38</f>
        <v>0</v>
      </c>
      <c r="C32" s="846">
        <f>Recap!AQ38</f>
        <v>0</v>
      </c>
      <c r="D32" s="908">
        <f>IF(Recap!AT38&gt;0,Recap!CS38,"")</f>
        <v>31.8</v>
      </c>
      <c r="E32" s="908">
        <f>IF(Recap!AU38&gt;0,Recap!DE38,"")</f>
        <v>31.8</v>
      </c>
      <c r="F32" s="425">
        <f>IF(Recap!AT38&gt;0,MIN(Recap!AR38,Recap!AT38),"")</f>
        <v>66.099999999999994</v>
      </c>
      <c r="G32" s="425">
        <f>IF(Recap!AU38&gt;0,MIN(Recap!AS38,Recap!AU38),"")</f>
        <v>66.099999999999994</v>
      </c>
      <c r="H32" s="425"/>
      <c r="I32" s="425"/>
      <c r="J32" s="425"/>
      <c r="K32" s="425"/>
      <c r="L32" s="425"/>
      <c r="M32" s="860"/>
      <c r="N32" s="425"/>
      <c r="O32" s="869"/>
      <c r="P32" s="425"/>
      <c r="Q32" s="425"/>
      <c r="R32" s="425"/>
      <c r="S32" s="548">
        <f t="shared" si="0"/>
        <v>0</v>
      </c>
      <c r="U32" t="str">
        <f t="shared" si="1"/>
        <v/>
      </c>
      <c r="V32" t="str">
        <f t="shared" si="2"/>
        <v/>
      </c>
    </row>
    <row r="33" spans="1:22">
      <c r="A33" s="843" t="str">
        <f>Recap!D39</f>
        <v>USDA_2</v>
      </c>
      <c r="B33" s="847">
        <f>Recap!AP39</f>
        <v>0</v>
      </c>
      <c r="C33" s="847">
        <f>Recap!AQ39</f>
        <v>0</v>
      </c>
      <c r="D33" s="906">
        <f>IF(Recap!AT39&gt;0,Recap!CS39,"")</f>
        <v>31.8</v>
      </c>
      <c r="E33" s="906">
        <f>IF(Recap!AU39&gt;0,Recap!DE39,"")</f>
        <v>31.8</v>
      </c>
      <c r="F33" s="843">
        <f>IF(Recap!AT39&gt;0,MIN(Recap!AR39,Recap!AT39),"")</f>
        <v>66.099999999999994</v>
      </c>
      <c r="G33" s="843">
        <f>IF(Recap!AU39&gt;0,MIN(Recap!AS39,Recap!AU39),"")</f>
        <v>66.099999999999994</v>
      </c>
      <c r="H33" s="843"/>
      <c r="I33" s="843"/>
      <c r="J33" s="843"/>
      <c r="K33" s="843"/>
      <c r="L33" s="843"/>
      <c r="M33" s="859"/>
      <c r="N33" s="843"/>
      <c r="O33" s="870"/>
      <c r="P33" s="843"/>
      <c r="Q33" s="843"/>
      <c r="R33" s="843"/>
      <c r="S33" s="548">
        <f t="shared" si="0"/>
        <v>0</v>
      </c>
      <c r="U33" t="str">
        <f t="shared" si="1"/>
        <v/>
      </c>
      <c r="V33" t="str">
        <f t="shared" si="2"/>
        <v/>
      </c>
    </row>
    <row r="34" spans="1:22">
      <c r="A34" s="843" t="str">
        <f>Recap!D40</f>
        <v>USDA_3</v>
      </c>
      <c r="B34" s="847">
        <f>Recap!AP40</f>
        <v>0</v>
      </c>
      <c r="C34" s="847">
        <f>Recap!AQ40</f>
        <v>0</v>
      </c>
      <c r="D34" s="906">
        <f>IF(Recap!AT40&gt;0,Recap!CS40,"")</f>
        <v>31.8</v>
      </c>
      <c r="E34" s="906">
        <f>IF(Recap!AU40&gt;0,Recap!DE40,"")</f>
        <v>31.8</v>
      </c>
      <c r="F34" s="843">
        <f>IF(Recap!AT40&gt;0,MIN(Recap!AR40,Recap!AT40),"")</f>
        <v>66.099999999999994</v>
      </c>
      <c r="G34" s="843">
        <f>IF(Recap!AU40&gt;0,MIN(Recap!AS40,Recap!AU40),"")</f>
        <v>66.099999999999994</v>
      </c>
      <c r="H34" s="843"/>
      <c r="I34" s="843"/>
      <c r="J34" s="843"/>
      <c r="K34" s="843"/>
      <c r="L34" s="843"/>
      <c r="M34" s="859"/>
      <c r="N34" s="843"/>
      <c r="O34" s="870"/>
      <c r="P34" s="843"/>
      <c r="Q34" s="843"/>
      <c r="R34" s="843"/>
      <c r="S34" s="548">
        <f t="shared" si="0"/>
        <v>0</v>
      </c>
      <c r="U34" t="str">
        <f t="shared" si="1"/>
        <v/>
      </c>
      <c r="V34" t="str">
        <f t="shared" si="2"/>
        <v/>
      </c>
    </row>
    <row r="35" spans="1:22">
      <c r="A35" s="843" t="str">
        <f>Recap!D41</f>
        <v>USDA_4</v>
      </c>
      <c r="B35" s="847">
        <f>Recap!AP41</f>
        <v>0</v>
      </c>
      <c r="C35" s="847">
        <f>Recap!AQ41</f>
        <v>0</v>
      </c>
      <c r="D35" s="906">
        <f>IF(Recap!AT41&gt;0,Recap!CS41,"")</f>
        <v>31.8</v>
      </c>
      <c r="E35" s="906">
        <f>IF(Recap!AU41&gt;0,Recap!DE41,"")</f>
        <v>31.8</v>
      </c>
      <c r="F35" s="843">
        <f>IF(Recap!AT41&gt;0,MIN(Recap!AR41,Recap!AT41),"")</f>
        <v>66.099999999999994</v>
      </c>
      <c r="G35" s="843">
        <f>IF(Recap!AU41&gt;0,MIN(Recap!AS41,Recap!AU41),"")</f>
        <v>66.099999999999994</v>
      </c>
      <c r="H35" s="843"/>
      <c r="I35" s="843"/>
      <c r="J35" s="843"/>
      <c r="K35" s="843"/>
      <c r="L35" s="843"/>
      <c r="M35" s="859"/>
      <c r="N35" s="843"/>
      <c r="O35" s="870"/>
      <c r="P35" s="843"/>
      <c r="Q35" s="843"/>
      <c r="R35" s="843"/>
      <c r="S35" s="548">
        <f t="shared" si="0"/>
        <v>0</v>
      </c>
      <c r="U35" t="str">
        <f t="shared" si="1"/>
        <v/>
      </c>
      <c r="V35" t="str">
        <f t="shared" si="2"/>
        <v/>
      </c>
    </row>
    <row r="36" spans="1:22" ht="15.75" thickBot="1">
      <c r="A36" s="7" t="str">
        <f>Recap!D42</f>
        <v>USDA_5</v>
      </c>
      <c r="B36" s="848">
        <f>Recap!AP42</f>
        <v>0</v>
      </c>
      <c r="C36" s="848">
        <f>Recap!AQ42</f>
        <v>0</v>
      </c>
      <c r="D36" s="907">
        <f>IF(Recap!AT42&gt;0,Recap!CS42,"")</f>
        <v>31.8</v>
      </c>
      <c r="E36" s="907">
        <f>IF(Recap!AU42&gt;0,Recap!DE42,"")</f>
        <v>31.8</v>
      </c>
      <c r="F36" s="7">
        <f>IF(Recap!AT42&gt;0,MIN(Recap!AR42,Recap!AT42),"")</f>
        <v>66.099999999999994</v>
      </c>
      <c r="G36" s="7">
        <f>IF(Recap!AU42&gt;0,MIN(Recap!AS42,Recap!AU42),"")</f>
        <v>66.099999999999994</v>
      </c>
      <c r="H36" s="7"/>
      <c r="I36" s="7"/>
      <c r="J36" s="7"/>
      <c r="K36" s="7"/>
      <c r="L36" s="7"/>
      <c r="M36" s="861"/>
      <c r="N36" s="7"/>
      <c r="O36" s="871"/>
      <c r="P36" s="7"/>
      <c r="Q36" s="7"/>
      <c r="R36" s="7"/>
      <c r="S36" s="548">
        <f t="shared" si="0"/>
        <v>0</v>
      </c>
      <c r="U36" t="str">
        <f t="shared" si="1"/>
        <v/>
      </c>
      <c r="V36" t="str">
        <f t="shared" si="2"/>
        <v/>
      </c>
    </row>
    <row r="37" spans="1:22">
      <c r="A37" s="425" t="str">
        <f>Recap!D43</f>
        <v>Epernon_1</v>
      </c>
      <c r="B37" s="846">
        <f>Recap!AP43</f>
        <v>0</v>
      </c>
      <c r="C37" s="846">
        <f>Recap!AQ43</f>
        <v>0</v>
      </c>
      <c r="D37" s="908" t="str">
        <f>IF(Recap!AT43&gt;0,Recap!CS43,"")</f>
        <v/>
      </c>
      <c r="E37" s="908" t="str">
        <f>IF(Recap!AU43&gt;0,Recap!DE43,"")</f>
        <v/>
      </c>
      <c r="F37" s="425" t="str">
        <f>IF(Recap!AT43&gt;0,MIN(Recap!AR43,Recap!AT43),"")</f>
        <v/>
      </c>
      <c r="G37" s="425" t="str">
        <f>IF(Recap!AU43&gt;0,MIN(Recap!AS43,Recap!AU43),"")</f>
        <v/>
      </c>
      <c r="H37" s="425"/>
      <c r="I37" s="425"/>
      <c r="J37" s="425"/>
      <c r="K37" s="425"/>
      <c r="L37" s="425"/>
      <c r="M37" s="860"/>
      <c r="N37" s="425"/>
      <c r="O37" s="869"/>
      <c r="P37" s="425"/>
      <c r="Q37" s="425"/>
      <c r="R37" s="425"/>
      <c r="S37" s="548">
        <f t="shared" si="0"/>
        <v>0</v>
      </c>
      <c r="U37" t="str">
        <f t="shared" si="1"/>
        <v/>
      </c>
      <c r="V37" t="str">
        <f t="shared" si="2"/>
        <v/>
      </c>
    </row>
    <row r="38" spans="1:22">
      <c r="A38" s="843" t="str">
        <f>Recap!D44</f>
        <v>Epernon_2</v>
      </c>
      <c r="B38" s="847">
        <f>Recap!AP44</f>
        <v>0</v>
      </c>
      <c r="C38" s="847">
        <f>Recap!AQ44</f>
        <v>0</v>
      </c>
      <c r="D38" s="906" t="str">
        <f>IF(Recap!AT44&gt;0,Recap!CS44,"")</f>
        <v/>
      </c>
      <c r="E38" s="906" t="str">
        <f>IF(Recap!AU44&gt;0,Recap!DE44,"")</f>
        <v/>
      </c>
      <c r="F38" s="843" t="str">
        <f>IF(Recap!AT44&gt;0,MIN(Recap!AR44,Recap!AT44),"")</f>
        <v/>
      </c>
      <c r="G38" s="843" t="str">
        <f>IF(Recap!AU44&gt;0,MIN(Recap!AS44,Recap!AU44),"")</f>
        <v/>
      </c>
      <c r="H38" s="843"/>
      <c r="I38" s="843"/>
      <c r="J38" s="843"/>
      <c r="K38" s="843"/>
      <c r="L38" s="843"/>
      <c r="M38" s="859"/>
      <c r="N38" s="843"/>
      <c r="O38" s="870"/>
      <c r="P38" s="843"/>
      <c r="Q38" s="843"/>
      <c r="R38" s="843"/>
      <c r="S38" s="548">
        <f t="shared" si="0"/>
        <v>0</v>
      </c>
      <c r="U38" t="str">
        <f t="shared" si="1"/>
        <v/>
      </c>
      <c r="V38" t="str">
        <f t="shared" si="2"/>
        <v/>
      </c>
    </row>
    <row r="39" spans="1:22" ht="15.75" thickBot="1">
      <c r="A39" s="7" t="str">
        <f>Recap!D45</f>
        <v>Epernon_3</v>
      </c>
      <c r="B39" s="848">
        <f>Recap!AP45</f>
        <v>0</v>
      </c>
      <c r="C39" s="848">
        <f>Recap!AQ45</f>
        <v>0</v>
      </c>
      <c r="D39" s="907" t="str">
        <f>IF(Recap!AT45&gt;0,Recap!CS45,"")</f>
        <v/>
      </c>
      <c r="E39" s="907" t="str">
        <f>IF(Recap!AU45&gt;0,Recap!DE45,"")</f>
        <v/>
      </c>
      <c r="F39" s="7" t="str">
        <f>IF(Recap!AT45&gt;0,MIN(Recap!AR45,Recap!AT45),"")</f>
        <v/>
      </c>
      <c r="G39" s="7" t="str">
        <f>IF(Recap!AU45&gt;0,MIN(Recap!AS45,Recap!AU45),"")</f>
        <v/>
      </c>
      <c r="H39" s="7"/>
      <c r="I39" s="7"/>
      <c r="J39" s="7"/>
      <c r="K39" s="7"/>
      <c r="L39" s="7"/>
      <c r="M39" s="861"/>
      <c r="N39" s="7"/>
      <c r="O39" s="871"/>
      <c r="P39" s="7"/>
      <c r="Q39" s="7"/>
      <c r="R39" s="7"/>
      <c r="S39" s="548">
        <f t="shared" si="0"/>
        <v>0</v>
      </c>
      <c r="U39" t="str">
        <f t="shared" si="1"/>
        <v/>
      </c>
      <c r="V39" t="str">
        <f t="shared" si="2"/>
        <v/>
      </c>
    </row>
    <row r="40" spans="1:22">
      <c r="A40" s="149" t="str">
        <f>Recap!D46</f>
        <v>NRCC_LS_1</v>
      </c>
      <c r="B40" s="849">
        <f>Recap!AP46</f>
        <v>0</v>
      </c>
      <c r="C40" s="849">
        <f>Recap!AQ46</f>
        <v>0</v>
      </c>
      <c r="D40" s="909" t="str">
        <f>IF(Recap!AT46&gt;0,Recap!CS46,"")</f>
        <v/>
      </c>
      <c r="E40" s="909" t="str">
        <f>IF(Recap!AU46&gt;0,Recap!DE46,"")</f>
        <v/>
      </c>
      <c r="F40" s="149" t="str">
        <f>IF(Recap!AT46&gt;0,MIN(Recap!AR46,Recap!AT46),"")</f>
        <v/>
      </c>
      <c r="G40" s="149" t="str">
        <f>IF(Recap!AU46&gt;0,MIN(Recap!AS46,Recap!AU46),"")</f>
        <v/>
      </c>
      <c r="H40" s="149"/>
      <c r="I40" s="149"/>
      <c r="J40" s="149"/>
      <c r="K40" s="149"/>
      <c r="L40" s="149"/>
      <c r="M40" s="862"/>
      <c r="N40" s="149"/>
      <c r="O40" s="872"/>
      <c r="P40" s="149"/>
      <c r="Q40" s="149"/>
      <c r="R40" s="149"/>
      <c r="S40" s="548">
        <f t="shared" si="0"/>
        <v>0</v>
      </c>
      <c r="U40" t="str">
        <f t="shared" si="1"/>
        <v/>
      </c>
      <c r="V40" t="str">
        <f t="shared" si="2"/>
        <v/>
      </c>
    </row>
    <row r="41" spans="1:22">
      <c r="A41" s="844" t="str">
        <f>Recap!D47</f>
        <v>NRCC_LS_2</v>
      </c>
      <c r="B41" s="850">
        <f>Recap!AP47</f>
        <v>0</v>
      </c>
      <c r="C41" s="850">
        <f>Recap!AQ47</f>
        <v>0</v>
      </c>
      <c r="D41" s="910">
        <f>IF(Recap!AT47&gt;0,Recap!CS47,"")</f>
        <v>31.8</v>
      </c>
      <c r="E41" s="910" t="str">
        <f>IF(Recap!AU47&gt;0,Recap!DE47,"")</f>
        <v/>
      </c>
      <c r="F41" s="844">
        <f>IF(Recap!AT47&gt;0,MIN(Recap!AR47,Recap!AT47),"")</f>
        <v>66.099999999999994</v>
      </c>
      <c r="G41" s="844" t="str">
        <f>IF(Recap!AU47&gt;0,MIN(Recap!AS47,Recap!AU47),"")</f>
        <v/>
      </c>
      <c r="H41" s="844"/>
      <c r="I41" s="844"/>
      <c r="J41" s="844"/>
      <c r="K41" s="844"/>
      <c r="L41" s="844"/>
      <c r="M41" s="863"/>
      <c r="N41" s="844"/>
      <c r="O41" s="873"/>
      <c r="P41" s="844"/>
      <c r="Q41" s="844"/>
      <c r="R41" s="844"/>
      <c r="S41" s="548">
        <f t="shared" si="0"/>
        <v>0</v>
      </c>
      <c r="U41" t="str">
        <f t="shared" si="1"/>
        <v/>
      </c>
      <c r="V41" t="str">
        <f t="shared" si="2"/>
        <v/>
      </c>
    </row>
    <row r="42" spans="1:22">
      <c r="A42" s="843" t="str">
        <f>Recap!D48</f>
        <v>NRCC_LS_3</v>
      </c>
      <c r="B42" s="847">
        <f>Recap!AP48</f>
        <v>0</v>
      </c>
      <c r="C42" s="847">
        <f>Recap!AQ48</f>
        <v>0</v>
      </c>
      <c r="D42" s="906">
        <f>IF(Recap!AT48&gt;0,Recap!CS48,"")</f>
        <v>31.8</v>
      </c>
      <c r="E42" s="906" t="str">
        <f>IF(Recap!AU48&gt;0,Recap!DE48,"")</f>
        <v/>
      </c>
      <c r="F42" s="843">
        <f>IF(Recap!AT48&gt;0,MIN(Recap!AR48,Recap!AT48),"")</f>
        <v>66.099999999999994</v>
      </c>
      <c r="G42" s="843" t="str">
        <f>IF(Recap!AU48&gt;0,MIN(Recap!AS48,Recap!AU48),"")</f>
        <v/>
      </c>
      <c r="H42" s="843"/>
      <c r="I42" s="843"/>
      <c r="J42" s="843"/>
      <c r="K42" s="843"/>
      <c r="L42" s="843"/>
      <c r="M42" s="859"/>
      <c r="N42" s="843"/>
      <c r="O42" s="870"/>
      <c r="P42" s="843"/>
      <c r="Q42" s="843"/>
      <c r="R42" s="843"/>
      <c r="S42" s="548">
        <f t="shared" si="0"/>
        <v>0</v>
      </c>
      <c r="U42" t="str">
        <f t="shared" si="1"/>
        <v/>
      </c>
      <c r="V42" t="str">
        <f t="shared" si="2"/>
        <v/>
      </c>
    </row>
    <row r="43" spans="1:22" ht="15.75" thickBot="1">
      <c r="A43" s="7" t="str">
        <f>Recap!D49</f>
        <v>NRCC_LS_4</v>
      </c>
      <c r="B43" s="848">
        <f>Recap!AP49</f>
        <v>0</v>
      </c>
      <c r="C43" s="848">
        <f>Recap!AQ49</f>
        <v>0</v>
      </c>
      <c r="D43" s="907" t="str">
        <f>IF(Recap!AT49&gt;0,Recap!CS49,"")</f>
        <v/>
      </c>
      <c r="E43" s="907" t="str">
        <f>IF(Recap!AU49&gt;0,Recap!DE49,"")</f>
        <v/>
      </c>
      <c r="F43" s="7" t="str">
        <f>IF(Recap!AT49&gt;0,MIN(Recap!AR49,Recap!AT49),"")</f>
        <v/>
      </c>
      <c r="G43" s="7" t="str">
        <f>IF(Recap!AU49&gt;0,MIN(Recap!AS49,Recap!AU49),"")</f>
        <v/>
      </c>
      <c r="H43" s="7"/>
      <c r="I43" s="7"/>
      <c r="J43" s="7"/>
      <c r="K43" s="7"/>
      <c r="L43" s="7"/>
      <c r="M43" s="861"/>
      <c r="N43" s="7"/>
      <c r="O43" s="871"/>
      <c r="P43" s="7"/>
      <c r="Q43" s="7"/>
      <c r="R43" s="7"/>
      <c r="S43" s="548">
        <f t="shared" si="0"/>
        <v>0</v>
      </c>
      <c r="U43" t="str">
        <f t="shared" si="1"/>
        <v/>
      </c>
      <c r="V43" t="str">
        <f t="shared" si="2"/>
        <v/>
      </c>
    </row>
    <row r="44" spans="1:22">
      <c r="A44" s="426" t="str">
        <f>Recap!D51</f>
        <v>RISE_1</v>
      </c>
      <c r="B44" s="852">
        <f>Recap!AP51</f>
        <v>0</v>
      </c>
      <c r="C44" s="852">
        <f>Recap!AQ51</f>
        <v>0</v>
      </c>
      <c r="D44" s="911">
        <f>IF(Recap!AT51&gt;0,Recap!CS51,"")</f>
        <v>31.8</v>
      </c>
      <c r="E44" s="911" t="str">
        <f>IF(Recap!AU51&gt;0,Recap!DE51,"")</f>
        <v/>
      </c>
      <c r="F44" s="426">
        <f>IF(Recap!AT51&gt;0,MIN(Recap!AR51,Recap!AT51),"")</f>
        <v>66.099999999999994</v>
      </c>
      <c r="G44" s="426" t="str">
        <f>IF(Recap!AU51&gt;0,MIN(Recap!AS51,Recap!AU51),"")</f>
        <v/>
      </c>
      <c r="H44" s="426"/>
      <c r="I44" s="426"/>
      <c r="J44" s="426"/>
      <c r="K44" s="426"/>
      <c r="L44" s="426"/>
      <c r="M44" s="865"/>
      <c r="N44" s="426"/>
      <c r="O44" s="875"/>
      <c r="P44" s="426"/>
      <c r="Q44" s="426"/>
      <c r="R44" s="426"/>
      <c r="S44" s="548">
        <f t="shared" si="0"/>
        <v>0</v>
      </c>
      <c r="U44" t="str">
        <f t="shared" si="1"/>
        <v/>
      </c>
      <c r="V44" t="str">
        <f t="shared" si="2"/>
        <v/>
      </c>
    </row>
    <row r="45" spans="1:22">
      <c r="A45" s="844" t="str">
        <f>Recap!D52</f>
        <v>RISE_2</v>
      </c>
      <c r="B45" s="850">
        <f>Recap!AP52</f>
        <v>0</v>
      </c>
      <c r="C45" s="850">
        <f>Recap!AQ52</f>
        <v>0</v>
      </c>
      <c r="D45" s="910">
        <f>IF(Recap!AT52&gt;0,Recap!CS52,"")</f>
        <v>47.7</v>
      </c>
      <c r="E45" s="910" t="str">
        <f>IF(Recap!AU52&gt;0,Recap!DE52,"")</f>
        <v/>
      </c>
      <c r="F45" s="844">
        <f>IF(Recap!AT52&gt;0,MIN(Recap!AR52,Recap!AT52),"")</f>
        <v>88.4</v>
      </c>
      <c r="G45" s="844" t="str">
        <f>IF(Recap!AU52&gt;0,MIN(Recap!AS52,Recap!AU52),"")</f>
        <v/>
      </c>
      <c r="H45" s="844"/>
      <c r="I45" s="844"/>
      <c r="J45" s="844"/>
      <c r="K45" s="844"/>
      <c r="L45" s="844"/>
      <c r="M45" s="863"/>
      <c r="N45" s="844"/>
      <c r="O45" s="873"/>
      <c r="P45" s="844"/>
      <c r="Q45" s="844"/>
      <c r="R45" s="844"/>
      <c r="S45" s="548">
        <f t="shared" si="0"/>
        <v>0</v>
      </c>
      <c r="U45" t="str">
        <f t="shared" si="1"/>
        <v/>
      </c>
      <c r="V45" t="str">
        <f t="shared" si="2"/>
        <v/>
      </c>
    </row>
    <row r="46" spans="1:22">
      <c r="A46" s="843" t="str">
        <f>Recap!D53</f>
        <v>RISE_3</v>
      </c>
      <c r="B46" s="847">
        <f>Recap!AP53</f>
        <v>0</v>
      </c>
      <c r="C46" s="847">
        <f>Recap!AQ53</f>
        <v>0</v>
      </c>
      <c r="D46" s="906">
        <f>IF(Recap!AT53&gt;0,Recap!CS53,"")</f>
        <v>47.7</v>
      </c>
      <c r="E46" s="906" t="str">
        <f>IF(Recap!AU53&gt;0,Recap!DE53,"")</f>
        <v/>
      </c>
      <c r="F46" s="843">
        <f>IF(Recap!AT53&gt;0,MIN(Recap!AR53,Recap!AT53),"")</f>
        <v>88.4</v>
      </c>
      <c r="G46" s="843" t="str">
        <f>IF(Recap!AU53&gt;0,MIN(Recap!AS53,Recap!AU53),"")</f>
        <v/>
      </c>
      <c r="H46" s="843"/>
      <c r="I46" s="843"/>
      <c r="J46" s="843"/>
      <c r="K46" s="843"/>
      <c r="L46" s="843"/>
      <c r="M46" s="859"/>
      <c r="N46" s="843"/>
      <c r="O46" s="870"/>
      <c r="P46" s="843"/>
      <c r="Q46" s="843"/>
      <c r="R46" s="843"/>
      <c r="S46" s="548">
        <f t="shared" si="0"/>
        <v>0</v>
      </c>
      <c r="U46" t="str">
        <f t="shared" si="1"/>
        <v/>
      </c>
      <c r="V46" t="str">
        <f t="shared" si="2"/>
        <v/>
      </c>
    </row>
    <row r="47" spans="1:22">
      <c r="A47" s="843" t="str">
        <f>Recap!D54</f>
        <v>RISE_4</v>
      </c>
      <c r="B47" s="847">
        <f>Recap!AP54</f>
        <v>0</v>
      </c>
      <c r="C47" s="847">
        <f>Recap!AQ54</f>
        <v>0</v>
      </c>
      <c r="D47" s="906">
        <f>IF(Recap!AT54&gt;0,Recap!CS54,"")</f>
        <v>31.8</v>
      </c>
      <c r="E47" s="906" t="str">
        <f>IF(Recap!AU54&gt;0,Recap!DE54,"")</f>
        <v/>
      </c>
      <c r="F47" s="843">
        <f>IF(Recap!AT54&gt;0,MIN(Recap!AR54,Recap!AT54),"")</f>
        <v>66.099999999999994</v>
      </c>
      <c r="G47" s="843" t="str">
        <f>IF(Recap!AU54&gt;0,MIN(Recap!AS54,Recap!AU54),"")</f>
        <v/>
      </c>
      <c r="H47" s="843"/>
      <c r="I47" s="843"/>
      <c r="J47" s="843"/>
      <c r="K47" s="843"/>
      <c r="L47" s="843"/>
      <c r="M47" s="859"/>
      <c r="N47" s="843"/>
      <c r="O47" s="870"/>
      <c r="P47" s="843"/>
      <c r="Q47" s="843"/>
      <c r="R47" s="843"/>
      <c r="S47" s="548">
        <f t="shared" si="0"/>
        <v>0</v>
      </c>
      <c r="U47" t="str">
        <f t="shared" si="1"/>
        <v/>
      </c>
      <c r="V47" t="str">
        <f t="shared" si="2"/>
        <v/>
      </c>
    </row>
    <row r="48" spans="1:22" ht="15.75" thickBot="1">
      <c r="A48" s="7" t="str">
        <f>Recap!D55</f>
        <v>RISE_5</v>
      </c>
      <c r="B48" s="848">
        <f>Recap!AP55</f>
        <v>0</v>
      </c>
      <c r="C48" s="848">
        <f>Recap!AQ55</f>
        <v>0</v>
      </c>
      <c r="D48" s="907">
        <f>IF(Recap!AT55&gt;0,Recap!CS55,"")</f>
        <v>47.7</v>
      </c>
      <c r="E48" s="907" t="str">
        <f>IF(Recap!AU55&gt;0,Recap!DE55,"")</f>
        <v/>
      </c>
      <c r="F48" s="7">
        <f>IF(Recap!AT55&gt;0,MIN(Recap!AR55,Recap!AT55),"")</f>
        <v>88.4</v>
      </c>
      <c r="G48" s="7" t="str">
        <f>IF(Recap!AU55&gt;0,MIN(Recap!AS55,Recap!AU55),"")</f>
        <v/>
      </c>
      <c r="H48" s="7"/>
      <c r="I48" s="7"/>
      <c r="J48" s="7"/>
      <c r="K48" s="7"/>
      <c r="L48" s="7"/>
      <c r="M48" s="861"/>
      <c r="N48" s="7"/>
      <c r="O48" s="871"/>
      <c r="P48" s="7"/>
      <c r="Q48" s="7"/>
      <c r="R48" s="7"/>
      <c r="S48" s="548">
        <f t="shared" si="0"/>
        <v>0</v>
      </c>
      <c r="U48" t="str">
        <f t="shared" si="1"/>
        <v/>
      </c>
      <c r="V48" t="str">
        <f t="shared" si="2"/>
        <v/>
      </c>
    </row>
    <row r="49" spans="1:22">
      <c r="A49" s="426" t="str">
        <f>Recap!D56</f>
        <v>CodeRed_1</v>
      </c>
      <c r="B49" s="852">
        <f>Recap!AP56</f>
        <v>0</v>
      </c>
      <c r="C49" s="852">
        <f>Recap!AQ56</f>
        <v>0</v>
      </c>
      <c r="D49" s="911" t="str">
        <f>IF(Recap!AT56&gt;0,Recap!CS56,"")</f>
        <v/>
      </c>
      <c r="E49" s="911" t="str">
        <f>IF(Recap!AU56&gt;0,Recap!DE56,"")</f>
        <v/>
      </c>
      <c r="F49" s="426" t="str">
        <f>IF(Recap!AT56&gt;0,MIN(Recap!AR56,Recap!AT56),"")</f>
        <v/>
      </c>
      <c r="G49" s="426" t="str">
        <f>IF(Recap!AU56&gt;0,MIN(Recap!AS56,Recap!AU56),"")</f>
        <v/>
      </c>
      <c r="H49" s="426"/>
      <c r="I49" s="426"/>
      <c r="J49" s="426"/>
      <c r="K49" s="426"/>
      <c r="L49" s="426"/>
      <c r="M49" s="865"/>
      <c r="N49" s="426"/>
      <c r="O49" s="875"/>
      <c r="P49" s="426"/>
      <c r="Q49" s="426"/>
      <c r="R49" s="426"/>
      <c r="S49" s="548">
        <f t="shared" si="0"/>
        <v>0</v>
      </c>
      <c r="U49" t="str">
        <f t="shared" si="1"/>
        <v/>
      </c>
      <c r="V49" t="str">
        <f t="shared" si="2"/>
        <v/>
      </c>
    </row>
    <row r="50" spans="1:22" ht="15.75" thickBot="1">
      <c r="A50" s="124" t="str">
        <f>Recap!D57</f>
        <v>CodeRed_2</v>
      </c>
      <c r="B50" s="851">
        <f>Recap!AP57</f>
        <v>0</v>
      </c>
      <c r="C50" s="851">
        <f>Recap!AQ57</f>
        <v>0</v>
      </c>
      <c r="D50" s="912" t="str">
        <f>IF(Recap!AT57&gt;0,Recap!CS57,"")</f>
        <v/>
      </c>
      <c r="E50" s="912" t="str">
        <f>IF(Recap!AU57&gt;0,Recap!DE57,"")</f>
        <v/>
      </c>
      <c r="F50" s="124" t="str">
        <f>IF(Recap!AT57&gt;0,MIN(Recap!AR57,Recap!AT57),"")</f>
        <v/>
      </c>
      <c r="G50" s="124" t="str">
        <f>IF(Recap!AU57&gt;0,MIN(Recap!AS57,Recap!AU57),"")</f>
        <v/>
      </c>
      <c r="H50" s="124"/>
      <c r="I50" s="124"/>
      <c r="J50" s="124"/>
      <c r="K50" s="124"/>
      <c r="L50" s="124"/>
      <c r="M50" s="864"/>
      <c r="N50" s="124"/>
      <c r="O50" s="874"/>
      <c r="P50" s="124"/>
      <c r="Q50" s="124"/>
      <c r="R50" s="124"/>
      <c r="S50" s="548">
        <f t="shared" si="0"/>
        <v>0</v>
      </c>
      <c r="U50" t="str">
        <f t="shared" si="1"/>
        <v/>
      </c>
      <c r="V50" t="str">
        <f t="shared" si="2"/>
        <v/>
      </c>
    </row>
    <row r="51" spans="1:22">
      <c r="A51" s="426" t="str">
        <f>Recap!D58</f>
        <v>FRIC_1</v>
      </c>
      <c r="B51" s="852">
        <f>Recap!AP58</f>
        <v>0</v>
      </c>
      <c r="C51" s="852">
        <f>Recap!AQ58</f>
        <v>0</v>
      </c>
      <c r="D51" s="911">
        <f>IF(Recap!AT58&gt;0,Recap!CS58,"")</f>
        <v>30</v>
      </c>
      <c r="E51" s="911" t="str">
        <f>IF(Recap!AU58&gt;0,Recap!DE58,"")</f>
        <v/>
      </c>
      <c r="F51" s="426">
        <f>IF(Recap!AT58&gt;0,MIN(Recap!AR58,Recap!AT58),"")</f>
        <v>61.6</v>
      </c>
      <c r="G51" s="426" t="str">
        <f>IF(Recap!AU58&gt;0,MIN(Recap!AS58,Recap!AU58),"")</f>
        <v/>
      </c>
      <c r="H51" s="426"/>
      <c r="I51" s="426"/>
      <c r="J51" s="426"/>
      <c r="K51" s="426"/>
      <c r="L51" s="426"/>
      <c r="M51" s="865"/>
      <c r="N51" s="426"/>
      <c r="O51" s="875"/>
      <c r="P51" s="426"/>
      <c r="Q51" s="426"/>
      <c r="R51" s="426"/>
      <c r="S51" s="548">
        <f t="shared" si="0"/>
        <v>0</v>
      </c>
      <c r="U51" t="str">
        <f t="shared" si="1"/>
        <v/>
      </c>
      <c r="V51" t="str">
        <f t="shared" si="2"/>
        <v/>
      </c>
    </row>
    <row r="52" spans="1:22" ht="15.75" thickBot="1">
      <c r="A52" s="124" t="str">
        <f>Recap!D59</f>
        <v>FRIC_2</v>
      </c>
      <c r="B52" s="851">
        <f>Recap!AP59</f>
        <v>0</v>
      </c>
      <c r="C52" s="851">
        <f>Recap!AQ59</f>
        <v>0</v>
      </c>
      <c r="D52" s="912" t="str">
        <f>IF(Recap!AT59&gt;0,Recap!CS59,"")</f>
        <v/>
      </c>
      <c r="E52" s="912" t="str">
        <f>IF(Recap!AU59&gt;0,Recap!DE59,"")</f>
        <v/>
      </c>
      <c r="F52" s="124" t="str">
        <f>IF(Recap!AT59&gt;0,MIN(Recap!AR59,Recap!AT59),"")</f>
        <v/>
      </c>
      <c r="G52" s="124" t="str">
        <f>IF(Recap!AU59&gt;0,MIN(Recap!AS59,Recap!AU59),"")</f>
        <v/>
      </c>
      <c r="H52" s="124"/>
      <c r="I52" s="124"/>
      <c r="J52" s="124"/>
      <c r="K52" s="124"/>
      <c r="L52" s="124"/>
      <c r="M52" s="864"/>
      <c r="N52" s="124"/>
      <c r="O52" s="874"/>
      <c r="P52" s="124"/>
      <c r="Q52" s="124"/>
      <c r="R52" s="124"/>
      <c r="S52" s="548">
        <f t="shared" si="0"/>
        <v>0</v>
      </c>
      <c r="U52" t="str">
        <f t="shared" si="1"/>
        <v/>
      </c>
      <c r="V52" t="str">
        <f t="shared" si="2"/>
        <v/>
      </c>
    </row>
    <row r="53" spans="1:22">
      <c r="A53" s="425" t="str">
        <f>Recap!D60</f>
        <v>AdivBois_0</v>
      </c>
      <c r="B53" s="846">
        <f>Recap!AP60</f>
        <v>0</v>
      </c>
      <c r="C53" s="846">
        <f>Recap!AQ60</f>
        <v>0</v>
      </c>
      <c r="D53" s="908" t="str">
        <f>IF(Recap!AT60&gt;0,Recap!CS60,"")</f>
        <v/>
      </c>
      <c r="E53" s="908" t="str">
        <f>IF(Recap!AU60&gt;0,Recap!DE60,"")</f>
        <v/>
      </c>
      <c r="F53" s="425" t="str">
        <f>IF(Recap!AT60&gt;0,MIN(Recap!AR60,Recap!AT60),"")</f>
        <v/>
      </c>
      <c r="G53" s="425" t="str">
        <f>IF(Recap!AU60&gt;0,MIN(Recap!AS60,Recap!AU60),"")</f>
        <v/>
      </c>
      <c r="H53" s="425"/>
      <c r="I53" s="425"/>
      <c r="J53" s="425"/>
      <c r="K53" s="425"/>
      <c r="L53" s="425"/>
      <c r="M53" s="860"/>
      <c r="N53" s="425"/>
      <c r="O53" s="869"/>
      <c r="P53" s="425"/>
      <c r="Q53" s="425"/>
      <c r="R53" s="425"/>
      <c r="S53" s="548">
        <f t="shared" si="0"/>
        <v>0</v>
      </c>
      <c r="U53" t="str">
        <f t="shared" si="1"/>
        <v/>
      </c>
      <c r="V53" t="str">
        <f t="shared" si="2"/>
        <v/>
      </c>
    </row>
    <row r="54" spans="1:22">
      <c r="A54" s="843" t="str">
        <f>Recap!D61</f>
        <v>AdivBois_1</v>
      </c>
      <c r="B54" s="847">
        <f>Recap!AP61</f>
        <v>0</v>
      </c>
      <c r="C54" s="847">
        <f>Recap!AQ61</f>
        <v>0</v>
      </c>
      <c r="D54" s="906" t="str">
        <f>IF(Recap!AT61&gt;0,Recap!CS61,"")</f>
        <v/>
      </c>
      <c r="E54" s="906" t="str">
        <f>IF(Recap!AU61&gt;0,Recap!DE61,"")</f>
        <v/>
      </c>
      <c r="F54" s="843" t="str">
        <f>IF(Recap!AT61&gt;0,MIN(Recap!AR61,Recap!AT61),"")</f>
        <v/>
      </c>
      <c r="G54" s="843" t="str">
        <f>IF(Recap!AU61&gt;0,MIN(Recap!AS61,Recap!AU61),"")</f>
        <v/>
      </c>
      <c r="H54" s="843"/>
      <c r="I54" s="843"/>
      <c r="J54" s="843"/>
      <c r="K54" s="843"/>
      <c r="L54" s="843"/>
      <c r="M54" s="859"/>
      <c r="N54" s="843"/>
      <c r="O54" s="870"/>
      <c r="P54" s="843"/>
      <c r="Q54" s="843"/>
      <c r="R54" s="843"/>
      <c r="S54" s="548">
        <f t="shared" si="0"/>
        <v>0</v>
      </c>
      <c r="U54" t="str">
        <f t="shared" si="1"/>
        <v/>
      </c>
      <c r="V54" t="str">
        <f t="shared" si="2"/>
        <v/>
      </c>
    </row>
    <row r="55" spans="1:22">
      <c r="A55" s="843" t="str">
        <f>Recap!D62</f>
        <v>AdivBois_2</v>
      </c>
      <c r="B55" s="847">
        <f>Recap!AP62</f>
        <v>0</v>
      </c>
      <c r="C55" s="847">
        <f>Recap!AQ62</f>
        <v>0</v>
      </c>
      <c r="D55" s="906" t="str">
        <f>IF(Recap!AT62&gt;0,Recap!CS62,"")</f>
        <v/>
      </c>
      <c r="E55" s="906" t="str">
        <f>IF(Recap!AU62&gt;0,Recap!DE62,"")</f>
        <v/>
      </c>
      <c r="F55" s="843" t="str">
        <f>IF(Recap!AT62&gt;0,MIN(Recap!AR62,Recap!AT62),"")</f>
        <v/>
      </c>
      <c r="G55" s="843" t="str">
        <f>IF(Recap!AU62&gt;0,MIN(Recap!AS62,Recap!AU62),"")</f>
        <v/>
      </c>
      <c r="H55" s="843"/>
      <c r="I55" s="843"/>
      <c r="J55" s="843"/>
      <c r="K55" s="843"/>
      <c r="L55" s="843"/>
      <c r="M55" s="859"/>
      <c r="N55" s="843"/>
      <c r="O55" s="870"/>
      <c r="P55" s="843"/>
      <c r="Q55" s="843"/>
      <c r="R55" s="843"/>
      <c r="S55" s="548">
        <f t="shared" si="0"/>
        <v>0</v>
      </c>
      <c r="U55" t="str">
        <f t="shared" si="1"/>
        <v/>
      </c>
      <c r="V55" t="str">
        <f t="shared" si="2"/>
        <v/>
      </c>
    </row>
    <row r="56" spans="1:22">
      <c r="A56" s="503" t="str">
        <f>Recap!D63</f>
        <v>AdivBois_3</v>
      </c>
      <c r="B56" s="853">
        <f>Recap!AP63</f>
        <v>0</v>
      </c>
      <c r="C56" s="853">
        <f>Recap!AQ63</f>
        <v>0</v>
      </c>
      <c r="D56" s="913" t="str">
        <f>IF(Recap!AT63&gt;0,Recap!CS63,"")</f>
        <v/>
      </c>
      <c r="E56" s="913" t="str">
        <f>IF(Recap!AU63&gt;0,Recap!DE63,"")</f>
        <v/>
      </c>
      <c r="F56" s="503" t="str">
        <f>IF(Recap!AT63&gt;0,MIN(Recap!AR63,Recap!AT63),"")</f>
        <v/>
      </c>
      <c r="G56" s="503" t="str">
        <f>IF(Recap!AU63&gt;0,MIN(Recap!AS63,Recap!AU63),"")</f>
        <v/>
      </c>
      <c r="H56" s="503"/>
      <c r="I56" s="503"/>
      <c r="J56" s="503"/>
      <c r="K56" s="503"/>
      <c r="L56" s="503"/>
      <c r="M56" s="866"/>
      <c r="N56" s="503"/>
      <c r="O56" s="876"/>
      <c r="P56" s="503"/>
      <c r="Q56" s="503"/>
      <c r="R56" s="503"/>
      <c r="S56" s="548">
        <f t="shared" si="0"/>
        <v>0</v>
      </c>
      <c r="U56" t="str">
        <f t="shared" si="1"/>
        <v/>
      </c>
      <c r="V56" t="str">
        <f t="shared" si="2"/>
        <v/>
      </c>
    </row>
    <row r="57" spans="1:22" ht="15.75" thickBot="1">
      <c r="A57" s="25" t="str">
        <f>Recap!D64</f>
        <v>AdivBois_4</v>
      </c>
      <c r="B57" s="854">
        <f>Recap!AP64</f>
        <v>0</v>
      </c>
      <c r="C57" s="854">
        <f>Recap!AQ64</f>
        <v>0</v>
      </c>
      <c r="D57" s="902" t="str">
        <f>IF(Recap!AT64&gt;0,Recap!CS64,"")</f>
        <v/>
      </c>
      <c r="E57" s="902" t="str">
        <f>IF(Recap!AU64&gt;0,Recap!DE64,"")</f>
        <v/>
      </c>
      <c r="F57" s="25" t="str">
        <f>IF(Recap!AT64&gt;0,MIN(Recap!AR64,Recap!AT64),"")</f>
        <v/>
      </c>
      <c r="G57" s="25" t="str">
        <f>IF(Recap!AU64&gt;0,MIN(Recap!AS64,Recap!AU64),"")</f>
        <v/>
      </c>
      <c r="H57" s="25"/>
      <c r="I57" s="25"/>
      <c r="J57" s="25"/>
      <c r="K57" s="25"/>
      <c r="L57" s="25"/>
      <c r="M57" s="867"/>
      <c r="N57" s="25"/>
      <c r="O57" s="877"/>
      <c r="P57" s="25"/>
      <c r="Q57" s="25"/>
      <c r="R57" s="25"/>
      <c r="S57" s="548">
        <f t="shared" si="0"/>
        <v>0</v>
      </c>
      <c r="U57" t="str">
        <f t="shared" si="1"/>
        <v/>
      </c>
      <c r="V57" t="str">
        <f t="shared" si="2"/>
        <v/>
      </c>
    </row>
    <row r="58" spans="1:22">
      <c r="A58" s="425" t="str">
        <f>Recap!D65</f>
        <v>TIMPuls_0</v>
      </c>
      <c r="B58" s="846">
        <f>Recap!AP65</f>
        <v>0</v>
      </c>
      <c r="C58" s="846">
        <f>Recap!AQ65</f>
        <v>0</v>
      </c>
      <c r="D58" s="908">
        <f>IF(Recap!AT65&gt;0,Recap!CS65,"")</f>
        <v>50</v>
      </c>
      <c r="E58" s="908">
        <f>IF(Recap!AU65&gt;0,Recap!DE65,"")</f>
        <v>50</v>
      </c>
      <c r="F58" s="425">
        <f>IF(Recap!AT65&gt;0,MIN(Recap!AR65,Recap!AT65),"")</f>
        <v>112</v>
      </c>
      <c r="G58" s="425">
        <f>IF(Recap!AU65&gt;0,MIN(Recap!AS65,Recap!AU65),"")</f>
        <v>82.8</v>
      </c>
      <c r="H58" s="425"/>
      <c r="I58" s="425"/>
      <c r="J58" s="425"/>
      <c r="K58" s="425"/>
      <c r="L58" s="425"/>
      <c r="M58" s="860"/>
      <c r="N58" s="425"/>
      <c r="O58" s="869"/>
      <c r="P58" s="425"/>
      <c r="Q58" s="425"/>
      <c r="R58" s="425"/>
      <c r="S58" s="548">
        <f t="shared" si="0"/>
        <v>0</v>
      </c>
      <c r="U58" t="str">
        <f t="shared" si="1"/>
        <v/>
      </c>
      <c r="V58" t="str">
        <f t="shared" si="2"/>
        <v/>
      </c>
    </row>
    <row r="59" spans="1:22">
      <c r="A59" s="843" t="str">
        <f>Recap!D66</f>
        <v>TIMPuls_1</v>
      </c>
      <c r="B59" s="847">
        <f>Recap!AP66</f>
        <v>37</v>
      </c>
      <c r="C59" s="847">
        <f>Recap!AQ66</f>
        <v>0</v>
      </c>
      <c r="D59" s="906">
        <f>IF(Recap!AT66&gt;0,Recap!CS66,"")</f>
        <v>18</v>
      </c>
      <c r="E59" s="906" t="str">
        <f>IF(Recap!AU66&gt;0,Recap!DE66,"")</f>
        <v/>
      </c>
      <c r="F59" s="843">
        <f>IF(Recap!AT66&gt;0,MIN(Recap!AR66,Recap!AT66),"")</f>
        <v>36.4</v>
      </c>
      <c r="G59" s="843" t="str">
        <f>IF(Recap!AU66&gt;0,MIN(Recap!AS66,Recap!AU66),"")</f>
        <v/>
      </c>
      <c r="H59" s="843"/>
      <c r="I59" s="843"/>
      <c r="J59" s="843"/>
      <c r="K59" s="843"/>
      <c r="L59" s="843"/>
      <c r="M59" s="859"/>
      <c r="N59" s="843"/>
      <c r="O59" s="870"/>
      <c r="P59" s="843"/>
      <c r="Q59" s="843"/>
      <c r="R59" s="843"/>
      <c r="S59" s="548">
        <f t="shared" si="0"/>
        <v>0</v>
      </c>
      <c r="U59" t="str">
        <f t="shared" si="1"/>
        <v/>
      </c>
      <c r="V59" t="str">
        <f t="shared" si="2"/>
        <v/>
      </c>
    </row>
    <row r="60" spans="1:22">
      <c r="A60" s="843" t="str">
        <f>Recap!D67</f>
        <v>TIMPuls_2</v>
      </c>
      <c r="B60" s="847">
        <f>Recap!AP67</f>
        <v>0</v>
      </c>
      <c r="C60" s="847">
        <f>Recap!AQ67</f>
        <v>63</v>
      </c>
      <c r="D60" s="906">
        <f>IF(Recap!AT67&gt;0,Recap!CS67,"")</f>
        <v>36</v>
      </c>
      <c r="E60" s="906">
        <f>IF(Recap!AU67&gt;0,Recap!DE67,"")</f>
        <v>36</v>
      </c>
      <c r="F60" s="843">
        <f>IF(Recap!AT67&gt;0,MIN(Recap!AR67,Recap!AT67),"")</f>
        <v>76.7</v>
      </c>
      <c r="G60" s="843">
        <f>IF(Recap!AU67&gt;0,MIN(Recap!AS67,Recap!AU67),"")</f>
        <v>76.7</v>
      </c>
      <c r="H60" s="843"/>
      <c r="I60" s="843"/>
      <c r="J60" s="843"/>
      <c r="K60" s="843"/>
      <c r="L60" s="843"/>
      <c r="M60" s="859"/>
      <c r="N60" s="843"/>
      <c r="O60" s="870"/>
      <c r="P60" s="843"/>
      <c r="Q60" s="843"/>
      <c r="R60" s="843"/>
      <c r="S60" s="548">
        <f t="shared" si="0"/>
        <v>0</v>
      </c>
      <c r="U60" t="str">
        <f t="shared" si="1"/>
        <v/>
      </c>
      <c r="V60" t="str">
        <f t="shared" si="2"/>
        <v/>
      </c>
    </row>
    <row r="61" spans="1:22">
      <c r="A61" s="503" t="str">
        <f>Recap!D68</f>
        <v>TIMPuls_3</v>
      </c>
      <c r="B61" s="853">
        <f>Recap!AP68</f>
        <v>53</v>
      </c>
      <c r="C61" s="853">
        <f>Recap!AQ68</f>
        <v>0</v>
      </c>
      <c r="D61" s="913">
        <f>IF(Recap!AT68&gt;0,Recap!CS68,"")</f>
        <v>25</v>
      </c>
      <c r="E61" s="913" t="str">
        <f>IF(Recap!AU68&gt;0,Recap!DE68,"")</f>
        <v/>
      </c>
      <c r="F61" s="503">
        <f>IF(Recap!AT68&gt;0,MIN(Recap!AR68,Recap!AT68),"")</f>
        <v>49</v>
      </c>
      <c r="G61" s="503" t="str">
        <f>IF(Recap!AU68&gt;0,MIN(Recap!AS68,Recap!AU68),"")</f>
        <v/>
      </c>
      <c r="H61" s="503"/>
      <c r="I61" s="503"/>
      <c r="J61" s="503"/>
      <c r="K61" s="503"/>
      <c r="L61" s="503"/>
      <c r="M61" s="866"/>
      <c r="N61" s="503"/>
      <c r="O61" s="876"/>
      <c r="P61" s="503"/>
      <c r="Q61" s="503"/>
      <c r="R61" s="503"/>
      <c r="S61" s="548">
        <f t="shared" si="0"/>
        <v>0</v>
      </c>
      <c r="U61" t="str">
        <f t="shared" si="1"/>
        <v/>
      </c>
      <c r="V61" t="str">
        <f t="shared" si="2"/>
        <v/>
      </c>
    </row>
    <row r="62" spans="1:22" ht="15.75" thickBot="1">
      <c r="A62" s="25" t="str">
        <f>Recap!D69</f>
        <v>TIMPuls_4</v>
      </c>
      <c r="B62" s="854">
        <f>Recap!AP69</f>
        <v>0</v>
      </c>
      <c r="C62" s="854">
        <f>Recap!AQ69</f>
        <v>0</v>
      </c>
      <c r="D62" s="902">
        <f>IF(Recap!AT69&gt;0,Recap!CS69,"")</f>
        <v>36</v>
      </c>
      <c r="E62" s="902" t="str">
        <f>IF(Recap!AU69&gt;0,Recap!DE69,"")</f>
        <v/>
      </c>
      <c r="F62" s="25">
        <f>IF(Recap!AT69&gt;0,MIN(Recap!AR69,Recap!AT69),"")</f>
        <v>76.7</v>
      </c>
      <c r="G62" s="25" t="str">
        <f>IF(Recap!AU69&gt;0,MIN(Recap!AS69,Recap!AU69),"")</f>
        <v/>
      </c>
      <c r="H62" s="25"/>
      <c r="I62" s="25"/>
      <c r="J62" s="25"/>
      <c r="K62" s="25"/>
      <c r="L62" s="25"/>
      <c r="M62" s="867"/>
      <c r="N62" s="25"/>
      <c r="O62" s="877"/>
      <c r="P62" s="25"/>
      <c r="Q62" s="25"/>
      <c r="R62" s="25"/>
      <c r="S62" s="548">
        <f t="shared" si="0"/>
        <v>0</v>
      </c>
      <c r="U62" t="str">
        <f t="shared" si="1"/>
        <v/>
      </c>
      <c r="V62" t="str">
        <f t="shared" si="2"/>
        <v/>
      </c>
    </row>
    <row r="63" spans="1:22">
      <c r="A63" s="845" t="str">
        <f>Recap!D70</f>
        <v>SeifBois_B27_R60_25%</v>
      </c>
      <c r="B63" s="855">
        <f>Recap!AP70</f>
        <v>0</v>
      </c>
      <c r="C63" s="855">
        <f>Recap!AQ70</f>
        <v>0</v>
      </c>
      <c r="D63" s="914" t="str">
        <f>IF(Recap!AT70&gt;0,Recap!CS70,"")</f>
        <v/>
      </c>
      <c r="E63" s="914" t="str">
        <f>IF(Recap!AU70&gt;0,Recap!DE70,"")</f>
        <v/>
      </c>
      <c r="F63" s="845" t="str">
        <f>IF(Recap!AT70&gt;0,MIN(Recap!AR70,Recap!AT70),"")</f>
        <v/>
      </c>
      <c r="G63" s="845" t="str">
        <f>IF(Recap!AU70&gt;0,MIN(Recap!AS70,Recap!AU70),"")</f>
        <v/>
      </c>
      <c r="H63" s="845"/>
      <c r="I63" s="845"/>
      <c r="J63" s="845"/>
      <c r="K63" s="845"/>
      <c r="L63" s="845"/>
      <c r="M63" s="868"/>
      <c r="N63" s="845"/>
      <c r="O63" s="878"/>
      <c r="P63" s="845"/>
      <c r="Q63" s="845"/>
      <c r="R63" s="845"/>
      <c r="S63" s="548">
        <f t="shared" si="0"/>
        <v>0</v>
      </c>
      <c r="U63" t="str">
        <f t="shared" si="1"/>
        <v/>
      </c>
      <c r="V63" t="str">
        <f t="shared" si="2"/>
        <v/>
      </c>
    </row>
    <row r="64" spans="1:22">
      <c r="A64" s="503" t="str">
        <f>Recap!D71</f>
        <v>SeifBois_B27_R120_25%</v>
      </c>
      <c r="B64" s="853">
        <f>Recap!AP71</f>
        <v>0</v>
      </c>
      <c r="C64" s="853">
        <f>Recap!AQ71</f>
        <v>0</v>
      </c>
      <c r="D64" s="913" t="str">
        <f>IF(Recap!AT71&gt;0,Recap!CS71,"")</f>
        <v/>
      </c>
      <c r="E64" s="913" t="str">
        <f>IF(Recap!AU71&gt;0,Recap!DE71,"")</f>
        <v/>
      </c>
      <c r="F64" s="503" t="str">
        <f>IF(Recap!AT71&gt;0,MIN(Recap!AR71,Recap!AT71),"")</f>
        <v/>
      </c>
      <c r="G64" s="503" t="str">
        <f>IF(Recap!AU71&gt;0,MIN(Recap!AS71,Recap!AU71),"")</f>
        <v/>
      </c>
      <c r="H64" s="503"/>
      <c r="I64" s="503"/>
      <c r="J64" s="503"/>
      <c r="K64" s="503"/>
      <c r="L64" s="503"/>
      <c r="M64" s="866"/>
      <c r="N64" s="503"/>
      <c r="O64" s="876"/>
      <c r="P64" s="503"/>
      <c r="Q64" s="503"/>
      <c r="R64" s="503"/>
      <c r="S64" s="548">
        <f t="shared" si="0"/>
        <v>0</v>
      </c>
      <c r="U64" t="str">
        <f t="shared" si="1"/>
        <v/>
      </c>
      <c r="V64" t="str">
        <f t="shared" si="2"/>
        <v/>
      </c>
    </row>
    <row r="65" spans="1:22">
      <c r="A65" s="503" t="str">
        <f>Recap!D72</f>
        <v>SeifBois_H27_R30_25%</v>
      </c>
      <c r="B65" s="853">
        <f>Recap!AP72</f>
        <v>0</v>
      </c>
      <c r="C65" s="853">
        <f>Recap!AQ72</f>
        <v>0</v>
      </c>
      <c r="D65" s="913" t="str">
        <f>IF(Recap!AT72&gt;0,Recap!CS72,"")</f>
        <v/>
      </c>
      <c r="E65" s="913">
        <f>IF(Recap!AU72&gt;0,Recap!DE72,"")</f>
        <v>50</v>
      </c>
      <c r="F65" s="503" t="str">
        <f>IF(Recap!AT72&gt;0,MIN(Recap!AR72,Recap!AT72),"")</f>
        <v/>
      </c>
      <c r="G65" s="503">
        <f>IF(Recap!AU72&gt;0,MIN(Recap!AS72,Recap!AU72),"")</f>
        <v>82.8</v>
      </c>
      <c r="H65" s="503"/>
      <c r="I65" s="503"/>
      <c r="J65" s="503"/>
      <c r="K65" s="503"/>
      <c r="L65" s="503"/>
      <c r="M65" s="866"/>
      <c r="N65" s="503"/>
      <c r="O65" s="876"/>
      <c r="P65" s="503"/>
      <c r="Q65" s="503"/>
      <c r="R65" s="503"/>
      <c r="S65" s="548">
        <f t="shared" si="0"/>
        <v>0</v>
      </c>
      <c r="U65" t="str">
        <f t="shared" si="1"/>
        <v/>
      </c>
      <c r="V65" t="str">
        <f t="shared" si="2"/>
        <v/>
      </c>
    </row>
    <row r="66" spans="1:22">
      <c r="A66" s="503" t="str">
        <f>Recap!D73</f>
        <v>SeifBois_H27_R60_25%</v>
      </c>
      <c r="B66" s="853">
        <f>Recap!AP73</f>
        <v>0</v>
      </c>
      <c r="C66" s="853">
        <f>Recap!AQ73</f>
        <v>0</v>
      </c>
      <c r="D66" s="913" t="str">
        <f>IF(Recap!AT73&gt;0,Recap!CS73,"")</f>
        <v/>
      </c>
      <c r="E66" s="913">
        <f>IF(Recap!AU73&gt;0,Recap!DE73,"")</f>
        <v>50</v>
      </c>
      <c r="F66" s="503" t="str">
        <f>IF(Recap!AT73&gt;0,MIN(Recap!AR73,Recap!AT73),"")</f>
        <v/>
      </c>
      <c r="G66" s="503">
        <f>IF(Recap!AU73&gt;0,MIN(Recap!AS73,Recap!AU73),"")</f>
        <v>82.8</v>
      </c>
      <c r="H66" s="503"/>
      <c r="I66" s="503"/>
      <c r="J66" s="503"/>
      <c r="K66" s="503"/>
      <c r="L66" s="503"/>
      <c r="M66" s="866"/>
      <c r="N66" s="503"/>
      <c r="O66" s="876"/>
      <c r="P66" s="503"/>
      <c r="Q66" s="503"/>
      <c r="R66" s="503"/>
      <c r="S66" s="548">
        <f t="shared" si="0"/>
        <v>0</v>
      </c>
      <c r="U66" t="str">
        <f t="shared" si="1"/>
        <v/>
      </c>
      <c r="V66" t="str">
        <f t="shared" si="2"/>
        <v/>
      </c>
    </row>
    <row r="67" spans="1:22">
      <c r="A67" s="503" t="str">
        <f>Recap!D74</f>
        <v>SeifBois_H27_R90_25%</v>
      </c>
      <c r="B67" s="853">
        <f>Recap!AP74</f>
        <v>0</v>
      </c>
      <c r="C67" s="853">
        <f>Recap!AQ74</f>
        <v>0</v>
      </c>
      <c r="D67" s="913" t="str">
        <f>IF(Recap!AT74&gt;0,Recap!CS74,"")</f>
        <v/>
      </c>
      <c r="E67" s="913">
        <f>IF(Recap!AU74&gt;0,Recap!DE74,"")</f>
        <v>50</v>
      </c>
      <c r="F67" s="503" t="str">
        <f>IF(Recap!AT74&gt;0,MIN(Recap!AR74,Recap!AT74),"")</f>
        <v/>
      </c>
      <c r="G67" s="503">
        <f>IF(Recap!AU74&gt;0,MIN(Recap!AS74,Recap!AU74),"")</f>
        <v>82.8</v>
      </c>
      <c r="H67" s="503"/>
      <c r="I67" s="503"/>
      <c r="J67" s="503"/>
      <c r="K67" s="503"/>
      <c r="L67" s="503"/>
      <c r="M67" s="866"/>
      <c r="N67" s="503"/>
      <c r="O67" s="876"/>
      <c r="P67" s="503"/>
      <c r="Q67" s="503"/>
      <c r="R67" s="503"/>
      <c r="S67" s="548">
        <f t="shared" ref="S67" si="3">IF(MIN(D67:E67)&gt;0,R67/MIN(D67:E67),0)</f>
        <v>0</v>
      </c>
      <c r="U67" t="str">
        <f t="shared" ref="U67:U73" si="4">IF(AND(ISBLANK(H67),ISBLANK(P67)),"",H67-P67)</f>
        <v/>
      </c>
      <c r="V67" t="str">
        <f t="shared" ref="V67:V73" si="5">IF(AND(ISBLANK(J67),ISBLANK(Q67)),"",J67-Q67)</f>
        <v/>
      </c>
    </row>
    <row r="68" spans="1:22">
      <c r="A68" s="503" t="str">
        <f>Recap!D75</f>
        <v>SeifBois_E27_R60_25%</v>
      </c>
      <c r="B68" s="853">
        <f>Recap!AP75</f>
        <v>0</v>
      </c>
      <c r="C68" s="853">
        <f>Recap!AQ75</f>
        <v>0</v>
      </c>
      <c r="D68" s="913" t="str">
        <f>IF(Recap!AT75&gt;0,Recap!CS75,"")</f>
        <v/>
      </c>
      <c r="E68" s="913">
        <f>IF(Recap!AU75&gt;0,Recap!DE75,"")</f>
        <v>50</v>
      </c>
      <c r="F68" s="503" t="str">
        <f>IF(Recap!AT75&gt;0,MIN(Recap!AR75,Recap!AT75),"")</f>
        <v/>
      </c>
      <c r="G68" s="503">
        <f>IF(Recap!AU75&gt;0,MIN(Recap!AS75,Recap!AU75),"")</f>
        <v>82.8</v>
      </c>
      <c r="H68" s="503"/>
      <c r="I68" s="503"/>
      <c r="J68" s="503"/>
      <c r="K68" s="503"/>
      <c r="L68" s="503"/>
      <c r="M68" s="866"/>
      <c r="N68" s="503"/>
      <c r="O68" s="876"/>
      <c r="P68" s="503"/>
      <c r="Q68" s="503"/>
      <c r="R68" s="503"/>
      <c r="S68" s="548">
        <f t="shared" ref="S68:S73" si="6">IF(MIN(D68:E68)&gt;0,R68/MIN(D68:E68),0)</f>
        <v>0</v>
      </c>
      <c r="U68" t="str">
        <f t="shared" si="4"/>
        <v/>
      </c>
      <c r="V68" t="str">
        <f t="shared" si="5"/>
        <v/>
      </c>
    </row>
    <row r="69" spans="1:22">
      <c r="A69" s="503" t="str">
        <f>Recap!D76</f>
        <v>SeifBois_E11a</v>
      </c>
      <c r="B69" s="853">
        <f>Recap!AP76</f>
        <v>0</v>
      </c>
      <c r="C69" s="853">
        <f>Recap!AQ76</f>
        <v>0</v>
      </c>
      <c r="D69" s="913" t="str">
        <f>IF(Recap!AT76&gt;0,Recap!CS76,"")</f>
        <v/>
      </c>
      <c r="E69" s="913">
        <f>IF(Recap!AU76&gt;0,Recap!DE76,"")</f>
        <v>50</v>
      </c>
      <c r="F69" s="503" t="str">
        <f>IF(Recap!AT76&gt;0,MIN(Recap!AR76,Recap!AT76),"")</f>
        <v/>
      </c>
      <c r="G69" s="503">
        <f>IF(Recap!AU76&gt;0,MIN(Recap!AS76,Recap!AU76),"")</f>
        <v>82.8</v>
      </c>
      <c r="H69" s="503"/>
      <c r="I69" s="503"/>
      <c r="J69" s="503"/>
      <c r="K69" s="503"/>
      <c r="L69" s="503"/>
      <c r="M69" s="866"/>
      <c r="N69" s="503"/>
      <c r="O69" s="876"/>
      <c r="P69" s="503"/>
      <c r="Q69" s="503"/>
      <c r="R69" s="503"/>
      <c r="S69" s="548">
        <f t="shared" si="6"/>
        <v>0</v>
      </c>
      <c r="U69" t="str">
        <f t="shared" si="4"/>
        <v/>
      </c>
      <c r="V69" t="str">
        <f t="shared" si="5"/>
        <v/>
      </c>
    </row>
    <row r="70" spans="1:22">
      <c r="A70" s="503" t="str">
        <f>Recap!D77</f>
        <v>SeifBois_E11b</v>
      </c>
      <c r="B70" s="853">
        <f>Recap!AP77</f>
        <v>0</v>
      </c>
      <c r="C70" s="853">
        <f>Recap!AQ77</f>
        <v>0</v>
      </c>
      <c r="D70" s="913" t="str">
        <f>IF(Recap!AT77&gt;0,Recap!CS77,"")</f>
        <v/>
      </c>
      <c r="E70" s="913">
        <f>IF(Recap!AU77&gt;0,Recap!DE77,"")</f>
        <v>50</v>
      </c>
      <c r="F70" s="503" t="str">
        <f>IF(Recap!AT77&gt;0,MIN(Recap!AR77,Recap!AT77),"")</f>
        <v/>
      </c>
      <c r="G70" s="503">
        <f>IF(Recap!AU77&gt;0,MIN(Recap!AS77,Recap!AU77),"")</f>
        <v>82.8</v>
      </c>
      <c r="H70" s="503"/>
      <c r="I70" s="503"/>
      <c r="J70" s="503"/>
      <c r="K70" s="503"/>
      <c r="L70" s="503"/>
      <c r="M70" s="866"/>
      <c r="N70" s="503"/>
      <c r="O70" s="876"/>
      <c r="P70" s="503"/>
      <c r="Q70" s="503"/>
      <c r="R70" s="503"/>
      <c r="S70" s="548">
        <f t="shared" si="6"/>
        <v>0</v>
      </c>
      <c r="U70" t="str">
        <f t="shared" si="4"/>
        <v/>
      </c>
      <c r="V70" t="str">
        <f t="shared" si="5"/>
        <v/>
      </c>
    </row>
    <row r="71" spans="1:22">
      <c r="A71" s="503" t="str">
        <f>Recap!D78</f>
        <v>SeifBois_E11c</v>
      </c>
      <c r="B71" s="853">
        <f>Recap!AP78</f>
        <v>0</v>
      </c>
      <c r="C71" s="853">
        <f>Recap!AQ78</f>
        <v>0</v>
      </c>
      <c r="D71" s="913" t="str">
        <f>IF(Recap!AT78&gt;0,Recap!CS78,"")</f>
        <v/>
      </c>
      <c r="E71" s="913">
        <f>IF(Recap!AU78&gt;0,Recap!DE78,"")</f>
        <v>50</v>
      </c>
      <c r="F71" s="503" t="str">
        <f>IF(Recap!AT78&gt;0,MIN(Recap!AR78,Recap!AT78),"")</f>
        <v/>
      </c>
      <c r="G71" s="503">
        <f>IF(Recap!AU78&gt;0,MIN(Recap!AS78,Recap!AU78),"")</f>
        <v>82.8</v>
      </c>
      <c r="H71" s="503"/>
      <c r="I71" s="503"/>
      <c r="J71" s="503"/>
      <c r="K71" s="503"/>
      <c r="L71" s="503"/>
      <c r="M71" s="866"/>
      <c r="N71" s="503"/>
      <c r="O71" s="876"/>
      <c r="P71" s="503"/>
      <c r="Q71" s="503"/>
      <c r="R71" s="503"/>
      <c r="S71" s="548">
        <f t="shared" si="6"/>
        <v>0</v>
      </c>
      <c r="U71" t="str">
        <f t="shared" si="4"/>
        <v/>
      </c>
      <c r="V71" t="str">
        <f t="shared" si="5"/>
        <v/>
      </c>
    </row>
    <row r="72" spans="1:22">
      <c r="A72" s="503" t="str">
        <f>Recap!D79</f>
        <v>SeifBois_H11</v>
      </c>
      <c r="B72" s="853">
        <f>Recap!AP79</f>
        <v>0</v>
      </c>
      <c r="C72" s="853">
        <f>Recap!AQ79</f>
        <v>0</v>
      </c>
      <c r="D72" s="913" t="str">
        <f>IF(Recap!AT79&gt;0,Recap!CS79,"")</f>
        <v/>
      </c>
      <c r="E72" s="913">
        <f>IF(Recap!AU79&gt;0,Recap!DE79,"")</f>
        <v>50</v>
      </c>
      <c r="F72" s="503" t="str">
        <f>IF(Recap!AT79&gt;0,MIN(Recap!AR79,Recap!AT79),"")</f>
        <v/>
      </c>
      <c r="G72" s="503">
        <f>IF(Recap!AU79&gt;0,MIN(Recap!AS79,Recap!AU79),"")</f>
        <v>82.8</v>
      </c>
      <c r="H72" s="503"/>
      <c r="I72" s="503"/>
      <c r="J72" s="503"/>
      <c r="K72" s="503"/>
      <c r="L72" s="503"/>
      <c r="M72" s="866"/>
      <c r="N72" s="503"/>
      <c r="O72" s="876"/>
      <c r="P72" s="503"/>
      <c r="Q72" s="503"/>
      <c r="R72" s="503"/>
      <c r="S72" s="548">
        <f t="shared" si="6"/>
        <v>0</v>
      </c>
      <c r="U72" t="str">
        <f t="shared" si="4"/>
        <v/>
      </c>
      <c r="V72" t="str">
        <f t="shared" si="5"/>
        <v/>
      </c>
    </row>
    <row r="73" spans="1:22">
      <c r="A73" s="503" t="str">
        <f>Recap!D80</f>
        <v>SeifBois_B11</v>
      </c>
      <c r="B73" s="853">
        <f>Recap!AP80</f>
        <v>0</v>
      </c>
      <c r="C73" s="853">
        <f>Recap!AQ80</f>
        <v>0</v>
      </c>
      <c r="D73" s="913" t="str">
        <f>IF(Recap!AT80&gt;0,Recap!CS80,"")</f>
        <v/>
      </c>
      <c r="E73" s="913" t="str">
        <f>IF(Recap!AU80&gt;0,Recap!DE80,"")</f>
        <v/>
      </c>
      <c r="F73" s="503" t="str">
        <f>IF(Recap!AT80&gt;0,MIN(Recap!AR80,Recap!AT80),"")</f>
        <v/>
      </c>
      <c r="G73" s="503" t="str">
        <f>IF(Recap!AU80&gt;0,MIN(Recap!AS80,Recap!AU80),"")</f>
        <v/>
      </c>
      <c r="H73" s="503"/>
      <c r="I73" s="503"/>
      <c r="J73" s="503"/>
      <c r="K73" s="503"/>
      <c r="L73" s="503"/>
      <c r="M73" s="866"/>
      <c r="N73" s="503"/>
      <c r="O73" s="876"/>
      <c r="P73" s="503"/>
      <c r="Q73" s="503"/>
      <c r="R73" s="503"/>
      <c r="S73" s="548">
        <f t="shared" si="6"/>
        <v>0</v>
      </c>
      <c r="U73" t="str">
        <f t="shared" si="4"/>
        <v/>
      </c>
      <c r="V73" t="str">
        <f t="shared" si="5"/>
        <v/>
      </c>
    </row>
    <row r="74" spans="1:22">
      <c r="B74" s="856"/>
      <c r="C74" s="856"/>
      <c r="D74" s="856"/>
      <c r="E74" s="916"/>
      <c r="F74" s="506"/>
      <c r="G74" s="506"/>
    </row>
  </sheetData>
  <conditionalFormatting sqref="S2:S1048576">
    <cfRule type="cellIs" dxfId="0" priority="1" operator="greaterThan">
      <formula>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5C3B-66CF-4F01-9C74-66310F4E8B53}">
  <sheetPr codeName="Feuil9"/>
  <dimension ref="A1:Q73"/>
  <sheetViews>
    <sheetView topLeftCell="A45" workbookViewId="0">
      <selection activeCell="A68" sqref="A68"/>
    </sheetView>
  </sheetViews>
  <sheetFormatPr baseColWidth="10" defaultRowHeight="15"/>
  <cols>
    <col min="1" max="1" width="22.28515625" bestFit="1" customWidth="1"/>
    <col min="2" max="2" width="22.28515625" style="917" bestFit="1" customWidth="1"/>
    <col min="3" max="3" width="22.28515625" bestFit="1" customWidth="1"/>
    <col min="4" max="5" width="16.5703125" bestFit="1" customWidth="1"/>
    <col min="6" max="7" width="16.5703125" customWidth="1"/>
    <col min="8" max="8" width="17.5703125" customWidth="1"/>
    <col min="9" max="9" width="18.5703125" customWidth="1"/>
    <col min="10" max="10" width="16.5703125" customWidth="1"/>
  </cols>
  <sheetData>
    <row r="1" spans="1:17" ht="15.75" thickBot="1">
      <c r="A1" s="7" t="s">
        <v>614</v>
      </c>
      <c r="B1" s="915" t="s">
        <v>897</v>
      </c>
      <c r="C1" s="857" t="s">
        <v>902</v>
      </c>
      <c r="D1" s="858" t="s">
        <v>912</v>
      </c>
      <c r="E1" s="858" t="s">
        <v>896</v>
      </c>
      <c r="F1" s="1085" t="s">
        <v>1004</v>
      </c>
      <c r="G1" s="1085" t="s">
        <v>1005</v>
      </c>
      <c r="H1" s="926" t="s">
        <v>986</v>
      </c>
      <c r="I1" s="926" t="s">
        <v>987</v>
      </c>
      <c r="J1" s="926" t="s">
        <v>915</v>
      </c>
      <c r="K1" s="926" t="s">
        <v>916</v>
      </c>
      <c r="L1" s="926" t="s">
        <v>988</v>
      </c>
      <c r="M1" s="926" t="s">
        <v>917</v>
      </c>
      <c r="N1" s="926" t="s">
        <v>918</v>
      </c>
      <c r="O1" s="926" t="s">
        <v>919</v>
      </c>
      <c r="P1" s="926" t="s">
        <v>989</v>
      </c>
      <c r="Q1" s="926" t="s">
        <v>920</v>
      </c>
    </row>
    <row r="2" spans="1:17">
      <c r="A2" s="425" t="str">
        <f>Recap!D8</f>
        <v>McGregor_1</v>
      </c>
      <c r="B2" s="908">
        <f>Recap!BR8</f>
        <v>0</v>
      </c>
      <c r="C2" s="846">
        <f>Recap!BT8</f>
        <v>0</v>
      </c>
      <c r="D2" s="425">
        <f>Recap!BU8</f>
        <v>0</v>
      </c>
      <c r="E2" s="425">
        <f>Recap!BV8</f>
        <v>0</v>
      </c>
      <c r="F2" s="473"/>
      <c r="G2" s="473"/>
      <c r="H2" s="473"/>
      <c r="I2" s="473"/>
      <c r="J2" s="473"/>
      <c r="K2" s="473"/>
      <c r="L2" s="473"/>
      <c r="M2" s="473"/>
      <c r="N2" s="473"/>
      <c r="O2" s="473"/>
      <c r="P2" s="473"/>
      <c r="Q2" s="473"/>
    </row>
    <row r="3" spans="1:17">
      <c r="A3" s="843" t="str">
        <f>Recap!D9</f>
        <v>McGregor_2</v>
      </c>
      <c r="B3" s="924">
        <f>Recap!BR9</f>
        <v>0</v>
      </c>
      <c r="C3" s="847">
        <f>Recap!BT9</f>
        <v>0</v>
      </c>
      <c r="D3" s="843">
        <f>Recap!BU9</f>
        <v>0</v>
      </c>
      <c r="E3" s="843">
        <f>Recap!BV9</f>
        <v>0</v>
      </c>
      <c r="F3" s="727"/>
      <c r="G3" s="727"/>
      <c r="H3" s="727"/>
      <c r="I3" s="727"/>
      <c r="J3" s="727"/>
      <c r="K3" s="727"/>
      <c r="L3" s="727"/>
      <c r="M3" s="727"/>
      <c r="N3" s="727"/>
      <c r="O3" s="727"/>
      <c r="P3" s="727"/>
      <c r="Q3" s="727"/>
    </row>
    <row r="4" spans="1:17">
      <c r="A4" s="843" t="str">
        <f>Recap!D10</f>
        <v>McGregor_3</v>
      </c>
      <c r="B4" s="924">
        <f>Recap!BR10</f>
        <v>0</v>
      </c>
      <c r="C4" s="847">
        <f>Recap!BT10</f>
        <v>0</v>
      </c>
      <c r="D4" s="843">
        <f>Recap!BU10</f>
        <v>0</v>
      </c>
      <c r="E4" s="843">
        <f>Recap!BV10</f>
        <v>0</v>
      </c>
      <c r="F4" s="727"/>
      <c r="G4" s="727"/>
      <c r="H4" s="727"/>
      <c r="I4" s="727"/>
      <c r="J4" s="727"/>
      <c r="K4" s="727"/>
      <c r="L4" s="727"/>
      <c r="M4" s="727"/>
      <c r="N4" s="727"/>
      <c r="O4" s="727"/>
      <c r="P4" s="727"/>
      <c r="Q4" s="727"/>
    </row>
    <row r="5" spans="1:17">
      <c r="A5" s="843" t="str">
        <f>Recap!D11</f>
        <v>McGregor_4</v>
      </c>
      <c r="B5" s="924">
        <f>Recap!BR11</f>
        <v>0</v>
      </c>
      <c r="C5" s="847">
        <f>Recap!BT11</f>
        <v>0</v>
      </c>
      <c r="D5" s="843">
        <f>Recap!BU11</f>
        <v>0</v>
      </c>
      <c r="E5" s="843">
        <f>Recap!BV11</f>
        <v>0</v>
      </c>
      <c r="F5" s="727"/>
      <c r="G5" s="727"/>
      <c r="H5" s="727"/>
      <c r="I5" s="727"/>
      <c r="J5" s="727"/>
      <c r="K5" s="727"/>
      <c r="L5" s="727"/>
      <c r="M5" s="727"/>
      <c r="N5" s="727"/>
      <c r="O5" s="727"/>
      <c r="P5" s="727"/>
      <c r="Q5" s="727"/>
    </row>
    <row r="6" spans="1:17" ht="15.75" thickBot="1">
      <c r="A6" s="7" t="str">
        <f>Recap!D12</f>
        <v>McGregor_5</v>
      </c>
      <c r="B6" s="907">
        <f>Recap!BR12</f>
        <v>0</v>
      </c>
      <c r="C6" s="848">
        <f>Recap!BT12</f>
        <v>0</v>
      </c>
      <c r="D6" s="7">
        <f>Recap!BU12</f>
        <v>0</v>
      </c>
      <c r="E6" s="7">
        <f>Recap!BV12</f>
        <v>0</v>
      </c>
      <c r="F6" s="1041"/>
      <c r="G6" s="1041"/>
      <c r="H6" s="1041"/>
      <c r="I6" s="1041"/>
      <c r="J6" s="1041"/>
      <c r="K6" s="1041"/>
      <c r="L6" s="1041"/>
      <c r="M6" s="1041"/>
      <c r="N6" s="1041"/>
      <c r="O6" s="1041"/>
      <c r="P6" s="1041"/>
      <c r="Q6" s="1041"/>
    </row>
    <row r="7" spans="1:17">
      <c r="A7" s="843" t="str">
        <f>Recap!D13</f>
        <v>Medina_1</v>
      </c>
      <c r="B7" s="924">
        <f>Recap!BR13</f>
        <v>0</v>
      </c>
      <c r="C7" s="847">
        <f>Recap!BT13</f>
        <v>0</v>
      </c>
      <c r="D7" s="843">
        <f>Recap!BU13</f>
        <v>0</v>
      </c>
      <c r="E7" s="843">
        <f>Recap!BV13</f>
        <v>0</v>
      </c>
      <c r="F7" s="727"/>
      <c r="G7" s="727"/>
      <c r="H7" s="727"/>
      <c r="I7" s="727"/>
      <c r="J7" s="727"/>
      <c r="K7" s="727"/>
      <c r="L7" s="727"/>
      <c r="M7" s="727"/>
      <c r="N7" s="727"/>
      <c r="O7" s="727"/>
      <c r="P7" s="727"/>
      <c r="Q7" s="727"/>
    </row>
    <row r="8" spans="1:17">
      <c r="A8" s="843" t="str">
        <f>Recap!D14</f>
        <v>Medina_2</v>
      </c>
      <c r="B8" s="924">
        <f>Recap!BR14</f>
        <v>0</v>
      </c>
      <c r="C8" s="847">
        <f>Recap!BT14</f>
        <v>0</v>
      </c>
      <c r="D8" s="843">
        <f>Recap!BU14</f>
        <v>0</v>
      </c>
      <c r="E8" s="843">
        <f>Recap!BV14</f>
        <v>0</v>
      </c>
      <c r="F8" s="727"/>
      <c r="G8" s="727"/>
      <c r="H8" s="727"/>
      <c r="I8" s="727"/>
      <c r="J8" s="727"/>
      <c r="K8" s="727"/>
      <c r="L8" s="727"/>
      <c r="M8" s="727"/>
      <c r="N8" s="727"/>
      <c r="O8" s="727"/>
      <c r="P8" s="727"/>
      <c r="Q8" s="727"/>
    </row>
    <row r="9" spans="1:17" ht="15.75" thickBot="1">
      <c r="A9" s="7" t="str">
        <f>Recap!D15</f>
        <v>Medina_3</v>
      </c>
      <c r="B9" s="907">
        <f>Recap!BR15</f>
        <v>0</v>
      </c>
      <c r="C9" s="848">
        <f>Recap!BT15</f>
        <v>0</v>
      </c>
      <c r="D9" s="7">
        <f>Recap!BU15</f>
        <v>0</v>
      </c>
      <c r="E9" s="7">
        <f>Recap!BV15</f>
        <v>0</v>
      </c>
      <c r="F9" s="1041"/>
      <c r="G9" s="1041"/>
      <c r="H9" s="1041"/>
      <c r="I9" s="1041"/>
      <c r="J9" s="1041"/>
      <c r="K9" s="1041"/>
      <c r="L9" s="1041"/>
      <c r="M9" s="1041"/>
      <c r="N9" s="1041"/>
      <c r="O9" s="1041"/>
      <c r="P9" s="1041"/>
      <c r="Q9" s="1041"/>
    </row>
    <row r="10" spans="1:17">
      <c r="A10" s="843" t="str">
        <f>Recap!D16</f>
        <v>NRCC&amp;NIST_1</v>
      </c>
      <c r="B10" s="924" t="str">
        <f>Recap!BR16</f>
        <v>2.4, 4.8, 12</v>
      </c>
      <c r="C10" s="847" t="str">
        <f>Recap!BT16</f>
        <v>Front</v>
      </c>
      <c r="D10" s="843">
        <f>Recap!BU16</f>
        <v>0</v>
      </c>
      <c r="E10" s="843" t="str">
        <f>Recap!BV16</f>
        <v>40, 12, x</v>
      </c>
      <c r="F10" s="727"/>
      <c r="G10" s="727"/>
      <c r="H10" s="727"/>
      <c r="I10" s="727"/>
      <c r="J10" s="727"/>
      <c r="K10" s="727"/>
      <c r="L10" s="727"/>
      <c r="M10" s="727"/>
      <c r="N10" s="727"/>
      <c r="O10" s="727"/>
      <c r="P10" s="727"/>
      <c r="Q10" s="727"/>
    </row>
    <row r="11" spans="1:17">
      <c r="A11" s="843" t="str">
        <f>Recap!D17</f>
        <v>NRCC&amp;NIST_2</v>
      </c>
      <c r="B11" s="924" t="str">
        <f>Recap!BR17</f>
        <v>2.4, 4.8, 12</v>
      </c>
      <c r="C11" s="847" t="str">
        <f>Recap!BT17</f>
        <v>Front</v>
      </c>
      <c r="D11" s="843">
        <f>Recap!BU17</f>
        <v>0</v>
      </c>
      <c r="E11" s="843" t="str">
        <f>Recap!BV17</f>
        <v>65, 22, x</v>
      </c>
      <c r="F11" s="727"/>
      <c r="G11" s="727"/>
      <c r="H11" s="727"/>
      <c r="I11" s="727"/>
      <c r="J11" s="727"/>
      <c r="K11" s="727"/>
      <c r="L11" s="727"/>
      <c r="M11" s="727"/>
      <c r="N11" s="727"/>
      <c r="O11" s="727"/>
      <c r="P11" s="727"/>
      <c r="Q11" s="727"/>
    </row>
    <row r="12" spans="1:17">
      <c r="A12" s="843" t="str">
        <f>Recap!D18</f>
        <v>NRCC&amp;NIST_3</v>
      </c>
      <c r="B12" s="924" t="str">
        <f>Recap!BR18</f>
        <v>2.4, 4.8, 12</v>
      </c>
      <c r="C12" s="847" t="str">
        <f>Recap!BT18</f>
        <v>Front</v>
      </c>
      <c r="D12" s="843">
        <f>Recap!BU18</f>
        <v>0</v>
      </c>
      <c r="E12" s="843" t="str">
        <f>Recap!BV18</f>
        <v>65, 25, x</v>
      </c>
      <c r="F12" s="727"/>
      <c r="G12" s="727"/>
      <c r="H12" s="727"/>
      <c r="I12" s="727"/>
      <c r="J12" s="727"/>
      <c r="K12" s="727"/>
      <c r="L12" s="727"/>
      <c r="M12" s="727"/>
      <c r="N12" s="727"/>
      <c r="O12" s="727"/>
      <c r="P12" s="727"/>
      <c r="Q12" s="727"/>
    </row>
    <row r="13" spans="1:17">
      <c r="A13" s="843" t="str">
        <f>Recap!D19</f>
        <v>NRCC&amp;NIST_4</v>
      </c>
      <c r="B13" s="924" t="str">
        <f>Recap!BR19</f>
        <v>2.4, 4.8, 12</v>
      </c>
      <c r="C13" s="847" t="str">
        <f>Recap!BT19</f>
        <v>Front</v>
      </c>
      <c r="D13" s="843">
        <f>Recap!BU19</f>
        <v>0</v>
      </c>
      <c r="E13" s="843" t="str">
        <f>Recap!BV19</f>
        <v>45, 17, x</v>
      </c>
      <c r="F13" s="727"/>
      <c r="G13" s="727"/>
      <c r="H13" s="727"/>
      <c r="I13" s="727"/>
      <c r="J13" s="727"/>
      <c r="K13" s="727"/>
      <c r="L13" s="727"/>
      <c r="M13" s="727"/>
      <c r="N13" s="727"/>
      <c r="O13" s="727"/>
      <c r="P13" s="727"/>
      <c r="Q13" s="727"/>
    </row>
    <row r="14" spans="1:17">
      <c r="A14" s="843" t="str">
        <f>Recap!D20</f>
        <v>NRCC&amp;NIST_5</v>
      </c>
      <c r="B14" s="924" t="str">
        <f>Recap!BR20</f>
        <v>2.4, 4.8, 12</v>
      </c>
      <c r="C14" s="847" t="str">
        <f>Recap!BT20</f>
        <v>Front</v>
      </c>
      <c r="D14" s="843">
        <f>Recap!BU20</f>
        <v>0</v>
      </c>
      <c r="E14" s="843" t="str">
        <f>Recap!BV20</f>
        <v>40, 15, x</v>
      </c>
      <c r="F14" s="727"/>
      <c r="G14" s="727"/>
      <c r="H14" s="727"/>
      <c r="I14" s="727"/>
      <c r="J14" s="727"/>
      <c r="K14" s="727"/>
      <c r="L14" s="727"/>
      <c r="M14" s="727"/>
      <c r="N14" s="727"/>
      <c r="O14" s="727"/>
      <c r="P14" s="727"/>
      <c r="Q14" s="727"/>
    </row>
    <row r="15" spans="1:17" ht="15.75" thickBot="1">
      <c r="A15" s="7" t="str">
        <f>Recap!D21</f>
        <v>NRCC&amp;NIST_6</v>
      </c>
      <c r="B15" s="907" t="str">
        <f>Recap!BR21</f>
        <v>2.4, 4.8, 12</v>
      </c>
      <c r="C15" s="848" t="str">
        <f>Recap!BT21</f>
        <v>Front</v>
      </c>
      <c r="D15" s="7">
        <f>Recap!BU21</f>
        <v>0</v>
      </c>
      <c r="E15" s="7" t="str">
        <f>Recap!BV21</f>
        <v>55, 20, x</v>
      </c>
      <c r="F15" s="1041"/>
      <c r="G15" s="1041"/>
      <c r="H15" s="1041"/>
      <c r="I15" s="1041"/>
      <c r="J15" s="1041"/>
      <c r="K15" s="1041"/>
      <c r="L15" s="1041"/>
      <c r="M15" s="1041"/>
      <c r="N15" s="1041"/>
      <c r="O15" s="1041"/>
      <c r="P15" s="1041"/>
      <c r="Q15" s="1041"/>
    </row>
    <row r="16" spans="1:17">
      <c r="A16" s="425" t="str">
        <f>Recap!D22</f>
        <v>NRCC_Room_1</v>
      </c>
      <c r="B16" s="908">
        <f>Recap!BR22</f>
        <v>0</v>
      </c>
      <c r="C16" s="846">
        <f>Recap!BT22</f>
        <v>0</v>
      </c>
      <c r="D16" s="425">
        <f>Recap!BU22</f>
        <v>0</v>
      </c>
      <c r="E16" s="425">
        <f>Recap!BV22</f>
        <v>0</v>
      </c>
      <c r="F16" s="473"/>
      <c r="G16" s="473"/>
      <c r="H16" s="473"/>
      <c r="I16" s="473"/>
      <c r="J16" s="473"/>
      <c r="K16" s="473"/>
      <c r="L16" s="473"/>
      <c r="M16" s="473"/>
      <c r="N16" s="473"/>
      <c r="O16" s="473"/>
      <c r="P16" s="473"/>
      <c r="Q16" s="473"/>
    </row>
    <row r="17" spans="1:17">
      <c r="A17" s="843" t="str">
        <f>Recap!D23</f>
        <v>NRCC_Room_2</v>
      </c>
      <c r="B17" s="924">
        <f>Recap!BR23</f>
        <v>0</v>
      </c>
      <c r="C17" s="847">
        <f>Recap!BT23</f>
        <v>0</v>
      </c>
      <c r="D17" s="843">
        <f>Recap!BU23</f>
        <v>0</v>
      </c>
      <c r="E17" s="843">
        <f>Recap!BV23</f>
        <v>0</v>
      </c>
      <c r="F17" s="727"/>
      <c r="G17" s="727"/>
      <c r="H17" s="727"/>
      <c r="I17" s="727"/>
      <c r="J17" s="727"/>
      <c r="K17" s="727"/>
      <c r="L17" s="727"/>
      <c r="M17" s="727"/>
      <c r="N17" s="727"/>
      <c r="O17" s="727"/>
      <c r="P17" s="727"/>
      <c r="Q17" s="727"/>
    </row>
    <row r="18" spans="1:17">
      <c r="A18" s="843" t="str">
        <f>Recap!D24</f>
        <v>NRCC_Room_3</v>
      </c>
      <c r="B18" s="924">
        <f>Recap!BR24</f>
        <v>0</v>
      </c>
      <c r="C18" s="847">
        <f>Recap!BT24</f>
        <v>0</v>
      </c>
      <c r="D18" s="843">
        <f>Recap!BU24</f>
        <v>0</v>
      </c>
      <c r="E18" s="843">
        <f>Recap!BV24</f>
        <v>0</v>
      </c>
      <c r="F18" s="727"/>
      <c r="G18" s="727"/>
      <c r="H18" s="727"/>
      <c r="I18" s="727"/>
      <c r="J18" s="727"/>
      <c r="K18" s="727"/>
      <c r="L18" s="727"/>
      <c r="M18" s="727"/>
      <c r="N18" s="727"/>
      <c r="O18" s="727"/>
      <c r="P18" s="727"/>
      <c r="Q18" s="727"/>
    </row>
    <row r="19" spans="1:17">
      <c r="A19" s="843" t="str">
        <f>Recap!D25</f>
        <v>NRCC_Room_4</v>
      </c>
      <c r="B19" s="924">
        <f>Recap!BR25</f>
        <v>0</v>
      </c>
      <c r="C19" s="847">
        <f>Recap!BT25</f>
        <v>0</v>
      </c>
      <c r="D19" s="843">
        <f>Recap!BU25</f>
        <v>0</v>
      </c>
      <c r="E19" s="843">
        <f>Recap!BV25</f>
        <v>0</v>
      </c>
      <c r="F19" s="727"/>
      <c r="G19" s="727"/>
      <c r="H19" s="727"/>
      <c r="I19" s="727"/>
      <c r="J19" s="727"/>
      <c r="K19" s="727"/>
      <c r="L19" s="727"/>
      <c r="M19" s="727"/>
      <c r="N19" s="727"/>
      <c r="O19" s="727"/>
      <c r="P19" s="727"/>
      <c r="Q19" s="727"/>
    </row>
    <row r="20" spans="1:17" ht="15.75" thickBot="1">
      <c r="A20" s="7" t="str">
        <f>Recap!D26</f>
        <v>NRCC_Room_5</v>
      </c>
      <c r="B20" s="907">
        <f>Recap!BR26</f>
        <v>0</v>
      </c>
      <c r="C20" s="848">
        <f>Recap!BT26</f>
        <v>0</v>
      </c>
      <c r="D20" s="7">
        <f>Recap!BU26</f>
        <v>0</v>
      </c>
      <c r="E20" s="7">
        <f>Recap!BV26</f>
        <v>0</v>
      </c>
      <c r="F20" s="1041"/>
      <c r="G20" s="1041"/>
      <c r="H20" s="1041"/>
      <c r="I20" s="1041"/>
      <c r="J20" s="1041"/>
      <c r="K20" s="1041"/>
      <c r="L20" s="1041"/>
      <c r="M20" s="1041"/>
      <c r="N20" s="1041"/>
      <c r="O20" s="1041"/>
      <c r="P20" s="1041"/>
      <c r="Q20" s="1041"/>
    </row>
    <row r="21" spans="1:17" ht="15.75" thickBot="1">
      <c r="A21" s="7" t="str">
        <f>Recap!D27</f>
        <v>NRCC_Elevator_1</v>
      </c>
      <c r="B21" s="907">
        <f>Recap!BR27</f>
        <v>0</v>
      </c>
      <c r="C21" s="848">
        <f>Recap!BT27</f>
        <v>0</v>
      </c>
      <c r="D21" s="7">
        <f>Recap!BU27</f>
        <v>0</v>
      </c>
      <c r="E21" s="7">
        <f>Recap!BV27</f>
        <v>0</v>
      </c>
      <c r="F21" s="1041"/>
      <c r="G21" s="1041"/>
      <c r="H21" s="1041"/>
      <c r="I21" s="1041"/>
      <c r="J21" s="1041"/>
      <c r="K21" s="1041"/>
      <c r="L21" s="1041"/>
      <c r="M21" s="1041"/>
      <c r="N21" s="1041"/>
      <c r="O21" s="1041"/>
      <c r="P21" s="1041"/>
      <c r="Q21" s="1041"/>
    </row>
    <row r="22" spans="1:17">
      <c r="A22" s="425" t="str">
        <f>Recap!D28</f>
        <v>NRCC_Encaps_LWF1</v>
      </c>
      <c r="B22" s="908">
        <f>Recap!BR28</f>
        <v>2.4</v>
      </c>
      <c r="C22" s="846" t="str">
        <f>Recap!BT28</f>
        <v>Front</v>
      </c>
      <c r="D22" s="425">
        <f>Recap!BU28</f>
        <v>0</v>
      </c>
      <c r="E22" s="425">
        <f>Recap!BV28</f>
        <v>25</v>
      </c>
      <c r="F22" s="473"/>
      <c r="G22" s="473"/>
      <c r="H22" s="473"/>
      <c r="I22" s="473"/>
      <c r="J22" s="473"/>
      <c r="K22" s="473"/>
      <c r="L22" s="473"/>
      <c r="M22" s="473"/>
      <c r="N22" s="473"/>
      <c r="O22" s="473"/>
      <c r="P22" s="473"/>
      <c r="Q22" s="473"/>
    </row>
    <row r="23" spans="1:17">
      <c r="A23" s="843" t="str">
        <f>Recap!D29</f>
        <v>NRCC_Encaps_CLT</v>
      </c>
      <c r="B23" s="924">
        <f>Recap!BR29</f>
        <v>2.4</v>
      </c>
      <c r="C23" s="847" t="str">
        <f>Recap!BT29</f>
        <v>Front</v>
      </c>
      <c r="D23" s="843">
        <f>Recap!BU29</f>
        <v>0</v>
      </c>
      <c r="E23" s="843">
        <f>Recap!BV29</f>
        <v>25</v>
      </c>
      <c r="F23" s="727"/>
      <c r="G23" s="727"/>
      <c r="H23" s="727"/>
      <c r="I23" s="727"/>
      <c r="J23" s="727"/>
      <c r="K23" s="727"/>
      <c r="L23" s="727"/>
      <c r="M23" s="727"/>
      <c r="N23" s="727"/>
      <c r="O23" s="727"/>
      <c r="P23" s="727"/>
      <c r="Q23" s="727"/>
    </row>
    <row r="24" spans="1:17">
      <c r="A24" s="843" t="str">
        <f>Recap!D30</f>
        <v>NRCC_Encaps_LSF</v>
      </c>
      <c r="B24" s="924">
        <f>Recap!BR30</f>
        <v>2.4</v>
      </c>
      <c r="C24" s="847" t="str">
        <f>Recap!BT30</f>
        <v>Front</v>
      </c>
      <c r="D24" s="843">
        <f>Recap!BU30</f>
        <v>0</v>
      </c>
      <c r="E24" s="843">
        <f>Recap!BV30</f>
        <v>34</v>
      </c>
      <c r="F24" s="727"/>
      <c r="G24" s="727"/>
      <c r="H24" s="727"/>
      <c r="I24" s="727"/>
      <c r="J24" s="727"/>
      <c r="K24" s="727"/>
      <c r="L24" s="727"/>
      <c r="M24" s="727"/>
      <c r="N24" s="727"/>
      <c r="O24" s="727"/>
      <c r="P24" s="727"/>
      <c r="Q24" s="727"/>
    </row>
    <row r="25" spans="1:17" ht="15.75" thickBot="1">
      <c r="A25" s="7" t="str">
        <f>Recap!D31</f>
        <v>NRCC_Encaps_LWF2</v>
      </c>
      <c r="B25" s="907">
        <f>Recap!BR31</f>
        <v>2.4</v>
      </c>
      <c r="C25" s="848" t="str">
        <f>Recap!BT31</f>
        <v>Front</v>
      </c>
      <c r="D25" s="7">
        <f>Recap!BU31</f>
        <v>0</v>
      </c>
      <c r="E25" s="7">
        <f>Recap!BV31</f>
        <v>30</v>
      </c>
      <c r="F25" s="1041"/>
      <c r="G25" s="1041"/>
      <c r="H25" s="1041"/>
      <c r="I25" s="1041"/>
      <c r="J25" s="1041"/>
      <c r="K25" s="1041"/>
      <c r="L25" s="1041"/>
      <c r="M25" s="1041"/>
      <c r="N25" s="1041"/>
      <c r="O25" s="1041"/>
      <c r="P25" s="1041"/>
      <c r="Q25" s="1041"/>
    </row>
    <row r="26" spans="1:17">
      <c r="A26" s="425" t="str">
        <f>Recap!D32</f>
        <v>Edimb_1</v>
      </c>
      <c r="B26" s="908">
        <f>Recap!BR32</f>
        <v>0</v>
      </c>
      <c r="C26" s="846">
        <f>Recap!BT32</f>
        <v>0</v>
      </c>
      <c r="D26" s="425">
        <f>Recap!BU32</f>
        <v>0</v>
      </c>
      <c r="E26" s="425">
        <f>Recap!BV32</f>
        <v>0</v>
      </c>
      <c r="F26" s="473"/>
      <c r="G26" s="473"/>
      <c r="H26" s="473"/>
      <c r="I26" s="473"/>
      <c r="J26" s="473"/>
      <c r="K26" s="473"/>
      <c r="L26" s="473"/>
      <c r="M26" s="473"/>
      <c r="N26" s="473"/>
      <c r="O26" s="473"/>
      <c r="P26" s="473"/>
      <c r="Q26" s="473"/>
    </row>
    <row r="27" spans="1:17">
      <c r="A27" s="843" t="str">
        <f>Recap!D33</f>
        <v>Edimb_2</v>
      </c>
      <c r="B27" s="924">
        <f>Recap!BR33</f>
        <v>0</v>
      </c>
      <c r="C27" s="847">
        <f>Recap!BT33</f>
        <v>0</v>
      </c>
      <c r="D27" s="843">
        <f>Recap!BU33</f>
        <v>0</v>
      </c>
      <c r="E27" s="843">
        <f>Recap!BV33</f>
        <v>0</v>
      </c>
      <c r="F27" s="727"/>
      <c r="G27" s="727"/>
      <c r="H27" s="727"/>
      <c r="I27" s="727"/>
      <c r="J27" s="727"/>
      <c r="K27" s="727"/>
      <c r="L27" s="727"/>
      <c r="M27" s="727"/>
      <c r="N27" s="727"/>
      <c r="O27" s="727"/>
      <c r="P27" s="727"/>
      <c r="Q27" s="727"/>
    </row>
    <row r="28" spans="1:17">
      <c r="A28" s="843" t="str">
        <f>Recap!D34</f>
        <v>Edimb_3</v>
      </c>
      <c r="B28" s="924">
        <f>Recap!BR34</f>
        <v>0</v>
      </c>
      <c r="C28" s="847">
        <f>Recap!BT34</f>
        <v>0</v>
      </c>
      <c r="D28" s="843">
        <f>Recap!BU34</f>
        <v>0</v>
      </c>
      <c r="E28" s="843">
        <f>Recap!BV34</f>
        <v>0</v>
      </c>
      <c r="F28" s="727"/>
      <c r="G28" s="727"/>
      <c r="H28" s="727"/>
      <c r="I28" s="727"/>
      <c r="J28" s="727"/>
      <c r="K28" s="727"/>
      <c r="L28" s="727"/>
      <c r="M28" s="727"/>
      <c r="N28" s="727"/>
      <c r="O28" s="727"/>
      <c r="P28" s="727"/>
      <c r="Q28" s="727"/>
    </row>
    <row r="29" spans="1:17">
      <c r="A29" s="843" t="str">
        <f>Recap!D35</f>
        <v>Edimb_4</v>
      </c>
      <c r="B29" s="924">
        <f>Recap!BR35</f>
        <v>0</v>
      </c>
      <c r="C29" s="847">
        <f>Recap!BT35</f>
        <v>0</v>
      </c>
      <c r="D29" s="843">
        <f>Recap!BU35</f>
        <v>0</v>
      </c>
      <c r="E29" s="843">
        <f>Recap!BV35</f>
        <v>0</v>
      </c>
      <c r="F29" s="727"/>
      <c r="G29" s="727"/>
      <c r="H29" s="727"/>
      <c r="I29" s="727"/>
      <c r="J29" s="727"/>
      <c r="K29" s="727"/>
      <c r="L29" s="727"/>
      <c r="M29" s="727"/>
      <c r="N29" s="727"/>
      <c r="O29" s="727"/>
      <c r="P29" s="727"/>
      <c r="Q29" s="727"/>
    </row>
    <row r="30" spans="1:17" ht="15.75" thickBot="1">
      <c r="A30" s="7" t="str">
        <f>Recap!D36</f>
        <v>Edimb_5</v>
      </c>
      <c r="B30" s="907">
        <f>Recap!BR36</f>
        <v>0</v>
      </c>
      <c r="C30" s="848">
        <f>Recap!BT36</f>
        <v>0</v>
      </c>
      <c r="D30" s="7">
        <f>Recap!BU36</f>
        <v>0</v>
      </c>
      <c r="E30" s="7">
        <f>Recap!BV36</f>
        <v>0</v>
      </c>
      <c r="F30" s="1041"/>
      <c r="G30" s="1041"/>
      <c r="H30" s="1041"/>
      <c r="I30" s="1041"/>
      <c r="J30" s="1041"/>
      <c r="K30" s="1041"/>
      <c r="L30" s="1041"/>
      <c r="M30" s="1041"/>
      <c r="N30" s="1041"/>
      <c r="O30" s="1041"/>
      <c r="P30" s="1041"/>
      <c r="Q30" s="1041"/>
    </row>
    <row r="31" spans="1:17" ht="15.75" thickBot="1">
      <c r="A31" s="7" t="str">
        <f>Recap!D37</f>
        <v>Emb_1</v>
      </c>
      <c r="B31" s="907">
        <f>Recap!BR37</f>
        <v>0</v>
      </c>
      <c r="C31" s="848">
        <f>Recap!BT37</f>
        <v>0</v>
      </c>
      <c r="D31" s="7">
        <f>Recap!BU37</f>
        <v>0</v>
      </c>
      <c r="E31" s="7">
        <f>Recap!BV37</f>
        <v>0</v>
      </c>
      <c r="F31" s="1041"/>
      <c r="G31" s="1041"/>
      <c r="H31" s="1041"/>
      <c r="I31" s="1041"/>
      <c r="J31" s="1041"/>
      <c r="K31" s="1041"/>
      <c r="L31" s="1041"/>
      <c r="M31" s="1041"/>
      <c r="N31" s="1041"/>
      <c r="O31" s="1041"/>
      <c r="P31" s="1041"/>
      <c r="Q31" s="1041"/>
    </row>
    <row r="32" spans="1:17">
      <c r="A32" s="425" t="str">
        <f>Recap!D38</f>
        <v>USDA_1</v>
      </c>
      <c r="B32" s="908">
        <f>Recap!BR38</f>
        <v>0</v>
      </c>
      <c r="C32" s="846">
        <f>Recap!BT38</f>
        <v>0</v>
      </c>
      <c r="D32" s="425">
        <f>Recap!BU38</f>
        <v>0</v>
      </c>
      <c r="E32" s="425">
        <f>Recap!BV38</f>
        <v>0</v>
      </c>
      <c r="F32" s="473"/>
      <c r="G32" s="473"/>
      <c r="H32" s="473"/>
      <c r="I32" s="473"/>
      <c r="J32" s="473"/>
      <c r="K32" s="473"/>
      <c r="L32" s="473"/>
      <c r="M32" s="473"/>
      <c r="N32" s="473"/>
      <c r="O32" s="473"/>
      <c r="P32" s="473"/>
      <c r="Q32" s="473"/>
    </row>
    <row r="33" spans="1:17">
      <c r="A33" s="843" t="str">
        <f>Recap!D39</f>
        <v>USDA_2</v>
      </c>
      <c r="B33" s="924">
        <f>Recap!BR39</f>
        <v>0</v>
      </c>
      <c r="C33" s="847">
        <f>Recap!BT39</f>
        <v>0</v>
      </c>
      <c r="D33" s="843">
        <f>Recap!BU39</f>
        <v>0</v>
      </c>
      <c r="E33" s="843">
        <f>Recap!BV39</f>
        <v>0</v>
      </c>
      <c r="F33" s="727"/>
      <c r="G33" s="727"/>
      <c r="H33" s="727"/>
      <c r="I33" s="727"/>
      <c r="J33" s="727"/>
      <c r="K33" s="727"/>
      <c r="L33" s="727"/>
      <c r="M33" s="727"/>
      <c r="N33" s="727"/>
      <c r="O33" s="727"/>
      <c r="P33" s="727"/>
      <c r="Q33" s="727"/>
    </row>
    <row r="34" spans="1:17">
      <c r="A34" s="843" t="str">
        <f>Recap!D40</f>
        <v>USDA_3</v>
      </c>
      <c r="B34" s="924">
        <f>Recap!BR40</f>
        <v>0</v>
      </c>
      <c r="C34" s="847">
        <f>Recap!BT40</f>
        <v>0</v>
      </c>
      <c r="D34" s="843">
        <f>Recap!BU40</f>
        <v>0</v>
      </c>
      <c r="E34" s="843">
        <f>Recap!BV40</f>
        <v>0</v>
      </c>
      <c r="F34" s="727"/>
      <c r="G34" s="727"/>
      <c r="H34" s="727"/>
      <c r="I34" s="727"/>
      <c r="J34" s="727"/>
      <c r="K34" s="727"/>
      <c r="L34" s="727"/>
      <c r="M34" s="727"/>
      <c r="N34" s="727"/>
      <c r="O34" s="727"/>
      <c r="P34" s="727"/>
      <c r="Q34" s="727"/>
    </row>
    <row r="35" spans="1:17">
      <c r="A35" s="843" t="str">
        <f>Recap!D41</f>
        <v>USDA_4</v>
      </c>
      <c r="B35" s="924">
        <f>Recap!BR41</f>
        <v>0</v>
      </c>
      <c r="C35" s="847">
        <f>Recap!BT41</f>
        <v>0</v>
      </c>
      <c r="D35" s="843">
        <f>Recap!BU41</f>
        <v>0</v>
      </c>
      <c r="E35" s="843">
        <f>Recap!BV41</f>
        <v>0</v>
      </c>
      <c r="F35" s="727"/>
      <c r="G35" s="727"/>
      <c r="H35" s="727"/>
      <c r="I35" s="727"/>
      <c r="J35" s="727"/>
      <c r="K35" s="727"/>
      <c r="L35" s="727"/>
      <c r="M35" s="727"/>
      <c r="N35" s="727"/>
      <c r="O35" s="727"/>
      <c r="P35" s="727"/>
      <c r="Q35" s="727"/>
    </row>
    <row r="36" spans="1:17" ht="15.75" thickBot="1">
      <c r="A36" s="7" t="str">
        <f>Recap!D42</f>
        <v>USDA_5</v>
      </c>
      <c r="B36" s="907">
        <f>Recap!BR42</f>
        <v>0</v>
      </c>
      <c r="C36" s="848">
        <f>Recap!BT42</f>
        <v>0</v>
      </c>
      <c r="D36" s="7">
        <f>Recap!BU42</f>
        <v>0</v>
      </c>
      <c r="E36" s="7">
        <f>Recap!BV42</f>
        <v>0</v>
      </c>
      <c r="F36" s="1041"/>
      <c r="G36" s="1041"/>
      <c r="H36" s="1041"/>
      <c r="I36" s="1041"/>
      <c r="J36" s="1041"/>
      <c r="K36" s="1041"/>
      <c r="L36" s="1041"/>
      <c r="M36" s="1041"/>
      <c r="N36" s="1041"/>
      <c r="O36" s="1041"/>
      <c r="P36" s="1041"/>
      <c r="Q36" s="1041"/>
    </row>
    <row r="37" spans="1:17">
      <c r="A37" s="425" t="str">
        <f>Recap!D43</f>
        <v>Epernon_1</v>
      </c>
      <c r="B37" s="908">
        <f>Recap!BR43</f>
        <v>0</v>
      </c>
      <c r="C37" s="846">
        <f>Recap!BT43</f>
        <v>0</v>
      </c>
      <c r="D37" s="425">
        <f>Recap!BU43</f>
        <v>0</v>
      </c>
      <c r="E37" s="425">
        <f>Recap!BV43</f>
        <v>0</v>
      </c>
      <c r="F37" s="473"/>
      <c r="G37" s="473"/>
      <c r="H37" s="473"/>
      <c r="I37" s="473"/>
      <c r="J37" s="473"/>
      <c r="K37" s="473"/>
      <c r="L37" s="473"/>
      <c r="M37" s="473"/>
      <c r="N37" s="473"/>
      <c r="O37" s="473"/>
      <c r="P37" s="473"/>
      <c r="Q37" s="473"/>
    </row>
    <row r="38" spans="1:17">
      <c r="A38" s="843" t="str">
        <f>Recap!D44</f>
        <v>Epernon_2</v>
      </c>
      <c r="B38" s="924">
        <f>Recap!BR44</f>
        <v>0</v>
      </c>
      <c r="C38" s="847">
        <f>Recap!BT44</f>
        <v>0</v>
      </c>
      <c r="D38" s="843">
        <f>Recap!BU44</f>
        <v>0</v>
      </c>
      <c r="E38" s="843">
        <f>Recap!BV44</f>
        <v>0</v>
      </c>
      <c r="F38" s="727"/>
      <c r="G38" s="727"/>
      <c r="H38" s="727"/>
      <c r="I38" s="727"/>
      <c r="J38" s="727"/>
      <c r="K38" s="727"/>
      <c r="L38" s="727"/>
      <c r="M38" s="727"/>
      <c r="N38" s="727"/>
      <c r="O38" s="727"/>
      <c r="P38" s="727"/>
      <c r="Q38" s="727"/>
    </row>
    <row r="39" spans="1:17" ht="15.75" thickBot="1">
      <c r="A39" s="7" t="str">
        <f>Recap!D45</f>
        <v>Epernon_3</v>
      </c>
      <c r="B39" s="907">
        <f>Recap!BR45</f>
        <v>0</v>
      </c>
      <c r="C39" s="848">
        <f>Recap!BT45</f>
        <v>0</v>
      </c>
      <c r="D39" s="7">
        <f>Recap!BU45</f>
        <v>0</v>
      </c>
      <c r="E39" s="7">
        <f>Recap!BV45</f>
        <v>0</v>
      </c>
      <c r="F39" s="1041"/>
      <c r="G39" s="1041"/>
      <c r="H39" s="1041"/>
      <c r="I39" s="1041"/>
      <c r="J39" s="1041"/>
      <c r="K39" s="1041"/>
      <c r="L39" s="1041"/>
      <c r="M39" s="1041"/>
      <c r="N39" s="1041"/>
      <c r="O39" s="1041"/>
      <c r="P39" s="1041"/>
      <c r="Q39" s="1041"/>
    </row>
    <row r="40" spans="1:17">
      <c r="A40" s="149" t="str">
        <f>Recap!D46</f>
        <v>NRCC_LS_1</v>
      </c>
      <c r="B40" s="909">
        <f>Recap!BR46</f>
        <v>3.5</v>
      </c>
      <c r="C40" s="849" t="str">
        <f>Recap!BT46</f>
        <v>Above</v>
      </c>
      <c r="D40" s="149">
        <f>Recap!BU46</f>
        <v>310</v>
      </c>
      <c r="E40" s="149">
        <f>Recap!BV46</f>
        <v>28.5</v>
      </c>
      <c r="F40" s="299"/>
      <c r="G40" s="299"/>
      <c r="H40" s="299"/>
      <c r="I40" s="299"/>
      <c r="J40" s="299"/>
      <c r="K40" s="299"/>
      <c r="L40" s="299"/>
      <c r="M40" s="299"/>
      <c r="N40" s="299"/>
      <c r="O40" s="299"/>
      <c r="P40" s="299"/>
      <c r="Q40" s="299"/>
    </row>
    <row r="41" spans="1:17">
      <c r="A41" s="844" t="str">
        <f>Recap!D47</f>
        <v>NRCC_LS_2</v>
      </c>
      <c r="B41" s="925">
        <f>Recap!BR47</f>
        <v>3.5</v>
      </c>
      <c r="C41" s="850" t="str">
        <f>Recap!BT47</f>
        <v>Above</v>
      </c>
      <c r="D41" s="844">
        <f>Recap!BU47</f>
        <v>200</v>
      </c>
      <c r="E41" s="844">
        <f>Recap!BV47</f>
        <v>18.5</v>
      </c>
      <c r="F41" s="729"/>
      <c r="G41" s="729"/>
      <c r="H41" s="729"/>
      <c r="I41" s="729"/>
      <c r="J41" s="729"/>
      <c r="K41" s="729"/>
      <c r="L41" s="729"/>
      <c r="M41" s="729"/>
      <c r="N41" s="729"/>
      <c r="O41" s="729"/>
      <c r="P41" s="729"/>
      <c r="Q41" s="729"/>
    </row>
    <row r="42" spans="1:17">
      <c r="A42" s="843" t="str">
        <f>Recap!D48</f>
        <v>NRCC_LS_3</v>
      </c>
      <c r="B42" s="924">
        <f>Recap!BR48</f>
        <v>0</v>
      </c>
      <c r="C42" s="847">
        <f>Recap!BT48</f>
        <v>0</v>
      </c>
      <c r="D42" s="843">
        <f>Recap!BU48</f>
        <v>0</v>
      </c>
      <c r="E42" s="843">
        <f>Recap!BV48</f>
        <v>0</v>
      </c>
      <c r="F42" s="727"/>
      <c r="G42" s="727"/>
      <c r="H42" s="727"/>
      <c r="I42" s="727"/>
      <c r="J42" s="727"/>
      <c r="K42" s="727"/>
      <c r="L42" s="727"/>
      <c r="M42" s="727"/>
      <c r="N42" s="727"/>
      <c r="O42" s="727"/>
      <c r="P42" s="727"/>
      <c r="Q42" s="727"/>
    </row>
    <row r="43" spans="1:17" ht="15.75" thickBot="1">
      <c r="A43" s="7" t="str">
        <f>Recap!D49</f>
        <v>NRCC_LS_4</v>
      </c>
      <c r="B43" s="907" t="str">
        <f>Recap!BR49</f>
        <v>4.5, 12</v>
      </c>
      <c r="C43" s="848" t="str">
        <f>Recap!BT49</f>
        <v>Front</v>
      </c>
      <c r="D43" s="7">
        <f>Recap!BU49</f>
        <v>0</v>
      </c>
      <c r="E43" s="7" t="str">
        <f>Recap!BV49</f>
        <v>15, x</v>
      </c>
      <c r="F43" s="1041"/>
      <c r="G43" s="1041"/>
      <c r="H43" s="1041"/>
      <c r="I43" s="1041"/>
      <c r="J43" s="1041"/>
      <c r="K43" s="1041"/>
      <c r="L43" s="1041"/>
      <c r="M43" s="1041"/>
      <c r="N43" s="1041"/>
      <c r="O43" s="1041"/>
      <c r="P43" s="1041"/>
      <c r="Q43" s="1041"/>
    </row>
    <row r="44" spans="1:17">
      <c r="A44" s="426" t="str">
        <f>Recap!D51</f>
        <v>RISE_1</v>
      </c>
      <c r="B44" s="925" t="str">
        <f>Recap!BR51</f>
        <v>4.8,8</v>
      </c>
      <c r="C44" s="850" t="str">
        <f>Recap!BT51</f>
        <v>Front</v>
      </c>
      <c r="D44" s="844">
        <f>Recap!BU51</f>
        <v>0</v>
      </c>
      <c r="E44" s="844" t="str">
        <f>Recap!BV51</f>
        <v>17.1,7.5</v>
      </c>
      <c r="F44" s="439"/>
      <c r="G44" s="439"/>
      <c r="H44" s="439"/>
      <c r="I44" s="439"/>
      <c r="J44" s="439"/>
      <c r="K44" s="439"/>
      <c r="L44" s="439"/>
      <c r="M44" s="439"/>
      <c r="N44" s="439"/>
      <c r="O44" s="439"/>
      <c r="P44" s="439"/>
      <c r="Q44" s="439"/>
    </row>
    <row r="45" spans="1:17">
      <c r="A45" s="844" t="str">
        <f>Recap!D52</f>
        <v>RISE_2</v>
      </c>
      <c r="B45" s="925" t="str">
        <f>Recap!BR52</f>
        <v>4.8,8</v>
      </c>
      <c r="C45" s="850" t="str">
        <f>Recap!BT52</f>
        <v>Front</v>
      </c>
      <c r="D45" s="844">
        <f>Recap!BU52</f>
        <v>0</v>
      </c>
      <c r="E45" s="844" t="str">
        <f>Recap!BV52</f>
        <v>17.1,9.0</v>
      </c>
      <c r="F45" s="729"/>
      <c r="G45" s="729"/>
      <c r="H45" s="729"/>
      <c r="I45" s="729"/>
      <c r="J45" s="729"/>
      <c r="K45" s="729"/>
      <c r="L45" s="729"/>
      <c r="M45" s="729"/>
      <c r="N45" s="729"/>
      <c r="O45" s="729"/>
      <c r="P45" s="729"/>
      <c r="Q45" s="729"/>
    </row>
    <row r="46" spans="1:17">
      <c r="A46" s="843" t="str">
        <f>Recap!D53</f>
        <v>RISE_3</v>
      </c>
      <c r="B46" s="924" t="str">
        <f>Recap!BR53</f>
        <v>4.8,8</v>
      </c>
      <c r="C46" s="847" t="str">
        <f>Recap!BT53</f>
        <v>Front</v>
      </c>
      <c r="D46" s="843">
        <f>Recap!BU53</f>
        <v>0</v>
      </c>
      <c r="E46" s="843" t="str">
        <f>Recap!BV53</f>
        <v>14.8,6.6</v>
      </c>
      <c r="F46" s="727"/>
      <c r="G46" s="727"/>
      <c r="H46" s="727"/>
      <c r="I46" s="727"/>
      <c r="J46" s="727"/>
      <c r="K46" s="727"/>
      <c r="L46" s="727"/>
      <c r="M46" s="727"/>
      <c r="N46" s="727"/>
      <c r="O46" s="727"/>
      <c r="P46" s="727"/>
      <c r="Q46" s="727"/>
    </row>
    <row r="47" spans="1:17">
      <c r="A47" s="843" t="str">
        <f>Recap!D54</f>
        <v>RISE_4</v>
      </c>
      <c r="B47" s="924" t="str">
        <f>Recap!BR54</f>
        <v>4.8,8</v>
      </c>
      <c r="C47" s="847" t="str">
        <f>Recap!BT54</f>
        <v>Front</v>
      </c>
      <c r="D47" s="843">
        <f>Recap!BU54</f>
        <v>0</v>
      </c>
      <c r="E47" s="843" t="str">
        <f>Recap!BV54</f>
        <v>6.7,4.9</v>
      </c>
      <c r="F47" s="727"/>
      <c r="G47" s="727"/>
      <c r="H47" s="727"/>
      <c r="I47" s="727"/>
      <c r="J47" s="727"/>
      <c r="K47" s="727"/>
      <c r="L47" s="727"/>
      <c r="M47" s="727"/>
      <c r="N47" s="727"/>
      <c r="O47" s="727"/>
      <c r="P47" s="727"/>
      <c r="Q47" s="727"/>
    </row>
    <row r="48" spans="1:17" ht="15.75" thickBot="1">
      <c r="A48" s="7" t="str">
        <f>Recap!D55</f>
        <v>RISE_5</v>
      </c>
      <c r="B48" s="907" t="str">
        <f>Recap!BR55</f>
        <v>4.8,8</v>
      </c>
      <c r="C48" s="848" t="str">
        <f>Recap!BT55</f>
        <v>Front</v>
      </c>
      <c r="D48" s="7">
        <f>Recap!BU55</f>
        <v>0</v>
      </c>
      <c r="E48" s="7" t="str">
        <f>Recap!BV55</f>
        <v>x,7.6</v>
      </c>
      <c r="F48" s="1041"/>
      <c r="G48" s="1041"/>
      <c r="H48" s="1041"/>
      <c r="I48" s="1041"/>
      <c r="J48" s="1041"/>
      <c r="K48" s="1041"/>
      <c r="L48" s="1041"/>
      <c r="M48" s="1041"/>
      <c r="N48" s="1041"/>
      <c r="O48" s="1041"/>
      <c r="P48" s="1041"/>
      <c r="Q48" s="1041"/>
    </row>
    <row r="49" spans="1:17">
      <c r="A49" s="426" t="str">
        <f>Recap!D56</f>
        <v>CodeRed_1</v>
      </c>
      <c r="B49" s="911">
        <f>Recap!BR56</f>
        <v>0.95</v>
      </c>
      <c r="C49" s="852" t="str">
        <f>Recap!BT56</f>
        <v>Above</v>
      </c>
      <c r="D49" s="426">
        <f>Recap!BU56</f>
        <v>900</v>
      </c>
      <c r="E49" s="426">
        <f>Recap!BV56</f>
        <v>120</v>
      </c>
      <c r="F49" s="439"/>
      <c r="G49" s="439"/>
      <c r="H49" s="439"/>
      <c r="I49" s="439"/>
      <c r="J49" s="439"/>
      <c r="K49" s="439"/>
      <c r="L49" s="439"/>
      <c r="M49" s="439"/>
      <c r="N49" s="439"/>
      <c r="O49" s="439"/>
      <c r="P49" s="439"/>
      <c r="Q49" s="439"/>
    </row>
    <row r="50" spans="1:17" ht="15.75" thickBot="1">
      <c r="A50" s="124" t="str">
        <f>Recap!D57</f>
        <v>CodeRed_2</v>
      </c>
      <c r="B50" s="912">
        <f>Recap!BR57</f>
        <v>0.05</v>
      </c>
      <c r="C50" s="851" t="str">
        <f>Recap!BT57</f>
        <v>Above</v>
      </c>
      <c r="D50" s="124">
        <f>Recap!BU57</f>
        <v>1000</v>
      </c>
      <c r="E50" s="124">
        <f>Recap!BV57</f>
        <v>140</v>
      </c>
      <c r="F50" s="114"/>
      <c r="G50" s="114"/>
      <c r="H50" s="114"/>
      <c r="I50" s="114"/>
      <c r="J50" s="114"/>
      <c r="K50" s="114"/>
      <c r="L50" s="114"/>
      <c r="M50" s="114"/>
      <c r="N50" s="114"/>
      <c r="O50" s="114"/>
      <c r="P50" s="114"/>
      <c r="Q50" s="114"/>
    </row>
    <row r="51" spans="1:17">
      <c r="A51" s="426" t="str">
        <f>Recap!D58</f>
        <v>FRIC_1</v>
      </c>
      <c r="B51" s="911">
        <f>Recap!BR58</f>
        <v>1.8</v>
      </c>
      <c r="C51" s="852" t="str">
        <f>Recap!BT58</f>
        <v>Above</v>
      </c>
      <c r="D51" s="426">
        <f>Recap!BU58</f>
        <v>600</v>
      </c>
      <c r="E51" s="426">
        <f>Recap!BV58</f>
        <v>40</v>
      </c>
      <c r="F51" s="439"/>
      <c r="G51" s="439"/>
      <c r="H51" s="439"/>
      <c r="I51" s="439"/>
      <c r="J51" s="439"/>
      <c r="K51" s="439"/>
      <c r="L51" s="439"/>
      <c r="M51" s="439"/>
      <c r="N51" s="439"/>
      <c r="O51" s="439"/>
      <c r="P51" s="439"/>
      <c r="Q51" s="439"/>
    </row>
    <row r="52" spans="1:17" ht="15.75" thickBot="1">
      <c r="A52" s="124" t="str">
        <f>Recap!D59</f>
        <v>FRIC_2</v>
      </c>
      <c r="B52" s="912">
        <f>Recap!BR59</f>
        <v>1.8</v>
      </c>
      <c r="C52" s="851" t="str">
        <f>Recap!BT59</f>
        <v>Above</v>
      </c>
      <c r="D52" s="124">
        <f>Recap!BU59</f>
        <v>865</v>
      </c>
      <c r="E52" s="124">
        <f>Recap!BV59</f>
        <v>96</v>
      </c>
      <c r="F52" s="114"/>
      <c r="G52" s="114"/>
      <c r="H52" s="114"/>
      <c r="I52" s="114"/>
      <c r="J52" s="114"/>
      <c r="K52" s="114"/>
      <c r="L52" s="114"/>
      <c r="M52" s="114"/>
      <c r="N52" s="114"/>
      <c r="O52" s="114"/>
      <c r="P52" s="114"/>
      <c r="Q52" s="114"/>
    </row>
    <row r="53" spans="1:17">
      <c r="A53" s="425" t="str">
        <f>Recap!D60</f>
        <v>AdivBois_0</v>
      </c>
      <c r="B53" s="908">
        <f>Recap!BR60</f>
        <v>0</v>
      </c>
      <c r="C53" s="846">
        <f>Recap!BT60</f>
        <v>0</v>
      </c>
      <c r="D53" s="425">
        <f>Recap!BU60</f>
        <v>0</v>
      </c>
      <c r="E53" s="425">
        <f>Recap!BV60</f>
        <v>0</v>
      </c>
      <c r="F53" s="473"/>
      <c r="G53" s="473"/>
      <c r="H53" s="473"/>
      <c r="I53" s="473"/>
      <c r="J53" s="473"/>
      <c r="K53" s="473"/>
      <c r="L53" s="473"/>
      <c r="M53" s="473"/>
      <c r="N53" s="473"/>
      <c r="O53" s="473"/>
      <c r="P53" s="473"/>
      <c r="Q53" s="473"/>
    </row>
    <row r="54" spans="1:17">
      <c r="A54" s="843" t="str">
        <f>Recap!D61</f>
        <v>AdivBois_1</v>
      </c>
      <c r="B54" s="924">
        <f>Recap!BR61</f>
        <v>0</v>
      </c>
      <c r="C54" s="847">
        <f>Recap!BT61</f>
        <v>0</v>
      </c>
      <c r="D54" s="843">
        <f>Recap!BU61</f>
        <v>0</v>
      </c>
      <c r="E54" s="843">
        <f>Recap!BV61</f>
        <v>0</v>
      </c>
      <c r="F54" s="727"/>
      <c r="G54" s="727"/>
      <c r="H54" s="727"/>
      <c r="I54" s="727"/>
      <c r="J54" s="727"/>
      <c r="K54" s="727"/>
      <c r="L54" s="727"/>
      <c r="M54" s="727"/>
      <c r="N54" s="727"/>
      <c r="O54" s="727"/>
      <c r="P54" s="727"/>
      <c r="Q54" s="727"/>
    </row>
    <row r="55" spans="1:17">
      <c r="A55" s="843" t="str">
        <f>Recap!D62</f>
        <v>AdivBois_2</v>
      </c>
      <c r="B55" s="924">
        <f>Recap!BR62</f>
        <v>0</v>
      </c>
      <c r="C55" s="847">
        <f>Recap!BT62</f>
        <v>0</v>
      </c>
      <c r="D55" s="843">
        <f>Recap!BU62</f>
        <v>0</v>
      </c>
      <c r="E55" s="843">
        <f>Recap!BV62</f>
        <v>0</v>
      </c>
      <c r="F55" s="727"/>
      <c r="G55" s="727"/>
      <c r="H55" s="727"/>
      <c r="I55" s="727"/>
      <c r="J55" s="727"/>
      <c r="K55" s="727"/>
      <c r="L55" s="727"/>
      <c r="M55" s="727"/>
      <c r="N55" s="727"/>
      <c r="O55" s="727"/>
      <c r="P55" s="727"/>
      <c r="Q55" s="727"/>
    </row>
    <row r="56" spans="1:17">
      <c r="A56" s="503" t="str">
        <f>Recap!D63</f>
        <v>AdivBois_3</v>
      </c>
      <c r="B56" s="913">
        <f>Recap!BR63</f>
        <v>0</v>
      </c>
      <c r="C56" s="853">
        <f>Recap!BT63</f>
        <v>0</v>
      </c>
      <c r="D56" s="503">
        <f>Recap!BU63</f>
        <v>0</v>
      </c>
      <c r="E56" s="503">
        <f>Recap!BV63</f>
        <v>0</v>
      </c>
      <c r="F56" s="1042"/>
      <c r="G56" s="1042"/>
      <c r="H56" s="1042"/>
      <c r="I56" s="1042"/>
      <c r="J56" s="1042"/>
      <c r="K56" s="1042"/>
      <c r="L56" s="1042"/>
      <c r="M56" s="1042"/>
      <c r="N56" s="1042"/>
      <c r="O56" s="1042"/>
      <c r="P56" s="1042"/>
      <c r="Q56" s="1042"/>
    </row>
    <row r="57" spans="1:17" ht="15.75" thickBot="1">
      <c r="A57" s="25" t="str">
        <f>Recap!D64</f>
        <v>AdivBois_4</v>
      </c>
      <c r="B57" s="902">
        <f>Recap!BR64</f>
        <v>0</v>
      </c>
      <c r="C57" s="854">
        <f>Recap!BT64</f>
        <v>0</v>
      </c>
      <c r="D57" s="25">
        <f>Recap!BU64</f>
        <v>0</v>
      </c>
      <c r="E57" s="25">
        <f>Recap!BV64</f>
        <v>0</v>
      </c>
      <c r="F57" s="981"/>
      <c r="G57" s="981"/>
      <c r="H57" s="981"/>
      <c r="I57" s="981"/>
      <c r="J57" s="981"/>
      <c r="K57" s="981"/>
      <c r="L57" s="981"/>
      <c r="M57" s="981"/>
      <c r="N57" s="981"/>
      <c r="O57" s="981"/>
      <c r="P57" s="981"/>
      <c r="Q57" s="981"/>
    </row>
    <row r="58" spans="1:17">
      <c r="A58" s="425" t="str">
        <f>Recap!D65</f>
        <v>TIMPuls_0</v>
      </c>
      <c r="B58" s="908">
        <f>Recap!BR65</f>
        <v>1</v>
      </c>
      <c r="C58" s="846" t="str">
        <f>Recap!BT65</f>
        <v>Above</v>
      </c>
      <c r="D58" s="425">
        <f>Recap!BU65</f>
        <v>900</v>
      </c>
      <c r="E58" s="425">
        <f>Recap!BV65</f>
        <v>55</v>
      </c>
      <c r="F58" s="473"/>
      <c r="G58" s="473"/>
      <c r="H58" s="473"/>
      <c r="I58" s="473"/>
      <c r="J58" s="473"/>
      <c r="K58" s="473"/>
      <c r="L58" s="473"/>
      <c r="M58" s="473"/>
      <c r="N58" s="473"/>
      <c r="O58" s="473"/>
      <c r="P58" s="473"/>
      <c r="Q58" s="473"/>
    </row>
    <row r="59" spans="1:17">
      <c r="A59" s="843" t="str">
        <f>Recap!D66</f>
        <v>TIMPuls_1</v>
      </c>
      <c r="B59" s="924">
        <f>Recap!BR66</f>
        <v>1</v>
      </c>
      <c r="C59" s="847" t="str">
        <f>Recap!BT66</f>
        <v>Above</v>
      </c>
      <c r="D59" s="843">
        <f>Recap!BU66</f>
        <v>1080</v>
      </c>
      <c r="E59" s="843">
        <f>Recap!BV66</f>
        <v>85</v>
      </c>
      <c r="F59" s="727"/>
      <c r="G59" s="727"/>
      <c r="H59" s="727"/>
      <c r="I59" s="727"/>
      <c r="J59" s="727"/>
      <c r="K59" s="727"/>
      <c r="L59" s="727"/>
      <c r="M59" s="727"/>
      <c r="N59" s="727"/>
      <c r="O59" s="727"/>
      <c r="P59" s="727"/>
      <c r="Q59" s="727"/>
    </row>
    <row r="60" spans="1:17">
      <c r="A60" s="843" t="str">
        <f>Recap!D67</f>
        <v>TIMPuls_2</v>
      </c>
      <c r="B60" s="924">
        <f>Recap!BR67</f>
        <v>1</v>
      </c>
      <c r="C60" s="847" t="str">
        <f>Recap!BT67</f>
        <v>Above</v>
      </c>
      <c r="D60" s="843">
        <f>Recap!BU67</f>
        <v>950</v>
      </c>
      <c r="E60" s="843">
        <f>Recap!BV67</f>
        <v>61</v>
      </c>
      <c r="F60" s="727"/>
      <c r="G60" s="727"/>
      <c r="H60" s="727"/>
      <c r="I60" s="727"/>
      <c r="J60" s="727"/>
      <c r="K60" s="727"/>
      <c r="L60" s="727"/>
      <c r="M60" s="727"/>
      <c r="N60" s="727"/>
      <c r="O60" s="727"/>
      <c r="P60" s="727"/>
      <c r="Q60" s="727"/>
    </row>
    <row r="61" spans="1:17">
      <c r="A61" s="503" t="str">
        <f>Recap!D68</f>
        <v>TIMPuls_3</v>
      </c>
      <c r="B61" s="913">
        <f>Recap!BR68</f>
        <v>1</v>
      </c>
      <c r="C61" s="853" t="str">
        <f>Recap!BT68</f>
        <v>Above</v>
      </c>
      <c r="D61" s="503">
        <f>Recap!BU68</f>
        <v>1180</v>
      </c>
      <c r="E61" s="503">
        <f>Recap!BV68</f>
        <v>107</v>
      </c>
      <c r="F61" s="1042"/>
      <c r="G61" s="1042"/>
      <c r="H61" s="1042"/>
      <c r="I61" s="1042"/>
      <c r="J61" s="1042"/>
      <c r="K61" s="1042"/>
      <c r="L61" s="1042"/>
      <c r="M61" s="1042"/>
      <c r="N61" s="1042"/>
      <c r="O61" s="1042"/>
      <c r="P61" s="1042"/>
      <c r="Q61" s="1042"/>
    </row>
    <row r="62" spans="1:17" ht="15.75" thickBot="1">
      <c r="A62" s="25" t="str">
        <f>Recap!D69</f>
        <v>TIMPuls_4</v>
      </c>
      <c r="B62" s="902">
        <f>Recap!BR69</f>
        <v>1</v>
      </c>
      <c r="C62" s="854" t="str">
        <f>Recap!BT69</f>
        <v>Above</v>
      </c>
      <c r="D62" s="25">
        <f>Recap!BU69</f>
        <v>1160</v>
      </c>
      <c r="E62" s="25">
        <f>Recap!BV69</f>
        <v>109</v>
      </c>
      <c r="F62" s="981"/>
      <c r="G62" s="981"/>
      <c r="H62" s="981"/>
      <c r="I62" s="981"/>
      <c r="J62" s="981"/>
      <c r="K62" s="981"/>
      <c r="L62" s="981"/>
      <c r="M62" s="981"/>
      <c r="N62" s="981"/>
      <c r="O62" s="981"/>
      <c r="P62" s="981"/>
      <c r="Q62" s="981"/>
    </row>
    <row r="63" spans="1:17">
      <c r="A63" s="845" t="str">
        <f>Recap!D70</f>
        <v>SeifBois_B27_R60_25%</v>
      </c>
      <c r="B63" s="914" t="str">
        <f>Recap!BR70</f>
        <v>4, 8, 12</v>
      </c>
      <c r="C63" s="855" t="str">
        <f>Recap!BT70</f>
        <v>Front</v>
      </c>
      <c r="D63" s="845">
        <f>Recap!BU70</f>
        <v>0</v>
      </c>
      <c r="E63" s="845">
        <f>Recap!BV70</f>
        <v>0</v>
      </c>
      <c r="F63" s="1043"/>
      <c r="G63" s="1043"/>
      <c r="H63" s="1043"/>
      <c r="I63" s="1043"/>
      <c r="J63" s="1043"/>
      <c r="K63" s="1043"/>
      <c r="L63" s="1043"/>
      <c r="M63" s="1043"/>
      <c r="N63" s="1043"/>
      <c r="O63" s="1043"/>
      <c r="P63" s="1043"/>
      <c r="Q63" s="1043"/>
    </row>
    <row r="64" spans="1:17">
      <c r="A64" s="503" t="str">
        <f>Recap!D71</f>
        <v>SeifBois_B27_R120_25%</v>
      </c>
      <c r="B64" s="913" t="str">
        <f>Recap!BR71</f>
        <v>4, 8, 12</v>
      </c>
      <c r="C64" s="853" t="str">
        <f>Recap!BT71</f>
        <v>Front</v>
      </c>
      <c r="D64" s="503">
        <f>Recap!BU71</f>
        <v>0</v>
      </c>
      <c r="E64" s="503">
        <f>Recap!BV71</f>
        <v>0</v>
      </c>
      <c r="F64" s="1042"/>
      <c r="G64" s="1042"/>
      <c r="H64" s="1042"/>
      <c r="I64" s="1042"/>
      <c r="J64" s="1042"/>
      <c r="K64" s="1042"/>
      <c r="L64" s="1042"/>
      <c r="M64" s="1042"/>
      <c r="N64" s="1042"/>
      <c r="O64" s="1042"/>
      <c r="P64" s="1042"/>
      <c r="Q64" s="1042"/>
    </row>
    <row r="65" spans="1:17">
      <c r="A65" s="503" t="str">
        <f>Recap!D72</f>
        <v>SeifBois_H27_R30_25%</v>
      </c>
      <c r="B65" s="913" t="str">
        <f>Recap!BR72</f>
        <v>4, 8, 12</v>
      </c>
      <c r="C65" s="853" t="str">
        <f>Recap!BT72</f>
        <v>Front</v>
      </c>
      <c r="D65" s="503">
        <f>Recap!BU72</f>
        <v>0</v>
      </c>
      <c r="E65" s="503">
        <f>Recap!BV72</f>
        <v>0</v>
      </c>
      <c r="F65" s="1042"/>
      <c r="G65" s="1042"/>
      <c r="H65" s="1042"/>
      <c r="I65" s="1042"/>
      <c r="J65" s="1042"/>
      <c r="K65" s="1042"/>
      <c r="L65" s="1042"/>
      <c r="M65" s="1042"/>
      <c r="N65" s="1042"/>
      <c r="O65" s="1042"/>
      <c r="P65" s="1042"/>
      <c r="Q65" s="1042"/>
    </row>
    <row r="66" spans="1:17">
      <c r="A66" s="503" t="str">
        <f>Recap!D73</f>
        <v>SeifBois_H27_R60_25%</v>
      </c>
      <c r="B66" s="913" t="str">
        <f>Recap!BR73</f>
        <v>4, 8, 12</v>
      </c>
      <c r="C66" s="853" t="str">
        <f>Recap!BT73</f>
        <v>Front</v>
      </c>
      <c r="D66" s="503">
        <f>Recap!BU73</f>
        <v>0</v>
      </c>
      <c r="E66" s="503">
        <f>Recap!BV73</f>
        <v>0</v>
      </c>
      <c r="F66" s="1042"/>
      <c r="G66" s="1042"/>
      <c r="H66" s="1042"/>
      <c r="I66" s="1042"/>
      <c r="J66" s="1042"/>
      <c r="K66" s="1042"/>
      <c r="L66" s="1042"/>
      <c r="M66" s="1042"/>
      <c r="N66" s="1042"/>
      <c r="O66" s="1042"/>
      <c r="P66" s="1042"/>
      <c r="Q66" s="1042"/>
    </row>
    <row r="67" spans="1:17">
      <c r="A67" s="503" t="str">
        <f>Recap!D74</f>
        <v>SeifBois_H27_R90_25%</v>
      </c>
      <c r="B67" s="913" t="str">
        <f>Recap!BR74</f>
        <v>4, 8, 12</v>
      </c>
      <c r="C67" s="853" t="str">
        <f>Recap!BT74</f>
        <v>Front</v>
      </c>
      <c r="D67" s="503">
        <f>Recap!BU74</f>
        <v>0</v>
      </c>
      <c r="E67" s="503">
        <f>Recap!BV74</f>
        <v>0</v>
      </c>
      <c r="F67" s="1042"/>
      <c r="G67" s="1042"/>
      <c r="H67" s="1042"/>
      <c r="I67" s="1042"/>
      <c r="J67" s="1042"/>
      <c r="K67" s="1042"/>
      <c r="L67" s="1042"/>
      <c r="M67" s="1042"/>
      <c r="N67" s="1042"/>
      <c r="O67" s="1042"/>
      <c r="P67" s="1042"/>
      <c r="Q67" s="1042"/>
    </row>
    <row r="68" spans="1:17">
      <c r="A68" s="503" t="str">
        <f>Recap!D75</f>
        <v>SeifBois_E27_R60_25%</v>
      </c>
      <c r="B68" s="913" t="str">
        <f>Recap!BR75</f>
        <v>4, 8, 12</v>
      </c>
      <c r="C68" s="853" t="str">
        <f>Recap!BT75</f>
        <v>Front</v>
      </c>
      <c r="D68" s="503">
        <f>Recap!BU75</f>
        <v>0</v>
      </c>
      <c r="E68" s="503">
        <f>Recap!BV75</f>
        <v>0</v>
      </c>
      <c r="F68" s="1042"/>
      <c r="G68" s="1042"/>
      <c r="H68" s="1042"/>
      <c r="I68" s="1042"/>
      <c r="J68" s="1042"/>
      <c r="K68" s="1042"/>
      <c r="L68" s="1042"/>
      <c r="M68" s="1042"/>
      <c r="N68" s="1042"/>
      <c r="O68" s="1042"/>
      <c r="P68" s="1042"/>
      <c r="Q68" s="1042"/>
    </row>
    <row r="69" spans="1:17">
      <c r="A69" s="503" t="str">
        <f>Recap!D76</f>
        <v>SeifBois_E11a</v>
      </c>
      <c r="B69" s="913" t="str">
        <f>Recap!BR76</f>
        <v>4, 8, 12</v>
      </c>
      <c r="C69" s="853" t="str">
        <f>Recap!BT76</f>
        <v>Front</v>
      </c>
      <c r="D69" s="503">
        <f>Recap!BU76</f>
        <v>0</v>
      </c>
      <c r="E69" s="503">
        <f>Recap!BV76</f>
        <v>0</v>
      </c>
      <c r="F69" s="1042"/>
      <c r="G69" s="1042"/>
      <c r="H69" s="1042"/>
      <c r="I69" s="1042"/>
      <c r="J69" s="1042"/>
      <c r="K69" s="1042"/>
      <c r="L69" s="1042"/>
      <c r="M69" s="1042"/>
      <c r="N69" s="1042"/>
      <c r="O69" s="1042"/>
      <c r="P69" s="1042"/>
      <c r="Q69" s="1042"/>
    </row>
    <row r="70" spans="1:17">
      <c r="A70" s="503" t="str">
        <f>Recap!D77</f>
        <v>SeifBois_E11b</v>
      </c>
      <c r="B70" s="913" t="str">
        <f>Recap!BR77</f>
        <v>4, 8, 12</v>
      </c>
      <c r="C70" s="853" t="str">
        <f>Recap!BT77</f>
        <v>Front</v>
      </c>
      <c r="D70" s="503">
        <f>Recap!BU77</f>
        <v>0</v>
      </c>
      <c r="E70" s="503">
        <f>Recap!BV77</f>
        <v>0</v>
      </c>
      <c r="F70" s="1042"/>
      <c r="G70" s="1042"/>
      <c r="H70" s="1042"/>
      <c r="I70" s="1042"/>
      <c r="J70" s="1042"/>
      <c r="K70" s="1042"/>
      <c r="L70" s="1042"/>
      <c r="M70" s="1042"/>
      <c r="N70" s="1042"/>
      <c r="O70" s="1042"/>
      <c r="P70" s="1042"/>
      <c r="Q70" s="1042"/>
    </row>
    <row r="71" spans="1:17">
      <c r="A71" s="503" t="str">
        <f>Recap!D78</f>
        <v>SeifBois_E11c</v>
      </c>
      <c r="B71" s="913" t="str">
        <f>Recap!BR78</f>
        <v>4, 8, 12</v>
      </c>
      <c r="C71" s="853" t="str">
        <f>Recap!BT78</f>
        <v>Front</v>
      </c>
      <c r="D71" s="503">
        <f>Recap!BU78</f>
        <v>0</v>
      </c>
      <c r="E71" s="503">
        <f>Recap!BV78</f>
        <v>0</v>
      </c>
      <c r="F71" s="1042"/>
      <c r="G71" s="1042"/>
      <c r="H71" s="1042"/>
      <c r="I71" s="1042"/>
      <c r="J71" s="1042"/>
      <c r="K71" s="1042"/>
      <c r="L71" s="1042"/>
      <c r="M71" s="1042"/>
      <c r="N71" s="1042"/>
      <c r="O71" s="1042"/>
      <c r="P71" s="1042"/>
      <c r="Q71" s="1042"/>
    </row>
    <row r="72" spans="1:17">
      <c r="A72" s="503" t="str">
        <f>Recap!D79</f>
        <v>SeifBois_H11</v>
      </c>
      <c r="B72" s="913" t="str">
        <f>Recap!BR79</f>
        <v>4, 8, 12</v>
      </c>
      <c r="C72" s="853" t="str">
        <f>Recap!BT79</f>
        <v>Front</v>
      </c>
      <c r="D72" s="503">
        <f>Recap!BU79</f>
        <v>0</v>
      </c>
      <c r="E72" s="503">
        <f>Recap!BV79</f>
        <v>0</v>
      </c>
      <c r="F72" s="1042"/>
      <c r="G72" s="1042"/>
      <c r="H72" s="1042"/>
      <c r="I72" s="1042"/>
      <c r="J72" s="1042"/>
      <c r="K72" s="1042"/>
      <c r="L72" s="1042"/>
      <c r="M72" s="1042"/>
      <c r="N72" s="1042"/>
      <c r="O72" s="1042"/>
      <c r="P72" s="1042"/>
      <c r="Q72" s="1042"/>
    </row>
    <row r="73" spans="1:17">
      <c r="A73" s="503" t="str">
        <f>Recap!D80</f>
        <v>SeifBois_B11</v>
      </c>
      <c r="B73" s="913" t="str">
        <f>Recap!BR80</f>
        <v>4, 8, 12</v>
      </c>
      <c r="C73" s="853" t="str">
        <f>Recap!BT80</f>
        <v>Front</v>
      </c>
      <c r="D73" s="503">
        <f>Recap!BU80</f>
        <v>0</v>
      </c>
      <c r="E73" s="503">
        <f>Recap!BV80</f>
        <v>0</v>
      </c>
      <c r="F73" s="1042"/>
      <c r="G73" s="1042"/>
      <c r="H73" s="1042"/>
      <c r="I73" s="1042"/>
      <c r="J73" s="1042"/>
      <c r="K73" s="1042"/>
      <c r="L73" s="1042"/>
      <c r="M73" s="1042"/>
      <c r="N73" s="1042"/>
      <c r="O73" s="1042"/>
      <c r="P73" s="1042"/>
      <c r="Q73" s="104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
  <dimension ref="A2:A6"/>
  <sheetViews>
    <sheetView workbookViewId="0">
      <selection activeCell="A5" sqref="A5"/>
    </sheetView>
  </sheetViews>
  <sheetFormatPr baseColWidth="10" defaultColWidth="11.42578125" defaultRowHeight="15"/>
  <sheetData>
    <row r="2" spans="1:1">
      <c r="A2" t="s">
        <v>783</v>
      </c>
    </row>
    <row r="3" spans="1:1">
      <c r="A3" t="s">
        <v>428</v>
      </c>
    </row>
    <row r="4" spans="1:1">
      <c r="A4" t="s">
        <v>537</v>
      </c>
    </row>
    <row r="5" spans="1:1">
      <c r="A5" t="s">
        <v>453</v>
      </c>
    </row>
    <row r="6" spans="1:1">
      <c r="A6" t="s">
        <v>553</v>
      </c>
    </row>
  </sheetData>
  <pageMargins left="0.70866141732283472" right="0.70866141732283472" top="0.74803149606299213" bottom="0.74803149606299213" header="0.31496062992125984" footer="0.31496062992125984"/>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E199-48AD-4942-AE24-7C8527315254}">
  <sheetPr codeName="Feuil8"/>
  <dimension ref="A1:U71"/>
  <sheetViews>
    <sheetView topLeftCell="A34" zoomScale="115" zoomScaleNormal="115" workbookViewId="0">
      <selection activeCell="E19" sqref="E19"/>
    </sheetView>
  </sheetViews>
  <sheetFormatPr baseColWidth="10" defaultColWidth="11.42578125" defaultRowHeight="15"/>
  <sheetData>
    <row r="1" spans="1:13">
      <c r="A1" t="s">
        <v>540</v>
      </c>
    </row>
    <row r="4" spans="1:13">
      <c r="M4" t="s">
        <v>82</v>
      </c>
    </row>
    <row r="5" spans="1:13">
      <c r="G5">
        <v>2</v>
      </c>
      <c r="H5">
        <v>85</v>
      </c>
      <c r="I5">
        <v>9.8000000000000007</v>
      </c>
      <c r="J5">
        <v>8.1999999999999993</v>
      </c>
      <c r="K5">
        <f>G5*(H5+I5+J5)</f>
        <v>206</v>
      </c>
      <c r="L5">
        <v>4281</v>
      </c>
      <c r="M5" s="548">
        <f>L5/K5</f>
        <v>20.781553398058254</v>
      </c>
    </row>
    <row r="6" spans="1:13">
      <c r="G6">
        <v>1</v>
      </c>
      <c r="H6">
        <v>63</v>
      </c>
      <c r="I6">
        <v>40</v>
      </c>
      <c r="J6">
        <v>3</v>
      </c>
      <c r="K6">
        <f t="shared" ref="K6:K18" si="0">G6*(H6+I6+J6)</f>
        <v>106</v>
      </c>
      <c r="L6">
        <v>2557</v>
      </c>
      <c r="M6" s="548">
        <f t="shared" ref="M6:M18" si="1">L6/K6</f>
        <v>24.122641509433961</v>
      </c>
    </row>
    <row r="7" spans="1:13">
      <c r="G7">
        <v>2</v>
      </c>
      <c r="H7">
        <v>74.099999999999994</v>
      </c>
      <c r="I7">
        <v>4.8</v>
      </c>
      <c r="K7">
        <f t="shared" si="0"/>
        <v>157.79999999999998</v>
      </c>
      <c r="L7">
        <v>3333</v>
      </c>
      <c r="M7" s="548">
        <f t="shared" si="1"/>
        <v>21.121673003802282</v>
      </c>
    </row>
    <row r="8" spans="1:13">
      <c r="G8">
        <v>2</v>
      </c>
      <c r="H8">
        <v>8</v>
      </c>
      <c r="I8">
        <v>2.5</v>
      </c>
      <c r="K8">
        <f t="shared" si="0"/>
        <v>21</v>
      </c>
      <c r="L8">
        <v>439</v>
      </c>
      <c r="M8" s="548">
        <f t="shared" si="1"/>
        <v>20.904761904761905</v>
      </c>
    </row>
    <row r="9" spans="1:13">
      <c r="G9">
        <v>1</v>
      </c>
      <c r="H9">
        <v>18</v>
      </c>
      <c r="K9">
        <f t="shared" si="0"/>
        <v>18</v>
      </c>
      <c r="L9">
        <v>382</v>
      </c>
      <c r="M9" s="548">
        <f t="shared" si="1"/>
        <v>21.222222222222221</v>
      </c>
    </row>
    <row r="10" spans="1:13">
      <c r="G10">
        <v>8</v>
      </c>
      <c r="H10">
        <v>4</v>
      </c>
      <c r="K10">
        <f t="shared" si="0"/>
        <v>32</v>
      </c>
      <c r="L10">
        <v>614</v>
      </c>
      <c r="M10" s="548">
        <f t="shared" si="1"/>
        <v>19.1875</v>
      </c>
    </row>
    <row r="11" spans="1:13">
      <c r="G11">
        <v>6</v>
      </c>
      <c r="H11">
        <v>8</v>
      </c>
      <c r="I11">
        <v>2.5</v>
      </c>
      <c r="K11">
        <f t="shared" si="0"/>
        <v>63</v>
      </c>
      <c r="L11">
        <v>1316</v>
      </c>
      <c r="M11" s="548">
        <f t="shared" si="1"/>
        <v>20.888888888888889</v>
      </c>
    </row>
    <row r="12" spans="1:13">
      <c r="G12">
        <v>12</v>
      </c>
      <c r="H12">
        <v>0.37</v>
      </c>
      <c r="K12">
        <f t="shared" si="0"/>
        <v>4.4399999999999995</v>
      </c>
      <c r="L12">
        <v>129</v>
      </c>
      <c r="M12" s="548">
        <f t="shared" si="1"/>
        <v>29.054054054054056</v>
      </c>
    </row>
    <row r="13" spans="1:13">
      <c r="G13">
        <v>2</v>
      </c>
      <c r="H13">
        <v>0.14000000000000001</v>
      </c>
      <c r="K13">
        <f t="shared" si="0"/>
        <v>0.28000000000000003</v>
      </c>
      <c r="L13">
        <v>13</v>
      </c>
      <c r="M13" s="548">
        <f t="shared" si="1"/>
        <v>46.428571428571423</v>
      </c>
    </row>
    <row r="14" spans="1:13">
      <c r="G14">
        <v>4</v>
      </c>
      <c r="H14">
        <v>6.7</v>
      </c>
      <c r="K14">
        <f t="shared" si="0"/>
        <v>26.8</v>
      </c>
      <c r="L14">
        <v>777</v>
      </c>
      <c r="M14" s="548">
        <f t="shared" si="1"/>
        <v>28.992537313432834</v>
      </c>
    </row>
    <row r="15" spans="1:13">
      <c r="G15">
        <v>2</v>
      </c>
      <c r="H15">
        <v>0.56999999999999995</v>
      </c>
      <c r="K15">
        <f t="shared" si="0"/>
        <v>1.1399999999999999</v>
      </c>
      <c r="L15">
        <v>54</v>
      </c>
      <c r="M15" s="548">
        <f t="shared" si="1"/>
        <v>47.368421052631582</v>
      </c>
    </row>
    <row r="16" spans="1:13">
      <c r="G16">
        <v>1</v>
      </c>
      <c r="H16">
        <v>289</v>
      </c>
      <c r="K16">
        <f t="shared" si="0"/>
        <v>289</v>
      </c>
      <c r="L16">
        <v>6127</v>
      </c>
      <c r="M16" s="548">
        <f t="shared" si="1"/>
        <v>21.20069204152249</v>
      </c>
    </row>
    <row r="17" spans="1:20">
      <c r="G17">
        <v>1</v>
      </c>
      <c r="H17">
        <v>380</v>
      </c>
      <c r="K17">
        <f t="shared" si="0"/>
        <v>380</v>
      </c>
      <c r="L17">
        <v>6802</v>
      </c>
      <c r="M17" s="548">
        <f t="shared" si="1"/>
        <v>17.899999999999999</v>
      </c>
    </row>
    <row r="18" spans="1:20">
      <c r="G18">
        <v>1</v>
      </c>
      <c r="H18">
        <v>1</v>
      </c>
      <c r="K18">
        <f t="shared" si="0"/>
        <v>1</v>
      </c>
      <c r="L18">
        <v>17</v>
      </c>
      <c r="M18" s="548">
        <f t="shared" si="1"/>
        <v>17</v>
      </c>
    </row>
    <row r="19" spans="1:20">
      <c r="K19">
        <f>SUM(K5:K18)</f>
        <v>1306.46</v>
      </c>
      <c r="L19">
        <v>26840</v>
      </c>
      <c r="M19" s="632">
        <f>L19/K19</f>
        <v>20.544065643035378</v>
      </c>
      <c r="N19" t="s">
        <v>784</v>
      </c>
      <c r="O19" t="s">
        <v>785</v>
      </c>
    </row>
    <row r="26" spans="1:20">
      <c r="A26" t="s">
        <v>786</v>
      </c>
    </row>
    <row r="32" spans="1:20">
      <c r="H32">
        <v>18</v>
      </c>
      <c r="I32">
        <v>29.5</v>
      </c>
      <c r="J32">
        <f>I32*H32</f>
        <v>531</v>
      </c>
      <c r="M32">
        <v>18</v>
      </c>
      <c r="N32">
        <v>29.5</v>
      </c>
      <c r="O32">
        <f>N32*M32</f>
        <v>531</v>
      </c>
      <c r="R32">
        <v>18</v>
      </c>
      <c r="S32">
        <v>29.5</v>
      </c>
      <c r="T32">
        <f>S32*R32</f>
        <v>531</v>
      </c>
    </row>
    <row r="33" spans="1:21">
      <c r="H33">
        <v>20</v>
      </c>
      <c r="I33">
        <v>37</v>
      </c>
      <c r="J33">
        <f t="shared" ref="J33:J43" si="2">I33*H33</f>
        <v>740</v>
      </c>
      <c r="M33">
        <v>20</v>
      </c>
      <c r="N33">
        <v>37</v>
      </c>
      <c r="O33">
        <f t="shared" ref="O33:O43" si="3">N33*M33</f>
        <v>740</v>
      </c>
      <c r="R33">
        <v>20</v>
      </c>
      <c r="S33">
        <v>37</v>
      </c>
      <c r="T33">
        <f t="shared" ref="T33:T43" si="4">S33*R33</f>
        <v>740</v>
      </c>
    </row>
    <row r="34" spans="1:21">
      <c r="H34">
        <v>20</v>
      </c>
      <c r="I34">
        <v>10</v>
      </c>
      <c r="J34">
        <f t="shared" si="2"/>
        <v>200</v>
      </c>
      <c r="M34">
        <v>20</v>
      </c>
      <c r="N34">
        <v>10</v>
      </c>
      <c r="O34">
        <f t="shared" si="3"/>
        <v>200</v>
      </c>
      <c r="R34">
        <v>20</v>
      </c>
      <c r="S34">
        <v>10</v>
      </c>
      <c r="T34">
        <f t="shared" si="4"/>
        <v>200</v>
      </c>
    </row>
    <row r="35" spans="1:21">
      <c r="H35">
        <v>18</v>
      </c>
      <c r="I35">
        <v>46</v>
      </c>
      <c r="J35">
        <f t="shared" si="2"/>
        <v>828</v>
      </c>
      <c r="M35">
        <v>18</v>
      </c>
      <c r="N35">
        <v>46</v>
      </c>
      <c r="O35">
        <f t="shared" si="3"/>
        <v>828</v>
      </c>
      <c r="R35">
        <v>18</v>
      </c>
      <c r="S35">
        <v>46</v>
      </c>
      <c r="T35">
        <f t="shared" si="4"/>
        <v>828</v>
      </c>
    </row>
    <row r="36" spans="1:21">
      <c r="H36">
        <v>18</v>
      </c>
      <c r="I36">
        <v>59</v>
      </c>
      <c r="J36">
        <f t="shared" si="2"/>
        <v>1062</v>
      </c>
      <c r="M36">
        <v>18</v>
      </c>
      <c r="N36">
        <v>59</v>
      </c>
      <c r="O36">
        <f t="shared" si="3"/>
        <v>1062</v>
      </c>
      <c r="R36">
        <v>18</v>
      </c>
      <c r="S36">
        <v>59</v>
      </c>
      <c r="T36">
        <f t="shared" si="4"/>
        <v>1062</v>
      </c>
    </row>
    <row r="37" spans="1:21">
      <c r="H37">
        <v>18</v>
      </c>
      <c r="I37">
        <v>24</v>
      </c>
      <c r="J37">
        <f t="shared" si="2"/>
        <v>432</v>
      </c>
      <c r="M37">
        <v>18</v>
      </c>
      <c r="N37">
        <v>24</v>
      </c>
      <c r="O37">
        <f t="shared" si="3"/>
        <v>432</v>
      </c>
      <c r="R37">
        <v>18</v>
      </c>
      <c r="S37">
        <v>24</v>
      </c>
      <c r="T37">
        <f t="shared" si="4"/>
        <v>432</v>
      </c>
    </row>
    <row r="38" spans="1:21">
      <c r="H38">
        <v>20</v>
      </c>
      <c r="I38">
        <v>10</v>
      </c>
      <c r="J38">
        <f t="shared" si="2"/>
        <v>200</v>
      </c>
      <c r="M38">
        <v>20</v>
      </c>
      <c r="N38">
        <v>10</v>
      </c>
      <c r="O38">
        <f t="shared" si="3"/>
        <v>200</v>
      </c>
      <c r="R38">
        <v>20</v>
      </c>
      <c r="S38">
        <v>20</v>
      </c>
      <c r="T38">
        <f t="shared" si="4"/>
        <v>400</v>
      </c>
    </row>
    <row r="39" spans="1:21">
      <c r="H39">
        <v>18</v>
      </c>
      <c r="I39">
        <v>17.100000000000001</v>
      </c>
      <c r="J39">
        <f t="shared" si="2"/>
        <v>307.8</v>
      </c>
      <c r="M39">
        <v>18</v>
      </c>
      <c r="N39">
        <v>20.3</v>
      </c>
      <c r="O39">
        <f t="shared" si="3"/>
        <v>365.40000000000003</v>
      </c>
      <c r="R39">
        <v>18</v>
      </c>
      <c r="S39">
        <v>0</v>
      </c>
      <c r="T39">
        <f t="shared" si="4"/>
        <v>0</v>
      </c>
    </row>
    <row r="40" spans="1:21">
      <c r="H40">
        <v>20</v>
      </c>
      <c r="I40">
        <v>2</v>
      </c>
      <c r="J40">
        <f t="shared" si="2"/>
        <v>40</v>
      </c>
      <c r="M40">
        <v>20</v>
      </c>
      <c r="N40">
        <v>2</v>
      </c>
      <c r="O40">
        <f t="shared" si="3"/>
        <v>40</v>
      </c>
      <c r="R40">
        <v>20</v>
      </c>
      <c r="S40">
        <v>2</v>
      </c>
      <c r="T40">
        <f t="shared" si="4"/>
        <v>40</v>
      </c>
    </row>
    <row r="41" spans="1:21">
      <c r="H41">
        <v>20</v>
      </c>
      <c r="I41">
        <v>2</v>
      </c>
      <c r="J41">
        <f t="shared" si="2"/>
        <v>40</v>
      </c>
      <c r="M41">
        <v>20</v>
      </c>
      <c r="N41">
        <v>2</v>
      </c>
      <c r="O41">
        <f t="shared" si="3"/>
        <v>40</v>
      </c>
      <c r="R41">
        <v>20</v>
      </c>
      <c r="S41">
        <v>2</v>
      </c>
      <c r="T41">
        <f t="shared" si="4"/>
        <v>40</v>
      </c>
    </row>
    <row r="42" spans="1:21">
      <c r="H42">
        <v>20</v>
      </c>
      <c r="I42">
        <v>2</v>
      </c>
      <c r="J42">
        <f t="shared" si="2"/>
        <v>40</v>
      </c>
      <c r="M42">
        <v>20</v>
      </c>
      <c r="N42">
        <v>2</v>
      </c>
      <c r="O42">
        <f t="shared" si="3"/>
        <v>40</v>
      </c>
      <c r="R42">
        <v>20</v>
      </c>
      <c r="S42">
        <v>2</v>
      </c>
      <c r="T42">
        <f t="shared" si="4"/>
        <v>40</v>
      </c>
    </row>
    <row r="43" spans="1:21">
      <c r="H43">
        <v>18</v>
      </c>
      <c r="I43">
        <v>221</v>
      </c>
      <c r="J43">
        <f t="shared" si="2"/>
        <v>3978</v>
      </c>
      <c r="M43">
        <v>18</v>
      </c>
      <c r="N43">
        <v>235.3</v>
      </c>
      <c r="O43">
        <f t="shared" si="3"/>
        <v>4235.4000000000005</v>
      </c>
      <c r="R43">
        <v>18</v>
      </c>
      <c r="S43">
        <v>223.2</v>
      </c>
      <c r="T43">
        <f t="shared" si="4"/>
        <v>4017.6</v>
      </c>
    </row>
    <row r="44" spans="1:21">
      <c r="H44">
        <f>SUM(H32:H43)</f>
        <v>228</v>
      </c>
      <c r="I44">
        <f>SUM(I32:I43)</f>
        <v>459.6</v>
      </c>
      <c r="J44">
        <f>SUM(J32:J43)</f>
        <v>8398.7999999999993</v>
      </c>
      <c r="K44" s="548">
        <f>J44/I44</f>
        <v>18.274151436031328</v>
      </c>
      <c r="M44">
        <f>SUM(M32:M43)</f>
        <v>228</v>
      </c>
      <c r="N44">
        <f>SUM(N32:N43)</f>
        <v>477.1</v>
      </c>
      <c r="O44">
        <f>SUM(O32:O43)</f>
        <v>8713.7999999999993</v>
      </c>
      <c r="P44" s="548">
        <f>O44/N44</f>
        <v>18.264095577447073</v>
      </c>
      <c r="R44">
        <f>SUM(R32:R43)</f>
        <v>228</v>
      </c>
      <c r="S44">
        <f>SUM(S32:S43)</f>
        <v>454.7</v>
      </c>
      <c r="T44">
        <f>SUM(T32:T43)</f>
        <v>8330.6</v>
      </c>
      <c r="U44" s="548">
        <f>T44/S44</f>
        <v>18.321090829118102</v>
      </c>
    </row>
    <row r="48" spans="1:21">
      <c r="A48" t="s">
        <v>787</v>
      </c>
    </row>
    <row r="53" spans="8:11">
      <c r="H53">
        <v>18</v>
      </c>
      <c r="I53">
        <v>29.5</v>
      </c>
      <c r="J53">
        <f>I53*H53</f>
        <v>531</v>
      </c>
    </row>
    <row r="54" spans="8:11">
      <c r="H54">
        <v>20</v>
      </c>
      <c r="I54">
        <v>37</v>
      </c>
      <c r="J54">
        <f t="shared" ref="J54:J63" si="5">I54*H54</f>
        <v>740</v>
      </c>
    </row>
    <row r="55" spans="8:11">
      <c r="H55">
        <v>20</v>
      </c>
      <c r="I55">
        <v>10</v>
      </c>
      <c r="J55">
        <f t="shared" si="5"/>
        <v>200</v>
      </c>
    </row>
    <row r="56" spans="8:11">
      <c r="H56">
        <v>18</v>
      </c>
      <c r="I56">
        <v>46</v>
      </c>
      <c r="J56">
        <f t="shared" si="5"/>
        <v>828</v>
      </c>
    </row>
    <row r="57" spans="8:11">
      <c r="H57">
        <v>18</v>
      </c>
      <c r="I57">
        <v>59</v>
      </c>
      <c r="J57">
        <f t="shared" si="5"/>
        <v>1062</v>
      </c>
    </row>
    <row r="58" spans="8:11">
      <c r="H58">
        <v>18</v>
      </c>
      <c r="I58">
        <v>24</v>
      </c>
      <c r="J58">
        <f t="shared" si="5"/>
        <v>432</v>
      </c>
    </row>
    <row r="59" spans="8:11">
      <c r="H59">
        <v>20</v>
      </c>
      <c r="I59">
        <v>20</v>
      </c>
      <c r="J59">
        <f t="shared" si="5"/>
        <v>400</v>
      </c>
    </row>
    <row r="60" spans="8:11">
      <c r="H60">
        <v>20</v>
      </c>
      <c r="I60">
        <v>2</v>
      </c>
      <c r="J60">
        <f t="shared" si="5"/>
        <v>40</v>
      </c>
    </row>
    <row r="61" spans="8:11">
      <c r="H61">
        <v>20</v>
      </c>
      <c r="I61">
        <v>2</v>
      </c>
      <c r="J61">
        <f t="shared" si="5"/>
        <v>40</v>
      </c>
    </row>
    <row r="62" spans="8:11">
      <c r="H62">
        <v>20</v>
      </c>
      <c r="I62">
        <v>2</v>
      </c>
      <c r="J62">
        <f t="shared" si="5"/>
        <v>40</v>
      </c>
    </row>
    <row r="63" spans="8:11">
      <c r="H63">
        <v>18</v>
      </c>
      <c r="I63">
        <v>225</v>
      </c>
      <c r="J63">
        <f t="shared" si="5"/>
        <v>4050</v>
      </c>
    </row>
    <row r="64" spans="8:11">
      <c r="H64">
        <f>SUM(H52:H63)</f>
        <v>210</v>
      </c>
      <c r="I64">
        <f>SUM(I52:I63)</f>
        <v>456.5</v>
      </c>
      <c r="J64">
        <f>SUM(J52:J63)</f>
        <v>8363</v>
      </c>
      <c r="K64" s="548">
        <f>J64/I64</f>
        <v>18.319824753559693</v>
      </c>
    </row>
    <row r="65" spans="1:11">
      <c r="K65" s="548"/>
    </row>
    <row r="67" spans="1:11">
      <c r="A67" t="s">
        <v>788</v>
      </c>
    </row>
    <row r="68" spans="1:11">
      <c r="A68" t="s">
        <v>789</v>
      </c>
    </row>
    <row r="69" spans="1:11">
      <c r="B69" t="s">
        <v>790</v>
      </c>
      <c r="C69" t="s">
        <v>791</v>
      </c>
      <c r="D69" t="s">
        <v>82</v>
      </c>
    </row>
    <row r="70" spans="1:11">
      <c r="B70">
        <f>23074+161</f>
        <v>23235</v>
      </c>
      <c r="C70">
        <f>1169+8</f>
        <v>1177</v>
      </c>
      <c r="D70">
        <f>B70/C70</f>
        <v>19.740866610025488</v>
      </c>
    </row>
    <row r="71" spans="1:11">
      <c r="B71">
        <f>23074-161</f>
        <v>22913</v>
      </c>
      <c r="C71">
        <f>1169-8</f>
        <v>1161</v>
      </c>
      <c r="D71">
        <f>B71/C71</f>
        <v>19.735572782084411</v>
      </c>
    </row>
  </sheetData>
  <pageMargins left="0.70866141732283472" right="0.70866141732283472" top="0.74803149606299213" bottom="0.74803149606299213" header="0.31496062992125984" footer="0.31496062992125984"/>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80d51f8-5997-4708-b301-876b48450d77">
      <Terms xmlns="http://schemas.microsoft.com/office/infopath/2007/PartnerControls"/>
    </lcf76f155ced4ddcb4097134ff3c332f>
    <TaxCatchAll xmlns="0d8312d9-c956-47c0-b250-7519afdb453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8C4370ACC69140BE9F5583C3D32703" ma:contentTypeVersion="12" ma:contentTypeDescription="Crée un document." ma:contentTypeScope="" ma:versionID="36cf3cd3dfe60d7348b00049ffa65e56">
  <xsd:schema xmlns:xsd="http://www.w3.org/2001/XMLSchema" xmlns:xs="http://www.w3.org/2001/XMLSchema" xmlns:p="http://schemas.microsoft.com/office/2006/metadata/properties" xmlns:ns2="780d51f8-5997-4708-b301-876b48450d77" xmlns:ns3="0d8312d9-c956-47c0-b250-7519afdb4534" targetNamespace="http://schemas.microsoft.com/office/2006/metadata/properties" ma:root="true" ma:fieldsID="2b74d881db658083c7a740c137e02f88" ns2:_="" ns3:_="">
    <xsd:import namespace="780d51f8-5997-4708-b301-876b48450d77"/>
    <xsd:import namespace="0d8312d9-c956-47c0-b250-7519afdb4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d51f8-5997-4708-b301-876b48450d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8083176a-d13d-47e2-b7d3-828792fcfcb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d8312d9-c956-47c0-b250-7519afdb45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19d881b-a63e-41ea-8268-411c59d678b5}" ma:internalName="TaxCatchAll" ma:showField="CatchAllData" ma:web="0d8312d9-c956-47c0-b250-7519afdb45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A3ACF5-1F13-4915-97B9-1B6652F6C7B7}">
  <ds:schemaRefs>
    <ds:schemaRef ds:uri="http://schemas.openxmlformats.org/package/2006/metadata/core-properties"/>
    <ds:schemaRef ds:uri="http://purl.org/dc/elements/1.1/"/>
    <ds:schemaRef ds:uri="http://schemas.microsoft.com/office/infopath/2007/PartnerControls"/>
    <ds:schemaRef ds:uri="0d8312d9-c956-47c0-b250-7519afdb4534"/>
    <ds:schemaRef ds:uri="http://purl.org/dc/terms/"/>
    <ds:schemaRef ds:uri="http://schemas.microsoft.com/office/2006/documentManagement/types"/>
    <ds:schemaRef ds:uri="http://purl.org/dc/dcmitype/"/>
    <ds:schemaRef ds:uri="780d51f8-5997-4708-b301-876b48450d77"/>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B3A6B70-4C56-4D55-8E3E-1515D9D58283}">
  <ds:schemaRefs>
    <ds:schemaRef ds:uri="http://schemas.microsoft.com/sharepoint/v3/contenttype/forms"/>
  </ds:schemaRefs>
</ds:datastoreItem>
</file>

<file path=customXml/itemProps3.xml><?xml version="1.0" encoding="utf-8"?>
<ds:datastoreItem xmlns:ds="http://schemas.openxmlformats.org/officeDocument/2006/customXml" ds:itemID="{65065EDA-3621-44F0-B670-A2A7BA8145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d51f8-5997-4708-b301-876b48450d77"/>
    <ds:schemaRef ds:uri="0d8312d9-c956-47c0-b250-7519afdb4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ReadMeFirst</vt:lpstr>
      <vt:lpstr>Recap</vt:lpstr>
      <vt:lpstr>Char Depth Graph</vt:lpstr>
      <vt:lpstr>Char measurement</vt:lpstr>
      <vt:lpstr>Char analyse</vt:lpstr>
      <vt:lpstr>Gyps protection</vt:lpstr>
      <vt:lpstr>Flux results</vt:lpstr>
      <vt:lpstr>Lists</vt:lpstr>
      <vt:lpstr>Heat of Combustion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François CONSIGNY</dc:creator>
  <cp:keywords/>
  <dc:description/>
  <cp:lastModifiedBy>CONSIGNY François</cp:lastModifiedBy>
  <cp:revision/>
  <cp:lastPrinted>2025-10-18T11:13:24Z</cp:lastPrinted>
  <dcterms:created xsi:type="dcterms:W3CDTF">2024-07-04T08:59:41Z</dcterms:created>
  <dcterms:modified xsi:type="dcterms:W3CDTF">2026-06-24T08:51:47Z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0x010100FA8C4370ACC69140BE9F5583C3D32703</vt:lpwstr>
  </property>
  <property fmtid="{D5CDD505-2E9C-101B-9397-08002B2CF9AE}" pid="3" name="MediaServiceImageTags">
    <vt:lpwstr/>
  </property>
</Properties>
</file>