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1\Documents\GitHub\SEN9120-Regional energy transition\"/>
    </mc:Choice>
  </mc:AlternateContent>
  <xr:revisionPtr revIDLastSave="0" documentId="13_ncr:1_{99FA6809-F26D-43EC-BDB8-1DD5FF844E7C}" xr6:coauthVersionLast="45" xr6:coauthVersionMax="45" xr10:uidLastSave="{00000000-0000-0000-0000-000000000000}"/>
  <bookViews>
    <workbookView xWindow="300" yWindow="1596" windowWidth="17508" windowHeight="10728" xr2:uid="{FFC1AF97-7F4F-45A4-ADD4-756DE35729A6}"/>
  </bookViews>
  <sheets>
    <sheet name="Archetypes" sheetId="1" r:id="rId1"/>
    <sheet name="Offshore wind" sheetId="2" r:id="rId2"/>
    <sheet name="Onshore wind" sheetId="4" r:id="rId3"/>
    <sheet name="Solar Photovoltaic" sheetId="3" r:id="rId4"/>
  </sheets>
  <definedNames>
    <definedName name="_xlchart.v1.0" hidden="1">'Offshore wind'!$C$2:$C$9</definedName>
    <definedName name="_xlchart.v1.1" hidden="1">'Onshore wind'!$C$2:$C$21</definedName>
    <definedName name="_xlchart.v1.2" hidden="1">'Solar Photovoltaic'!$C$2:$C$11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10" i="1"/>
  <c r="B4" i="1"/>
  <c r="B9" i="1"/>
  <c r="B6" i="1"/>
  <c r="B3" i="1"/>
  <c r="B5" i="1"/>
  <c r="B8" i="1"/>
  <c r="B2" i="1"/>
  <c r="B41" i="3"/>
  <c r="C17" i="3"/>
  <c r="C16" i="3"/>
  <c r="C15" i="3"/>
  <c r="B34" i="4" a="1"/>
  <c r="B34" i="4" s="1"/>
  <c r="I24" i="2"/>
  <c r="C17" i="2"/>
  <c r="C16" i="2"/>
  <c r="C15" i="2"/>
  <c r="C25" i="4"/>
  <c r="C24" i="4"/>
  <c r="C26" i="4"/>
  <c r="A31" i="4"/>
  <c r="D31" i="4"/>
  <c r="H15" i="2"/>
  <c r="L17" i="2"/>
  <c r="K15" i="2"/>
  <c r="F38" i="3"/>
  <c r="F39" i="3"/>
  <c r="B37" i="3"/>
  <c r="F37" i="3" s="1"/>
  <c r="F8" i="2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<sst xmlns="http://schemas.openxmlformats.org/spreadsheetml/2006/main" count="260" uniqueCount="179">
  <si>
    <t>type</t>
  </si>
  <si>
    <t>cost</t>
  </si>
  <si>
    <t>small offshore wind park</t>
  </si>
  <si>
    <t>MW</t>
  </si>
  <si>
    <t>Wind farm</t>
  </si>
  <si>
    <t>Location</t>
  </si>
  <si>
    <t>Turbines</t>
  </si>
  <si>
    <t>Commissioning</t>
  </si>
  <si>
    <t>Owner</t>
  </si>
  <si>
    <t>Borssele 1 &amp; 2</t>
  </si>
  <si>
    <t>Expected 2020</t>
  </si>
  <si>
    <t>14–40</t>
  </si>
  <si>
    <t>Ørsted</t>
  </si>
  <si>
    <t>Egmond aan Zee (OWEZ)</t>
  </si>
  <si>
    <t>15–18</t>
  </si>
  <si>
    <t>Eneco Luchterduinen</t>
  </si>
  <si>
    <t>43 × Vestas V112/3000</t>
  </si>
  <si>
    <t>18–24</t>
  </si>
  <si>
    <t>Friesland</t>
  </si>
  <si>
    <t>89 × Siemens SWT-3.6–107</t>
  </si>
  <si>
    <t>3–4</t>
  </si>
  <si>
    <t>Windpark Fryslân B.V.</t>
  </si>
  <si>
    <t>Gemini</t>
  </si>
  <si>
    <t>150x Siemens SWT- 4.0–130</t>
  </si>
  <si>
    <t>28–36</t>
  </si>
  <si>
    <t>Irene Vorrink</t>
  </si>
  <si>
    <t>28x Nordtank NTK600/43</t>
  </si>
  <si>
    <t>2–3</t>
  </si>
  <si>
    <t>Nuon</t>
  </si>
  <si>
    <t>Lely (decommissioned 2016)</t>
  </si>
  <si>
    <t>Princess Amalia</t>
  </si>
  <si>
    <t>19–24</t>
  </si>
  <si>
    <t>Eneco Energie</t>
  </si>
  <si>
    <t>94 * Siemens Gamesa 8 MW</t>
  </si>
  <si>
    <t>52°36'22?N 4°25'8?E</t>
  </si>
  <si>
    <t>36x Vestas V90-3MW</t>
  </si>
  <si>
    <t>Nuon, Shell</t>
  </si>
  <si>
    <t>52°24'18?N 4°09'43?E</t>
  </si>
  <si>
    <t>Eneco, Mitsubishi</t>
  </si>
  <si>
    <t>53°2'26?N 5°16'59?E</t>
  </si>
  <si>
    <t>54°2'13?N 5°57'54?E</t>
  </si>
  <si>
    <t>Northland Power, Siemens, Van Oord, HVC Groep</t>
  </si>
  <si>
    <t>52°35'53?N 5°35'20?E</t>
  </si>
  <si>
    <t>52°47'49?N 5°7'8?E</t>
  </si>
  <si>
    <t>4x Nedwind 500 kW/41</t>
  </si>
  <si>
    <t>52°35'16?N 4°13'23?E</t>
  </si>
  <si>
    <t>60x Vestas V80-2MW</t>
  </si>
  <si>
    <t>Capacity (MW)</t>
  </si>
  <si>
    <t>Building cost</t>
  </si>
  <si>
    <t>km to shore</t>
  </si>
  <si>
    <t>Depth range (m)</t>
  </si>
  <si>
    <t>€/MW</t>
  </si>
  <si>
    <t>https://en.wikipedia.org/wiki/Wind_power_in_the_Netherlands#Offshore_wind_power</t>
  </si>
  <si>
    <t>Under construction</t>
  </si>
  <si>
    <t>Midden-Groningen</t>
  </si>
  <si>
    <t>Hoogezand-Sappemeer</t>
  </si>
  <si>
    <t>Operational</t>
  </si>
  <si>
    <t>Scaldia</t>
  </si>
  <si>
    <t>Borsele/Vlissingen</t>
  </si>
  <si>
    <t>Budel</t>
  </si>
  <si>
    <t>Nyrstar Budel</t>
  </si>
  <si>
    <t>Ooltgensplaat</t>
  </si>
  <si>
    <t>Sunport Delfzijl</t>
  </si>
  <si>
    <t>Delfzijl</t>
  </si>
  <si>
    <t>Shell Moerdijk</t>
  </si>
  <si>
    <t>Moerdijk</t>
  </si>
  <si>
    <t>Veendam</t>
  </si>
  <si>
    <t>Groene Hoek</t>
  </si>
  <si>
    <t>Hoofddorp</t>
  </si>
  <si>
    <t>Andijk</t>
  </si>
  <si>
    <t>Andijk Zuid, Medemblik</t>
  </si>
  <si>
    <t>Lange Runde</t>
  </si>
  <si>
    <t>Emmen</t>
  </si>
  <si>
    <t>State</t>
  </si>
  <si>
    <t>Name</t>
  </si>
  <si>
    <t># panels</t>
  </si>
  <si>
    <t>location</t>
  </si>
  <si>
    <t>small solar photovoltaic power station</t>
  </si>
  <si>
    <t>large solar photovoltaic power station</t>
  </si>
  <si>
    <t>large offshore wind park</t>
  </si>
  <si>
    <t>source</t>
  </si>
  <si>
    <t>https://www.solarplaza.com/channels/top-10s/12011/top-50-solar-projects-netherlands/#accesstop50</t>
  </si>
  <si>
    <t>residential</t>
  </si>
  <si>
    <t>utility single-axis tracking system</t>
  </si>
  <si>
    <t>utility fixed-tilt tracking system</t>
  </si>
  <si>
    <t>$/W</t>
  </si>
  <si>
    <t>Exchange rate</t>
  </si>
  <si>
    <t>€/$</t>
  </si>
  <si>
    <t>Cost in Euros</t>
  </si>
  <si>
    <t>€/W</t>
  </si>
  <si>
    <t>solar power generating district</t>
  </si>
  <si>
    <t>South-Holland</t>
  </si>
  <si>
    <t>Windpark Spui</t>
  </si>
  <si>
    <t>Windpark De Lier</t>
  </si>
  <si>
    <t>Windpark Zoetermeer</t>
  </si>
  <si>
    <t>Windpark Vlaardingen</t>
  </si>
  <si>
    <t>Flevoland</t>
  </si>
  <si>
    <t>Windpark Lely</t>
  </si>
  <si>
    <t>Limburg</t>
  </si>
  <si>
    <t>Windpark Boerderijweg</t>
  </si>
  <si>
    <t>Overijssel</t>
  </si>
  <si>
    <t>Windpark Dalfsen</t>
  </si>
  <si>
    <t>Windpark Tolhuis</t>
  </si>
  <si>
    <t>Zeeland</t>
  </si>
  <si>
    <t>Windpark Vlissingen</t>
  </si>
  <si>
    <t>Windpark Oesterdam</t>
  </si>
  <si>
    <t>Windpark Ijslandweg</t>
  </si>
  <si>
    <t>North-Brabant</t>
  </si>
  <si>
    <t>Windpark Van Gogh</t>
  </si>
  <si>
    <t>Gelderland</t>
  </si>
  <si>
    <t>Windpark Deil</t>
  </si>
  <si>
    <t>Windpark Duiven</t>
  </si>
  <si>
    <t>Windpark Buren</t>
  </si>
  <si>
    <t>Windpark Netterden</t>
  </si>
  <si>
    <t>Drenthe</t>
  </si>
  <si>
    <t>Windpark Coevorden</t>
  </si>
  <si>
    <t>Groningen</t>
  </si>
  <si>
    <t>Windpark Mondriaan</t>
  </si>
  <si>
    <t>Windpark Mauve</t>
  </si>
  <si>
    <t>Windpark Vermeer</t>
  </si>
  <si>
    <t>Province</t>
  </si>
  <si>
    <t>name</t>
  </si>
  <si>
    <t>capacity (MW)</t>
  </si>
  <si>
    <t>small onshore wind park</t>
  </si>
  <si>
    <t>large onshore wind park</t>
  </si>
  <si>
    <t>medium onshore wind park</t>
  </si>
  <si>
    <t>medium solar photovoltaic power station</t>
  </si>
  <si>
    <t>medium offshore wind park</t>
  </si>
  <si>
    <t>Source</t>
  </si>
  <si>
    <t>https://www.eurus-energy.com/en/project/project-list/</t>
  </si>
  <si>
    <t>$/kW</t>
  </si>
  <si>
    <t>Dollar to Euro</t>
  </si>
  <si>
    <t>Average cost for offshore wind</t>
  </si>
  <si>
    <t xml:space="preserve">cost from graph of </t>
  </si>
  <si>
    <t>=</t>
  </si>
  <si>
    <t>€</t>
  </si>
  <si>
    <t>This last cost is not considered because it averages costs of plants built at different times, and different technology</t>
  </si>
  <si>
    <t>levels. Currently the technology level is a different one for smaller wind plants, than what considered by this</t>
  </si>
  <si>
    <t xml:space="preserve">graph's model. Therefore we take the average cost from literature, which although being only a linear model, </t>
  </si>
  <si>
    <t>it is a more recent figure and academically accepted.</t>
  </si>
  <si>
    <t>Ragheb, Magdi. ‘Chapter 25 - Economics of Wind Power Generation’. In Wind Energy Engineering, edited by Trevor M. Letcher, 537–55. Academic Press, 2017. https://doi.org/10.1016/B978-0-12-809451-8.00025-4.</t>
  </si>
  <si>
    <t>Average cost from literature</t>
  </si>
  <si>
    <t>1st percentile</t>
  </si>
  <si>
    <t>3rd percentile</t>
  </si>
  <si>
    <t>Median</t>
  </si>
  <si>
    <t>Unit</t>
  </si>
  <si>
    <t xml:space="preserve"> Unit</t>
  </si>
  <si>
    <t>Offshore Cost per MW</t>
  </si>
  <si>
    <t>Onshore Cost per MW</t>
  </si>
  <si>
    <t>https://www.solarplaza.com/channels/top-10s/12011/top-50-solar-projects-netherlands/#accesstop51</t>
  </si>
  <si>
    <t>https://www.solarplaza.com/channels/top-10s/12011/top-50-solar-projects-netherlands/#accesstop52</t>
  </si>
  <si>
    <t>https://www.solarplaza.com/channels/top-10s/12011/top-50-solar-projects-netherlands/#accesstop53</t>
  </si>
  <si>
    <t>https://www.solarplaza.com/channels/top-10s/12011/top-50-solar-projects-netherlands/#accesstop54</t>
  </si>
  <si>
    <t>https://www.solarplaza.com/channels/top-10s/12011/top-50-solar-projects-netherlands/#accesstop55</t>
  </si>
  <si>
    <t>https://www.solarplaza.com/channels/top-10s/12011/top-50-solar-projects-netherlands/#accesstop56</t>
  </si>
  <si>
    <t>https://www.solarplaza.com/channels/top-10s/12011/top-50-solar-projects-netherlands/#accesstop57</t>
  </si>
  <si>
    <t>https://www.solarplaza.com/channels/top-10s/12011/top-50-solar-projects-netherlands/#accesstop58</t>
  </si>
  <si>
    <t>https://www.solarplaza.com/channels/top-10s/12011/top-50-solar-projects-netherlands/#accesstop59</t>
  </si>
  <si>
    <t>https://www.seia.org/research-resources/solar-market-insight-report-2020-q3</t>
  </si>
  <si>
    <t>https://www.seia.org/research-resources/solar-market-insight-report-2020-q4</t>
  </si>
  <si>
    <t>Cost from governmental reports</t>
  </si>
  <si>
    <t>Type of installation</t>
  </si>
  <si>
    <t xml:space="preserve">  Unit</t>
  </si>
  <si>
    <t>https://www.seia.org/research-resources/solar-market-insight-report-2020-q5</t>
  </si>
  <si>
    <t>Solar Cost per MW</t>
  </si>
  <si>
    <t>description</t>
  </si>
  <si>
    <t>capacity-MW</t>
  </si>
  <si>
    <t>References</t>
  </si>
  <si>
    <t>windpark-small-offshore</t>
  </si>
  <si>
    <t>windpark-large-offshore</t>
  </si>
  <si>
    <t>windpark-medium-offshore</t>
  </si>
  <si>
    <t>windpark-small-onshore</t>
  </si>
  <si>
    <t>windpark-large-onshore</t>
  </si>
  <si>
    <t>windpark-medium-onshore</t>
  </si>
  <si>
    <t>solarpark-small</t>
  </si>
  <si>
    <t>solarpark-large</t>
  </si>
  <si>
    <t>solarpark-medium</t>
  </si>
  <si>
    <t>solar-generating-district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</si>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</sst>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.00\ [$€-410]_-;\-* #,##0.00\ [$€-410]_-;_-* &quot;-&quot;??\ [$€-410]_-;_-@_-"/>
    <numFmt numFmtId="165" formatCode="_-* #,##0.000_-;\-* #,##0.0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trike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164" fontId="0" fillId="0" borderId="0" xfId="2" applyNumberFormat="1" applyFont="1"/>
    <xf numFmtId="0" fontId="6" fillId="0" borderId="0" xfId="0" applyFont="1"/>
    <xf numFmtId="2" fontId="0" fillId="0" borderId="0" xfId="0" applyNumberFormat="1"/>
    <xf numFmtId="43" fontId="0" fillId="0" borderId="0" xfId="1" applyFont="1"/>
    <xf numFmtId="0" fontId="0" fillId="0" borderId="0" xfId="1" applyNumberFormat="1" applyFont="1"/>
    <xf numFmtId="0" fontId="0" fillId="3" borderId="0" xfId="0" applyFill="1"/>
    <xf numFmtId="165" fontId="0" fillId="0" borderId="0" xfId="1" applyNumberFormat="1" applyFont="1"/>
    <xf numFmtId="0" fontId="3" fillId="0" borderId="0" xfId="0" applyFont="1"/>
    <xf numFmtId="43" fontId="7" fillId="0" borderId="0" xfId="1" applyFont="1"/>
    <xf numFmtId="0" fontId="5" fillId="0" borderId="0" xfId="4" applyAlignment="1">
      <alignment horizontal="left" vertical="center" indent="2"/>
    </xf>
    <xf numFmtId="0" fontId="8" fillId="0" borderId="0" xfId="0" applyFont="1"/>
    <xf numFmtId="43" fontId="9" fillId="0" borderId="0" xfId="1" applyFont="1"/>
    <xf numFmtId="0" fontId="3" fillId="0" borderId="0" xfId="0" applyFont="1" applyBorder="1"/>
    <xf numFmtId="0" fontId="4" fillId="2" borderId="1" xfId="3" applyBorder="1"/>
    <xf numFmtId="0" fontId="3" fillId="0" borderId="2" xfId="0" applyFont="1" applyBorder="1"/>
    <xf numFmtId="0" fontId="3" fillId="0" borderId="3" xfId="0" applyFont="1" applyBorder="1"/>
    <xf numFmtId="0" fontId="4" fillId="2" borderId="4" xfId="3" applyBorder="1"/>
    <xf numFmtId="0" fontId="3" fillId="0" borderId="5" xfId="0" applyFont="1" applyBorder="1"/>
    <xf numFmtId="0" fontId="4" fillId="2" borderId="6" xfId="3" applyBorder="1"/>
    <xf numFmtId="0" fontId="3" fillId="0" borderId="7" xfId="0" applyFont="1" applyBorder="1"/>
    <xf numFmtId="0" fontId="3" fillId="0" borderId="8" xfId="0" applyFont="1" applyBorder="1"/>
    <xf numFmtId="0" fontId="2" fillId="2" borderId="1" xfId="3" applyFont="1" applyBorder="1"/>
    <xf numFmtId="0" fontId="2" fillId="2" borderId="4" xfId="3" applyFont="1" applyBorder="1"/>
    <xf numFmtId="0" fontId="2" fillId="2" borderId="6" xfId="3" applyFont="1" applyBorder="1"/>
    <xf numFmtId="0" fontId="2" fillId="2" borderId="9" xfId="3" applyFont="1" applyBorder="1"/>
    <xf numFmtId="43" fontId="3" fillId="0" borderId="10" xfId="0" applyNumberFormat="1" applyFont="1" applyBorder="1"/>
    <xf numFmtId="0" fontId="8" fillId="0" borderId="11" xfId="0" applyFont="1" applyBorder="1"/>
    <xf numFmtId="0" fontId="0" fillId="0" borderId="0" xfId="0" applyAlignment="1">
      <alignment wrapText="1"/>
    </xf>
    <xf numFmtId="0" fontId="3" fillId="0" borderId="10" xfId="0" applyFont="1" applyBorder="1"/>
    <xf numFmtId="0" fontId="3" fillId="0" borderId="11" xfId="0" applyFont="1" applyBorder="1"/>
  </cellXfs>
  <cellStyles count="5">
    <cellStyle name="Accent1" xfId="3" builtinId="29"/>
    <cellStyle name="Comma" xfId="1" builtinId="3"/>
    <cellStyle name="Currency" xfId="2" builtinId="4"/>
    <cellStyle name="Hyperlink" xfId="4" builtinId="8"/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2" formatCode="0.00"/>
    </dxf>
    <dxf>
      <numFmt numFmtId="164" formatCode="_-* #,##0.00\ [$€-410]_-;\-* #,##0.00\ [$€-410]_-;_-* &quot;-&quot;??\ [$€-410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Cost vs capacity from historical Dutch plants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3491426071741033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('Offshore wind'!$C$3:$C$4,'Offshore wind'!$C$6:$C$9)</c:f>
              <c:numCache>
                <c:formatCode>General</c:formatCode>
                <c:ptCount val="6"/>
                <c:pt idx="0">
                  <c:v>108</c:v>
                </c:pt>
                <c:pt idx="1">
                  <c:v>129</c:v>
                </c:pt>
                <c:pt idx="2">
                  <c:v>600</c:v>
                </c:pt>
                <c:pt idx="3">
                  <c:v>17</c:v>
                </c:pt>
                <c:pt idx="4">
                  <c:v>2</c:v>
                </c:pt>
                <c:pt idx="5">
                  <c:v>120</c:v>
                </c:pt>
              </c:numCache>
            </c:numRef>
          </c:xVal>
          <c:yVal>
            <c:numRef>
              <c:f>('Offshore wind'!$F$3:$F$4,'Offshore wind'!$F$6:$F$9)</c:f>
              <c:numCache>
                <c:formatCode>_-* #,##0.00\ [$€-410]_-;\-* #,##0.00\ [$€-410]_-;_-* "-"??\ [$€-410]_-;_-@_-</c:formatCode>
                <c:ptCount val="6"/>
                <c:pt idx="0">
                  <c:v>200000000</c:v>
                </c:pt>
                <c:pt idx="1">
                  <c:v>450000000</c:v>
                </c:pt>
                <c:pt idx="2">
                  <c:v>2800000000</c:v>
                </c:pt>
                <c:pt idx="3">
                  <c:v>23456790.123456787</c:v>
                </c:pt>
                <c:pt idx="4">
                  <c:v>5605095.5414012736</c:v>
                </c:pt>
                <c:pt idx="5">
                  <c:v>350000000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D-4F99-AEDB-D9A61CDD1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319856"/>
        <c:axId val="1186324016"/>
      </c:scatterChart>
      <c:valAx>
        <c:axId val="11863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6324016"/>
        <c:crosses val="autoZero"/>
        <c:crossBetween val="midCat"/>
      </c:valAx>
      <c:valAx>
        <c:axId val="11863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631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wind offshore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wind offshore Capacity</a:t>
          </a:r>
        </a:p>
      </cx:txPr>
    </cx:title>
    <cx:plotArea>
      <cx:plotAreaRegion>
        <cx:series layoutId="boxWhisker" uniqueId="{629B2614-F290-42A3-B3B4-E51B118A409F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Wind Onshore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 Onshore capacity</a:t>
          </a:r>
        </a:p>
      </cx:txPr>
    </cx:title>
    <cx:plotArea>
      <cx:plotAreaRegion>
        <cx:series layoutId="boxWhisker" uniqueId="{9D603E98-526B-497C-96AC-D62BDE47A673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solar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solar Capacity</a:t>
          </a:r>
        </a:p>
      </cx:txPr>
    </cx:title>
    <cx:plotArea>
      <cx:plotAreaRegion>
        <cx:series layoutId="boxWhisker" uniqueId="{4ED77038-7E5A-4863-8007-A75340F302FB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12</xdr:row>
      <xdr:rowOff>118110</xdr:rowOff>
    </xdr:from>
    <xdr:to>
      <xdr:col>6</xdr:col>
      <xdr:colOff>487680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CF2BD3C-AF60-4748-8F40-DB3EE8DE5E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0" y="2312670"/>
              <a:ext cx="4343400" cy="291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480060</xdr:colOff>
      <xdr:row>12</xdr:row>
      <xdr:rowOff>3810</xdr:rowOff>
    </xdr:from>
    <xdr:to>
      <xdr:col>22</xdr:col>
      <xdr:colOff>175260</xdr:colOff>
      <xdr:row>27</xdr:row>
      <xdr:rowOff>3810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C25A5C-0F00-4068-A927-25FC99446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0</xdr:row>
      <xdr:rowOff>0</xdr:rowOff>
    </xdr:from>
    <xdr:to>
      <xdr:col>10</xdr:col>
      <xdr:colOff>30480</xdr:colOff>
      <xdr:row>26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D5E8BC-2B06-4DF3-A715-487CAFA2B9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3680" y="0"/>
              <a:ext cx="363474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11</xdr:row>
      <xdr:rowOff>3810</xdr:rowOff>
    </xdr:from>
    <xdr:to>
      <xdr:col>10</xdr:col>
      <xdr:colOff>381000</xdr:colOff>
      <xdr:row>32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C716E6-9A22-4F21-837B-B6C0FCF856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8740" y="2015490"/>
              <a:ext cx="5775960" cy="401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F03A4-7891-483F-AEF7-B7053BB41A09}" name="Table1" displayName="Table1" ref="A1:J9" totalsRowShown="0">
  <autoFilter ref="A1:J9" xr:uid="{04623A4D-C955-4B3C-A4AE-0BABCA0A3274}"/>
  <tableColumns count="10">
    <tableColumn id="1" xr3:uid="{DAF37C6D-ED4E-401A-90FC-91A35134D5B7}" name="Wind farm"/>
    <tableColumn id="2" xr3:uid="{7DCAEFBE-8E71-48BC-B4F8-0BA478CA20DA}" name="Location"/>
    <tableColumn id="3" xr3:uid="{CC9E8299-9501-4EC2-8F1E-39EBFA03828B}" name="Capacity (MW)"/>
    <tableColumn id="4" xr3:uid="{42BEFCB7-E2A2-451A-9A2E-2A53DE21AA9C}" name="Turbines"/>
    <tableColumn id="5" xr3:uid="{6D397FD4-65CA-45EB-9C1D-A201F374BF1B}" name="Commissioning"/>
    <tableColumn id="6" xr3:uid="{546E5D01-D26B-4B67-853F-A718C35E9CF0}" name="Building cost" dataDxfId="10"/>
    <tableColumn id="7" xr3:uid="{03E60466-2F79-4EFF-8252-0B269FEF3F91}" name="Depth range (m)"/>
    <tableColumn id="8" xr3:uid="{A19DB932-3552-48AB-A262-736F66D1F920}" name="km to shore"/>
    <tableColumn id="9" xr3:uid="{7B2945AB-6B64-43FB-BFC1-10EF78D71282}" name="Owner"/>
    <tableColumn id="10" xr3:uid="{6E1B2B2E-0EB9-4FF1-9873-2D498903F7B5}" name="Referenc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2381A0-D9F5-407F-9F1B-B69F9A7B9659}" name="Table3" displayName="Table3" ref="H14:M15" totalsRowShown="0">
  <autoFilter ref="H14:M15" xr:uid="{760A596C-7E69-4F1F-9F5E-AC2C9D42CC1D}"/>
  <tableColumns count="6">
    <tableColumn id="1" xr3:uid="{98F2AF33-66AF-4800-8D12-8805C55FDB9A}" name="Average cost from literature" dataDxfId="9">
      <calculatedColumnFormula>1600</calculatedColumnFormula>
    </tableColumn>
    <tableColumn id="2" xr3:uid="{B7D7AD61-6AAE-4FCD-9209-CB98992CEADD}" name="Unit" dataDxfId="8"/>
    <tableColumn id="3" xr3:uid="{D4561661-8587-425E-A339-CD09F70BD79A}" name="Dollar to Euro"/>
    <tableColumn id="4" xr3:uid="{E68C4CB5-9865-4DAF-BCE8-A7DCAB089973}" name="Average cost for offshore wind" dataDxfId="7" dataCellStyle="Comma">
      <calculatedColumnFormula>H15*J15*1000</calculatedColumnFormula>
    </tableColumn>
    <tableColumn id="5" xr3:uid="{76E74C81-44F4-4413-B116-95EAC8462267}" name=" Unit" dataDxfId="6"/>
    <tableColumn id="6" xr3:uid="{E36F748F-FBFE-4B68-A6D8-63685D3672AA}" name="Sour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CB8B8E-5A38-469A-AA3F-B2D87EF10280}" name="Table4" displayName="Table4" ref="A1:D21" totalsRowShown="0">
  <autoFilter ref="A1:D21" xr:uid="{B048DE66-C434-4488-BEB2-7C2E0B1CC69A}"/>
  <tableColumns count="4">
    <tableColumn id="1" xr3:uid="{0499719E-73D5-48D8-B18D-EF77628A977A}" name="Province"/>
    <tableColumn id="2" xr3:uid="{66422806-5A33-4993-9324-85DCE914386E}" name="name"/>
    <tableColumn id="3" xr3:uid="{D8B2FA08-0CB6-4989-8B63-D236C5D914A7}" name="capacity (MW)" dataDxfId="5" dataCellStyle="Comma"/>
    <tableColumn id="4" xr3:uid="{C9C4CE54-0211-4609-9A96-947EACBA09AC}" name="Sour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2170DE-A1C4-420F-BE71-0D043176276A}" name="Table5" displayName="Table5" ref="A30:F31" totalsRowShown="0">
  <autoFilter ref="A30:F31" xr:uid="{63AEB721-A90F-43F2-B5C2-47AF9AC7361D}"/>
  <tableColumns count="6">
    <tableColumn id="1" xr3:uid="{0C4EDD3C-62C7-4CB6-BA2D-60D6453AF408}" name="Average cost from literature">
      <calculatedColumnFormula>1000</calculatedColumnFormula>
    </tableColumn>
    <tableColumn id="2" xr3:uid="{B416BCD6-8FA2-4D30-836F-236DAFD5B35D}" name="Unit" dataDxfId="4"/>
    <tableColumn id="3" xr3:uid="{CC49939E-B8CD-4BE1-9A03-E0A496E32480}" name="Dollar to Euro"/>
    <tableColumn id="4" xr3:uid="{924494EA-A00F-4EA4-B007-DCAFB339F695}" name="Average cost for offshore wind" dataDxfId="3" dataCellStyle="Comma">
      <calculatedColumnFormula>A31*C31*1000</calculatedColumnFormula>
    </tableColumn>
    <tableColumn id="5" xr3:uid="{C72E382A-60F1-467B-B12F-8C1372D7A74C}" name=" Unit" dataDxfId="2"/>
    <tableColumn id="6" xr3:uid="{741FBDAC-2197-4C66-BFA1-F348E2D504A1}" name="Sour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E32754-1F90-49A2-94C8-6317D1E7C35B}" name="Table6" displayName="Table6" ref="A1:F11" totalsRowShown="0">
  <autoFilter ref="A1:F11" xr:uid="{EF578A92-FD05-4607-BE4D-942788A8A68B}"/>
  <tableColumns count="6">
    <tableColumn id="1" xr3:uid="{74F55F67-F1B6-4604-98FC-51DD36E15203}" name="State"/>
    <tableColumn id="2" xr3:uid="{4B100E3F-61DF-4B91-A6E3-E58E9A208EAB}" name="Name"/>
    <tableColumn id="3" xr3:uid="{27AE9F2E-2123-4D45-AC36-7627335CC522}" name="Capacity (MW)" dataDxfId="1" dataCellStyle="Comma"/>
    <tableColumn id="4" xr3:uid="{765C2E67-9697-4490-ABEA-BBDD297EE085}" name="# panels"/>
    <tableColumn id="5" xr3:uid="{288EE930-5386-46B1-BACE-0FF5052DB066}" name="location"/>
    <tableColumn id="6" xr3:uid="{C660EEC2-9ABF-449A-ABD2-1FE520B0D77D}" name="sour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A442CD-32C2-4C5A-898B-114DEDFF5570}" name="Table7" displayName="Table7" ref="A36:H39" totalsRowShown="0" headerRowDxfId="0">
  <autoFilter ref="A36:H39" xr:uid="{A8BBD051-1B15-4179-8B03-B1A5020A79CD}"/>
  <tableColumns count="8">
    <tableColumn id="1" xr3:uid="{53A551C6-AEF6-4B6C-BB9E-A050E6FF9344}" name="Type of installation"/>
    <tableColumn id="2" xr3:uid="{906B5145-DEC6-4D14-97D3-FCAD669B3757}" name="Cost from governmental reports"/>
    <tableColumn id="3" xr3:uid="{F046D762-2752-4CC9-AE27-14C751274532}" name="Unit"/>
    <tableColumn id="4" xr3:uid="{1BDB6013-9ECA-4B42-A7E9-D64BC46CCB53}" name="Exchange rate"/>
    <tableColumn id="5" xr3:uid="{382BC705-413C-418D-8777-0DD0529F569B}" name="  Unit"/>
    <tableColumn id="6" xr3:uid="{9C543547-8D10-4802-BC82-415817BB67BA}" name="Cost in Euros">
      <calculatedColumnFormula>B37*D37</calculatedColumnFormula>
    </tableColumn>
    <tableColumn id="7" xr3:uid="{E242DBB8-E8C3-4353-B935-CC3813D0520C}" name=" Unit"/>
    <tableColumn id="8" xr3:uid="{C8DBF37D-B362-4F5B-8D80-3F2DDB8AA016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F2E5-58AD-468A-9D04-632533EF6A69}">
  <dimension ref="A1:I11"/>
  <sheetViews>
    <sheetView tabSelected="1" workbookViewId="0">
      <selection activeCell="F7" sqref="F7"/>
    </sheetView>
  </sheetViews>
  <sheetFormatPr defaultRowHeight="14.4" x14ac:dyDescent="0.3"/>
  <cols>
    <col min="1" max="1" width="35.21875" bestFit="1" customWidth="1"/>
    <col min="2" max="2" width="17.88671875" bestFit="1" customWidth="1"/>
    <col min="3" max="3" width="14.21875" bestFit="1" customWidth="1"/>
    <col min="4" max="4" width="14.21875" customWidth="1"/>
    <col min="9" max="9" width="13.88671875" bestFit="1" customWidth="1"/>
  </cols>
  <sheetData>
    <row r="1" spans="1:9" x14ac:dyDescent="0.3">
      <c r="A1" t="s">
        <v>0</v>
      </c>
      <c r="B1" t="s">
        <v>1</v>
      </c>
      <c r="C1" t="s">
        <v>166</v>
      </c>
      <c r="D1" t="s">
        <v>178</v>
      </c>
      <c r="E1" t="s">
        <v>165</v>
      </c>
    </row>
    <row r="2" spans="1:9" x14ac:dyDescent="0.3">
      <c r="A2" t="s">
        <v>168</v>
      </c>
      <c r="B2" s="1">
        <f>'Offshore wind'!I24*C2</f>
        <v>26240000</v>
      </c>
      <c r="C2">
        <v>20</v>
      </c>
      <c r="D2">
        <v>1</v>
      </c>
      <c r="E2" t="s">
        <v>2</v>
      </c>
    </row>
    <row r="3" spans="1:9" x14ac:dyDescent="0.3">
      <c r="A3" t="s">
        <v>174</v>
      </c>
      <c r="B3" s="1">
        <f>'Solar Photovoltaic'!B41*Archetypes!C3</f>
        <v>10885499.999999998</v>
      </c>
      <c r="C3">
        <v>15</v>
      </c>
      <c r="D3">
        <v>1</v>
      </c>
      <c r="E3" t="s">
        <v>77</v>
      </c>
    </row>
    <row r="4" spans="1:9" x14ac:dyDescent="0.3">
      <c r="A4" t="s">
        <v>171</v>
      </c>
      <c r="B4" s="2">
        <f>'Onshore wind'!B34*Archetypes!C4</f>
        <v>4100000</v>
      </c>
      <c r="C4">
        <v>5</v>
      </c>
      <c r="D4">
        <v>1</v>
      </c>
      <c r="E4" t="s">
        <v>123</v>
      </c>
    </row>
    <row r="5" spans="1:9" x14ac:dyDescent="0.3">
      <c r="A5" t="s">
        <v>170</v>
      </c>
      <c r="B5" s="1">
        <f>'Offshore wind'!I24*C5</f>
        <v>164000000</v>
      </c>
      <c r="C5">
        <v>125</v>
      </c>
      <c r="D5">
        <v>2</v>
      </c>
      <c r="E5" t="s">
        <v>127</v>
      </c>
      <c r="I5" s="5"/>
    </row>
    <row r="6" spans="1:9" x14ac:dyDescent="0.3">
      <c r="A6" t="s">
        <v>176</v>
      </c>
      <c r="B6" s="1">
        <f>'Solar Photovoltaic'!B41*Archetypes!C6</f>
        <v>21045299.999999996</v>
      </c>
      <c r="C6">
        <v>29</v>
      </c>
      <c r="D6">
        <v>2</v>
      </c>
      <c r="E6" t="s">
        <v>126</v>
      </c>
    </row>
    <row r="7" spans="1:9" x14ac:dyDescent="0.3">
      <c r="A7" t="s">
        <v>173</v>
      </c>
      <c r="B7" s="2">
        <f>'Onshore wind'!B34*Archetypes!C7</f>
        <v>7380000</v>
      </c>
      <c r="C7">
        <v>9</v>
      </c>
      <c r="D7">
        <v>2</v>
      </c>
      <c r="E7" t="s">
        <v>125</v>
      </c>
    </row>
    <row r="8" spans="1:9" x14ac:dyDescent="0.3">
      <c r="A8" t="s">
        <v>169</v>
      </c>
      <c r="B8" s="1">
        <f>'Offshore wind'!I24*C8</f>
        <v>157440000</v>
      </c>
      <c r="C8">
        <v>120</v>
      </c>
      <c r="D8">
        <v>3</v>
      </c>
      <c r="E8" t="s">
        <v>79</v>
      </c>
    </row>
    <row r="9" spans="1:9" x14ac:dyDescent="0.3">
      <c r="A9" t="s">
        <v>175</v>
      </c>
      <c r="B9" s="1">
        <f>'Solar Photovoltaic'!B41*Archetypes!C9</f>
        <v>34107899.999999993</v>
      </c>
      <c r="C9">
        <v>47</v>
      </c>
      <c r="D9">
        <v>3</v>
      </c>
      <c r="E9" t="s">
        <v>78</v>
      </c>
    </row>
    <row r="10" spans="1:9" x14ac:dyDescent="0.3">
      <c r="A10" t="s">
        <v>172</v>
      </c>
      <c r="B10" s="2">
        <f>'Onshore wind'!B34*Archetypes!C10</f>
        <v>15580000</v>
      </c>
      <c r="C10">
        <v>19</v>
      </c>
      <c r="D10">
        <v>3</v>
      </c>
      <c r="E10" t="s">
        <v>124</v>
      </c>
    </row>
    <row r="11" spans="1:9" x14ac:dyDescent="0.3">
      <c r="A11" t="s">
        <v>177</v>
      </c>
      <c r="B11" s="1">
        <v>0</v>
      </c>
      <c r="C11">
        <v>0.25</v>
      </c>
      <c r="D11">
        <v>4</v>
      </c>
      <c r="E1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E1ED-E9C2-4C75-8929-243AE9C4773A}">
  <dimension ref="A1:M24"/>
  <sheetViews>
    <sheetView workbookViewId="0">
      <selection activeCell="I10" sqref="I10"/>
    </sheetView>
  </sheetViews>
  <sheetFormatPr defaultRowHeight="14.4" x14ac:dyDescent="0.3"/>
  <cols>
    <col min="1" max="1" width="24.21875" bestFit="1" customWidth="1"/>
    <col min="2" max="2" width="8.21875" hidden="1" customWidth="1"/>
    <col min="3" max="3" width="14.88671875" customWidth="1"/>
    <col min="4" max="4" width="24.21875" bestFit="1" customWidth="1"/>
    <col min="5" max="5" width="15.109375" customWidth="1"/>
    <col min="6" max="6" width="18.88671875" bestFit="1" customWidth="1"/>
    <col min="7" max="7" width="15.88671875" customWidth="1"/>
    <col min="8" max="8" width="26.33203125" customWidth="1"/>
    <col min="9" max="9" width="13.33203125" customWidth="1"/>
    <col min="10" max="10" width="14.21875" customWidth="1"/>
    <col min="11" max="11" width="28" customWidth="1"/>
    <col min="12" max="12" width="12.77734375" bestFit="1" customWidth="1"/>
    <col min="13" max="13" width="18.88671875" customWidth="1"/>
  </cols>
  <sheetData>
    <row r="1" spans="1:13" x14ac:dyDescent="0.3">
      <c r="A1" t="s">
        <v>4</v>
      </c>
      <c r="B1" t="s">
        <v>5</v>
      </c>
      <c r="C1" t="s">
        <v>47</v>
      </c>
      <c r="D1" t="s">
        <v>6</v>
      </c>
      <c r="E1" t="s">
        <v>7</v>
      </c>
      <c r="F1" t="s">
        <v>48</v>
      </c>
      <c r="G1" t="s">
        <v>50</v>
      </c>
      <c r="H1" t="s">
        <v>49</v>
      </c>
      <c r="I1" t="s">
        <v>8</v>
      </c>
      <c r="J1" t="s">
        <v>167</v>
      </c>
    </row>
    <row r="2" spans="1:13" x14ac:dyDescent="0.3">
      <c r="A2" t="s">
        <v>9</v>
      </c>
      <c r="C2">
        <v>752</v>
      </c>
      <c r="D2" t="s">
        <v>33</v>
      </c>
      <c r="E2" t="s">
        <v>10</v>
      </c>
      <c r="F2" s="1"/>
      <c r="G2" t="s">
        <v>11</v>
      </c>
      <c r="H2">
        <v>22</v>
      </c>
      <c r="I2" t="s">
        <v>12</v>
      </c>
      <c r="J2" t="s">
        <v>52</v>
      </c>
    </row>
    <row r="3" spans="1:13" x14ac:dyDescent="0.3">
      <c r="A3" t="s">
        <v>13</v>
      </c>
      <c r="B3" t="s">
        <v>34</v>
      </c>
      <c r="C3">
        <v>108</v>
      </c>
      <c r="D3" t="s">
        <v>35</v>
      </c>
      <c r="E3">
        <v>2008</v>
      </c>
      <c r="F3" s="1">
        <v>200000000</v>
      </c>
      <c r="G3" t="s">
        <v>14</v>
      </c>
      <c r="H3">
        <v>13</v>
      </c>
      <c r="I3" t="s">
        <v>36</v>
      </c>
      <c r="J3" t="s">
        <v>52</v>
      </c>
    </row>
    <row r="4" spans="1:13" x14ac:dyDescent="0.3">
      <c r="A4" t="s">
        <v>15</v>
      </c>
      <c r="B4" t="s">
        <v>37</v>
      </c>
      <c r="C4">
        <v>129</v>
      </c>
      <c r="D4" t="s">
        <v>16</v>
      </c>
      <c r="E4">
        <v>2015</v>
      </c>
      <c r="F4" s="1">
        <v>450000000</v>
      </c>
      <c r="G4" t="s">
        <v>17</v>
      </c>
      <c r="H4">
        <v>24</v>
      </c>
      <c r="I4" t="s">
        <v>38</v>
      </c>
      <c r="J4" t="s">
        <v>52</v>
      </c>
    </row>
    <row r="5" spans="1:13" x14ac:dyDescent="0.3">
      <c r="A5" t="s">
        <v>18</v>
      </c>
      <c r="B5" t="s">
        <v>39</v>
      </c>
      <c r="C5">
        <v>320</v>
      </c>
      <c r="D5" t="s">
        <v>19</v>
      </c>
      <c r="E5">
        <v>2021</v>
      </c>
      <c r="F5" s="1"/>
      <c r="G5" t="s">
        <v>20</v>
      </c>
      <c r="H5">
        <v>2</v>
      </c>
      <c r="I5" t="s">
        <v>21</v>
      </c>
      <c r="J5" t="s">
        <v>52</v>
      </c>
    </row>
    <row r="6" spans="1:13" x14ac:dyDescent="0.3">
      <c r="A6" t="s">
        <v>22</v>
      </c>
      <c r="B6" t="s">
        <v>40</v>
      </c>
      <c r="C6">
        <v>600</v>
      </c>
      <c r="D6" t="s">
        <v>23</v>
      </c>
      <c r="E6">
        <v>2017</v>
      </c>
      <c r="F6" s="1">
        <v>2800000000</v>
      </c>
      <c r="G6" t="s">
        <v>24</v>
      </c>
      <c r="H6">
        <v>55</v>
      </c>
      <c r="I6" t="s">
        <v>41</v>
      </c>
      <c r="J6" t="s">
        <v>52</v>
      </c>
    </row>
    <row r="7" spans="1:13" x14ac:dyDescent="0.3">
      <c r="A7" t="s">
        <v>25</v>
      </c>
      <c r="B7" t="s">
        <v>42</v>
      </c>
      <c r="C7">
        <v>17</v>
      </c>
      <c r="D7" t="s">
        <v>26</v>
      </c>
      <c r="E7">
        <v>1996</v>
      </c>
      <c r="F7" s="1">
        <f>19000000/0.81</f>
        <v>23456790.123456787</v>
      </c>
      <c r="G7" t="s">
        <v>27</v>
      </c>
      <c r="H7">
        <v>1</v>
      </c>
      <c r="I7" t="s">
        <v>28</v>
      </c>
      <c r="J7" t="s">
        <v>52</v>
      </c>
    </row>
    <row r="8" spans="1:13" x14ac:dyDescent="0.3">
      <c r="A8" t="s">
        <v>29</v>
      </c>
      <c r="B8" t="s">
        <v>43</v>
      </c>
      <c r="C8">
        <v>2</v>
      </c>
      <c r="D8" t="s">
        <v>44</v>
      </c>
      <c r="E8">
        <v>1994</v>
      </c>
      <c r="F8" s="1">
        <f>4400000/0.785</f>
        <v>5605095.5414012736</v>
      </c>
      <c r="G8" t="s">
        <v>20</v>
      </c>
      <c r="H8">
        <v>0.8</v>
      </c>
      <c r="I8" t="s">
        <v>28</v>
      </c>
      <c r="J8" t="s">
        <v>52</v>
      </c>
    </row>
    <row r="9" spans="1:13" x14ac:dyDescent="0.3">
      <c r="A9" t="s">
        <v>30</v>
      </c>
      <c r="B9" t="s">
        <v>45</v>
      </c>
      <c r="C9">
        <v>120</v>
      </c>
      <c r="D9" t="s">
        <v>46</v>
      </c>
      <c r="E9">
        <v>2008</v>
      </c>
      <c r="F9" s="1">
        <v>350000000</v>
      </c>
      <c r="G9" t="s">
        <v>31</v>
      </c>
      <c r="H9">
        <v>26</v>
      </c>
      <c r="I9" t="s">
        <v>32</v>
      </c>
      <c r="J9" t="s">
        <v>52</v>
      </c>
    </row>
    <row r="14" spans="1:13" ht="15" thickBot="1" x14ac:dyDescent="0.35">
      <c r="A14" s="9" t="s">
        <v>47</v>
      </c>
      <c r="H14" s="9" t="s">
        <v>141</v>
      </c>
      <c r="I14" t="s">
        <v>145</v>
      </c>
      <c r="J14" t="s">
        <v>131</v>
      </c>
      <c r="K14" t="s">
        <v>132</v>
      </c>
      <c r="L14" t="s">
        <v>146</v>
      </c>
      <c r="M14" t="s">
        <v>128</v>
      </c>
    </row>
    <row r="15" spans="1:13" x14ac:dyDescent="0.3">
      <c r="A15" s="15" t="s">
        <v>142</v>
      </c>
      <c r="B15" s="16"/>
      <c r="C15" s="17">
        <f>_xlfn.PERCENTILE.EXC(C2:C9,0.25)</f>
        <v>39.75</v>
      </c>
      <c r="H15" s="4">
        <f>1600</f>
        <v>1600</v>
      </c>
      <c r="I15" s="3" t="s">
        <v>130</v>
      </c>
      <c r="J15">
        <v>0.82</v>
      </c>
      <c r="K15" s="13">
        <f>H15*J15*1000</f>
        <v>1312000</v>
      </c>
      <c r="L15" s="3" t="s">
        <v>51</v>
      </c>
      <c r="M15" t="s">
        <v>140</v>
      </c>
    </row>
    <row r="16" spans="1:13" x14ac:dyDescent="0.3">
      <c r="A16" s="18" t="s">
        <v>144</v>
      </c>
      <c r="B16" s="14"/>
      <c r="C16" s="19">
        <f>MEDIAN(C2:C9)</f>
        <v>124.5</v>
      </c>
    </row>
    <row r="17" spans="1:13" ht="15" thickBot="1" x14ac:dyDescent="0.35">
      <c r="A17" s="20" t="s">
        <v>143</v>
      </c>
      <c r="B17" s="21"/>
      <c r="C17" s="22">
        <f>_xlfn.PERCENTILE.EXC(C2:C9,0.75)</f>
        <v>530</v>
      </c>
      <c r="H17" t="s">
        <v>133</v>
      </c>
      <c r="I17">
        <v>1</v>
      </c>
      <c r="J17" t="s">
        <v>3</v>
      </c>
      <c r="K17" t="s">
        <v>134</v>
      </c>
      <c r="L17" s="10">
        <f>3588.8*I17^2+3*10^6*I17</f>
        <v>3003588.8</v>
      </c>
      <c r="M17" t="s">
        <v>135</v>
      </c>
    </row>
    <row r="18" spans="1:13" x14ac:dyDescent="0.3">
      <c r="H18" t="s">
        <v>136</v>
      </c>
    </row>
    <row r="19" spans="1:13" x14ac:dyDescent="0.3">
      <c r="H19" t="s">
        <v>137</v>
      </c>
    </row>
    <row r="20" spans="1:13" x14ac:dyDescent="0.3">
      <c r="H20" t="s">
        <v>138</v>
      </c>
    </row>
    <row r="21" spans="1:13" x14ac:dyDescent="0.3">
      <c r="H21" t="s">
        <v>139</v>
      </c>
    </row>
    <row r="23" spans="1:13" ht="15" thickBot="1" x14ac:dyDescent="0.35">
      <c r="L23" s="11"/>
    </row>
    <row r="24" spans="1:13" ht="15" thickBot="1" x14ac:dyDescent="0.35">
      <c r="H24" s="26" t="s">
        <v>147</v>
      </c>
      <c r="I24" s="27">
        <f>K15</f>
        <v>1312000</v>
      </c>
      <c r="J24" s="28" t="s">
        <v>51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322F-1D5C-4E90-9801-57AA30159F4F}">
  <dimension ref="A1:F34"/>
  <sheetViews>
    <sheetView topLeftCell="A13" workbookViewId="0">
      <selection activeCell="B34" sqref="B34"/>
    </sheetView>
  </sheetViews>
  <sheetFormatPr defaultRowHeight="14.4" x14ac:dyDescent="0.3"/>
  <cols>
    <col min="1" max="1" width="12.88671875" bestFit="1" customWidth="1"/>
    <col min="2" max="2" width="20.21875" bestFit="1" customWidth="1"/>
    <col min="3" max="3" width="14.6640625" customWidth="1"/>
    <col min="4" max="4" width="47.44140625" bestFit="1" customWidth="1"/>
    <col min="11" max="11" width="26.33203125" customWidth="1"/>
    <col min="12" max="12" width="11.44140625" bestFit="1" customWidth="1"/>
    <col min="13" max="13" width="14.21875" customWidth="1"/>
    <col min="14" max="14" width="28" customWidth="1"/>
    <col min="15" max="15" width="10.109375" customWidth="1"/>
  </cols>
  <sheetData>
    <row r="1" spans="1:4" x14ac:dyDescent="0.3">
      <c r="A1" t="s">
        <v>120</v>
      </c>
      <c r="B1" t="s">
        <v>121</v>
      </c>
      <c r="C1" t="s">
        <v>122</v>
      </c>
      <c r="D1" t="s">
        <v>128</v>
      </c>
    </row>
    <row r="2" spans="1:4" x14ac:dyDescent="0.3">
      <c r="A2" t="s">
        <v>91</v>
      </c>
      <c r="B2" t="s">
        <v>92</v>
      </c>
      <c r="C2">
        <v>21</v>
      </c>
      <c r="D2" t="s">
        <v>129</v>
      </c>
    </row>
    <row r="3" spans="1:4" x14ac:dyDescent="0.3">
      <c r="A3" t="s">
        <v>91</v>
      </c>
      <c r="B3" t="s">
        <v>93</v>
      </c>
      <c r="C3" s="8">
        <v>2.2999999999999998</v>
      </c>
      <c r="D3" t="s">
        <v>129</v>
      </c>
    </row>
    <row r="4" spans="1:4" x14ac:dyDescent="0.3">
      <c r="A4" t="s">
        <v>91</v>
      </c>
      <c r="B4" t="s">
        <v>94</v>
      </c>
      <c r="C4" s="8">
        <v>9</v>
      </c>
      <c r="D4" t="s">
        <v>129</v>
      </c>
    </row>
    <row r="5" spans="1:4" x14ac:dyDescent="0.3">
      <c r="A5" t="s">
        <v>91</v>
      </c>
      <c r="B5" t="s">
        <v>95</v>
      </c>
      <c r="C5" s="8">
        <v>6</v>
      </c>
      <c r="D5" t="s">
        <v>129</v>
      </c>
    </row>
    <row r="6" spans="1:4" x14ac:dyDescent="0.3">
      <c r="A6" t="s">
        <v>96</v>
      </c>
      <c r="B6" t="s">
        <v>97</v>
      </c>
      <c r="C6" s="8">
        <v>5.2</v>
      </c>
      <c r="D6" t="s">
        <v>129</v>
      </c>
    </row>
    <row r="7" spans="1:4" x14ac:dyDescent="0.3">
      <c r="A7" t="s">
        <v>98</v>
      </c>
      <c r="B7" t="s">
        <v>99</v>
      </c>
      <c r="C7" s="8">
        <v>9.1999999999999993</v>
      </c>
      <c r="D7" t="s">
        <v>129</v>
      </c>
    </row>
    <row r="8" spans="1:4" x14ac:dyDescent="0.3">
      <c r="A8" t="s">
        <v>100</v>
      </c>
      <c r="B8" t="s">
        <v>101</v>
      </c>
      <c r="C8" s="8">
        <v>9.9</v>
      </c>
      <c r="D8" t="s">
        <v>129</v>
      </c>
    </row>
    <row r="9" spans="1:4" x14ac:dyDescent="0.3">
      <c r="A9" t="s">
        <v>100</v>
      </c>
      <c r="B9" t="s">
        <v>102</v>
      </c>
      <c r="C9" s="8">
        <v>9.9</v>
      </c>
      <c r="D9" t="s">
        <v>129</v>
      </c>
    </row>
    <row r="10" spans="1:4" x14ac:dyDescent="0.3">
      <c r="A10" t="s">
        <v>103</v>
      </c>
      <c r="B10" t="s">
        <v>104</v>
      </c>
      <c r="C10" s="8">
        <v>2</v>
      </c>
      <c r="D10" t="s">
        <v>129</v>
      </c>
    </row>
    <row r="11" spans="1:4" x14ac:dyDescent="0.3">
      <c r="A11" t="s">
        <v>103</v>
      </c>
      <c r="B11" t="s">
        <v>105</v>
      </c>
      <c r="C11" s="8">
        <v>5</v>
      </c>
      <c r="D11" t="s">
        <v>129</v>
      </c>
    </row>
    <row r="12" spans="1:4" x14ac:dyDescent="0.3">
      <c r="A12" t="s">
        <v>103</v>
      </c>
      <c r="B12" t="s">
        <v>106</v>
      </c>
      <c r="C12" s="8">
        <v>2.2999999999999998</v>
      </c>
      <c r="D12" t="s">
        <v>129</v>
      </c>
    </row>
    <row r="13" spans="1:4" x14ac:dyDescent="0.3">
      <c r="A13" t="s">
        <v>107</v>
      </c>
      <c r="B13" t="s">
        <v>108</v>
      </c>
      <c r="C13" s="8">
        <v>10</v>
      </c>
      <c r="D13" t="s">
        <v>129</v>
      </c>
    </row>
    <row r="14" spans="1:4" x14ac:dyDescent="0.3">
      <c r="A14" t="s">
        <v>109</v>
      </c>
      <c r="B14" t="s">
        <v>110</v>
      </c>
      <c r="C14" s="8">
        <v>21</v>
      </c>
      <c r="D14" t="s">
        <v>129</v>
      </c>
    </row>
    <row r="15" spans="1:4" x14ac:dyDescent="0.3">
      <c r="A15" t="s">
        <v>109</v>
      </c>
      <c r="B15" t="s">
        <v>111</v>
      </c>
      <c r="C15" s="8">
        <v>8</v>
      </c>
      <c r="D15" t="s">
        <v>129</v>
      </c>
    </row>
    <row r="16" spans="1:4" x14ac:dyDescent="0.3">
      <c r="A16" t="s">
        <v>109</v>
      </c>
      <c r="B16" t="s">
        <v>112</v>
      </c>
      <c r="C16" s="8">
        <v>8</v>
      </c>
      <c r="D16" t="s">
        <v>129</v>
      </c>
    </row>
    <row r="17" spans="1:6" x14ac:dyDescent="0.3">
      <c r="A17" t="s">
        <v>109</v>
      </c>
      <c r="B17" t="s">
        <v>113</v>
      </c>
      <c r="C17" s="8">
        <v>13.8</v>
      </c>
      <c r="D17" t="s">
        <v>129</v>
      </c>
    </row>
    <row r="18" spans="1:6" x14ac:dyDescent="0.3">
      <c r="A18" t="s">
        <v>114</v>
      </c>
      <c r="B18" t="s">
        <v>115</v>
      </c>
      <c r="C18" s="8">
        <v>5.88</v>
      </c>
      <c r="D18" t="s">
        <v>129</v>
      </c>
    </row>
    <row r="19" spans="1:6" x14ac:dyDescent="0.3">
      <c r="A19" t="s">
        <v>116</v>
      </c>
      <c r="B19" t="s">
        <v>117</v>
      </c>
      <c r="C19" s="8">
        <v>38.700000000000003</v>
      </c>
      <c r="D19" t="s">
        <v>129</v>
      </c>
    </row>
    <row r="20" spans="1:6" x14ac:dyDescent="0.3">
      <c r="A20" t="s">
        <v>116</v>
      </c>
      <c r="B20" t="s">
        <v>118</v>
      </c>
      <c r="C20" s="8">
        <v>30.1</v>
      </c>
      <c r="D20" t="s">
        <v>129</v>
      </c>
    </row>
    <row r="21" spans="1:6" x14ac:dyDescent="0.3">
      <c r="A21" t="s">
        <v>116</v>
      </c>
      <c r="B21" t="s">
        <v>119</v>
      </c>
      <c r="C21" s="8">
        <v>86</v>
      </c>
      <c r="D21" t="s">
        <v>129</v>
      </c>
    </row>
    <row r="23" spans="1:6" ht="15" thickBot="1" x14ac:dyDescent="0.35">
      <c r="B23" s="9" t="s">
        <v>47</v>
      </c>
    </row>
    <row r="24" spans="1:6" x14ac:dyDescent="0.3">
      <c r="B24" s="23" t="s">
        <v>142</v>
      </c>
      <c r="C24" s="17">
        <f>_xlfn.PERCENTILE.EXC(C1:C20,0.25)</f>
        <v>5.2</v>
      </c>
    </row>
    <row r="25" spans="1:6" x14ac:dyDescent="0.3">
      <c r="B25" s="24" t="s">
        <v>144</v>
      </c>
      <c r="C25" s="19">
        <f>MEDIAN(C2:C21)</f>
        <v>9.1</v>
      </c>
    </row>
    <row r="26" spans="1:6" ht="15" thickBot="1" x14ac:dyDescent="0.35">
      <c r="B26" s="25" t="s">
        <v>143</v>
      </c>
      <c r="C26" s="22">
        <f>_xlfn.PERCENTILE.EXC(C2:C21,0.75)</f>
        <v>19.2</v>
      </c>
    </row>
    <row r="30" spans="1:6" x14ac:dyDescent="0.3">
      <c r="A30" s="9" t="s">
        <v>141</v>
      </c>
      <c r="B30" t="s">
        <v>145</v>
      </c>
      <c r="C30" t="s">
        <v>131</v>
      </c>
      <c r="D30" t="s">
        <v>132</v>
      </c>
      <c r="E30" t="s">
        <v>146</v>
      </c>
      <c r="F30" t="s">
        <v>128</v>
      </c>
    </row>
    <row r="31" spans="1:6" x14ac:dyDescent="0.3">
      <c r="A31">
        <f>1000</f>
        <v>1000</v>
      </c>
      <c r="B31" s="3" t="s">
        <v>130</v>
      </c>
      <c r="C31">
        <v>0.82</v>
      </c>
      <c r="D31" s="13">
        <f>A31*C31*1000</f>
        <v>820000</v>
      </c>
      <c r="E31" s="12" t="s">
        <v>51</v>
      </c>
      <c r="F31" t="s">
        <v>140</v>
      </c>
    </row>
    <row r="33" spans="1:3" ht="15" thickBot="1" x14ac:dyDescent="0.35"/>
    <row r="34" spans="1:3" ht="15" thickBot="1" x14ac:dyDescent="0.35">
      <c r="A34" s="26" t="s">
        <v>148</v>
      </c>
      <c r="B34" s="27" cm="1">
        <f t="array" ref="B34">Table5[Average cost for offshore wind]</f>
        <v>820000</v>
      </c>
      <c r="C34" s="28" t="s">
        <v>51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BEA1-1E26-4AA7-91E9-59408A9B237E}">
  <dimension ref="A1:J41"/>
  <sheetViews>
    <sheetView topLeftCell="A7" workbookViewId="0">
      <selection activeCell="H37" sqref="H37"/>
    </sheetView>
  </sheetViews>
  <sheetFormatPr defaultRowHeight="14.4" x14ac:dyDescent="0.3"/>
  <cols>
    <col min="1" max="1" width="27.77734375" bestFit="1" customWidth="1"/>
    <col min="2" max="2" width="29" customWidth="1"/>
    <col min="3" max="3" width="16.21875" bestFit="1" customWidth="1"/>
    <col min="4" max="4" width="15" bestFit="1" customWidth="1"/>
    <col min="5" max="5" width="10.109375" customWidth="1"/>
    <col min="6" max="6" width="13.44140625" customWidth="1"/>
    <col min="7" max="7" width="10.109375" customWidth="1"/>
    <col min="8" max="8" width="13.21875" customWidth="1"/>
    <col min="9" max="9" width="10.109375" customWidth="1"/>
  </cols>
  <sheetData>
    <row r="1" spans="1:6" x14ac:dyDescent="0.3">
      <c r="A1" t="s">
        <v>73</v>
      </c>
      <c r="B1" t="s">
        <v>74</v>
      </c>
      <c r="C1" t="s">
        <v>47</v>
      </c>
      <c r="D1" t="s">
        <v>75</v>
      </c>
      <c r="E1" t="s">
        <v>76</v>
      </c>
      <c r="F1" t="s">
        <v>80</v>
      </c>
    </row>
    <row r="2" spans="1:6" x14ac:dyDescent="0.3">
      <c r="A2" t="s">
        <v>53</v>
      </c>
      <c r="B2" t="s">
        <v>54</v>
      </c>
      <c r="C2" s="6">
        <v>103</v>
      </c>
      <c r="D2">
        <v>320000</v>
      </c>
      <c r="E2" t="s">
        <v>55</v>
      </c>
      <c r="F2" t="s">
        <v>81</v>
      </c>
    </row>
    <row r="3" spans="1:6" x14ac:dyDescent="0.3">
      <c r="A3" t="s">
        <v>56</v>
      </c>
      <c r="B3" t="s">
        <v>57</v>
      </c>
      <c r="C3" s="6">
        <v>54</v>
      </c>
      <c r="D3">
        <v>140000</v>
      </c>
      <c r="E3" t="s">
        <v>58</v>
      </c>
      <c r="F3" t="s">
        <v>149</v>
      </c>
    </row>
    <row r="4" spans="1:6" x14ac:dyDescent="0.3">
      <c r="A4" t="s">
        <v>56</v>
      </c>
      <c r="B4" t="s">
        <v>59</v>
      </c>
      <c r="C4" s="6">
        <v>44</v>
      </c>
      <c r="D4">
        <v>170000</v>
      </c>
      <c r="E4" t="s">
        <v>60</v>
      </c>
      <c r="F4" t="s">
        <v>150</v>
      </c>
    </row>
    <row r="5" spans="1:6" x14ac:dyDescent="0.3">
      <c r="A5" t="s">
        <v>53</v>
      </c>
      <c r="B5" t="s">
        <v>61</v>
      </c>
      <c r="C5" s="6">
        <v>40</v>
      </c>
      <c r="D5">
        <v>136000</v>
      </c>
      <c r="E5" t="s">
        <v>61</v>
      </c>
      <c r="F5" t="s">
        <v>151</v>
      </c>
    </row>
    <row r="6" spans="1:6" x14ac:dyDescent="0.3">
      <c r="A6" t="s">
        <v>56</v>
      </c>
      <c r="B6" t="s">
        <v>62</v>
      </c>
      <c r="C6" s="6">
        <v>30</v>
      </c>
      <c r="D6">
        <v>123000</v>
      </c>
      <c r="E6" t="s">
        <v>63</v>
      </c>
      <c r="F6" t="s">
        <v>152</v>
      </c>
    </row>
    <row r="7" spans="1:6" x14ac:dyDescent="0.3">
      <c r="A7" t="s">
        <v>56</v>
      </c>
      <c r="B7" t="s">
        <v>64</v>
      </c>
      <c r="C7" s="6">
        <v>27</v>
      </c>
      <c r="D7">
        <v>76000</v>
      </c>
      <c r="E7" t="s">
        <v>65</v>
      </c>
      <c r="F7" t="s">
        <v>153</v>
      </c>
    </row>
    <row r="8" spans="1:6" x14ac:dyDescent="0.3">
      <c r="A8" t="s">
        <v>56</v>
      </c>
      <c r="B8" t="s">
        <v>66</v>
      </c>
      <c r="C8" s="6">
        <v>15.5</v>
      </c>
      <c r="D8">
        <v>57250</v>
      </c>
      <c r="E8" t="s">
        <v>66</v>
      </c>
      <c r="F8" t="s">
        <v>154</v>
      </c>
    </row>
    <row r="9" spans="1:6" x14ac:dyDescent="0.3">
      <c r="A9" t="s">
        <v>56</v>
      </c>
      <c r="B9" t="s">
        <v>67</v>
      </c>
      <c r="C9" s="6">
        <v>15</v>
      </c>
      <c r="D9">
        <v>125000</v>
      </c>
      <c r="E9" t="s">
        <v>68</v>
      </c>
      <c r="F9" t="s">
        <v>155</v>
      </c>
    </row>
    <row r="10" spans="1:6" x14ac:dyDescent="0.3">
      <c r="A10" t="s">
        <v>56</v>
      </c>
      <c r="B10" t="s">
        <v>69</v>
      </c>
      <c r="C10" s="6">
        <v>15</v>
      </c>
      <c r="D10">
        <v>45000</v>
      </c>
      <c r="E10" t="s">
        <v>70</v>
      </c>
      <c r="F10" t="s">
        <v>156</v>
      </c>
    </row>
    <row r="11" spans="1:6" x14ac:dyDescent="0.3">
      <c r="A11" t="s">
        <v>56</v>
      </c>
      <c r="B11" t="s">
        <v>71</v>
      </c>
      <c r="C11" s="6">
        <v>14</v>
      </c>
      <c r="D11">
        <v>118000</v>
      </c>
      <c r="E11" t="s">
        <v>72</v>
      </c>
      <c r="F11" t="s">
        <v>157</v>
      </c>
    </row>
    <row r="14" spans="1:6" ht="15" thickBot="1" x14ac:dyDescent="0.35">
      <c r="B14" s="9" t="s">
        <v>47</v>
      </c>
    </row>
    <row r="15" spans="1:6" x14ac:dyDescent="0.3">
      <c r="B15" s="15" t="s">
        <v>142</v>
      </c>
      <c r="C15" s="17">
        <f>_xlfn.PERCENTILE.EXC(C2:C11,0.25)</f>
        <v>15</v>
      </c>
    </row>
    <row r="16" spans="1:6" x14ac:dyDescent="0.3">
      <c r="B16" s="18" t="s">
        <v>144</v>
      </c>
      <c r="C16" s="19">
        <f>MEDIAN(C2:C11)</f>
        <v>28.5</v>
      </c>
    </row>
    <row r="17" spans="2:3" ht="15" thickBot="1" x14ac:dyDescent="0.35">
      <c r="B17" s="20" t="s">
        <v>143</v>
      </c>
      <c r="C17" s="22">
        <f>_xlfn.PERCENTILE.EXC(C2:C11,0.75)</f>
        <v>46.5</v>
      </c>
    </row>
    <row r="36" spans="1:10" ht="30.6" customHeight="1" x14ac:dyDescent="0.3">
      <c r="A36" s="29" t="s">
        <v>161</v>
      </c>
      <c r="B36" s="29" t="s">
        <v>160</v>
      </c>
      <c r="C36" s="29" t="s">
        <v>145</v>
      </c>
      <c r="D36" s="29" t="s">
        <v>86</v>
      </c>
      <c r="E36" s="29" t="s">
        <v>162</v>
      </c>
      <c r="F36" s="29" t="s">
        <v>88</v>
      </c>
      <c r="G36" s="29" t="s">
        <v>146</v>
      </c>
      <c r="H36" t="s">
        <v>128</v>
      </c>
      <c r="I36" s="29"/>
      <c r="J36" s="29"/>
    </row>
    <row r="37" spans="1:10" x14ac:dyDescent="0.3">
      <c r="A37" t="s">
        <v>82</v>
      </c>
      <c r="B37">
        <f>2.83</f>
        <v>2.83</v>
      </c>
      <c r="C37" t="s">
        <v>85</v>
      </c>
      <c r="D37">
        <v>0.82</v>
      </c>
      <c r="E37" t="s">
        <v>87</v>
      </c>
      <c r="F37">
        <f>B37*D37</f>
        <v>2.3205999999999998</v>
      </c>
      <c r="G37" t="s">
        <v>89</v>
      </c>
      <c r="H37" t="s">
        <v>158</v>
      </c>
    </row>
    <row r="38" spans="1:10" x14ac:dyDescent="0.3">
      <c r="A38" t="s">
        <v>84</v>
      </c>
      <c r="B38">
        <v>0.82</v>
      </c>
      <c r="C38" t="s">
        <v>85</v>
      </c>
      <c r="D38">
        <v>0.82</v>
      </c>
      <c r="E38" t="s">
        <v>87</v>
      </c>
      <c r="F38" s="7">
        <f t="shared" ref="F38:F39" si="0">B38*D38</f>
        <v>0.67239999999999989</v>
      </c>
      <c r="G38" t="s">
        <v>89</v>
      </c>
      <c r="H38" t="s">
        <v>159</v>
      </c>
    </row>
    <row r="39" spans="1:10" x14ac:dyDescent="0.3">
      <c r="A39" t="s">
        <v>83</v>
      </c>
      <c r="B39">
        <v>0.95</v>
      </c>
      <c r="C39" t="s">
        <v>85</v>
      </c>
      <c r="D39">
        <v>0.82</v>
      </c>
      <c r="E39" t="s">
        <v>87</v>
      </c>
      <c r="F39" s="7">
        <f t="shared" si="0"/>
        <v>0.77899999999999991</v>
      </c>
      <c r="G39" t="s">
        <v>89</v>
      </c>
      <c r="H39" t="s">
        <v>163</v>
      </c>
    </row>
    <row r="40" spans="1:10" ht="15" thickBot="1" x14ac:dyDescent="0.35"/>
    <row r="41" spans="1:10" ht="15" thickBot="1" x14ac:dyDescent="0.35">
      <c r="A41" s="26" t="s">
        <v>164</v>
      </c>
      <c r="B41" s="30">
        <f>AVERAGE(F38:F39)*1000000</f>
        <v>725699.99999999988</v>
      </c>
      <c r="C41" s="31" t="s">
        <v>51</v>
      </c>
    </row>
  </sheetData>
  <phoneticPr fontId="10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Archetypes</vt:lpstr>
      <vt:lpstr>Offshore wind</vt:lpstr>
      <vt:lpstr>Onshore wind</vt:lpstr>
      <vt:lpstr>Solar Photovoltaic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Cruz</dc:creator>
  <cp:lastModifiedBy>Francesco Cruz</cp:lastModifiedBy>
  <dcterms:created xsi:type="dcterms:W3CDTF">2020-12-23T15:09:27Z</dcterms:created>
  <dcterms:modified xsi:type="dcterms:W3CDTF">2021-01-01T11:29:30Z</dcterms:modified>
</cp:coreProperties>
</file>