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Y:\eForms\stat\2025\ST01-10-TRI_2025a_v1\"/>
    </mc:Choice>
  </mc:AlternateContent>
  <xr:revisionPtr revIDLastSave="0" documentId="13_ncr:1_{F93F095B-9115-42B6-94D2-BF3E422B7C9C}" xr6:coauthVersionLast="47" xr6:coauthVersionMax="47" xr10:uidLastSave="{00000000-0000-0000-0000-000000000000}"/>
  <workbookProtection workbookAlgorithmName="SHA-512" workbookHashValue="sZRpVYE22UN3XzfqkRKQ6SBlTWjPySZv0deVg1QzNY6WHTrz/Pr/EltLOM99D6wVulSPSRHgvbtZLGR3zDTb7A==" workbookSaltValue="oyRqhlJojP4np0XlEBVrsw==" workbookSpinCount="100000" lockStructure="1"/>
  <bookViews>
    <workbookView xWindow="-110" yWindow="-110" windowWidth="38620" windowHeight="21100" tabRatio="731" xr2:uid="{00000000-000D-0000-FFFF-FFFF00000000}"/>
  </bookViews>
  <sheets>
    <sheet name="ST10A-PrtSmp" sheetId="1" r:id="rId1"/>
    <sheet name="ST10B-PrtSmpSZ" sheetId="6" r:id="rId2"/>
    <sheet name="Codes" sheetId="3" r:id="rId3"/>
    <sheet name="Instructions" sheetId="4" r:id="rId4"/>
    <sheet name="Filters" sheetId="7" r:id="rId5"/>
    <sheet name="Translation" sheetId="5" state="hidden" r:id="rId6"/>
  </sheets>
  <definedNames>
    <definedName name="_xlnm._FilterDatabase" localSheetId="2" hidden="1">Codes!$A$2:$F$160</definedName>
    <definedName name="_xlnm._FilterDatabase" localSheetId="0" hidden="1">'ST10A-PrtSmp'!$A$21:$R$26</definedName>
    <definedName name="_xlnm._FilterDatabase" localSheetId="5" hidden="1">Translation!#REF!</definedName>
    <definedName name="Content">Codes!$T$39:$T$42</definedName>
    <definedName name="FlagA3ISO">Codes!$E$3:$E$175</definedName>
    <definedName name="FlagCode">Codes!$B$3:$B$175</definedName>
    <definedName name="FlagName">Codes!$A$3:$A$175</definedName>
    <definedName name="FleetSuffixes">Codes!$D$3:$D$175</definedName>
    <definedName name="FreqType">Codes!$U$3:$U$12</definedName>
    <definedName name="FreqTypeCode">Codes!$T$3:$T$12</definedName>
    <definedName name="GearCode">Codes!$P$3:$P$50</definedName>
    <definedName name="IccSpcGrp">Codes!$M$3:$M$204</definedName>
    <definedName name="Idiom">'ST10A-PrtSmp'!$R$2</definedName>
    <definedName name="LandingID">'ST10A-PrtSmp'!$A$27:$A$50</definedName>
    <definedName name="LangFieldID">Translation!$I$1</definedName>
    <definedName name="LangNameID">Translation!$I$2</definedName>
    <definedName name="ProdTypeCode">Codes!$T$17:$T$20</definedName>
    <definedName name="SexCode">Codes!$T$25:$T$28</definedName>
    <definedName name="SpeciesCode">Codes!$H$3:$H$204</definedName>
    <definedName name="Version">Codes!$T$33:$T$34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E12" i="1"/>
  <c r="J11" i="1" s="1"/>
  <c r="F4" i="7"/>
  <c r="G3" i="7" l="1"/>
  <c r="C25" i="1" l="1"/>
  <c r="N25" i="1" l="1"/>
  <c r="A17" i="6"/>
  <c r="C17" i="6" l="1"/>
  <c r="G46" i="4" l="1"/>
  <c r="G45" i="4"/>
  <c r="G24" i="4"/>
  <c r="G23" i="4"/>
  <c r="G22" i="4"/>
  <c r="G21" i="4"/>
  <c r="G20" i="4"/>
  <c r="G52" i="4"/>
  <c r="G51" i="4"/>
  <c r="G50" i="4"/>
  <c r="G49" i="4"/>
  <c r="G48" i="4"/>
  <c r="G47" i="4"/>
  <c r="G44" i="4"/>
  <c r="G43" i="4"/>
  <c r="G42" i="4"/>
  <c r="G41" i="4"/>
  <c r="G40" i="4"/>
  <c r="G39" i="4"/>
  <c r="G38" i="4"/>
  <c r="G37" i="4"/>
  <c r="G36" i="4"/>
  <c r="G35" i="4"/>
  <c r="G34" i="4"/>
  <c r="G33" i="4"/>
  <c r="G32" i="4"/>
  <c r="G31" i="4"/>
  <c r="G30" i="4"/>
  <c r="G29" i="4"/>
  <c r="G28" i="4"/>
  <c r="G27" i="4"/>
  <c r="G26" i="4"/>
  <c r="G25" i="4"/>
  <c r="G19" i="4"/>
  <c r="G18" i="4"/>
  <c r="G17" i="4"/>
  <c r="G16" i="4"/>
  <c r="G15" i="4"/>
  <c r="G14" i="4"/>
  <c r="G13" i="4"/>
  <c r="G12" i="4"/>
  <c r="G11" i="4"/>
  <c r="I2" i="5" l="1"/>
  <c r="I1" i="5"/>
  <c r="A3" i="7" l="1"/>
  <c r="A4" i="7"/>
  <c r="C2" i="1"/>
  <c r="F11" i="6"/>
  <c r="E16" i="4"/>
  <c r="E10" i="4"/>
  <c r="B11" i="4"/>
  <c r="E13" i="4"/>
  <c r="F45" i="4"/>
  <c r="F21" i="4"/>
  <c r="D10" i="4"/>
  <c r="F12" i="4"/>
  <c r="F11" i="4"/>
  <c r="F20" i="4"/>
  <c r="D30" i="4"/>
  <c r="C45" i="4"/>
  <c r="C10" i="4"/>
  <c r="A2" i="4"/>
  <c r="F17" i="1"/>
  <c r="A10" i="4"/>
  <c r="E23" i="4"/>
  <c r="F23" i="4"/>
  <c r="B10" i="4"/>
  <c r="C11" i="4"/>
  <c r="G10" i="4"/>
  <c r="A9" i="4"/>
  <c r="H10" i="4"/>
  <c r="B45" i="4"/>
  <c r="F46" i="4"/>
  <c r="F22" i="4"/>
  <c r="F10" i="4"/>
  <c r="F24" i="4"/>
  <c r="R1" i="1"/>
  <c r="Q1" i="1"/>
  <c r="G11" i="6"/>
  <c r="H23" i="4"/>
  <c r="B3" i="4"/>
  <c r="H24" i="4"/>
  <c r="H20" i="4"/>
  <c r="H11" i="4"/>
  <c r="B6" i="4"/>
  <c r="G17" i="1"/>
  <c r="A1" i="4"/>
  <c r="H46" i="4"/>
  <c r="H22" i="4"/>
  <c r="B7" i="4"/>
  <c r="H45" i="4"/>
  <c r="H21" i="4"/>
  <c r="B5" i="4"/>
  <c r="B4" i="4"/>
  <c r="H12" i="4"/>
  <c r="K2" i="6"/>
  <c r="J2" i="6"/>
  <c r="G17" i="6"/>
  <c r="D25" i="1"/>
  <c r="E25" i="1"/>
  <c r="C11" i="6" l="1"/>
  <c r="C10" i="6"/>
  <c r="C8" i="6"/>
  <c r="C7" i="6"/>
  <c r="C6" i="6" l="1"/>
  <c r="C5" i="6"/>
  <c r="F17" i="6" l="1"/>
  <c r="E17" i="6"/>
  <c r="D17" i="6"/>
  <c r="B17" i="6"/>
  <c r="M25" i="1"/>
  <c r="L25" i="1"/>
  <c r="K25" i="1"/>
  <c r="J25" i="1"/>
  <c r="I25" i="1"/>
  <c r="H25" i="1"/>
  <c r="G25" i="1"/>
  <c r="F25" i="1"/>
  <c r="B25" i="1"/>
  <c r="A25" i="1"/>
  <c r="J4" i="1"/>
  <c r="K9" i="1" s="1"/>
  <c r="F48" i="4" l="1"/>
  <c r="H48" i="4"/>
  <c r="F11" i="1"/>
  <c r="F5" i="6" s="1"/>
  <c r="F12" i="1"/>
  <c r="F6" i="6" s="1"/>
  <c r="D20" i="4"/>
  <c r="F28" i="4"/>
  <c r="F29" i="4"/>
  <c r="F25" i="4"/>
  <c r="H28" i="4"/>
  <c r="H29" i="4"/>
  <c r="H25" i="4"/>
  <c r="F51" i="4"/>
  <c r="A21" i="1"/>
  <c r="F50" i="4"/>
  <c r="F49" i="4"/>
  <c r="C46" i="4"/>
  <c r="D46" i="4"/>
  <c r="H52" i="4"/>
  <c r="H39" i="4"/>
  <c r="H33" i="4"/>
  <c r="H26" i="4"/>
  <c r="H15" i="4"/>
  <c r="H38" i="4"/>
  <c r="H32" i="4"/>
  <c r="H14" i="4"/>
  <c r="H37" i="4"/>
  <c r="H31" i="4"/>
  <c r="H13" i="4"/>
  <c r="H49" i="4"/>
  <c r="H30" i="4"/>
  <c r="H41" i="4"/>
  <c r="H17" i="4"/>
  <c r="H40" i="4"/>
  <c r="H16" i="4"/>
  <c r="H51" i="4"/>
  <c r="H44" i="4"/>
  <c r="H50" i="4"/>
  <c r="H19" i="4"/>
  <c r="H36" i="4"/>
  <c r="H18" i="4"/>
  <c r="H27" i="4"/>
  <c r="H34" i="4"/>
  <c r="H43" i="4"/>
  <c r="H42" i="4"/>
  <c r="H35" i="4"/>
  <c r="H47" i="4"/>
  <c r="C31" i="4"/>
  <c r="F42" i="4"/>
  <c r="F36" i="4"/>
  <c r="F16" i="4"/>
  <c r="F34" i="4"/>
  <c r="F40" i="4"/>
  <c r="F44" i="4"/>
  <c r="F43" i="4"/>
  <c r="F31" i="4"/>
  <c r="F41" i="4"/>
  <c r="F33" i="4"/>
  <c r="F39" i="4"/>
  <c r="F32" i="4"/>
  <c r="F38" i="4"/>
  <c r="F37" i="4"/>
  <c r="D38" i="4"/>
  <c r="A18" i="1"/>
  <c r="A11" i="6" s="1"/>
  <c r="D31" i="4"/>
  <c r="D44" i="4"/>
  <c r="A15" i="6"/>
  <c r="N24" i="1"/>
  <c r="A4" i="1"/>
  <c r="B9" i="1"/>
  <c r="F9" i="1"/>
  <c r="A5" i="1"/>
  <c r="B5" i="1"/>
  <c r="C2" i="6"/>
  <c r="F6" i="1"/>
  <c r="K6" i="1"/>
  <c r="G23" i="1"/>
  <c r="A7" i="1"/>
  <c r="A11" i="1"/>
  <c r="A4" i="6" s="1"/>
  <c r="A1" i="1"/>
  <c r="A1" i="6" s="1"/>
  <c r="K5" i="1"/>
  <c r="A13" i="1"/>
  <c r="A6" i="6" s="1"/>
  <c r="Q5" i="1"/>
  <c r="A7" i="6"/>
  <c r="J1" i="6"/>
  <c r="K4" i="1"/>
  <c r="R5" i="1"/>
  <c r="B8" i="1"/>
  <c r="K11" i="1"/>
  <c r="A17" i="1"/>
  <c r="A10" i="6" s="1"/>
  <c r="B7" i="1"/>
  <c r="K1" i="6"/>
  <c r="P4" i="1"/>
  <c r="B6" i="1"/>
  <c r="K8" i="1"/>
  <c r="A12" i="1"/>
  <c r="A5" i="6" s="1"/>
  <c r="A15" i="1"/>
  <c r="A8" i="6" s="1"/>
  <c r="A22" i="1"/>
  <c r="N22" i="1"/>
  <c r="H22" i="1"/>
  <c r="J24" i="1"/>
  <c r="K24" i="1"/>
  <c r="L24" i="1"/>
  <c r="M24" i="1"/>
  <c r="I24" i="1"/>
  <c r="B23" i="1"/>
  <c r="C23" i="1"/>
  <c r="D23" i="1"/>
  <c r="E23" i="1"/>
  <c r="F23" i="1"/>
  <c r="H24" i="1"/>
  <c r="A23" i="1"/>
  <c r="C1" i="1"/>
  <c r="C1" i="6" s="1"/>
  <c r="B16" i="6"/>
  <c r="G16" i="6"/>
  <c r="A16" i="6"/>
  <c r="F16" i="6"/>
  <c r="C16" i="6"/>
  <c r="E16" i="6"/>
  <c r="D16" i="6"/>
  <c r="A11" i="4"/>
  <c r="F47" i="4"/>
  <c r="F30" i="4"/>
  <c r="F18" i="4"/>
  <c r="C13" i="4"/>
  <c r="F52" i="4"/>
  <c r="F35" i="4"/>
  <c r="F27" i="4"/>
  <c r="F17" i="4"/>
  <c r="D25" i="4"/>
  <c r="F26" i="4"/>
  <c r="F15" i="4"/>
  <c r="F14" i="4"/>
  <c r="F19" i="4"/>
  <c r="F13" i="4"/>
  <c r="D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Palma</author>
  </authors>
  <commentList>
    <comment ref="C23" authorId="0" shapeId="0" xr:uid="{09142768-AADD-4D91-A1B2-8882D88F1808}">
      <text>
        <r>
          <rPr>
            <sz val="8"/>
            <color indexed="81"/>
            <rFont val="Tahoma"/>
            <family val="2"/>
          </rPr>
          <t xml:space="preserve">If VESSEL does not have an ICCAT code leave this field "blank" and complete the fields: Vessel Name + National Registry Number </t>
        </r>
      </text>
    </comment>
  </commentList>
</comments>
</file>

<file path=xl/sharedStrings.xml><?xml version="1.0" encoding="utf-8"?>
<sst xmlns="http://schemas.openxmlformats.org/spreadsheetml/2006/main" count="3542" uniqueCount="2207">
  <si>
    <t>Statistical correspondent</t>
  </si>
  <si>
    <t>Name</t>
  </si>
  <si>
    <t>E-mail</t>
  </si>
  <si>
    <t>Phone</t>
  </si>
  <si>
    <t>Institution</t>
  </si>
  <si>
    <t>Department</t>
  </si>
  <si>
    <t>Address</t>
  </si>
  <si>
    <t>Country</t>
  </si>
  <si>
    <t>Data set characteristics</t>
  </si>
  <si>
    <t>Secretariat use only</t>
  </si>
  <si>
    <t>Product type</t>
  </si>
  <si>
    <t>Affiliation</t>
  </si>
  <si>
    <t>Algerie</t>
  </si>
  <si>
    <t>DZA</t>
  </si>
  <si>
    <t>UN</t>
  </si>
  <si>
    <t>Unknown</t>
  </si>
  <si>
    <t>Angola</t>
  </si>
  <si>
    <t>AGO</t>
  </si>
  <si>
    <t>BFT</t>
  </si>
  <si>
    <t>Thunnus thynnus</t>
  </si>
  <si>
    <t>Barbados</t>
  </si>
  <si>
    <t>BRB</t>
  </si>
  <si>
    <t>SBF</t>
  </si>
  <si>
    <t>Thunnus maccoyii</t>
  </si>
  <si>
    <t>Southern bluefin tuna</t>
  </si>
  <si>
    <t>Thon rouge du Sud</t>
  </si>
  <si>
    <t>BRA</t>
  </si>
  <si>
    <t>YFT</t>
  </si>
  <si>
    <t>Thunnus albacares</t>
  </si>
  <si>
    <t>Yellowfin tuna</t>
  </si>
  <si>
    <t>Albacore</t>
  </si>
  <si>
    <t>Rabil</t>
  </si>
  <si>
    <t>Canada</t>
  </si>
  <si>
    <t>CAN</t>
  </si>
  <si>
    <t>ALB</t>
  </si>
  <si>
    <t>Thunnus alalunga</t>
  </si>
  <si>
    <t>Germon</t>
  </si>
  <si>
    <t>Atún blanco</t>
  </si>
  <si>
    <t>Cape Verde</t>
  </si>
  <si>
    <t>CPV</t>
  </si>
  <si>
    <t>BET</t>
  </si>
  <si>
    <t>Thunnus obesus</t>
  </si>
  <si>
    <t>Bigeye tuna</t>
  </si>
  <si>
    <t>Thon obèse(=Patudo)</t>
  </si>
  <si>
    <t>Patudo</t>
  </si>
  <si>
    <t>CHN</t>
  </si>
  <si>
    <t>BLF</t>
  </si>
  <si>
    <t>Thunnus atlanticus</t>
  </si>
  <si>
    <t>Blackfin tuna</t>
  </si>
  <si>
    <t>Thon à nageoires noires</t>
  </si>
  <si>
    <t>CIV</t>
  </si>
  <si>
    <t>LTA</t>
  </si>
  <si>
    <t>Euthynnus alletteratus</t>
  </si>
  <si>
    <t>Little tunny(=Atl.black skipj)</t>
  </si>
  <si>
    <t>Thonine commune</t>
  </si>
  <si>
    <t>Bacoreta</t>
  </si>
  <si>
    <t>SKJ</t>
  </si>
  <si>
    <t>Katsuwonus pelamis</t>
  </si>
  <si>
    <t>Skipjack tuna</t>
  </si>
  <si>
    <t>Listao</t>
  </si>
  <si>
    <t>Listado</t>
  </si>
  <si>
    <t>BON</t>
  </si>
  <si>
    <t>Sarda sarda</t>
  </si>
  <si>
    <t>Atlantic bonito</t>
  </si>
  <si>
    <t>Bonite à dos rayé</t>
  </si>
  <si>
    <t>Bonito del Atlántico</t>
  </si>
  <si>
    <t>FRI</t>
  </si>
  <si>
    <t>Auxis thazard</t>
  </si>
  <si>
    <t>Frigate tuna</t>
  </si>
  <si>
    <t>Auxide</t>
  </si>
  <si>
    <t>Melva</t>
  </si>
  <si>
    <t>BOP</t>
  </si>
  <si>
    <t>Orcynopsis unicolor</t>
  </si>
  <si>
    <t>Plain bonito</t>
  </si>
  <si>
    <t>Palomette</t>
  </si>
  <si>
    <t>Tasarte</t>
  </si>
  <si>
    <t>WAH</t>
  </si>
  <si>
    <t>Acanthocybium solandri</t>
  </si>
  <si>
    <t>Wahoo</t>
  </si>
  <si>
    <t>Thazard-bâtard</t>
  </si>
  <si>
    <t>Peto</t>
  </si>
  <si>
    <t>SSM</t>
  </si>
  <si>
    <t>Scomberomorus maculatus</t>
  </si>
  <si>
    <t>Atlantic Spanish mackerel</t>
  </si>
  <si>
    <t>Thazard atlantique</t>
  </si>
  <si>
    <t>Carite atlántico</t>
  </si>
  <si>
    <t>KGM</t>
  </si>
  <si>
    <t>Scomberomorus cavalla</t>
  </si>
  <si>
    <t>King mackerel</t>
  </si>
  <si>
    <t>Thazard barré</t>
  </si>
  <si>
    <t>Carite lucio</t>
  </si>
  <si>
    <t>SAI</t>
  </si>
  <si>
    <t>Istiophorus albicans</t>
  </si>
  <si>
    <t>Atlantic sailfish</t>
  </si>
  <si>
    <t>Voilier de l'Atlantique</t>
  </si>
  <si>
    <t>Pez vela del Atlántico</t>
  </si>
  <si>
    <t>OTH</t>
  </si>
  <si>
    <t>BUM</t>
  </si>
  <si>
    <t>Makaira nigricans</t>
  </si>
  <si>
    <t>WHM</t>
  </si>
  <si>
    <t>Atlantic white marlin</t>
  </si>
  <si>
    <t>Makaire blanc de l'Atlantique</t>
  </si>
  <si>
    <t>Aguja blanca del Atlántico</t>
  </si>
  <si>
    <t>NAM</t>
  </si>
  <si>
    <t>SWO</t>
  </si>
  <si>
    <t>Xiphias gladius</t>
  </si>
  <si>
    <t>Swordfish</t>
  </si>
  <si>
    <t>Espadon</t>
  </si>
  <si>
    <t>Pez espada</t>
  </si>
  <si>
    <t>SPF</t>
  </si>
  <si>
    <t>Tetrapturus pfluegeri</t>
  </si>
  <si>
    <t>Longbill spearfish</t>
  </si>
  <si>
    <t>Makaire bécune</t>
  </si>
  <si>
    <t>Aguja picuda</t>
  </si>
  <si>
    <t>GearGroup</t>
  </si>
  <si>
    <t>GearName</t>
  </si>
  <si>
    <t>TUN</t>
  </si>
  <si>
    <t>GIN</t>
  </si>
  <si>
    <t>BIL</t>
  </si>
  <si>
    <t>Istiophoridae</t>
  </si>
  <si>
    <t>Makaires,marlins,voiliers nca</t>
  </si>
  <si>
    <t>Agujas,marlines,peces vela nep</t>
  </si>
  <si>
    <t>LL</t>
  </si>
  <si>
    <t>Longline</t>
  </si>
  <si>
    <t>Guinea Ecuatorial</t>
  </si>
  <si>
    <t>GNQ</t>
  </si>
  <si>
    <t>Gabon</t>
  </si>
  <si>
    <t>GAB</t>
  </si>
  <si>
    <t>SLT</t>
  </si>
  <si>
    <t>Allothunnus fallai</t>
  </si>
  <si>
    <t>Slender tuna</t>
  </si>
  <si>
    <t>Thon élégant</t>
  </si>
  <si>
    <t>Atún lanzón</t>
  </si>
  <si>
    <t>Ghana</t>
  </si>
  <si>
    <t>GHA</t>
  </si>
  <si>
    <t>MAW</t>
  </si>
  <si>
    <t>Scomberomorus tritor</t>
  </si>
  <si>
    <t>West African Spanish mackerel</t>
  </si>
  <si>
    <t>Thazard blanc</t>
  </si>
  <si>
    <t>Carite lusitánico</t>
  </si>
  <si>
    <t>Honduras</t>
  </si>
  <si>
    <t>HND</t>
  </si>
  <si>
    <t>CER</t>
  </si>
  <si>
    <t>Scomberomorus regalis</t>
  </si>
  <si>
    <t>Cero</t>
  </si>
  <si>
    <t>Thazard franc</t>
  </si>
  <si>
    <t>Carite chinigua</t>
  </si>
  <si>
    <t>Iceland</t>
  </si>
  <si>
    <t>ISL</t>
  </si>
  <si>
    <t>BLT</t>
  </si>
  <si>
    <t>Auxis rochei</t>
  </si>
  <si>
    <t>Bullet tuna</t>
  </si>
  <si>
    <t>Bonitou</t>
  </si>
  <si>
    <t>Melva(=Melvera)</t>
  </si>
  <si>
    <t>Japan</t>
  </si>
  <si>
    <t>JPN</t>
  </si>
  <si>
    <t>BRS</t>
  </si>
  <si>
    <t>Scomberomorus brasiliensis</t>
  </si>
  <si>
    <t>Serra Spanish mackerel</t>
  </si>
  <si>
    <t>Thazard serra</t>
  </si>
  <si>
    <t>Serra</t>
  </si>
  <si>
    <t>KOR</t>
  </si>
  <si>
    <t>Libya</t>
  </si>
  <si>
    <t>LBY</t>
  </si>
  <si>
    <t>THR</t>
  </si>
  <si>
    <t>Alopias spp</t>
  </si>
  <si>
    <t>Thresher sharks nei</t>
  </si>
  <si>
    <t>Renards de mer nca</t>
  </si>
  <si>
    <t>Zorros nep</t>
  </si>
  <si>
    <t>TROL</t>
  </si>
  <si>
    <t>TR</t>
  </si>
  <si>
    <t>Maroc</t>
  </si>
  <si>
    <t>MAR</t>
  </si>
  <si>
    <t>BTH</t>
  </si>
  <si>
    <t>Alopias superciliosus</t>
  </si>
  <si>
    <t>Bigeye thresher</t>
  </si>
  <si>
    <t>Renard à gros yeux</t>
  </si>
  <si>
    <t>Zorro ojón</t>
  </si>
  <si>
    <t>BB</t>
  </si>
  <si>
    <t>Baitboat</t>
  </si>
  <si>
    <t>Mexico</t>
  </si>
  <si>
    <t>MEX</t>
  </si>
  <si>
    <t>ALV</t>
  </si>
  <si>
    <t>Alopias vulpinus</t>
  </si>
  <si>
    <t>Thresher</t>
  </si>
  <si>
    <t>Renard</t>
  </si>
  <si>
    <t>Zorro</t>
  </si>
  <si>
    <t>Namibia</t>
  </si>
  <si>
    <t>Panama</t>
  </si>
  <si>
    <t>PAN</t>
  </si>
  <si>
    <t>RSK</t>
  </si>
  <si>
    <t>Carcharhinidae</t>
  </si>
  <si>
    <t>Requiem sharks nei</t>
  </si>
  <si>
    <t>Requins nca</t>
  </si>
  <si>
    <t>Cazones picudos,tintoreras nep</t>
  </si>
  <si>
    <t>RR</t>
  </si>
  <si>
    <t>Philippines</t>
  </si>
  <si>
    <t>PHL</t>
  </si>
  <si>
    <t>Russian Federation</t>
  </si>
  <si>
    <t>RUS</t>
  </si>
  <si>
    <t>STP</t>
  </si>
  <si>
    <t>TL</t>
  </si>
  <si>
    <t>South Africa</t>
  </si>
  <si>
    <t>ZAF</t>
  </si>
  <si>
    <t>HAND</t>
  </si>
  <si>
    <t>HL</t>
  </si>
  <si>
    <t>Trinidad and Tobago</t>
  </si>
  <si>
    <t>TTO</t>
  </si>
  <si>
    <t>Tunisie</t>
  </si>
  <si>
    <t>GILL</t>
  </si>
  <si>
    <t>GN</t>
  </si>
  <si>
    <t>TUR</t>
  </si>
  <si>
    <t>FAL</t>
  </si>
  <si>
    <t>Carcharhinus falciformis</t>
  </si>
  <si>
    <t>Silky shark</t>
  </si>
  <si>
    <t>Requin soyeux</t>
  </si>
  <si>
    <t>Tiburón jaquetón</t>
  </si>
  <si>
    <t>TN</t>
  </si>
  <si>
    <t>USA</t>
  </si>
  <si>
    <t>PS</t>
  </si>
  <si>
    <t>Purse seine</t>
  </si>
  <si>
    <t>Uruguay</t>
  </si>
  <si>
    <t>URY</t>
  </si>
  <si>
    <t>FLK</t>
  </si>
  <si>
    <t>OCS</t>
  </si>
  <si>
    <t>Carcharhinus longimanus</t>
  </si>
  <si>
    <t>Oceanic whitetip shark</t>
  </si>
  <si>
    <t>Requin océanique</t>
  </si>
  <si>
    <t>Tiburón oceánico</t>
  </si>
  <si>
    <t>AIA</t>
  </si>
  <si>
    <t>BLR</t>
  </si>
  <si>
    <t>Vanuatu</t>
  </si>
  <si>
    <t>VUT</t>
  </si>
  <si>
    <t>Venezuela</t>
  </si>
  <si>
    <t>VEN</t>
  </si>
  <si>
    <t>Chinese Taipei</t>
  </si>
  <si>
    <t>TAI</t>
  </si>
  <si>
    <t>Guyana</t>
  </si>
  <si>
    <t>GUY</t>
  </si>
  <si>
    <t>TRAW</t>
  </si>
  <si>
    <t>TW</t>
  </si>
  <si>
    <t>Trawl</t>
  </si>
  <si>
    <t>Albania</t>
  </si>
  <si>
    <t>WSH</t>
  </si>
  <si>
    <t>Carcharodon carcharias</t>
  </si>
  <si>
    <t>Great white shark</t>
  </si>
  <si>
    <t>Grand requin blanc</t>
  </si>
  <si>
    <t>Jaquetón blanco</t>
  </si>
  <si>
    <t>Antigua and Barbuda</t>
  </si>
  <si>
    <t>ATG</t>
  </si>
  <si>
    <t>Argentina</t>
  </si>
  <si>
    <t>ARG</t>
  </si>
  <si>
    <t>HARP</t>
  </si>
  <si>
    <t>HP</t>
  </si>
  <si>
    <t>Harpoon</t>
  </si>
  <si>
    <t>ABW</t>
  </si>
  <si>
    <t>Belarus</t>
  </si>
  <si>
    <t>BLZ</t>
  </si>
  <si>
    <t>Benin</t>
  </si>
  <si>
    <t>BEN</t>
  </si>
  <si>
    <t>Cambodia</t>
  </si>
  <si>
    <t>KHM</t>
  </si>
  <si>
    <t>Cameroon</t>
  </si>
  <si>
    <t>CMR</t>
  </si>
  <si>
    <t>BSK</t>
  </si>
  <si>
    <t>Cetorhinus maximus</t>
  </si>
  <si>
    <t>Basking shark</t>
  </si>
  <si>
    <t>Peregrino</t>
  </si>
  <si>
    <t>Cayman Islands</t>
  </si>
  <si>
    <t>CYM</t>
  </si>
  <si>
    <t>Colombia</t>
  </si>
  <si>
    <t>COL</t>
  </si>
  <si>
    <t>Congo</t>
  </si>
  <si>
    <t>COG</t>
  </si>
  <si>
    <t>Costa Rica</t>
  </si>
  <si>
    <t>CRI</t>
  </si>
  <si>
    <t>Cuba</t>
  </si>
  <si>
    <t>CUB</t>
  </si>
  <si>
    <t>Dominica</t>
  </si>
  <si>
    <t>DMA</t>
  </si>
  <si>
    <t>Dominican Republic</t>
  </si>
  <si>
    <t>DOM</t>
  </si>
  <si>
    <t>Egypt</t>
  </si>
  <si>
    <t>EGY</t>
  </si>
  <si>
    <t>Faroe Islands</t>
  </si>
  <si>
    <t>FRO</t>
  </si>
  <si>
    <t>LD1</t>
  </si>
  <si>
    <t>GNB</t>
  </si>
  <si>
    <t>Gambia</t>
  </si>
  <si>
    <t>GMB</t>
  </si>
  <si>
    <t>Georgia</t>
  </si>
  <si>
    <t>GEO</t>
  </si>
  <si>
    <t>EYF</t>
  </si>
  <si>
    <t>Grenada</t>
  </si>
  <si>
    <t>GRD</t>
  </si>
  <si>
    <t>TLE</t>
  </si>
  <si>
    <t>Total length</t>
  </si>
  <si>
    <t>Guatemala</t>
  </si>
  <si>
    <t>GTM</t>
  </si>
  <si>
    <t>OT</t>
  </si>
  <si>
    <t>CFL</t>
  </si>
  <si>
    <t>Israel</t>
  </si>
  <si>
    <t>ISR</t>
  </si>
  <si>
    <t>SMA</t>
  </si>
  <si>
    <t>Isurus oxyrinchus</t>
  </si>
  <si>
    <t>Shortfin mako</t>
  </si>
  <si>
    <t>Taupe bleue</t>
  </si>
  <si>
    <t>Marrajo dientuso</t>
  </si>
  <si>
    <t>Jamaica</t>
  </si>
  <si>
    <t>JAM</t>
  </si>
  <si>
    <t>LMA</t>
  </si>
  <si>
    <t>Isurus paucus</t>
  </si>
  <si>
    <t>Longfin mako</t>
  </si>
  <si>
    <t>Petite taupe</t>
  </si>
  <si>
    <t>Marrajo carite</t>
  </si>
  <si>
    <t>Lebanon</t>
  </si>
  <si>
    <t>LBN</t>
  </si>
  <si>
    <t>Liberia</t>
  </si>
  <si>
    <t>LBR</t>
  </si>
  <si>
    <t>ProductType</t>
  </si>
  <si>
    <t>POR</t>
  </si>
  <si>
    <t>Lamna nasus</t>
  </si>
  <si>
    <t>Porbeagle</t>
  </si>
  <si>
    <t>Requin-taupe commun</t>
  </si>
  <si>
    <t>Marrajo sardinero</t>
  </si>
  <si>
    <t>LW</t>
  </si>
  <si>
    <t>Mauritania</t>
  </si>
  <si>
    <t>MRT</t>
  </si>
  <si>
    <t>MSK</t>
  </si>
  <si>
    <t>Lamnidae</t>
  </si>
  <si>
    <t>Mackerel sharks,porbeagles nei</t>
  </si>
  <si>
    <t>Requins taupe nca</t>
  </si>
  <si>
    <t>Jaquetones,marrajos nep</t>
  </si>
  <si>
    <t>GG</t>
  </si>
  <si>
    <t>Gilled &amp; gutted</t>
  </si>
  <si>
    <t>KNA</t>
  </si>
  <si>
    <t>DR</t>
  </si>
  <si>
    <t>Dressed weight</t>
  </si>
  <si>
    <t>Nigeria</t>
  </si>
  <si>
    <t>NGA</t>
  </si>
  <si>
    <t>Norway</t>
  </si>
  <si>
    <t>NOR</t>
  </si>
  <si>
    <t>Puerto Rico</t>
  </si>
  <si>
    <t>PRI</t>
  </si>
  <si>
    <t>ROU</t>
  </si>
  <si>
    <t>Senegal</t>
  </si>
  <si>
    <t>SEN</t>
  </si>
  <si>
    <t>SYC</t>
  </si>
  <si>
    <t>Sierra Leone</t>
  </si>
  <si>
    <t>SLE</t>
  </si>
  <si>
    <t>BSH</t>
  </si>
  <si>
    <t>Prionace glauca</t>
  </si>
  <si>
    <t>Blue shark</t>
  </si>
  <si>
    <t>Peau bleue</t>
  </si>
  <si>
    <t>Tiburón azul</t>
  </si>
  <si>
    <t>LCA</t>
  </si>
  <si>
    <t>VCT</t>
  </si>
  <si>
    <t>SYR</t>
  </si>
  <si>
    <t>Togo</t>
  </si>
  <si>
    <t>TGO</t>
  </si>
  <si>
    <t>Ukraine</t>
  </si>
  <si>
    <t>UKR</t>
  </si>
  <si>
    <t>SPL</t>
  </si>
  <si>
    <t>Sphyrna lewini</t>
  </si>
  <si>
    <t>Scalloped hammerhead</t>
  </si>
  <si>
    <t>Cornuda común</t>
  </si>
  <si>
    <t>SPK</t>
  </si>
  <si>
    <t>Sphyrna mokarran</t>
  </si>
  <si>
    <t>Great hammerhead</t>
  </si>
  <si>
    <t>Grand requin marteau</t>
  </si>
  <si>
    <t>Cornuda gigante</t>
  </si>
  <si>
    <t>SPN</t>
  </si>
  <si>
    <t>Sphyrna spp</t>
  </si>
  <si>
    <t>Hammerhead sharks nei</t>
  </si>
  <si>
    <t>Requins marteau nca</t>
  </si>
  <si>
    <t>Cornudas (Peces martillo) nep</t>
  </si>
  <si>
    <t>SPZ</t>
  </si>
  <si>
    <t>Sphyrna zygaena</t>
  </si>
  <si>
    <t>Smooth hammerhead</t>
  </si>
  <si>
    <t>Cornuda cruz(=Pez martillo)</t>
  </si>
  <si>
    <t>SPY</t>
  </si>
  <si>
    <t>Sphyrnidae</t>
  </si>
  <si>
    <t>Hammerhead sharks, etc. nei</t>
  </si>
  <si>
    <t>Requins marteau, etc. nca</t>
  </si>
  <si>
    <t>Cornudas, etc. nep</t>
  </si>
  <si>
    <t>Other (specify it in notes)</t>
  </si>
  <si>
    <t>Live (round) weight</t>
  </si>
  <si>
    <t>Size class type</t>
  </si>
  <si>
    <t>St. Kitts, Nevis</t>
  </si>
  <si>
    <t>Nicaragua</t>
  </si>
  <si>
    <t>NIC</t>
  </si>
  <si>
    <t>Aruba</t>
  </si>
  <si>
    <t>Belize</t>
  </si>
  <si>
    <t>Chile</t>
  </si>
  <si>
    <t>CHL</t>
  </si>
  <si>
    <t>El Salvador</t>
  </si>
  <si>
    <t>SLV</t>
  </si>
  <si>
    <t>Guinea Bissau</t>
  </si>
  <si>
    <t>India</t>
  </si>
  <si>
    <t>IND</t>
  </si>
  <si>
    <t>IRN</t>
  </si>
  <si>
    <t>Malaysia</t>
  </si>
  <si>
    <t>MYS</t>
  </si>
  <si>
    <t>Mauritius</t>
  </si>
  <si>
    <t>MUS</t>
  </si>
  <si>
    <t>Saint Kitts and Nevis</t>
  </si>
  <si>
    <t>PSE</t>
  </si>
  <si>
    <t>Seychelles</t>
  </si>
  <si>
    <t>Thailand</t>
  </si>
  <si>
    <t>THA</t>
  </si>
  <si>
    <t>US Virgin Islands</t>
  </si>
  <si>
    <t>VIR</t>
  </si>
  <si>
    <t>CP</t>
  </si>
  <si>
    <t>Anguilla</t>
  </si>
  <si>
    <t>Bahamas</t>
  </si>
  <si>
    <t>BHS</t>
  </si>
  <si>
    <t>Ecuador</t>
  </si>
  <si>
    <t>ECU</t>
  </si>
  <si>
    <t>Falklands</t>
  </si>
  <si>
    <t>NCC</t>
  </si>
  <si>
    <t>NCO</t>
  </si>
  <si>
    <t>Rod and Reel</t>
  </si>
  <si>
    <t>Handline</t>
  </si>
  <si>
    <t>UNCL</t>
  </si>
  <si>
    <t>Suriname</t>
  </si>
  <si>
    <t>SUR</t>
  </si>
  <si>
    <t>Notes</t>
  </si>
  <si>
    <t>Header</t>
  </si>
  <si>
    <t>Description</t>
  </si>
  <si>
    <t>Weight (kg)</t>
  </si>
  <si>
    <t>Curaçao</t>
  </si>
  <si>
    <t>Bolivia</t>
  </si>
  <si>
    <t>BOL</t>
  </si>
  <si>
    <t>Montenegro</t>
  </si>
  <si>
    <t>MNE</t>
  </si>
  <si>
    <t>Serbia</t>
  </si>
  <si>
    <t>SRB</t>
  </si>
  <si>
    <t>Singapore</t>
  </si>
  <si>
    <t>SGP</t>
  </si>
  <si>
    <t>Switzerland</t>
  </si>
  <si>
    <t>CHE</t>
  </si>
  <si>
    <t>INTERNATIONAL COMMISSION FOR THE CONSERVATION OF ATLANTIC TUNAS</t>
  </si>
  <si>
    <t>COMMISSION INTERNATIONALE POUR LA CONSERVATION DES THONIDÉS DE L'ATLANTIQUE</t>
  </si>
  <si>
    <t>Correspondant statistique</t>
  </si>
  <si>
    <t>Nom</t>
  </si>
  <si>
    <t>Téléphone</t>
  </si>
  <si>
    <t>Département</t>
  </si>
  <si>
    <t>Adresse</t>
  </si>
  <si>
    <t>Pays</t>
  </si>
  <si>
    <t>Pavillon déclarant</t>
  </si>
  <si>
    <t>Type de produit</t>
  </si>
  <si>
    <t>Type de classe de taille</t>
  </si>
  <si>
    <t>Poids (Kg)</t>
  </si>
  <si>
    <t>Nombre</t>
  </si>
  <si>
    <t>COMISIÓN INTERNACIONAL PARA LA CONSERVACIÓN DEL ATÚN ATLÁNTICO</t>
  </si>
  <si>
    <t>Teléfono</t>
  </si>
  <si>
    <t>Afiliación</t>
  </si>
  <si>
    <t>Institución</t>
  </si>
  <si>
    <t>Departamento</t>
  </si>
  <si>
    <t>Dirección</t>
  </si>
  <si>
    <t>País</t>
  </si>
  <si>
    <t>Tipo de producto</t>
  </si>
  <si>
    <t>Notas</t>
  </si>
  <si>
    <t>Peso (kg)</t>
  </si>
  <si>
    <t>Section</t>
  </si>
  <si>
    <t>Language</t>
  </si>
  <si>
    <t>Langue</t>
  </si>
  <si>
    <t>Idioma</t>
  </si>
  <si>
    <t>Descripción</t>
  </si>
  <si>
    <t>Clase de talla</t>
  </si>
  <si>
    <t>Inmature</t>
  </si>
  <si>
    <t>title</t>
  </si>
  <si>
    <t>Version</t>
  </si>
  <si>
    <t>Brazil</t>
  </si>
  <si>
    <t>China PR</t>
  </si>
  <si>
    <t>Adriatic sea, Ionian sea, Ligurian sea, Sardenha, Strait of Sicily, Tyrrenean sea</t>
  </si>
  <si>
    <t>Artisanal, Industrial</t>
  </si>
  <si>
    <t>Syria</t>
  </si>
  <si>
    <t>Trinidad, Tobago</t>
  </si>
  <si>
    <t>Comercial, Recreational</t>
  </si>
  <si>
    <t>CUW</t>
  </si>
  <si>
    <t>Iran</t>
  </si>
  <si>
    <t>Palestine</t>
  </si>
  <si>
    <t>Atlantic bluefin tuna</t>
  </si>
  <si>
    <t>Thon rouge de l'Atlantique</t>
  </si>
  <si>
    <t>Atún rojo del Atlántico</t>
  </si>
  <si>
    <t>Blue marlin</t>
  </si>
  <si>
    <t>Makaire bleu</t>
  </si>
  <si>
    <t>Aguja azul</t>
  </si>
  <si>
    <t>Atún rojo del Sur</t>
  </si>
  <si>
    <t>Marlins,sailfishes,etc. nei</t>
  </si>
  <si>
    <t>NPH</t>
  </si>
  <si>
    <t>Scomberomorus niphonius</t>
  </si>
  <si>
    <t>Japanese Spanish mackerel</t>
  </si>
  <si>
    <t>Thazard oriental</t>
  </si>
  <si>
    <t>Carite oriental</t>
  </si>
  <si>
    <t>TUS</t>
  </si>
  <si>
    <t>Thunnus spp</t>
  </si>
  <si>
    <t>True tunas nei</t>
  </si>
  <si>
    <t>Thons Thunnus nca</t>
  </si>
  <si>
    <t>Atunes verdaderos nep</t>
  </si>
  <si>
    <t>MSP</t>
  </si>
  <si>
    <t>Tetrapturus belone</t>
  </si>
  <si>
    <t>Mediterranean spearfish</t>
  </si>
  <si>
    <t>Marlin de la Méditerranée</t>
  </si>
  <si>
    <t>Marlín del Mediterráneo</t>
  </si>
  <si>
    <t>SSP</t>
  </si>
  <si>
    <t>Tetrapturus angustirostris</t>
  </si>
  <si>
    <t>Shortbill spearfish</t>
  </si>
  <si>
    <t>Makaire à rostre court</t>
  </si>
  <si>
    <t>Marlín trompa corta</t>
  </si>
  <si>
    <t>RSP</t>
  </si>
  <si>
    <t>Tetrapturus georgii</t>
  </si>
  <si>
    <t>Roundscale spearfish</t>
  </si>
  <si>
    <t>Makaire épée</t>
  </si>
  <si>
    <t>Marlín peto</t>
  </si>
  <si>
    <t>MLS</t>
  </si>
  <si>
    <t>Tetrapturus audax</t>
  </si>
  <si>
    <t>Striped marlin</t>
  </si>
  <si>
    <t>Marlin rayé</t>
  </si>
  <si>
    <t>Marlín rayado</t>
  </si>
  <si>
    <t>Atún aleta negra</t>
  </si>
  <si>
    <t>DOL</t>
  </si>
  <si>
    <t>Coryphaena hippurus</t>
  </si>
  <si>
    <t>Common dolphinfish</t>
  </si>
  <si>
    <t>Coryphène commune</t>
  </si>
  <si>
    <t>Lampuga</t>
  </si>
  <si>
    <t>Pèlerin</t>
  </si>
  <si>
    <t>Requin-marteau commun</t>
  </si>
  <si>
    <t>Requin-marteau halicorne</t>
  </si>
  <si>
    <t>PSK</t>
  </si>
  <si>
    <t>Pseudocarcharias kamoharai</t>
  </si>
  <si>
    <t>Crocodile shark</t>
  </si>
  <si>
    <t>Requin crocodile</t>
  </si>
  <si>
    <t>Tiburón cocodrilo</t>
  </si>
  <si>
    <t>PLS</t>
  </si>
  <si>
    <t>Pteroplatytrygon violacea</t>
  </si>
  <si>
    <t>Pelagic stingray</t>
  </si>
  <si>
    <t>Pastenague violette</t>
  </si>
  <si>
    <t>Raya-látigo violeta</t>
  </si>
  <si>
    <t>RMB</t>
  </si>
  <si>
    <t>Manta birostris</t>
  </si>
  <si>
    <t>Giant manta</t>
  </si>
  <si>
    <t>Mante géante</t>
  </si>
  <si>
    <t>Manta gigante</t>
  </si>
  <si>
    <t>Size Frequency Sample details by landing operation</t>
  </si>
  <si>
    <t>U</t>
  </si>
  <si>
    <t>I</t>
  </si>
  <si>
    <t>M</t>
  </si>
  <si>
    <t>Male</t>
  </si>
  <si>
    <t>F</t>
  </si>
  <si>
    <t>Female</t>
  </si>
  <si>
    <t>Sex code</t>
  </si>
  <si>
    <t>Code de sexe</t>
  </si>
  <si>
    <t>Código de sexo</t>
  </si>
  <si>
    <t>Landing date (yyyy/mm/dd)</t>
  </si>
  <si>
    <t>Vessel ICCAT Serial number</t>
  </si>
  <si>
    <t>Vessel National Register number</t>
  </si>
  <si>
    <t>LandingID</t>
  </si>
  <si>
    <t>Landing ID (secuencial number)</t>
  </si>
  <si>
    <t>YFTw</t>
  </si>
  <si>
    <t>BETw</t>
  </si>
  <si>
    <t>SKJw</t>
  </si>
  <si>
    <t>Indicate the port of landing and sampling</t>
  </si>
  <si>
    <t>Indicate the landed catch (kg) for each of the tuna species</t>
  </si>
  <si>
    <t>Choose the type of product landed (ICCAT Codes)</t>
  </si>
  <si>
    <t>Indicate if Size Samples were collected from the corresponding Landing Operation and provide Size data in PRTSMP-SZ page</t>
  </si>
  <si>
    <t>Type of size measurement of sample</t>
  </si>
  <si>
    <t>Sex code ID: Male (M), Female (F), Inmature (i), Unknown (U)</t>
  </si>
  <si>
    <t>Date débarquement (aaaa/mm/jj)</t>
  </si>
  <si>
    <t>Numéro de série ICCAT de navires</t>
  </si>
  <si>
    <t>ID_Débarquement (numéro séquentiel)</t>
  </si>
  <si>
    <t>Numéro du registre national de navires</t>
  </si>
  <si>
    <t>Détails de l'échantillon de fréquence de taille par débarquement</t>
  </si>
  <si>
    <t>Détails du débarquement</t>
  </si>
  <si>
    <t>Indiquer le port de débarquement et d'échantillonnage</t>
  </si>
  <si>
    <t>Saisir le numéro de série de navires ICCAT, le cas échéant</t>
  </si>
  <si>
    <t>Indiquer la capture débarquée (kg) pour chacune des espèces thonières</t>
  </si>
  <si>
    <t>Choisir le type de produit débarqué (codes ICCAT)</t>
  </si>
  <si>
    <t>Type de mesure de taille de l'échantillon</t>
  </si>
  <si>
    <t>Mesure de la taille en centimètres (cm)</t>
  </si>
  <si>
    <t>Fecha desembarque</t>
  </si>
  <si>
    <t>Número de serie ICCAT del buque</t>
  </si>
  <si>
    <t>Número del registro nacional de buques</t>
  </si>
  <si>
    <t>Detalles de la muestra de frecuencias de talla para cada desembarque</t>
  </si>
  <si>
    <t>Detalles del desembarque</t>
  </si>
  <si>
    <t>Pabellón declarante</t>
  </si>
  <si>
    <t xml:space="preserve">Indicar el puerto de desembarque y muestreo </t>
  </si>
  <si>
    <t>Especificar la fecha de desembarque (formato 2014/03/25)</t>
  </si>
  <si>
    <t>Introducir el número de serie ICCAT del buque si procede</t>
  </si>
  <si>
    <t>Si el buque no tiene número de serie ICCAT, introducir el número del registro nacional</t>
  </si>
  <si>
    <t>Indicar la captura desembarcada (kg) para cada una de las especies de túnidos</t>
  </si>
  <si>
    <t>Elegir el tipo de producto desembarcado (códigos ICCAT)</t>
  </si>
  <si>
    <t>Indicar si se han recogido muestras de talla del desembarque correspondiente y facilitar datos de talla en la página PRTSMP-SZ</t>
  </si>
  <si>
    <t>Tipo de medición de talla de la muestra</t>
  </si>
  <si>
    <t>Medición de la talla en centímetros (cm)</t>
  </si>
  <si>
    <t xml:space="preserve">Corresponding "Landing ID" number for this size sample </t>
  </si>
  <si>
    <t>ID_Desembarque (número secuencial)</t>
  </si>
  <si>
    <t>ST10-PrtSmp</t>
  </si>
  <si>
    <t>TRAWP</t>
  </si>
  <si>
    <t>Côte d'Ivoire</t>
  </si>
  <si>
    <t>Recreational (or Sport)</t>
  </si>
  <si>
    <t>Mainland, Azores, Madeira, Recreational (or Sport)</t>
  </si>
  <si>
    <t>Andorra</t>
  </si>
  <si>
    <t>AND</t>
  </si>
  <si>
    <t>Australia</t>
  </si>
  <si>
    <t>AUS</t>
  </si>
  <si>
    <t>Brunei</t>
  </si>
  <si>
    <t>BND</t>
  </si>
  <si>
    <t>Cook Islands</t>
  </si>
  <si>
    <t>COK</t>
  </si>
  <si>
    <t>Fiji Islands</t>
  </si>
  <si>
    <t>FJI</t>
  </si>
  <si>
    <t>Guam</t>
  </si>
  <si>
    <t>GUM</t>
  </si>
  <si>
    <t>Haiti</t>
  </si>
  <si>
    <t>HTI</t>
  </si>
  <si>
    <t>Indonesia</t>
  </si>
  <si>
    <t>IDN</t>
  </si>
  <si>
    <t>Kenya</t>
  </si>
  <si>
    <t>KEN</t>
  </si>
  <si>
    <t>Kiribati</t>
  </si>
  <si>
    <t>KIR</t>
  </si>
  <si>
    <t>Kuwait</t>
  </si>
  <si>
    <t>KWT</t>
  </si>
  <si>
    <t>Madagascar</t>
  </si>
  <si>
    <t>MDG</t>
  </si>
  <si>
    <t>Maldives</t>
  </si>
  <si>
    <t>MDV</t>
  </si>
  <si>
    <t>Marshall Islands</t>
  </si>
  <si>
    <t>MHL</t>
  </si>
  <si>
    <t>Micronesia</t>
  </si>
  <si>
    <t>FSM</t>
  </si>
  <si>
    <t>Mozambique</t>
  </si>
  <si>
    <t>MOZ</t>
  </si>
  <si>
    <t>New Caledonia</t>
  </si>
  <si>
    <t>NCL</t>
  </si>
  <si>
    <t>New Zealand</t>
  </si>
  <si>
    <t>NZL</t>
  </si>
  <si>
    <t>Oman</t>
  </si>
  <si>
    <t>OMN</t>
  </si>
  <si>
    <t>Palau</t>
  </si>
  <si>
    <t>PLW</t>
  </si>
  <si>
    <t>Papua New Guinea</t>
  </si>
  <si>
    <t>PNG</t>
  </si>
  <si>
    <t>Perú</t>
  </si>
  <si>
    <t>PER</t>
  </si>
  <si>
    <t>Polynesie Française</t>
  </si>
  <si>
    <t>PYF</t>
  </si>
  <si>
    <t>Samoa</t>
  </si>
  <si>
    <t>WSM</t>
  </si>
  <si>
    <t>Saudi Arabia</t>
  </si>
  <si>
    <t>SAU</t>
  </si>
  <si>
    <t>Solomon Islands</t>
  </si>
  <si>
    <t>SLB</t>
  </si>
  <si>
    <t>Sri Lanka</t>
  </si>
  <si>
    <t>LKA</t>
  </si>
  <si>
    <t>Tanzania</t>
  </si>
  <si>
    <t>TZA</t>
  </si>
  <si>
    <t>Tonga</t>
  </si>
  <si>
    <t>TON</t>
  </si>
  <si>
    <t>Tuvalu</t>
  </si>
  <si>
    <t>TUV</t>
  </si>
  <si>
    <t>United Arab Emirates</t>
  </si>
  <si>
    <t>ARE</t>
  </si>
  <si>
    <t>Vietnam</t>
  </si>
  <si>
    <t>VNM</t>
  </si>
  <si>
    <t>BLM</t>
  </si>
  <si>
    <t>Makaira indica</t>
  </si>
  <si>
    <t>Black marlin</t>
  </si>
  <si>
    <t>Makaire noir</t>
  </si>
  <si>
    <t>Aguja negra</t>
  </si>
  <si>
    <t>BSF</t>
  </si>
  <si>
    <t>Aphanopus carbo</t>
  </si>
  <si>
    <t>black scabbardfish</t>
  </si>
  <si>
    <t>Sabre noir</t>
  </si>
  <si>
    <t>Sable negro</t>
  </si>
  <si>
    <t>GES</t>
  </si>
  <si>
    <t>Gempylus serpens</t>
  </si>
  <si>
    <t>Snake mackerel</t>
  </si>
  <si>
    <t>Escolier serpent</t>
  </si>
  <si>
    <t>Escolar de canal</t>
  </si>
  <si>
    <t>SFS</t>
  </si>
  <si>
    <t>Lepidopus caudatus</t>
  </si>
  <si>
    <t>Silver scabbardfish</t>
  </si>
  <si>
    <t>Sabre argenté</t>
  </si>
  <si>
    <t>Pez cinto</t>
  </si>
  <si>
    <t>OIL</t>
  </si>
  <si>
    <t>Ruvettus pretiosus</t>
  </si>
  <si>
    <t>Oilfish</t>
  </si>
  <si>
    <t>Rouvet</t>
  </si>
  <si>
    <t>Escolar clavo</t>
  </si>
  <si>
    <t>LEC</t>
  </si>
  <si>
    <t>Lepidocybium flavobrunneum</t>
  </si>
  <si>
    <t>Escolar</t>
  </si>
  <si>
    <t>Escolier noir</t>
  </si>
  <si>
    <t>Escolar negro</t>
  </si>
  <si>
    <t>BUK</t>
  </si>
  <si>
    <t>Gasterochisma melampus</t>
  </si>
  <si>
    <t>Butterfly kingfish</t>
  </si>
  <si>
    <t>Thon papillon</t>
  </si>
  <si>
    <t>Atún chauchera</t>
  </si>
  <si>
    <t>KAW</t>
  </si>
  <si>
    <t>Euthynnus affinis</t>
  </si>
  <si>
    <t>Kawakawa</t>
  </si>
  <si>
    <t>Thonine orientale</t>
  </si>
  <si>
    <t>Bacoreta oriental</t>
  </si>
  <si>
    <t>Thunnini</t>
  </si>
  <si>
    <t>Tunas nei</t>
  </si>
  <si>
    <t>Thonidés nca</t>
  </si>
  <si>
    <t>Atunes nep</t>
  </si>
  <si>
    <t>CCG</t>
  </si>
  <si>
    <t>Carcharhinus galapagensis</t>
  </si>
  <si>
    <t>Galapagos shark</t>
  </si>
  <si>
    <t>Requin des Galapagos</t>
  </si>
  <si>
    <t>Tiburón de Galápagos</t>
  </si>
  <si>
    <t>CYW</t>
  </si>
  <si>
    <t xml:space="preserve">Centroscymnus owstonii </t>
  </si>
  <si>
    <t>Roughskin dogfish</t>
  </si>
  <si>
    <t>Pailona rapeux</t>
  </si>
  <si>
    <t>Sapata lija</t>
  </si>
  <si>
    <t>ETU</t>
  </si>
  <si>
    <t>Lined lanternshark</t>
  </si>
  <si>
    <t>Sagre chien</t>
  </si>
  <si>
    <t>Tollo lucero rayado</t>
  </si>
  <si>
    <t>EUP</t>
  </si>
  <si>
    <t xml:space="preserve">pygmy shark </t>
  </si>
  <si>
    <t>Squale pygmée</t>
  </si>
  <si>
    <t>Tollo pigmeo</t>
  </si>
  <si>
    <t>EUZ</t>
  </si>
  <si>
    <t xml:space="preserve">taillight shark </t>
  </si>
  <si>
    <t>Squale à queue claire</t>
  </si>
  <si>
    <t>Tollo rabo claro</t>
  </si>
  <si>
    <t>HXN</t>
  </si>
  <si>
    <t xml:space="preserve">bigeye sixgill shark </t>
  </si>
  <si>
    <t>ISB</t>
  </si>
  <si>
    <t>Isistius brasiliensis</t>
  </si>
  <si>
    <t>Cookie cutter shark</t>
  </si>
  <si>
    <t>Squalelet féroce</t>
  </si>
  <si>
    <t>Tollo cigarro</t>
  </si>
  <si>
    <t>ISP</t>
  </si>
  <si>
    <t xml:space="preserve">largetooth cookiecutter shark </t>
  </si>
  <si>
    <t>Squalelet dentu</t>
  </si>
  <si>
    <t>Tollo cigarro dentón</t>
  </si>
  <si>
    <t>LMO</t>
  </si>
  <si>
    <t xml:space="preserve">goblin shark </t>
  </si>
  <si>
    <t>Requin lutin</t>
  </si>
  <si>
    <t>Tiburón duende</t>
  </si>
  <si>
    <t>LMP</t>
  </si>
  <si>
    <t>Megachasma pelagios</t>
  </si>
  <si>
    <t>Megamouth shark</t>
  </si>
  <si>
    <t>Requin grande guele</t>
  </si>
  <si>
    <t>Tiburón bocudo</t>
  </si>
  <si>
    <t>QUL</t>
  </si>
  <si>
    <t>Squaliolus laticaudus</t>
  </si>
  <si>
    <t>Spined pygmy shark</t>
  </si>
  <si>
    <t>Squale nain</t>
  </si>
  <si>
    <t>Tollo pigmeo espinudo</t>
  </si>
  <si>
    <t>RHN</t>
  </si>
  <si>
    <t>Rhincodon typus</t>
  </si>
  <si>
    <t>Whale shark</t>
  </si>
  <si>
    <t>Requin baleine</t>
  </si>
  <si>
    <t>Tiburón ballena</t>
  </si>
  <si>
    <t>RMA</t>
  </si>
  <si>
    <t>RMH</t>
  </si>
  <si>
    <t>Mobula hypostoma</t>
  </si>
  <si>
    <t>Lesser devil ray</t>
  </si>
  <si>
    <t>Mante diable</t>
  </si>
  <si>
    <t>Manta del Golfo</t>
  </si>
  <si>
    <t>RMJ</t>
  </si>
  <si>
    <t>Spinetail mobula</t>
  </si>
  <si>
    <t>RMM</t>
  </si>
  <si>
    <t>Mobula mobular</t>
  </si>
  <si>
    <t>Devil fish</t>
  </si>
  <si>
    <t>Diable de mer méditerranéen</t>
  </si>
  <si>
    <t>Manta mobula</t>
  </si>
  <si>
    <t>RMN</t>
  </si>
  <si>
    <t>Mobula rochebrunei</t>
  </si>
  <si>
    <t>Lesser Guinean devil ray</t>
  </si>
  <si>
    <t>Petit diable de Guinée</t>
  </si>
  <si>
    <t>Diablito de Guinea</t>
  </si>
  <si>
    <t>RMO</t>
  </si>
  <si>
    <t>Mobula thurstoni</t>
  </si>
  <si>
    <t>Smoothtail mobula</t>
  </si>
  <si>
    <t>Mante vampire</t>
  </si>
  <si>
    <t>Diablo chupasangre</t>
  </si>
  <si>
    <t>RMT</t>
  </si>
  <si>
    <t>Mobula tarapacana</t>
  </si>
  <si>
    <t>Chilean devil ray</t>
  </si>
  <si>
    <t>SDH</t>
  </si>
  <si>
    <t>Deania histricosa</t>
  </si>
  <si>
    <t>Rough longnose dogfish</t>
  </si>
  <si>
    <t>Squale-savate rude</t>
  </si>
  <si>
    <t>Tollo raspa</t>
  </si>
  <si>
    <t>SDU</t>
  </si>
  <si>
    <t>Arrowhead dogfish</t>
  </si>
  <si>
    <t>Squale-savate lutin</t>
  </si>
  <si>
    <t>Tollo flecha</t>
  </si>
  <si>
    <t>MAN</t>
  </si>
  <si>
    <t>Mobulidae</t>
  </si>
  <si>
    <t>Mantas, devil rays nei</t>
  </si>
  <si>
    <t>Mantes, diables de mer nca</t>
  </si>
  <si>
    <t>Mantas, diablos nep</t>
  </si>
  <si>
    <t>STT</t>
  </si>
  <si>
    <t>Dasyatidae</t>
  </si>
  <si>
    <t>Stingrays, butterfly rays nei</t>
  </si>
  <si>
    <t>Pastenagues, etc. nca</t>
  </si>
  <si>
    <t>Pastinacas, etc. nep</t>
  </si>
  <si>
    <t>ScieName</t>
  </si>
  <si>
    <t>CoNameEN</t>
  </si>
  <si>
    <t>CoNameFR</t>
  </si>
  <si>
    <t>CoNameES</t>
  </si>
  <si>
    <t>IccSpcGrp</t>
  </si>
  <si>
    <t>TaxonType</t>
  </si>
  <si>
    <t>1-Tuna (major sp.)</t>
  </si>
  <si>
    <t>1-Species</t>
  </si>
  <si>
    <t>2-Genus</t>
  </si>
  <si>
    <t>3-Tribe</t>
  </si>
  <si>
    <t>4-Family</t>
  </si>
  <si>
    <t>CVJ</t>
  </si>
  <si>
    <t>Caranx hippos</t>
  </si>
  <si>
    <t>Crevalle jack</t>
  </si>
  <si>
    <t>Carangue crevalle</t>
  </si>
  <si>
    <t>Jurel común</t>
  </si>
  <si>
    <t>GBA</t>
  </si>
  <si>
    <t>Sphyraena barracuda</t>
  </si>
  <si>
    <t>Great barracuda</t>
  </si>
  <si>
    <t>Barracuda</t>
  </si>
  <si>
    <t>Picuda barracuda</t>
  </si>
  <si>
    <t>YTC</t>
  </si>
  <si>
    <t>Seriola lalandi</t>
  </si>
  <si>
    <t>Yellowtail amberjack</t>
  </si>
  <si>
    <t>Sériole chicard</t>
  </si>
  <si>
    <t>Medregal rabo amarillo</t>
  </si>
  <si>
    <t>Scomberesox saurus</t>
  </si>
  <si>
    <t>Atlantic saury</t>
  </si>
  <si>
    <t>Balaou atlantique</t>
  </si>
  <si>
    <t>Paparda del Atlántico</t>
  </si>
  <si>
    <t>POA</t>
  </si>
  <si>
    <t>Brama brama</t>
  </si>
  <si>
    <t>Atlantic pomfret</t>
  </si>
  <si>
    <t>Grande castagnole</t>
  </si>
  <si>
    <t>Japuta</t>
  </si>
  <si>
    <t>AMB</t>
  </si>
  <si>
    <t>Seriola dumerili</t>
  </si>
  <si>
    <t>Greater amberjack</t>
  </si>
  <si>
    <t>Sériole couronnée</t>
  </si>
  <si>
    <t>Pez de limón</t>
  </si>
  <si>
    <t>AWI</t>
  </si>
  <si>
    <t>Aluterus schoepfii</t>
  </si>
  <si>
    <t>Orange filefish</t>
  </si>
  <si>
    <t>Bourse orange</t>
  </si>
  <si>
    <t>Lija naranja</t>
  </si>
  <si>
    <t>BVP</t>
  </si>
  <si>
    <t>Balistes punctatus</t>
  </si>
  <si>
    <t>Bluespotted triggerfish</t>
  </si>
  <si>
    <t>Baliste à taches bleues</t>
  </si>
  <si>
    <t>Pejepuerco moteado</t>
  </si>
  <si>
    <t>EXQ</t>
  </si>
  <si>
    <t>Euleptorhamphus velox</t>
  </si>
  <si>
    <t>Flying halfbeak</t>
  </si>
  <si>
    <t>Demi-bec volant</t>
  </si>
  <si>
    <t>Agujeta voladora</t>
  </si>
  <si>
    <t>LGH</t>
  </si>
  <si>
    <t>Lagocephalus lagocephalus</t>
  </si>
  <si>
    <t>Oceanic puffer</t>
  </si>
  <si>
    <t>Compère océanique</t>
  </si>
  <si>
    <t>Tamboril liebre</t>
  </si>
  <si>
    <t>ALM</t>
  </si>
  <si>
    <t>Aluterus monoceros</t>
  </si>
  <si>
    <t>Unicorn leatherjacket filefish</t>
  </si>
  <si>
    <t>Bourse loulou</t>
  </si>
  <si>
    <t>Lija barbuda</t>
  </si>
  <si>
    <t>CBA</t>
  </si>
  <si>
    <t>Rachycentron canadum</t>
  </si>
  <si>
    <t>Cobia</t>
  </si>
  <si>
    <t>Mafou</t>
  </si>
  <si>
    <t>CFW</t>
  </si>
  <si>
    <t>Coryphaena equiselis</t>
  </si>
  <si>
    <t>Pompano dolphinfish</t>
  </si>
  <si>
    <t>Coryphène dauphin</t>
  </si>
  <si>
    <t>Dorado</t>
  </si>
  <si>
    <t>CNT</t>
  </si>
  <si>
    <t>Canthidermis maculata</t>
  </si>
  <si>
    <t>Rough triggerfish</t>
  </si>
  <si>
    <t>Baliste rude</t>
  </si>
  <si>
    <t>Calafate áspero</t>
  </si>
  <si>
    <t>DIY</t>
  </si>
  <si>
    <t>Diodon hystrix</t>
  </si>
  <si>
    <t>Spot-fin porcupinefish</t>
  </si>
  <si>
    <t>Porc-épic boubou</t>
  </si>
  <si>
    <t>Pejerizo común</t>
  </si>
  <si>
    <t>GAR</t>
  </si>
  <si>
    <t>Belone belone</t>
  </si>
  <si>
    <t>Garfish</t>
  </si>
  <si>
    <t>Orphie</t>
  </si>
  <si>
    <t>Aguja</t>
  </si>
  <si>
    <t>HMM</t>
  </si>
  <si>
    <t>Trachurus mediterraneus</t>
  </si>
  <si>
    <t>Mediterranean horse mackerel</t>
  </si>
  <si>
    <t>Chinchard à queue jaune</t>
  </si>
  <si>
    <t>Jurel mediterráneo</t>
  </si>
  <si>
    <t>LEE</t>
  </si>
  <si>
    <t>Lichia amia</t>
  </si>
  <si>
    <t>Leerfish</t>
  </si>
  <si>
    <t>Liche</t>
  </si>
  <si>
    <t>Palometón</t>
  </si>
  <si>
    <t>MOX</t>
  </si>
  <si>
    <t>Mola mola</t>
  </si>
  <si>
    <t>Ocean sunfish</t>
  </si>
  <si>
    <t>Poisson lune</t>
  </si>
  <si>
    <t>Pez luna</t>
  </si>
  <si>
    <t>MRW</t>
  </si>
  <si>
    <t>Masturus lanceolatus</t>
  </si>
  <si>
    <t>Sharptail mola</t>
  </si>
  <si>
    <t>Poisson-lune lancéolé</t>
  </si>
  <si>
    <t>NAU</t>
  </si>
  <si>
    <t>Naucrates ductor</t>
  </si>
  <si>
    <t>Pilotfish</t>
  </si>
  <si>
    <t>Poisson pilote</t>
  </si>
  <si>
    <t>Pez piloto</t>
  </si>
  <si>
    <t>RRU</t>
  </si>
  <si>
    <t>Elagatis bipinnulata</t>
  </si>
  <si>
    <t>Rainbow runner</t>
  </si>
  <si>
    <t>Comète saumon</t>
  </si>
  <si>
    <t>Macarela salmón</t>
  </si>
  <si>
    <t>RUB</t>
  </si>
  <si>
    <t>Caranx crysos</t>
  </si>
  <si>
    <t>Blue runner</t>
  </si>
  <si>
    <t>Carangue coubali</t>
  </si>
  <si>
    <t>Cojinúa negra</t>
  </si>
  <si>
    <t>RZV</t>
  </si>
  <si>
    <t>Ranzania laevis</t>
  </si>
  <si>
    <t>Slender sunfish</t>
  </si>
  <si>
    <t>Ranzania</t>
  </si>
  <si>
    <t>TAL</t>
  </si>
  <si>
    <t>Taractichthys longipinnis</t>
  </si>
  <si>
    <t>Big-scale pomfret</t>
  </si>
  <si>
    <t>Castagnole fauchoir</t>
  </si>
  <si>
    <t>Tristón aletudo</t>
  </si>
  <si>
    <t>TAS</t>
  </si>
  <si>
    <t>Taractes asper</t>
  </si>
  <si>
    <t>Rough pomfret</t>
  </si>
  <si>
    <t>TCR</t>
  </si>
  <si>
    <t>Taractes rubescens</t>
  </si>
  <si>
    <t>Dagger pomfret</t>
  </si>
  <si>
    <t>TRG</t>
  </si>
  <si>
    <t>Balistes carolinensis</t>
  </si>
  <si>
    <t>Grey triggerfish</t>
  </si>
  <si>
    <t>Baliste cabri</t>
  </si>
  <si>
    <t>Pejepuerco blanco</t>
  </si>
  <si>
    <t>TST</t>
  </si>
  <si>
    <t>Taractichthys steindachneri</t>
  </si>
  <si>
    <t>Sickle pomfret</t>
  </si>
  <si>
    <t>Tristón segador</t>
  </si>
  <si>
    <t>USE</t>
  </si>
  <si>
    <t>Uraspis secunda</t>
  </si>
  <si>
    <t>Cottonmouth jack</t>
  </si>
  <si>
    <t>Carangue coton</t>
  </si>
  <si>
    <t>Jurel volantín</t>
  </si>
  <si>
    <t>VAD</t>
  </si>
  <si>
    <t>Campogramma glaycos</t>
  </si>
  <si>
    <t>Vadigo</t>
  </si>
  <si>
    <t>Liche lirio</t>
  </si>
  <si>
    <t>Lirio</t>
  </si>
  <si>
    <t>YTL</t>
  </si>
  <si>
    <t>Seriola rivoliana</t>
  </si>
  <si>
    <t>Longfin yellowtail</t>
  </si>
  <si>
    <t>Sériole limon</t>
  </si>
  <si>
    <t>Medregal limón</t>
  </si>
  <si>
    <t>BAZ</t>
  </si>
  <si>
    <t>Sphyraenidae</t>
  </si>
  <si>
    <t>Barracudas, etc. nei</t>
  </si>
  <si>
    <t>Bécunes, barracudas, nca</t>
  </si>
  <si>
    <t>Barracudas, picudas, nep</t>
  </si>
  <si>
    <t>FLY</t>
  </si>
  <si>
    <t>Exocoetidae</t>
  </si>
  <si>
    <t>Flyingfishes nei</t>
  </si>
  <si>
    <t>Exocets nca</t>
  </si>
  <si>
    <t>Voladores nep</t>
  </si>
  <si>
    <t>TRI</t>
  </si>
  <si>
    <t>Balistidae</t>
  </si>
  <si>
    <t>Triggerfishes, durgons nei</t>
  </si>
  <si>
    <t>Balistes nca</t>
  </si>
  <si>
    <t>Peces-ballesta nep</t>
  </si>
  <si>
    <t>SEL</t>
  </si>
  <si>
    <t>Otaria flavescens</t>
  </si>
  <si>
    <t>South American sea lion</t>
  </si>
  <si>
    <t>Lion de mer d'Amérique du Sud</t>
  </si>
  <si>
    <t>Lobo común</t>
  </si>
  <si>
    <t>BCW</t>
  </si>
  <si>
    <t>Ziphius cavirostris</t>
  </si>
  <si>
    <t>Cuvier's beaked whale</t>
  </si>
  <si>
    <t>Ziphius</t>
  </si>
  <si>
    <t>Zifio de Cuvier</t>
  </si>
  <si>
    <t>BRW</t>
  </si>
  <si>
    <t>Balaenoptera edeni</t>
  </si>
  <si>
    <t>Bryde's whale</t>
  </si>
  <si>
    <t>Rorqual de Bryde</t>
  </si>
  <si>
    <t>Rorcual tropical</t>
  </si>
  <si>
    <t>DBO</t>
  </si>
  <si>
    <t>Tursiops truncatus</t>
  </si>
  <si>
    <t>Bottlenose dolphin</t>
  </si>
  <si>
    <t>Grand Dauphin</t>
  </si>
  <si>
    <t>Tursion</t>
  </si>
  <si>
    <t>DCL</t>
  </si>
  <si>
    <t>Stenella clymene</t>
  </si>
  <si>
    <t>Clymene dolphin</t>
  </si>
  <si>
    <t>Dauphin de Clyméné</t>
  </si>
  <si>
    <t>Delfín Clymene</t>
  </si>
  <si>
    <t>DCO</t>
  </si>
  <si>
    <t>Delphinus delphis</t>
  </si>
  <si>
    <t>Common dolphin</t>
  </si>
  <si>
    <t>Dauphin commun</t>
  </si>
  <si>
    <t>Delfín común</t>
  </si>
  <si>
    <t>DPN</t>
  </si>
  <si>
    <t>Stenella attenuata</t>
  </si>
  <si>
    <t>Pantropical spotted dolphin</t>
  </si>
  <si>
    <t>Dauphin tacheté pantropical</t>
  </si>
  <si>
    <t>Estenela moteada</t>
  </si>
  <si>
    <t>DRR</t>
  </si>
  <si>
    <t>Grampus griseus</t>
  </si>
  <si>
    <t>Risso's dolphin</t>
  </si>
  <si>
    <t>Grampus</t>
  </si>
  <si>
    <t>Delfín de Risso</t>
  </si>
  <si>
    <t>DSA</t>
  </si>
  <si>
    <t>Stenella frontalis</t>
  </si>
  <si>
    <t>Atlantic spotted dolphin</t>
  </si>
  <si>
    <t>Dauphin tacheté de l'Atlantiq.</t>
  </si>
  <si>
    <t>Delfín pintado</t>
  </si>
  <si>
    <t>DSI</t>
  </si>
  <si>
    <t>Stenella longirostris</t>
  </si>
  <si>
    <t>Spinner dolphin</t>
  </si>
  <si>
    <t>Dauphin longirostre</t>
  </si>
  <si>
    <t>Estenela giradora</t>
  </si>
  <si>
    <t>DST</t>
  </si>
  <si>
    <t>Stenella coeruleoalba</t>
  </si>
  <si>
    <t>Striped dolphin</t>
  </si>
  <si>
    <t>Dauphin bleu et blanc</t>
  </si>
  <si>
    <t>Estenela listada</t>
  </si>
  <si>
    <t>DWH</t>
  </si>
  <si>
    <t>Lagenorhynchus acutus</t>
  </si>
  <si>
    <t>Atlantic white-sided dolphin</t>
  </si>
  <si>
    <t>Dauphin à flancs blancs Atlan.</t>
  </si>
  <si>
    <t>Delfín de flancos blancos</t>
  </si>
  <si>
    <t>EUA</t>
  </si>
  <si>
    <t>Eubalaena australis</t>
  </si>
  <si>
    <t>Southern right whale</t>
  </si>
  <si>
    <t>Baleine australe</t>
  </si>
  <si>
    <t>Ballena franca austral</t>
  </si>
  <si>
    <t>EUG</t>
  </si>
  <si>
    <t>Eubalaena glacialis</t>
  </si>
  <si>
    <t>Northern right whale</t>
  </si>
  <si>
    <t>Baleine de Biscaye</t>
  </si>
  <si>
    <t>Ballena franca</t>
  </si>
  <si>
    <t>FAW</t>
  </si>
  <si>
    <t>Pseudorca crassidens</t>
  </si>
  <si>
    <t>False killer whale</t>
  </si>
  <si>
    <t>Faux-orque</t>
  </si>
  <si>
    <t>Orca Falsa</t>
  </si>
  <si>
    <t>FIW</t>
  </si>
  <si>
    <t>Balaenoptera physalus</t>
  </si>
  <si>
    <t>Fin whale</t>
  </si>
  <si>
    <t>Rorqual commun</t>
  </si>
  <si>
    <t>Rorcual común</t>
  </si>
  <si>
    <t>HUW</t>
  </si>
  <si>
    <t>Megaptera novaeangliae</t>
  </si>
  <si>
    <t>Humpback whale</t>
  </si>
  <si>
    <t>Baleine à bosse</t>
  </si>
  <si>
    <t>Rorcual jorobado</t>
  </si>
  <si>
    <t>KIW</t>
  </si>
  <si>
    <t>Orcinus orca</t>
  </si>
  <si>
    <t>Killer whale</t>
  </si>
  <si>
    <t>Orque</t>
  </si>
  <si>
    <t>Orca</t>
  </si>
  <si>
    <t>MIW</t>
  </si>
  <si>
    <t>Balaenoptera acutorostrata</t>
  </si>
  <si>
    <t>Minke whale</t>
  </si>
  <si>
    <t>Petit rorqual</t>
  </si>
  <si>
    <t>Rorcual enano</t>
  </si>
  <si>
    <t>PHR</t>
  </si>
  <si>
    <t>Phocoena phocoena</t>
  </si>
  <si>
    <t>Harbour porpoise</t>
  </si>
  <si>
    <t>Marsouin Commun</t>
  </si>
  <si>
    <t>Marsopa Común</t>
  </si>
  <si>
    <t>PIW</t>
  </si>
  <si>
    <t>Globicephala melas</t>
  </si>
  <si>
    <t>Long-finned pilot whale</t>
  </si>
  <si>
    <t>Globicéphale commun</t>
  </si>
  <si>
    <t>Calderón común</t>
  </si>
  <si>
    <t>PYW</t>
  </si>
  <si>
    <t>Kogia breviceps</t>
  </si>
  <si>
    <t>Pygmy sperm whale</t>
  </si>
  <si>
    <t>Cachalot Pygmée</t>
  </si>
  <si>
    <t>Cachalote pigmeo</t>
  </si>
  <si>
    <t>RTD</t>
  </si>
  <si>
    <t>Steno bredanensis</t>
  </si>
  <si>
    <t>Rough-toothed dolphin</t>
  </si>
  <si>
    <t>Sténo</t>
  </si>
  <si>
    <t>Esteno</t>
  </si>
  <si>
    <t>SHW</t>
  </si>
  <si>
    <t>Globicephala macrorhynchus</t>
  </si>
  <si>
    <t>Short-finned pilot whale</t>
  </si>
  <si>
    <t>Globicéphale tropical</t>
  </si>
  <si>
    <t>Calderón de aletas cortas</t>
  </si>
  <si>
    <t>SIW</t>
  </si>
  <si>
    <t>Balaenoptera borealis</t>
  </si>
  <si>
    <t>Sei whale</t>
  </si>
  <si>
    <t>Rorqual de Rudolphi</t>
  </si>
  <si>
    <t>Rorcual del Norte</t>
  </si>
  <si>
    <t>SPW</t>
  </si>
  <si>
    <t>Physeter macrocephalus</t>
  </si>
  <si>
    <t>Sperm whale</t>
  </si>
  <si>
    <t>Cachalot</t>
  </si>
  <si>
    <t>Cachalote</t>
  </si>
  <si>
    <t>SXQ</t>
  </si>
  <si>
    <t>Arctocephalus spp</t>
  </si>
  <si>
    <t>Fur seals nei</t>
  </si>
  <si>
    <t>Otaries nca</t>
  </si>
  <si>
    <t>Lobos finos nep</t>
  </si>
  <si>
    <t>MEP</t>
  </si>
  <si>
    <t>Mesoplodon spp</t>
  </si>
  <si>
    <t>Beaked whales nei</t>
  </si>
  <si>
    <t>DLP</t>
  </si>
  <si>
    <t>Delphinidae</t>
  </si>
  <si>
    <t>Dolphins nei</t>
  </si>
  <si>
    <t>Dauphins nca</t>
  </si>
  <si>
    <t>Delfínidos nep</t>
  </si>
  <si>
    <t>CZE</t>
  </si>
  <si>
    <t>Calonectris edwardsii</t>
  </si>
  <si>
    <t>Cape Verde Shearwater</t>
  </si>
  <si>
    <t>Puffin du Cap-Vert</t>
  </si>
  <si>
    <t>Pardela cenicienta de Edwards</t>
  </si>
  <si>
    <t>FPA</t>
  </si>
  <si>
    <t>Fratercula arctica</t>
  </si>
  <si>
    <t>Atlantic puffin</t>
  </si>
  <si>
    <t>Macareux moine</t>
  </si>
  <si>
    <t>Frailecillo atlántico</t>
  </si>
  <si>
    <t>FNO</t>
  </si>
  <si>
    <t>Fulmarus glacialis</t>
  </si>
  <si>
    <t>Northern fulmar</t>
  </si>
  <si>
    <t>Fulmar boréal</t>
  </si>
  <si>
    <t>Fulmar norteño</t>
  </si>
  <si>
    <t>LHZ</t>
  </si>
  <si>
    <t>Larus argentatus</t>
  </si>
  <si>
    <t>Herring gull</t>
  </si>
  <si>
    <t>Goéland argenté</t>
  </si>
  <si>
    <t>Gaviota argéntea</t>
  </si>
  <si>
    <t>LVA</t>
  </si>
  <si>
    <t>Larus atricilla</t>
  </si>
  <si>
    <t>Laughing gull</t>
  </si>
  <si>
    <t>Mouette atricille</t>
  </si>
  <si>
    <t>Gaviota reidora americana</t>
  </si>
  <si>
    <t>LVH</t>
  </si>
  <si>
    <t>Larus audouinii</t>
  </si>
  <si>
    <t>Audouin's gull</t>
  </si>
  <si>
    <t>Goéland d'Audouin</t>
  </si>
  <si>
    <t>Gaviota de Audouin</t>
  </si>
  <si>
    <t>LVJ</t>
  </si>
  <si>
    <t>Larus cachinnans</t>
  </si>
  <si>
    <t>Yellow-legged gull</t>
  </si>
  <si>
    <t>Goéland leucophée</t>
  </si>
  <si>
    <t>Gaviota patiamarilla</t>
  </si>
  <si>
    <t>LVU</t>
  </si>
  <si>
    <t>Larus marinus</t>
  </si>
  <si>
    <t>Great black-backed gull</t>
  </si>
  <si>
    <t>Goéland marin</t>
  </si>
  <si>
    <t>Gavión atlántico</t>
  </si>
  <si>
    <t>MVB</t>
  </si>
  <si>
    <t>Morus bassanus</t>
  </si>
  <si>
    <t>Northern gannet</t>
  </si>
  <si>
    <t>Fou De Bassan</t>
  </si>
  <si>
    <t>Alcatraz Atlántico</t>
  </si>
  <si>
    <t>MWE</t>
  </si>
  <si>
    <t>Morus capensis</t>
  </si>
  <si>
    <t>Cape gannet</t>
  </si>
  <si>
    <t>Fou Du Cap</t>
  </si>
  <si>
    <t>Alcatraz del Cabo</t>
  </si>
  <si>
    <t>DAQ</t>
  </si>
  <si>
    <t>Phoebastria albatrus</t>
  </si>
  <si>
    <t>Short-tailed albatross</t>
  </si>
  <si>
    <t>Albatros à queue courte</t>
  </si>
  <si>
    <t>Albatros rabón</t>
  </si>
  <si>
    <t>PJZ</t>
  </si>
  <si>
    <t>Pterodroma arminjoniana</t>
  </si>
  <si>
    <t>Trindade petrel</t>
  </si>
  <si>
    <t>Pétrel de la Trinité du Sud</t>
  </si>
  <si>
    <t>Petrel de la Trinidade</t>
  </si>
  <si>
    <t>HJW</t>
  </si>
  <si>
    <t>Pterodroma cahow</t>
  </si>
  <si>
    <t>Bermuda petrel</t>
  </si>
  <si>
    <t>Pétrel des Bermudes</t>
  </si>
  <si>
    <t>Petrel Cahow</t>
  </si>
  <si>
    <t>HWS</t>
  </si>
  <si>
    <t>Pterodroma hasitata</t>
  </si>
  <si>
    <t>Black-capped petrel</t>
  </si>
  <si>
    <t>Pétrel diablotin</t>
  </si>
  <si>
    <t>Petrel antillano</t>
  </si>
  <si>
    <t>UIL</t>
  </si>
  <si>
    <t>Puffinus lherminieri</t>
  </si>
  <si>
    <t>Audubon's shearwater</t>
  </si>
  <si>
    <t>Puffin d'Audubon</t>
  </si>
  <si>
    <t>Pardela de Audubon</t>
  </si>
  <si>
    <t>UIM</t>
  </si>
  <si>
    <t>Puffinus mauretanicus</t>
  </si>
  <si>
    <t>Balearic shearwater</t>
  </si>
  <si>
    <t>Puffin des Baléares</t>
  </si>
  <si>
    <t>Pardela pichoneta balear</t>
  </si>
  <si>
    <t>UIP</t>
  </si>
  <si>
    <t>Puffinus puffinus</t>
  </si>
  <si>
    <t>Manx shearwater</t>
  </si>
  <si>
    <t>Puffin des anglais</t>
  </si>
  <si>
    <t>Pardela pichoneta</t>
  </si>
  <si>
    <t>UYE</t>
  </si>
  <si>
    <t>Puffinus yelkouan</t>
  </si>
  <si>
    <t>Yelkouan shearwater</t>
  </si>
  <si>
    <t>Puffin de Méditerranée</t>
  </si>
  <si>
    <t>Pardela mediterránea</t>
  </si>
  <si>
    <t>CDI</t>
  </si>
  <si>
    <t>Calonectris diomedea</t>
  </si>
  <si>
    <t>Cory's shearwater</t>
  </si>
  <si>
    <t>Puffin cendré</t>
  </si>
  <si>
    <t>Pardela cenicienta</t>
  </si>
  <si>
    <t>CSK</t>
  </si>
  <si>
    <t>Stercorarius skua</t>
  </si>
  <si>
    <t>Great skua</t>
  </si>
  <si>
    <t>Grand Labbe</t>
  </si>
  <si>
    <t>Págalo Grande</t>
  </si>
  <si>
    <t>DAC</t>
  </si>
  <si>
    <t>Daption capense</t>
  </si>
  <si>
    <t>Cape petrel</t>
  </si>
  <si>
    <t>Damier Du Cap</t>
  </si>
  <si>
    <t>Petrel darnero</t>
  </si>
  <si>
    <t>DBN</t>
  </si>
  <si>
    <t>Diomedea dabbenena</t>
  </si>
  <si>
    <t>Tristan albatross</t>
  </si>
  <si>
    <t>Albatros de Tristan</t>
  </si>
  <si>
    <t>Albatros de Tristán</t>
  </si>
  <si>
    <t>DCR</t>
  </si>
  <si>
    <t>Thalassarche chlororhynchos</t>
  </si>
  <si>
    <t>Atlant. yellow-nosed albatross</t>
  </si>
  <si>
    <t>Albatros à nez jaune</t>
  </si>
  <si>
    <t>Albatros pico amarillo y negro</t>
  </si>
  <si>
    <t>DCU</t>
  </si>
  <si>
    <t>Thalassarche cauta</t>
  </si>
  <si>
    <t>Shy albatross</t>
  </si>
  <si>
    <t>Albatros timide</t>
  </si>
  <si>
    <t>Albatros Frentiblanco</t>
  </si>
  <si>
    <t>DIC</t>
  </si>
  <si>
    <t>Thalassarche chrysostoma</t>
  </si>
  <si>
    <t>Grey-headed albatross</t>
  </si>
  <si>
    <t>Albatros À Tête Grise</t>
  </si>
  <si>
    <t>Albatros de cabeza gris</t>
  </si>
  <si>
    <t>DIM</t>
  </si>
  <si>
    <t>Thalassarche melanophrys</t>
  </si>
  <si>
    <t>Black-browed albatross</t>
  </si>
  <si>
    <t>Albatros à sourcils noirs</t>
  </si>
  <si>
    <t>Albatros ceja negra</t>
  </si>
  <si>
    <t>DIP</t>
  </si>
  <si>
    <t>Diomedea epomophora</t>
  </si>
  <si>
    <t>Southern royal albatross</t>
  </si>
  <si>
    <t>Albatros royal</t>
  </si>
  <si>
    <t>Albatros real</t>
  </si>
  <si>
    <t>DIQ</t>
  </si>
  <si>
    <t>Diomedea sanfordi</t>
  </si>
  <si>
    <t>Northern royal albatross</t>
  </si>
  <si>
    <t>Albatros royal du Nord</t>
  </si>
  <si>
    <t>Albatros real del norte</t>
  </si>
  <si>
    <t>DIX</t>
  </si>
  <si>
    <t>Diomedea exulans</t>
  </si>
  <si>
    <t>Wandering albatross</t>
  </si>
  <si>
    <t>Albatros hurleur</t>
  </si>
  <si>
    <t>Albatros errante</t>
  </si>
  <si>
    <t>DKN</t>
  </si>
  <si>
    <t>Phoebastria nigripes</t>
  </si>
  <si>
    <t>Black-footed albatross</t>
  </si>
  <si>
    <t>Albatros à pieds noirs</t>
  </si>
  <si>
    <t>Albatros de patas negras</t>
  </si>
  <si>
    <t>FUG</t>
  </si>
  <si>
    <t>Fulmarus glacialoides</t>
  </si>
  <si>
    <t>Southern fulmar</t>
  </si>
  <si>
    <t>Fulmar Argenté</t>
  </si>
  <si>
    <t>Fulmar austral</t>
  </si>
  <si>
    <t>MAH</t>
  </si>
  <si>
    <t>Macronectes halli</t>
  </si>
  <si>
    <t>Hall's giant petrel</t>
  </si>
  <si>
    <t>Pétrel De Hall</t>
  </si>
  <si>
    <t>Petrel gigante de Hall</t>
  </si>
  <si>
    <t>MAI</t>
  </si>
  <si>
    <t>Macronectes giganteus</t>
  </si>
  <si>
    <t>Antarctic giant petrel</t>
  </si>
  <si>
    <t>Pétrel géant</t>
  </si>
  <si>
    <t>Petrel gigante común</t>
  </si>
  <si>
    <t>PCI</t>
  </si>
  <si>
    <t>Procellaria cinerea</t>
  </si>
  <si>
    <t>Grey petrel</t>
  </si>
  <si>
    <t>Puffin Gris</t>
  </si>
  <si>
    <t>Pardela Gris</t>
  </si>
  <si>
    <t>PCN</t>
  </si>
  <si>
    <t>Procellaria conspicillata</t>
  </si>
  <si>
    <t>Spectacled petrel</t>
  </si>
  <si>
    <t>Pétrel à lunettes</t>
  </si>
  <si>
    <t>Petrel mentón blanco</t>
  </si>
  <si>
    <t>PDM</t>
  </si>
  <si>
    <t>Pterodroma macroptera</t>
  </si>
  <si>
    <t>Great-winged petrel</t>
  </si>
  <si>
    <t>Pétrel Noir</t>
  </si>
  <si>
    <t>Petrel aligrande</t>
  </si>
  <si>
    <t>PFC</t>
  </si>
  <si>
    <t>Puffinus carneipes</t>
  </si>
  <si>
    <t>Flesh-footed shearwater</t>
  </si>
  <si>
    <t>Puffin à pieds pâles</t>
  </si>
  <si>
    <t>Pardela paticlara</t>
  </si>
  <si>
    <t>PFG</t>
  </si>
  <si>
    <t>Puffinus griseus</t>
  </si>
  <si>
    <t>Sooty shearwater</t>
  </si>
  <si>
    <t>Puffin fuligineux</t>
  </si>
  <si>
    <t>Pardela sombría</t>
  </si>
  <si>
    <t>PHE</t>
  </si>
  <si>
    <t>Phoebetria palpebrata</t>
  </si>
  <si>
    <t>Light-mantled sooty albatross</t>
  </si>
  <si>
    <t>Albatros fuligineux</t>
  </si>
  <si>
    <t>Albatros oscuro de manto claro</t>
  </si>
  <si>
    <t>PHU</t>
  </si>
  <si>
    <t>Phoebetria fusca</t>
  </si>
  <si>
    <t>Sooty albatross</t>
  </si>
  <si>
    <t>Albatros Brun</t>
  </si>
  <si>
    <t>Albatros Ahumado</t>
  </si>
  <si>
    <t>PRO</t>
  </si>
  <si>
    <t>Procellaria aequinoctialis</t>
  </si>
  <si>
    <t>White-chinned petrel</t>
  </si>
  <si>
    <t>Puffin à menton blanc</t>
  </si>
  <si>
    <t>Pardela Gorgiblanca</t>
  </si>
  <si>
    <t>PUG</t>
  </si>
  <si>
    <t>Puffinus gravis</t>
  </si>
  <si>
    <t>Great shearwater</t>
  </si>
  <si>
    <t>Puffin majeur</t>
  </si>
  <si>
    <t>Pardela capirotada</t>
  </si>
  <si>
    <t>TQH</t>
  </si>
  <si>
    <t>Thalassarche carteri</t>
  </si>
  <si>
    <t>Indian yellow-nosed albatross</t>
  </si>
  <si>
    <t>Albatros de l'océan indien</t>
  </si>
  <si>
    <t>Albatros índico pico amarillo</t>
  </si>
  <si>
    <t>TWD</t>
  </si>
  <si>
    <t>Thalassarche steadi</t>
  </si>
  <si>
    <t>White-capped albatross</t>
  </si>
  <si>
    <t>Albatros à cape blanche</t>
  </si>
  <si>
    <t>Albatros de Auckland</t>
  </si>
  <si>
    <t>ALZ</t>
  </si>
  <si>
    <t>Diomedeidae</t>
  </si>
  <si>
    <t>Albatrosses nei</t>
  </si>
  <si>
    <t>Albatros nca</t>
  </si>
  <si>
    <t>Albatros nep</t>
  </si>
  <si>
    <t>DKK</t>
  </si>
  <si>
    <t>Dermochelys coriacea</t>
  </si>
  <si>
    <t>Leatherback turtle</t>
  </si>
  <si>
    <t>Tortue Luth</t>
  </si>
  <si>
    <t>Tortuga Laud</t>
  </si>
  <si>
    <t>LKV</t>
  </si>
  <si>
    <t>Lepidochelys olivacea</t>
  </si>
  <si>
    <t>Olive Ridley turtle</t>
  </si>
  <si>
    <t>Tortue olivatre</t>
  </si>
  <si>
    <t>Tortuga golfina</t>
  </si>
  <si>
    <t>LKY</t>
  </si>
  <si>
    <t>Lepidochelys kempii</t>
  </si>
  <si>
    <t>Kemp's ridley turtle</t>
  </si>
  <si>
    <t>Tortue de Kemp</t>
  </si>
  <si>
    <t>Tortuga lora</t>
  </si>
  <si>
    <t>TTH</t>
  </si>
  <si>
    <t>Eretmochelys imbricata</t>
  </si>
  <si>
    <t>Hawksbill turtle</t>
  </si>
  <si>
    <t>Tortue caret</t>
  </si>
  <si>
    <t>Tortuga carey</t>
  </si>
  <si>
    <t>TTL</t>
  </si>
  <si>
    <t>Caretta caretta</t>
  </si>
  <si>
    <t>Loggerhead turtle</t>
  </si>
  <si>
    <t>Caouane</t>
  </si>
  <si>
    <t>Caguama</t>
  </si>
  <si>
    <t>TUG</t>
  </si>
  <si>
    <t>Chelonia mydas</t>
  </si>
  <si>
    <t>Green turtle</t>
  </si>
  <si>
    <t>Tortue verte</t>
  </si>
  <si>
    <t>Tortuga verde</t>
  </si>
  <si>
    <t>TTX</t>
  </si>
  <si>
    <t>Cheloniidae</t>
  </si>
  <si>
    <t>Marine turtles nei</t>
  </si>
  <si>
    <t>Tortues de mer nca</t>
  </si>
  <si>
    <t>Tortugas de mar nep</t>
  </si>
  <si>
    <t>SFL</t>
  </si>
  <si>
    <t>FlagName</t>
  </si>
  <si>
    <t>FlagA3ISO</t>
  </si>
  <si>
    <t>FlagA2ISO</t>
  </si>
  <si>
    <t>AL</t>
  </si>
  <si>
    <t>DZ</t>
  </si>
  <si>
    <t>AO</t>
  </si>
  <si>
    <t>BZ</t>
  </si>
  <si>
    <t>BR</t>
  </si>
  <si>
    <t>CA</t>
  </si>
  <si>
    <t>CV</t>
  </si>
  <si>
    <t>CN</t>
  </si>
  <si>
    <t>CW</t>
  </si>
  <si>
    <t>CI</t>
  </si>
  <si>
    <t>BEL</t>
  </si>
  <si>
    <t>BE</t>
  </si>
  <si>
    <t>BGR</t>
  </si>
  <si>
    <t>BG</t>
  </si>
  <si>
    <t>HRV</t>
  </si>
  <si>
    <t>HR</t>
  </si>
  <si>
    <t>CYP</t>
  </si>
  <si>
    <t>CY</t>
  </si>
  <si>
    <t>DNK</t>
  </si>
  <si>
    <t>DK</t>
  </si>
  <si>
    <t>ESP</t>
  </si>
  <si>
    <t>ES</t>
  </si>
  <si>
    <t>EST</t>
  </si>
  <si>
    <t>EE</t>
  </si>
  <si>
    <t>FRA</t>
  </si>
  <si>
    <t>FR</t>
  </si>
  <si>
    <t>DEU</t>
  </si>
  <si>
    <t>DE</t>
  </si>
  <si>
    <t>GRC</t>
  </si>
  <si>
    <t>GR</t>
  </si>
  <si>
    <t>HUN</t>
  </si>
  <si>
    <t>HU</t>
  </si>
  <si>
    <t>IRL</t>
  </si>
  <si>
    <t>IE</t>
  </si>
  <si>
    <t>ITA</t>
  </si>
  <si>
    <t>IT</t>
  </si>
  <si>
    <t>LV</t>
  </si>
  <si>
    <t>LTU</t>
  </si>
  <si>
    <t>LT</t>
  </si>
  <si>
    <t>MLT</t>
  </si>
  <si>
    <t>MT</t>
  </si>
  <si>
    <t>NLD</t>
  </si>
  <si>
    <t>NL</t>
  </si>
  <si>
    <t>POL</t>
  </si>
  <si>
    <t>PL</t>
  </si>
  <si>
    <t>PRT</t>
  </si>
  <si>
    <t>PT</t>
  </si>
  <si>
    <t>RO</t>
  </si>
  <si>
    <t>SVN</t>
  </si>
  <si>
    <t>SI</t>
  </si>
  <si>
    <t>SWE</t>
  </si>
  <si>
    <t>SE</t>
  </si>
  <si>
    <t>GBR</t>
  </si>
  <si>
    <t>GB</t>
  </si>
  <si>
    <t>EG</t>
  </si>
  <si>
    <t>SV</t>
  </si>
  <si>
    <t>SPM</t>
  </si>
  <si>
    <t>PM</t>
  </si>
  <si>
    <t>GA</t>
  </si>
  <si>
    <t>GH</t>
  </si>
  <si>
    <t>GT</t>
  </si>
  <si>
    <t>GW</t>
  </si>
  <si>
    <t>GQ</t>
  </si>
  <si>
    <t>HN</t>
  </si>
  <si>
    <t>IS</t>
  </si>
  <si>
    <t>JP</t>
  </si>
  <si>
    <t>KR</t>
  </si>
  <si>
    <t>LR</t>
  </si>
  <si>
    <t>LY</t>
  </si>
  <si>
    <t>MA</t>
  </si>
  <si>
    <t>MR</t>
  </si>
  <si>
    <t>MX</t>
  </si>
  <si>
    <t>NA</t>
  </si>
  <si>
    <t>NI</t>
  </si>
  <si>
    <t>NG</t>
  </si>
  <si>
    <t>NO</t>
  </si>
  <si>
    <t>PA</t>
  </si>
  <si>
    <t>PH</t>
  </si>
  <si>
    <t>RU</t>
  </si>
  <si>
    <t>ST</t>
  </si>
  <si>
    <t>SN</t>
  </si>
  <si>
    <t>SL</t>
  </si>
  <si>
    <t>ZA</t>
  </si>
  <si>
    <t>VC</t>
  </si>
  <si>
    <t>SY</t>
  </si>
  <si>
    <t>TT</t>
  </si>
  <si>
    <t>US</t>
  </si>
  <si>
    <t>BMU</t>
  </si>
  <si>
    <t>BM</t>
  </si>
  <si>
    <t>VGB</t>
  </si>
  <si>
    <t>VG</t>
  </si>
  <si>
    <t>SHN</t>
  </si>
  <si>
    <t>SH</t>
  </si>
  <si>
    <t>TCA</t>
  </si>
  <si>
    <t>TC</t>
  </si>
  <si>
    <t>UY</t>
  </si>
  <si>
    <t>VU</t>
  </si>
  <si>
    <t>VE</t>
  </si>
  <si>
    <t>BO</t>
  </si>
  <si>
    <t>TWN</t>
  </si>
  <si>
    <t>CR</t>
  </si>
  <si>
    <t>GY</t>
  </si>
  <si>
    <t>SR</t>
  </si>
  <si>
    <t>AD</t>
  </si>
  <si>
    <t>AI</t>
  </si>
  <si>
    <t>AG</t>
  </si>
  <si>
    <t>AR</t>
  </si>
  <si>
    <t>AW</t>
  </si>
  <si>
    <t>AU</t>
  </si>
  <si>
    <t>BS</t>
  </si>
  <si>
    <t>BY</t>
  </si>
  <si>
    <t>BJ</t>
  </si>
  <si>
    <t>BN</t>
  </si>
  <si>
    <t>KH</t>
  </si>
  <si>
    <t>CM</t>
  </si>
  <si>
    <t>KY</t>
  </si>
  <si>
    <t>CL</t>
  </si>
  <si>
    <t>CO</t>
  </si>
  <si>
    <t>CG</t>
  </si>
  <si>
    <t>CK</t>
  </si>
  <si>
    <t>CU</t>
  </si>
  <si>
    <t>DM</t>
  </si>
  <si>
    <t>DO</t>
  </si>
  <si>
    <t>EC</t>
  </si>
  <si>
    <t>FK</t>
  </si>
  <si>
    <t>FO</t>
  </si>
  <si>
    <t>FJ</t>
  </si>
  <si>
    <t>GM</t>
  </si>
  <si>
    <t>GE</t>
  </si>
  <si>
    <t>GD</t>
  </si>
  <si>
    <t>GU</t>
  </si>
  <si>
    <t>HT</t>
  </si>
  <si>
    <t>IN</t>
  </si>
  <si>
    <t>ID</t>
  </si>
  <si>
    <t>IR</t>
  </si>
  <si>
    <t>IL</t>
  </si>
  <si>
    <t>JM</t>
  </si>
  <si>
    <t>KE</t>
  </si>
  <si>
    <t>KI</t>
  </si>
  <si>
    <t>KW</t>
  </si>
  <si>
    <t>LB</t>
  </si>
  <si>
    <t>MG</t>
  </si>
  <si>
    <t>MY</t>
  </si>
  <si>
    <t>MV</t>
  </si>
  <si>
    <t>MH</t>
  </si>
  <si>
    <t>MU</t>
  </si>
  <si>
    <t>FM</t>
  </si>
  <si>
    <t>ME</t>
  </si>
  <si>
    <t>MZ</t>
  </si>
  <si>
    <t>NC</t>
  </si>
  <si>
    <t>NZ</t>
  </si>
  <si>
    <t>OM</t>
  </si>
  <si>
    <t>PW</t>
  </si>
  <si>
    <t>PG</t>
  </si>
  <si>
    <t>PE</t>
  </si>
  <si>
    <t>PF</t>
  </si>
  <si>
    <t>PR</t>
  </si>
  <si>
    <t>KN</t>
  </si>
  <si>
    <t>WS</t>
  </si>
  <si>
    <t>SA</t>
  </si>
  <si>
    <t>RS</t>
  </si>
  <si>
    <t>SC</t>
  </si>
  <si>
    <t>SG</t>
  </si>
  <si>
    <t>SB</t>
  </si>
  <si>
    <t>LK</t>
  </si>
  <si>
    <t>LC</t>
  </si>
  <si>
    <t>CH</t>
  </si>
  <si>
    <t>TZ</t>
  </si>
  <si>
    <t>TH</t>
  </si>
  <si>
    <t>TG</t>
  </si>
  <si>
    <t>TO</t>
  </si>
  <si>
    <t>TV</t>
  </si>
  <si>
    <t>VI</t>
  </si>
  <si>
    <t>UA</t>
  </si>
  <si>
    <t>AE</t>
  </si>
  <si>
    <t>VN</t>
  </si>
  <si>
    <t>SpeciesCd</t>
  </si>
  <si>
    <t>FieldID</t>
  </si>
  <si>
    <t>Order</t>
  </si>
  <si>
    <t>Item</t>
  </si>
  <si>
    <t>FieldType</t>
  </si>
  <si>
    <t>FldNameEN</t>
  </si>
  <si>
    <t>FldNameFR</t>
  </si>
  <si>
    <t>FldNameES</t>
  </si>
  <si>
    <t>FldInstructEN</t>
  </si>
  <si>
    <t>FldInstructFR</t>
  </si>
  <si>
    <t>FldInstructES</t>
  </si>
  <si>
    <t>T00</t>
  </si>
  <si>
    <t>n/a</t>
  </si>
  <si>
    <t>T01</t>
  </si>
  <si>
    <t>subtitle</t>
  </si>
  <si>
    <t>ICCAT</t>
  </si>
  <si>
    <t>CICTA</t>
  </si>
  <si>
    <t>CICAA</t>
  </si>
  <si>
    <t>T03</t>
  </si>
  <si>
    <t>section</t>
  </si>
  <si>
    <t>T04</t>
  </si>
  <si>
    <t>field</t>
  </si>
  <si>
    <t>(fixed)</t>
  </si>
  <si>
    <t>Versión</t>
  </si>
  <si>
    <t>ICCAT code</t>
  </si>
  <si>
    <t>H00</t>
  </si>
  <si>
    <t>Tête</t>
  </si>
  <si>
    <t>Cabecera</t>
  </si>
  <si>
    <t>(auto)</t>
  </si>
  <si>
    <t>H10</t>
  </si>
  <si>
    <t>Corresponsal estadístico</t>
  </si>
  <si>
    <t>H11</t>
  </si>
  <si>
    <t>subsection</t>
  </si>
  <si>
    <t>H12</t>
  </si>
  <si>
    <t>H20</t>
  </si>
  <si>
    <t>Réservé au Secrétariat</t>
  </si>
  <si>
    <t>Reservado a la Secretaría</t>
  </si>
  <si>
    <t>H21</t>
  </si>
  <si>
    <t>Filtering criteria</t>
  </si>
  <si>
    <t>Critères de filtrage</t>
  </si>
  <si>
    <t>Criterios de filtrado</t>
  </si>
  <si>
    <t>H30</t>
  </si>
  <si>
    <t>H31</t>
  </si>
  <si>
    <t>H40</t>
  </si>
  <si>
    <t>Other attributes</t>
  </si>
  <si>
    <t>Autres attributs</t>
  </si>
  <si>
    <t>Otros atributos</t>
  </si>
  <si>
    <t>hName</t>
  </si>
  <si>
    <t>hEmail</t>
  </si>
  <si>
    <t>hPhone</t>
  </si>
  <si>
    <t>hInstit</t>
  </si>
  <si>
    <t>hDepart</t>
  </si>
  <si>
    <t>hAddress</t>
  </si>
  <si>
    <t>hCountry</t>
  </si>
  <si>
    <t>hFlagrep</t>
  </si>
  <si>
    <t>Reporting Flag</t>
  </si>
  <si>
    <t>hYearC</t>
  </si>
  <si>
    <t>integer</t>
  </si>
  <si>
    <t>hVersion</t>
  </si>
  <si>
    <t>Version reported</t>
  </si>
  <si>
    <t>Version transmise</t>
  </si>
  <si>
    <t>Versión declarada</t>
  </si>
  <si>
    <t>hDaterep</t>
  </si>
  <si>
    <t>date</t>
  </si>
  <si>
    <t>Date reported</t>
  </si>
  <si>
    <t>Date de déclaration</t>
  </si>
  <si>
    <t>Fecha de notificación</t>
  </si>
  <si>
    <t>Reservado a la Sacretaría</t>
  </si>
  <si>
    <t>hRef</t>
  </si>
  <si>
    <t>Reference Nº</t>
  </si>
  <si>
    <t>Nº Reference</t>
  </si>
  <si>
    <t>Nº Referencia</t>
  </si>
  <si>
    <t>hFName</t>
  </si>
  <si>
    <t>File name (proposed)</t>
  </si>
  <si>
    <t>Nom du fichier (proposé)</t>
  </si>
  <si>
    <t>Nombre de archivo (propuesto)</t>
  </si>
  <si>
    <t>Send the form to ICCAT with the proposed file name (if required, suffix it with an ID at the end)</t>
  </si>
  <si>
    <t>Enviar el formulario a ICCAT con el nombre del archivo propuesto (si necesario, añadir como sufijo un ID al final)</t>
  </si>
  <si>
    <t>hFilter1</t>
  </si>
  <si>
    <t>boolean</t>
  </si>
  <si>
    <t>Filter 1</t>
  </si>
  <si>
    <t>Filtre 1</t>
  </si>
  <si>
    <t>Filtro 1</t>
  </si>
  <si>
    <t>hFilter2</t>
  </si>
  <si>
    <t>Filter 2</t>
  </si>
  <si>
    <t>Filtre 2</t>
  </si>
  <si>
    <t>Filtro 2</t>
  </si>
  <si>
    <t>hNotes</t>
  </si>
  <si>
    <t>a)</t>
  </si>
  <si>
    <t>b)</t>
  </si>
  <si>
    <t>c)</t>
  </si>
  <si>
    <t>d)</t>
  </si>
  <si>
    <t>hLandingPort</t>
  </si>
  <si>
    <t>Data by Landing Operation(s)</t>
  </si>
  <si>
    <t>Données par débarquement(s)</t>
  </si>
  <si>
    <t>Thonidés Tropicaux Zone d'échantillonnage du moratoire</t>
  </si>
  <si>
    <t>Túnidos Tropicales Zona de muestreo de la moratoria</t>
  </si>
  <si>
    <t>Table. Version types</t>
  </si>
  <si>
    <t>VersionDescript</t>
  </si>
  <si>
    <t>Final</t>
  </si>
  <si>
    <t>Final estimations (no changes expected)</t>
  </si>
  <si>
    <t>Preliminary</t>
  </si>
  <si>
    <t>Preliminary estimates (changes expected)</t>
  </si>
  <si>
    <t>Table. Content types</t>
  </si>
  <si>
    <t>Content</t>
  </si>
  <si>
    <t>ContentDescript</t>
  </si>
  <si>
    <t>Revision (FULL)</t>
  </si>
  <si>
    <t>Revision (PARTIAL)</t>
  </si>
  <si>
    <t>Identification</t>
  </si>
  <si>
    <t>Identificación</t>
  </si>
  <si>
    <t>e)</t>
  </si>
  <si>
    <t>G00</t>
  </si>
  <si>
    <t>General</t>
  </si>
  <si>
    <t>Instructions</t>
  </si>
  <si>
    <t>Instrucciones</t>
  </si>
  <si>
    <t>Instructions to complete the form</t>
  </si>
  <si>
    <t>Instructions pour remplir le formulaire</t>
  </si>
  <si>
    <t>Instrucciones para cumplimentar el formulario</t>
  </si>
  <si>
    <t>G01</t>
  </si>
  <si>
    <t>G01a</t>
  </si>
  <si>
    <t>item</t>
  </si>
  <si>
    <t>General01</t>
  </si>
  <si>
    <t>Complete as far as possible the Header and Detail sections (don't leave fields empty when information is known)</t>
  </si>
  <si>
    <t>Remplir, dans la mesure du possible, les sections "en-tête" et "information détaillée" (ne pas laisser de champs vides lorsque l'information est connue)</t>
  </si>
  <si>
    <t>Cumplimentar con la mayor información posible las secciones "cabecera" e "información detallada" (no dejar campos vacíos cuando se conoce la información)</t>
  </si>
  <si>
    <t>G01b</t>
  </si>
  <si>
    <t>General02</t>
  </si>
  <si>
    <t>In Header section, only white cells can be filled (manually or by selecting from the Combo Box the corresponding code)</t>
  </si>
  <si>
    <t>Dans la section d'en-tête, seules les cellules vides peuvent être remplies (manuellement ou en sélectionnant le code correspondant dans le menu déroulant)</t>
  </si>
  <si>
    <t>En la sección de cabecera, sólo pueden cumplimentarse las celdas en blanco (manualmente o seleccionando en la pestaña desplegable el código correspondiente)</t>
  </si>
  <si>
    <t>G01c</t>
  </si>
  <si>
    <t>General03</t>
  </si>
  <si>
    <t>Always use ICCAT standard codes (when element "OTHERS" of various fields is required it must be explicitly described in "Notes")</t>
  </si>
  <si>
    <t>Toujours utiliser les codes standard ICCAT (si l'élément "AUTRES" de divers champs est requis, celui-ci doit être explicitement décrit dans la rubrique "notes")</t>
  </si>
  <si>
    <t>Utilice siempre los códigos estándar ICCAT (cuando se requiere el elemento "OTROS" de varios campos, éste debe describirse explícitamente en las "Notas")</t>
  </si>
  <si>
    <t>G01d</t>
  </si>
  <si>
    <t>General04</t>
  </si>
  <si>
    <t>Recomendación para los usuarios con bases de datos: para pegar un conjunto de datos completo en la sección de información detallada (debe tener la misma estructura y formato) se debe utilizar "Paste special (values)"</t>
  </si>
  <si>
    <t>G01e</t>
  </si>
  <si>
    <t>General05</t>
  </si>
  <si>
    <t>Leave "blank" the fields for which you don't collect information</t>
  </si>
  <si>
    <t>Specific</t>
  </si>
  <si>
    <t>Specific (by field)</t>
  </si>
  <si>
    <t>Spécifique (par champ)</t>
  </si>
  <si>
    <t>Específico (por campo)</t>
  </si>
  <si>
    <t>SC01</t>
  </si>
  <si>
    <t>Form</t>
  </si>
  <si>
    <t>Formulaire</t>
  </si>
  <si>
    <t>Formulario</t>
  </si>
  <si>
    <t>SC02</t>
  </si>
  <si>
    <t>Sub-form</t>
  </si>
  <si>
    <t>Sous-formulaire</t>
  </si>
  <si>
    <t>Subformulario</t>
  </si>
  <si>
    <t>SC03</t>
  </si>
  <si>
    <t>Part</t>
  </si>
  <si>
    <t>Partie</t>
  </si>
  <si>
    <t>Parte</t>
  </si>
  <si>
    <t>SC04</t>
  </si>
  <si>
    <t xml:space="preserve">Section </t>
  </si>
  <si>
    <t>Sección</t>
  </si>
  <si>
    <t>SC05</t>
  </si>
  <si>
    <t>Sub-section</t>
  </si>
  <si>
    <t>Sous-section</t>
  </si>
  <si>
    <t>Sub-secciones</t>
  </si>
  <si>
    <t>SC06</t>
  </si>
  <si>
    <t>Field (name)</t>
  </si>
  <si>
    <t>Champ (nom)</t>
  </si>
  <si>
    <t>Campo (nombre)</t>
  </si>
  <si>
    <t>SC07</t>
  </si>
  <si>
    <t>Field (format)</t>
  </si>
  <si>
    <t>Champ (format)</t>
  </si>
  <si>
    <t>Campo (formato)</t>
  </si>
  <si>
    <t>SC08</t>
  </si>
  <si>
    <t>Detail</t>
  </si>
  <si>
    <t>Translation for Forms</t>
  </si>
  <si>
    <t>LangFieldID</t>
  </si>
  <si>
    <t>LangNameID</t>
  </si>
  <si>
    <t>Burkina Faso</t>
  </si>
  <si>
    <t>BFA</t>
  </si>
  <si>
    <t>BF</t>
  </si>
  <si>
    <r>
      <t xml:space="preserve">Table. </t>
    </r>
    <r>
      <rPr>
        <sz val="8"/>
        <rFont val="Calibri"/>
        <family val="2"/>
        <scheme val="minor"/>
      </rPr>
      <t>Reporting Flags, Flags of Vessel / Countries (A2 &amp; A3 ISO 3166)</t>
    </r>
  </si>
  <si>
    <r>
      <t xml:space="preserve">Table. </t>
    </r>
    <r>
      <rPr>
        <sz val="8"/>
        <rFont val="Calibri"/>
        <family val="2"/>
        <scheme val="minor"/>
      </rPr>
      <t>Species (Tunas &amp; sharks) standard codes</t>
    </r>
  </si>
  <si>
    <r>
      <t xml:space="preserve">Table. </t>
    </r>
    <r>
      <rPr>
        <sz val="8"/>
        <rFont val="Calibri"/>
        <family val="2"/>
        <scheme val="minor"/>
      </rPr>
      <t>Gears</t>
    </r>
  </si>
  <si>
    <r>
      <t xml:space="preserve">Table. </t>
    </r>
    <r>
      <rPr>
        <sz val="8"/>
        <rFont val="Calibri"/>
        <family val="2"/>
        <scheme val="minor"/>
      </rPr>
      <t>Size frequency types</t>
    </r>
  </si>
  <si>
    <r>
      <t xml:space="preserve">Table. </t>
    </r>
    <r>
      <rPr>
        <sz val="8"/>
        <rFont val="Calibri"/>
        <family val="2"/>
        <scheme val="minor"/>
      </rPr>
      <t>Product types (form)</t>
    </r>
  </si>
  <si>
    <r>
      <t xml:space="preserve">Table. </t>
    </r>
    <r>
      <rPr>
        <sz val="8"/>
        <rFont val="Calibri"/>
        <family val="2"/>
        <scheme val="minor"/>
      </rPr>
      <t>Sex (form)</t>
    </r>
  </si>
  <si>
    <t>T02</t>
  </si>
  <si>
    <t>Title</t>
  </si>
  <si>
    <t>ST10B</t>
  </si>
  <si>
    <t>ST10A</t>
  </si>
  <si>
    <t>Titre</t>
  </si>
  <si>
    <t>Título</t>
  </si>
  <si>
    <t>Form Title</t>
  </si>
  <si>
    <t>Titre du formulaire</t>
  </si>
  <si>
    <t>Título del formulario</t>
  </si>
  <si>
    <t>string</t>
  </si>
  <si>
    <t>float</t>
  </si>
  <si>
    <t>SzDataYN</t>
  </si>
  <si>
    <t>BETpt</t>
  </si>
  <si>
    <t>SKJpt</t>
  </si>
  <si>
    <t>YFTpt</t>
  </si>
  <si>
    <t>D00</t>
  </si>
  <si>
    <t>Content (data)</t>
  </si>
  <si>
    <t>ICCATSerialNo</t>
  </si>
  <si>
    <t>D10</t>
  </si>
  <si>
    <t>D20</t>
  </si>
  <si>
    <t>D30</t>
  </si>
  <si>
    <t>D40</t>
  </si>
  <si>
    <t>Landing operation details</t>
  </si>
  <si>
    <t>Datos por desembarque(s)</t>
  </si>
  <si>
    <t xml:space="preserve">Muestreo (disponibilidad tallas) </t>
  </si>
  <si>
    <t xml:space="preserve">Échantillonnage (disponibilité tailles) </t>
  </si>
  <si>
    <t>Desembarque con muestras (Y/N) ?</t>
  </si>
  <si>
    <t>Landings with samples (Y/N ?</t>
  </si>
  <si>
    <t>Sampling (size availability)</t>
  </si>
  <si>
    <t>Débarquement avec echantillons (Y/N) ?</t>
  </si>
  <si>
    <t>SzPTypeCd</t>
  </si>
  <si>
    <t>Desembarque ID (ST10A)</t>
  </si>
  <si>
    <t>Débarquement ID (ST10A)</t>
  </si>
  <si>
    <t>szLandingID</t>
  </si>
  <si>
    <t>SexCd</t>
  </si>
  <si>
    <t>hContent</t>
  </si>
  <si>
    <t>Contenu (données)</t>
  </si>
  <si>
    <t>Contenido (datos)</t>
  </si>
  <si>
    <t>Tropical Tunas Moratory Sampling Area</t>
  </si>
  <si>
    <t>Landing Operation details</t>
  </si>
  <si>
    <t>Detalles de la operación de desembarque</t>
  </si>
  <si>
    <t>Size Frequency sample details by landing operation</t>
  </si>
  <si>
    <t>Landings (YFT, BET, SKJ)</t>
  </si>
  <si>
    <t>Débarquement (YFT, BET, SKJ)</t>
  </si>
  <si>
    <t>Desembarque (YFT, BET, SKJ)</t>
  </si>
  <si>
    <t>DtLanding</t>
  </si>
  <si>
    <t>VesselName</t>
  </si>
  <si>
    <t>VessNRN</t>
  </si>
  <si>
    <t>FlagVesCd</t>
  </si>
  <si>
    <t>GearCd</t>
  </si>
  <si>
    <t>Détail</t>
  </si>
  <si>
    <t>Detalle</t>
  </si>
  <si>
    <t>D01</t>
  </si>
  <si>
    <t>LenghCm</t>
  </si>
  <si>
    <t>Size (cm)</t>
  </si>
  <si>
    <t>Taille (cm)</t>
  </si>
  <si>
    <t>Talla (cm)</t>
  </si>
  <si>
    <t>Complete this section for each vessel-landing operation by date.  If size samples were taken please add this information to the subform ST10B-PrtSmpSZ</t>
  </si>
  <si>
    <t>SzFreqTypCd</t>
  </si>
  <si>
    <t>AUT</t>
  </si>
  <si>
    <t>AT</t>
  </si>
  <si>
    <t>Djibouti</t>
  </si>
  <si>
    <t>DJI</t>
  </si>
  <si>
    <t>DJ</t>
  </si>
  <si>
    <t>2-Tuna (small t.)</t>
  </si>
  <si>
    <t>3-Tuna (other sp.)</t>
  </si>
  <si>
    <t>4-Sharks (major sp.)</t>
  </si>
  <si>
    <t>5-Sharks (other sp.)</t>
  </si>
  <si>
    <r>
      <t>Etmopterus bullisi</t>
    </r>
    <r>
      <rPr>
        <sz val="9"/>
        <color rgb="FF00000A"/>
        <rFont val="Times New Roman"/>
        <family val="1"/>
      </rPr>
      <t xml:space="preserve"> </t>
    </r>
  </si>
  <si>
    <r>
      <t>Euprotomicrus bispinatus</t>
    </r>
    <r>
      <rPr>
        <sz val="9"/>
        <color rgb="FF00000A"/>
        <rFont val="Times New Roman"/>
        <family val="1"/>
      </rPr>
      <t xml:space="preserve"> </t>
    </r>
  </si>
  <si>
    <r>
      <t>Euprotomicroides zantedeschia</t>
    </r>
    <r>
      <rPr>
        <sz val="9"/>
        <color rgb="FF00000A"/>
        <rFont val="Times New Roman"/>
        <family val="1"/>
      </rPr>
      <t xml:space="preserve"> </t>
    </r>
  </si>
  <si>
    <r>
      <t>Hexanchus nakamurai</t>
    </r>
    <r>
      <rPr>
        <sz val="9"/>
        <color rgb="FF00000A"/>
        <rFont val="Times New Roman"/>
        <family val="1"/>
      </rPr>
      <t xml:space="preserve"> </t>
    </r>
  </si>
  <si>
    <t>Requin-vache</t>
  </si>
  <si>
    <t>Cañabota ojigrande</t>
  </si>
  <si>
    <r>
      <t>Isistius plutodus</t>
    </r>
    <r>
      <rPr>
        <sz val="9"/>
        <color rgb="FF00000A"/>
        <rFont val="Times New Roman"/>
        <family val="1"/>
      </rPr>
      <t xml:space="preserve"> </t>
    </r>
  </si>
  <si>
    <r>
      <t>Mitsukurina owstoni</t>
    </r>
    <r>
      <rPr>
        <sz val="9"/>
        <color rgb="FF00000A"/>
        <rFont val="Times New Roman"/>
        <family val="1"/>
      </rPr>
      <t xml:space="preserve"> </t>
    </r>
  </si>
  <si>
    <r>
      <t>Manta alfredi</t>
    </r>
    <r>
      <rPr>
        <sz val="9"/>
        <color rgb="FF00000A"/>
        <rFont val="Times New Roman"/>
        <family val="1"/>
      </rPr>
      <t xml:space="preserve"> </t>
    </r>
  </si>
  <si>
    <r>
      <t>Deania profundorum</t>
    </r>
    <r>
      <rPr>
        <sz val="9"/>
        <color rgb="FF00000A"/>
        <rFont val="Times New Roman"/>
        <family val="1"/>
      </rPr>
      <t xml:space="preserve"> </t>
    </r>
  </si>
  <si>
    <t>SKH</t>
  </si>
  <si>
    <t>Selachimorpha (Pleurotremata)</t>
  </si>
  <si>
    <t>Various sharks nei</t>
  </si>
  <si>
    <t>Requins divers nca</t>
  </si>
  <si>
    <t>Escualos diversos nep</t>
  </si>
  <si>
    <t>6-Superorder</t>
  </si>
  <si>
    <t>6-Teleosts</t>
  </si>
  <si>
    <t>7-Turtles</t>
  </si>
  <si>
    <t>8-Seabirds</t>
  </si>
  <si>
    <t>9-Mammals</t>
  </si>
  <si>
    <t>New (FULL)</t>
  </si>
  <si>
    <t>New data (never reported to ICCAT): FULL coverage</t>
  </si>
  <si>
    <t>New (PARTIAL)</t>
  </si>
  <si>
    <t>New data (never reported to ICCAT): PARTIAL coverage</t>
  </si>
  <si>
    <t>Revised data (FULL): to fully replace the previously reported data</t>
  </si>
  <si>
    <t>Revised data (PARTIAL): to partially replace the previously reported data</t>
  </si>
  <si>
    <t>(automatic completion)</t>
  </si>
  <si>
    <t>(remplissage automatique)</t>
  </si>
  <si>
    <t>FormID</t>
  </si>
  <si>
    <t>ST10</t>
  </si>
  <si>
    <t>SubFormID</t>
  </si>
  <si>
    <t>Titles</t>
  </si>
  <si>
    <t>Détails de l'opération de débarquement</t>
  </si>
  <si>
    <t>tVersion</t>
  </si>
  <si>
    <t>Always use the lastest version of this form</t>
  </si>
  <si>
    <t>Utiliser toujours la dernière version de ce formulaire</t>
  </si>
  <si>
    <t>Utilice siempre la última versión de este formulario</t>
  </si>
  <si>
    <t>tLang</t>
  </si>
  <si>
    <t>Choose the language (ENG, FRA, ESP) for form translation</t>
  </si>
  <si>
    <t>Choisir la langue (ENG, FRA, ESP) pour la traduction du formulaire</t>
  </si>
  <si>
    <t>Elija el idioma (ENG, FRA, ESP) para la traducción del formulario</t>
  </si>
  <si>
    <t>(cumplimentaciónn automática)</t>
  </si>
  <si>
    <t>Caractéristiques jeu de données</t>
  </si>
  <si>
    <t>Características conjunto de datos</t>
  </si>
  <si>
    <t>Name (full OR Name &amp; Surname) of the Statistical Correspondent (officially nominated by the CPC)</t>
  </si>
  <si>
    <t>Nom (complet OU Prénom et Nom) du correspondant statistique (officiellement désigné par la CPC)</t>
  </si>
  <si>
    <t>Nombre (completo o nombre y apellido) del Corresponsal estadístico designado oficialmente por la CPC</t>
  </si>
  <si>
    <t>Email address of the Statistical Correspondent</t>
  </si>
  <si>
    <t>Adresse email du correspondant statistique</t>
  </si>
  <si>
    <t>Dirección de correo electrónico del corresponsal estadístico</t>
  </si>
  <si>
    <t>Telephone number of the Statistical Correspondent</t>
  </si>
  <si>
    <t>Numéro de téléphone du correspondant statistique</t>
  </si>
  <si>
    <t>Número de teléfono del corresponsal estadístico</t>
  </si>
  <si>
    <t>Institute (ministry, agency, research Institute, etc.) to which the Statistical Correspondent is affiliated</t>
  </si>
  <si>
    <t>Institution (ministère, agence, institut de recherche, etc.) à laquelle le correspondant statistique est affilié</t>
  </si>
  <si>
    <t>Institución (Ministerio, Agencia, instituto de investigación, etc.) al que pertenece el corresponsal estadístico</t>
  </si>
  <si>
    <t>Department within the Institution, where applicable</t>
  </si>
  <si>
    <t>Département au sein de l'institution, le cas échéant</t>
  </si>
  <si>
    <t>Departamento dentro de la institución, si procede</t>
  </si>
  <si>
    <t>Postal address of the institution (street, number, city, state)</t>
  </si>
  <si>
    <t>Adresse postale de l'institution (rue, numéro, ville, État)</t>
  </si>
  <si>
    <t>Dirección postal de la institución (calle, número, ciudad, estado)</t>
  </si>
  <si>
    <t>Country in which the Institution is based</t>
  </si>
  <si>
    <t>Pays dans lequel l'institution est basée</t>
  </si>
  <si>
    <t>País en el que tiene su sede la institución</t>
  </si>
  <si>
    <t>Choose the Flag CPC reporting the data (ICCAT codes)</t>
  </si>
  <si>
    <t>Choisir la CPC de pavillon qui déclare les données (code ICCAT)</t>
  </si>
  <si>
    <t>Escoger la CPC del pabellón que comunica los datos (códigos ICCAT)</t>
  </si>
  <si>
    <t>Year (calendar)</t>
  </si>
  <si>
    <t>Année (calendrier)</t>
  </si>
  <si>
    <t>Año (calendario)</t>
  </si>
  <si>
    <t>Calendar year (4 digits) to which the data relate</t>
  </si>
  <si>
    <t>L'année civile (4 chiffres) à laquelle les données correspondent</t>
  </si>
  <si>
    <t>Año civil (cuatro dígitos) al que se refieren los datos</t>
  </si>
  <si>
    <t>Specify if this submission is Preliminary (subject to revision) or Final (already validated)</t>
  </si>
  <si>
    <t>Préciser si cette soumission est préliminaire (sujette à révision) ou finale (déjà validée)</t>
  </si>
  <si>
    <t>Especificar si la presentación es preliminar (sujeta a revisión) o final (ya validada)</t>
  </si>
  <si>
    <t>Specify if the overall data content is NEW (full set OR partial set) OR a REVISION (full set OR partial set)</t>
  </si>
  <si>
    <t>Préciser si le contenu global de données est NOUVEAU (ensemble complète OU ensemble partiel) OU une RÉVISION (ensemble complète OU ensemble partiel)</t>
  </si>
  <si>
    <t>Especificar si el contenido general de los datos es NUEVO (conjunto completo O conjunto parcial) O una REVISIÓN (conjunto completo O conjunto parcial)</t>
  </si>
  <si>
    <t>Envoyer le formulaire à l'ICCAT avec le nom du fichier proposé (si nécessaire, ajouter un suffixe d'ID à la fin)</t>
  </si>
  <si>
    <t>Add additional (complementary) notes in respect to the overall dataset (if needed)</t>
  </si>
  <si>
    <t>Ajouter des notes additionnelles (complémentaires) en ce qui concerne le jeu de données global (si nécessaire)</t>
  </si>
  <si>
    <t>Añadir notas adicionales (complementarias) para el conjunto de datos global (si se requieren)</t>
  </si>
  <si>
    <t>Compléter cette section pour chaque navire-opération de débarquement par date. Si des échantillons de taille ont été prélevés, ajouter cette information dans le formulaire ST10B-PrtSmpSZ</t>
  </si>
  <si>
    <t>Rellenar esta sección para cada buque-operación de desembarque por fecha. Si se han recogido muestras de talla, añadir esta información en el formulario ST10B-PrtSmpSZ</t>
  </si>
  <si>
    <t>Numéro correspondant de l'"ID de débarquement" pour cet échantillon de taille</t>
  </si>
  <si>
    <t>Número de "ID del desembarque" correspondiente a esta muestra de talla</t>
  </si>
  <si>
    <t>Specify the date of the landing operation (e.g. 2014/03/25 format)</t>
  </si>
  <si>
    <t>Préciser la date de l'opération de débarquement (ex. format 2014/03/25)</t>
  </si>
  <si>
    <t>Enter the ICCAT Vessel Serial Number if applicable</t>
  </si>
  <si>
    <t>Vessel name (latin)</t>
  </si>
  <si>
    <t>Nom navire (latin)</t>
  </si>
  <si>
    <t>Nombre buque (latin)</t>
  </si>
  <si>
    <t>Vessel name in latin script</t>
  </si>
  <si>
    <t>Nom du navire en caractères latins</t>
  </si>
  <si>
    <t>El nombre del buque en caracteres latinos</t>
  </si>
  <si>
    <t>If the vessel does not have an ICCAT Serial Number, please enter National Register Number</t>
  </si>
  <si>
    <t>Si le navire n'a pas de numéro de série ICCAT, saisir le numéro de registre national</t>
  </si>
  <si>
    <t>Flag of Vessel (cod)</t>
  </si>
  <si>
    <t>Pavillon du navire (cod)</t>
  </si>
  <si>
    <t>Pabellón del buque (cód)</t>
  </si>
  <si>
    <t>Choose the flag of the vessel for which the data apply (whether national or foreign flagged vessel)</t>
  </si>
  <si>
    <t>Choisir le pavillon du navire auquel les données s'appliquent (navire sous pavillon national ou étranger)</t>
  </si>
  <si>
    <t>Escoger el pabellón del buque al que se refieren los datos (ya sea un buque nacional o con pabelllón extranjero)</t>
  </si>
  <si>
    <t>Gear (cod)</t>
  </si>
  <si>
    <t>Engin (cod)</t>
  </si>
  <si>
    <t>Arte (cód)</t>
  </si>
  <si>
    <t>Choose the Gear code (ICCAT codes)</t>
  </si>
  <si>
    <t>Choisir le code d'engin (code ICCAT)</t>
  </si>
  <si>
    <t>Escoger un código de arte (códigos ICCAT)</t>
  </si>
  <si>
    <t>Indiquer si les échantillons de taille ont été prélevés du débarquement correspondant et fournir les données de taille à la page PRTSMP-SZ</t>
  </si>
  <si>
    <t>Número de "ID del desembarque" correspondiente para esta muestra de talla</t>
  </si>
  <si>
    <t>Species (cod)</t>
  </si>
  <si>
    <t>Espèce (cod)</t>
  </si>
  <si>
    <t>Especie (cód)</t>
  </si>
  <si>
    <t>Choose the species code (ICCAT codes)</t>
  </si>
  <si>
    <t>Choisir le code d'espèce (codes ICCAT)</t>
  </si>
  <si>
    <t>Escoger el código de especies (códigos ICCAT)</t>
  </si>
  <si>
    <t>Code d'identification du sexe: mâle (M), femelle (F), immature (I), inconnu (U)</t>
  </si>
  <si>
    <t>ID del código de sexo: macho (M), hembra (F), inmaduro (I), desconocido (U)</t>
  </si>
  <si>
    <t>Size measurement in centimeters (cm)</t>
  </si>
  <si>
    <t>Free form field to provide any other information relevant to the collection of observer data for the given strata. Also used to clarify when the option "OTH" is selected in previous fields</t>
  </si>
  <si>
    <t>Champ libre à utiliser pour fournir toute autre information pertinente pour la collecte de données d’observateurs de la strate donnée. À utiliser également pour préciser lorsque l’option « OTH » est sélectionné dans les champs précédents</t>
  </si>
  <si>
    <t>Campo libre para proporcionar cualquier otra información relacionada con la recopilación de datos de observadores para los estratos determinados. Utilizada también para aclarar cuando se selecciona la opción OTH en campos anteriores</t>
  </si>
  <si>
    <t>Recommendation for users with databases: To paste an entire dataset into the Detail section (must have the same structure and format) use "Paste special (values)"</t>
  </si>
  <si>
    <t>Recommandation aux utilisateurs de bases de données : pour copier tout un jeu de données dans la section "Information détaillée" (qui doit avoir les mêmes structure et format), utiliser "Paste special (values)"</t>
  </si>
  <si>
    <t>Laisser en blanc les champs pour lesquels vous ne recueillez pas d'informations</t>
  </si>
  <si>
    <t>Deje en blanco los campos para los que no se ha recopilado información</t>
  </si>
  <si>
    <t>S00</t>
  </si>
  <si>
    <t>H00b</t>
  </si>
  <si>
    <t>Landing ID (from ST10A)</t>
  </si>
  <si>
    <t>id</t>
  </si>
  <si>
    <t>FlagCode</t>
  </si>
  <si>
    <t>StatusCPC</t>
  </si>
  <si>
    <t>CZ</t>
  </si>
  <si>
    <t>FIN</t>
  </si>
  <si>
    <t>FI</t>
  </si>
  <si>
    <t>LUX</t>
  </si>
  <si>
    <t>LU</t>
  </si>
  <si>
    <t>SVK</t>
  </si>
  <si>
    <t>SK</t>
  </si>
  <si>
    <t>Bosnia and Herzegovina</t>
  </si>
  <si>
    <t>BIH</t>
  </si>
  <si>
    <t>BA</t>
  </si>
  <si>
    <t>Isle of Man</t>
  </si>
  <si>
    <t>IMN</t>
  </si>
  <si>
    <t>IM</t>
  </si>
  <si>
    <t>Mongolia</t>
  </si>
  <si>
    <t>MNG</t>
  </si>
  <si>
    <t>MN</t>
  </si>
  <si>
    <t>MKD</t>
  </si>
  <si>
    <t>MK</t>
  </si>
  <si>
    <t>ContentCode</t>
  </si>
  <si>
    <t>NF</t>
  </si>
  <si>
    <t>NP</t>
  </si>
  <si>
    <t>RF</t>
  </si>
  <si>
    <t>RP</t>
  </si>
  <si>
    <t>SpeciesCode</t>
  </si>
  <si>
    <t>GearCode</t>
  </si>
  <si>
    <t>ProdTypeCode</t>
  </si>
  <si>
    <t>ICCAT Convention Area (January &amp; February 2020)</t>
  </si>
  <si>
    <t>Área de la Convención de la CICAA (Enero y Febrero 2020)</t>
  </si>
  <si>
    <t>Zone de la Convention ICCAT (Janvier et Février 2020)</t>
  </si>
  <si>
    <t>Kajikia albida</t>
  </si>
  <si>
    <t xml:space="preserve">Inshore manta ray </t>
  </si>
  <si>
    <t>Mobula japonica</t>
  </si>
  <si>
    <t>In force</t>
  </si>
  <si>
    <t>form specific</t>
  </si>
  <si>
    <t>See "codes" sheet</t>
  </si>
  <si>
    <t>global</t>
  </si>
  <si>
    <t>Detail section must be properly completed using valid ICCAT codes</t>
  </si>
  <si>
    <t>[all fields]</t>
  </si>
  <si>
    <t>Header section must be complete</t>
  </si>
  <si>
    <t>Data must come in one of the valid SCRS electronic forms/Exchange formats</t>
  </si>
  <si>
    <t>Valid set</t>
  </si>
  <si>
    <t>Type</t>
  </si>
  <si>
    <t>Filter</t>
  </si>
  <si>
    <t>SCRS Filter criteria for acceptance/rejection of the data reported</t>
  </si>
  <si>
    <t xml:space="preserve">NONE available </t>
  </si>
  <si>
    <t>waiting SCRS</t>
  </si>
  <si>
    <t>ENG</t>
  </si>
  <si>
    <t>Qatar</t>
  </si>
  <si>
    <t>QAT</t>
  </si>
  <si>
    <t>QA</t>
  </si>
  <si>
    <t>Landing/sampling Port (name)</t>
  </si>
  <si>
    <t>Puerto de muestreo (nombre)</t>
  </si>
  <si>
    <t>Port d'échantillonnage (nom)</t>
  </si>
  <si>
    <t>SexCode</t>
  </si>
  <si>
    <t>Sex</t>
  </si>
  <si>
    <t xml:space="preserve">TASK 3 - PORT SAMPLING </t>
  </si>
  <si>
    <t xml:space="preserve">TÂCHE 3 - ÉCHANTILLONNAGE AU PORT </t>
  </si>
  <si>
    <t xml:space="preserve">TAREA 3 - MUESTREO DE PUERTOS </t>
  </si>
  <si>
    <t>EU-Austria</t>
  </si>
  <si>
    <t>EU-AUT</t>
  </si>
  <si>
    <t>EU-Belgium</t>
  </si>
  <si>
    <t>EU-BEL</t>
  </si>
  <si>
    <t>EU-Bulgaria</t>
  </si>
  <si>
    <t>EU-BGR</t>
  </si>
  <si>
    <t>EU-Croatia</t>
  </si>
  <si>
    <t>EU-HRV</t>
  </si>
  <si>
    <t>EU-Cyprus</t>
  </si>
  <si>
    <t>EU-CYP</t>
  </si>
  <si>
    <t>EU-Czechia</t>
  </si>
  <si>
    <t>EU-CZE</t>
  </si>
  <si>
    <t>EU-Denmark</t>
  </si>
  <si>
    <t>EU-DNK</t>
  </si>
  <si>
    <t>EU-España</t>
  </si>
  <si>
    <t>EU-ESP</t>
  </si>
  <si>
    <t>EU-Estonia</t>
  </si>
  <si>
    <t>EU-EST</t>
  </si>
  <si>
    <t>EU-Finland</t>
  </si>
  <si>
    <t>EU-FIN</t>
  </si>
  <si>
    <t>EU-France</t>
  </si>
  <si>
    <t>EU-FRA</t>
  </si>
  <si>
    <t>EU-Germany</t>
  </si>
  <si>
    <t>EU-DEU</t>
  </si>
  <si>
    <t>EU-Greece</t>
  </si>
  <si>
    <t>EU-GRC</t>
  </si>
  <si>
    <t>EU-Hungary</t>
  </si>
  <si>
    <t>EU-HUN</t>
  </si>
  <si>
    <t>EU-Ireland</t>
  </si>
  <si>
    <t>EU-IRL</t>
  </si>
  <si>
    <t>EU-Italy</t>
  </si>
  <si>
    <t>EU-ITA</t>
  </si>
  <si>
    <t>EU-Latvia</t>
  </si>
  <si>
    <t>EU-LVA</t>
  </si>
  <si>
    <t>EU-Lithuania</t>
  </si>
  <si>
    <t>EU-LTU</t>
  </si>
  <si>
    <t>EU-Luxemburg</t>
  </si>
  <si>
    <t>EU-LUX</t>
  </si>
  <si>
    <t>EU-Malta</t>
  </si>
  <si>
    <t>EU-MLT</t>
  </si>
  <si>
    <t>EU-Netherlands</t>
  </si>
  <si>
    <t>EU-NLD</t>
  </si>
  <si>
    <t>EU-Poland</t>
  </si>
  <si>
    <t>EU-POL</t>
  </si>
  <si>
    <t>EU-Portugal</t>
  </si>
  <si>
    <t>EU-PRT</t>
  </si>
  <si>
    <t>EU-Rumania</t>
  </si>
  <si>
    <t>EU-ROU</t>
  </si>
  <si>
    <t>EU-Slovakia</t>
  </si>
  <si>
    <t>EU-SVK</t>
  </si>
  <si>
    <t>EU-Slovenia</t>
  </si>
  <si>
    <t>EU-SVN</t>
  </si>
  <si>
    <t>EU-Sweden</t>
  </si>
  <si>
    <t>EU-SWE</t>
  </si>
  <si>
    <t>England</t>
  </si>
  <si>
    <t>GB-ENG</t>
  </si>
  <si>
    <t>FR-St Pierre et Miquelon</t>
  </si>
  <si>
    <t>FR-SPM</t>
  </si>
  <si>
    <t>Great Britain</t>
  </si>
  <si>
    <t>Guinée Rep</t>
  </si>
  <si>
    <t>Korea Rep</t>
  </si>
  <si>
    <t>Northern Ireland</t>
  </si>
  <si>
    <t>GB-NIR</t>
  </si>
  <si>
    <t>NIR</t>
  </si>
  <si>
    <t>S Tomé e Príncipe</t>
  </si>
  <si>
    <t>Scotland</t>
  </si>
  <si>
    <t>GB-SCT</t>
  </si>
  <si>
    <t>SCT</t>
  </si>
  <si>
    <t>St Vincent and Grenadines</t>
  </si>
  <si>
    <t>UK-Bermuda</t>
  </si>
  <si>
    <t>UK-BMU</t>
  </si>
  <si>
    <t>UK-British Virgin Islands</t>
  </si>
  <si>
    <t>UK-VGB</t>
  </si>
  <si>
    <t>UK-Sta Helena</t>
  </si>
  <si>
    <t>UK-SHN</t>
  </si>
  <si>
    <t>UK-Turks and Caicos</t>
  </si>
  <si>
    <t>UK-TCA</t>
  </si>
  <si>
    <t>Wales</t>
  </si>
  <si>
    <t>GB-WLS</t>
  </si>
  <si>
    <t>WLS</t>
  </si>
  <si>
    <t>Gibraltar</t>
  </si>
  <si>
    <t>GIB</t>
  </si>
  <si>
    <t>GI</t>
  </si>
  <si>
    <t>North Macedonia Rep</t>
  </si>
  <si>
    <t>San Marino</t>
  </si>
  <si>
    <t>SMR</t>
  </si>
  <si>
    <t>SM</t>
  </si>
  <si>
    <t>Sta Lucia</t>
  </si>
  <si>
    <t>LL-B</t>
  </si>
  <si>
    <t>LL-Shrk</t>
  </si>
  <si>
    <t>LL-surf</t>
  </si>
  <si>
    <t>LLALB</t>
  </si>
  <si>
    <t>LLAMS</t>
  </si>
  <si>
    <t>LLBFT</t>
  </si>
  <si>
    <t>LLJAP</t>
  </si>
  <si>
    <t>LLMB</t>
  </si>
  <si>
    <t>LLMESO</t>
  </si>
  <si>
    <t>LLPB</t>
  </si>
  <si>
    <t>LLSWO</t>
  </si>
  <si>
    <t>PSD</t>
  </si>
  <si>
    <t>PSFB</t>
  </si>
  <si>
    <t>PSFS</t>
  </si>
  <si>
    <t>PSG</t>
  </si>
  <si>
    <t>PSLB</t>
  </si>
  <si>
    <t>PSM</t>
  </si>
  <si>
    <t>PSS</t>
  </si>
  <si>
    <t>TRAP</t>
  </si>
  <si>
    <t>TRAP-S</t>
  </si>
  <si>
    <t>TRAPM</t>
  </si>
  <si>
    <t>BBALB</t>
  </si>
  <si>
    <t>BBF</t>
  </si>
  <si>
    <t>BBI</t>
  </si>
  <si>
    <t>TRAWB</t>
  </si>
  <si>
    <t>TRAWPP</t>
  </si>
  <si>
    <t>GILLALB</t>
  </si>
  <si>
    <t>GILLSWO</t>
  </si>
  <si>
    <t>GNS</t>
  </si>
  <si>
    <t>RRFB</t>
  </si>
  <si>
    <t>RRFS</t>
  </si>
  <si>
    <t>HARPE</t>
  </si>
  <si>
    <t>HS</t>
  </si>
  <si>
    <t>FASA</t>
  </si>
  <si>
    <t>TP</t>
  </si>
  <si>
    <t>FA</t>
  </si>
  <si>
    <t>Longline: Bottom or Deep longliners</t>
  </si>
  <si>
    <t>Longline: Targetting sharks (BSH &amp; SMA)</t>
  </si>
  <si>
    <t>Longline: Surface</t>
  </si>
  <si>
    <t>Longline: Targetting ALB</t>
  </si>
  <si>
    <t>Longline: American style</t>
  </si>
  <si>
    <t>Longline: Targetting BFT</t>
  </si>
  <si>
    <t>Longline: Japanese type (Spain)</t>
  </si>
  <si>
    <t>Longline: With mother boat</t>
  </si>
  <si>
    <t>Longline: Mesopelagic</t>
  </si>
  <si>
    <t>Longline: "Stone-ball" (Spain)</t>
  </si>
  <si>
    <t>Longline: Targetting SWO</t>
  </si>
  <si>
    <t>Purse seine: Double-boats</t>
  </si>
  <si>
    <t>Purse seine: Catching large fish</t>
  </si>
  <si>
    <t>Purse seine: Catching small fish</t>
  </si>
  <si>
    <t>Purse seine: Large scale (over 200 MT capacity)</t>
  </si>
  <si>
    <t>Purse seine: Using live bait</t>
  </si>
  <si>
    <t>Purse seine: Medium scale (between 50 and 200 MT capacity)</t>
  </si>
  <si>
    <t>Purse seine: Small scale (less than 50 MT capacity)</t>
  </si>
  <si>
    <t>Trap</t>
  </si>
  <si>
    <t>Trap: small traps</t>
  </si>
  <si>
    <t>Trap: trap non-fixed</t>
  </si>
  <si>
    <t>Baitboat: Targgetting ALB</t>
  </si>
  <si>
    <t>Baitboat: Freezer</t>
  </si>
  <si>
    <t>Baitboat: Ice-well</t>
  </si>
  <si>
    <t>Trawl: Bottom paired (old TRBD)</t>
  </si>
  <si>
    <t>Trawl: Mid-water pelagic (old MWT)</t>
  </si>
  <si>
    <t>Trawl: Mid-water pelagic paired (old MWTD)</t>
  </si>
  <si>
    <t>Trolling lines</t>
  </si>
  <si>
    <t>Gillnet: Drift net</t>
  </si>
  <si>
    <t>Gillnet: Targetting ALB</t>
  </si>
  <si>
    <t>Gillnet: Targetting SWO</t>
  </si>
  <si>
    <t>Gillnet: anchored (set gillnet, FAO)</t>
  </si>
  <si>
    <t>Rod and Reel (catching large fish)</t>
  </si>
  <si>
    <t>Rod and Reel (catching small fish)</t>
  </si>
  <si>
    <t>Trammel nets</t>
  </si>
  <si>
    <t>Tended lines</t>
  </si>
  <si>
    <t>Harpoon: Electric harpoon (old HP-E)</t>
  </si>
  <si>
    <t>Haul seine</t>
  </si>
  <si>
    <t>Farm (salmon farms)</t>
  </si>
  <si>
    <t>Unclassified gears (unknown, not reported, OTH not specified)</t>
  </si>
  <si>
    <t>Other (specified in Notes)</t>
  </si>
  <si>
    <t>FreqTypeCode</t>
  </si>
  <si>
    <t>FreqType</t>
  </si>
  <si>
    <t>Straight fork length (old FL)</t>
  </si>
  <si>
    <t>Curved Fork Length</t>
  </si>
  <si>
    <t>Lower Jaw TO 1st Dorsal Length</t>
  </si>
  <si>
    <t>SLJFL</t>
  </si>
  <si>
    <t>Straight lower jaw fork length (old LJFL)</t>
  </si>
  <si>
    <t>CLJFL</t>
  </si>
  <si>
    <t>Curved lower jaw fork length</t>
  </si>
  <si>
    <t>Posterior edge of eye socket to Fork Length</t>
  </si>
  <si>
    <t>WGT</t>
  </si>
  <si>
    <t xml:space="preserve">Weight </t>
  </si>
  <si>
    <t>HGTW</t>
  </si>
  <si>
    <t>Head and Gutted (WGT)</t>
  </si>
  <si>
    <t>Other (specified it in notes)</t>
  </si>
  <si>
    <t>Türkiye</t>
  </si>
  <si>
    <t>2025a</t>
  </si>
  <si>
    <t>FleetSuffix</t>
  </si>
  <si>
    <t>* Suffix "a" refers to the form sub-version (minor corrections &amp; no changes in structure) revised within a year. Sequentially issued (i.e.: 2025a, 2025b, ...) whenever required.</t>
  </si>
  <si>
    <t>ETRO, ETRO-FP</t>
  </si>
  <si>
    <t>Artisanal, Industrial, ETRO, ETRO-FP</t>
  </si>
  <si>
    <t>Artisanal, ETRO, ETRO-FP</t>
  </si>
  <si>
    <t>Canarias, Coruña, Cantabric sea, ETRO, ETRO-FP, MEDI, Recreational (or Sport)</t>
  </si>
  <si>
    <t>Mainland, ETRO, ETRO-FP, MEDI, Recreational (or Sport), Guadeloupe, Martinique</t>
  </si>
  <si>
    <t>ETRO, ETRO-FP, ETRO-ANABAC, ETRO-PANOFI</t>
  </si>
  <si>
    <t>ETRO, ETRO-FP, MEDI</t>
  </si>
  <si>
    <t>Artisanal, ETRO, ETRO-FP, Recreational (or 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</si>
</sst>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u/>
      <sz val="10"/>
      <color indexed="12"/>
      <name val="Arial"/>
      <family val="2"/>
    </font>
    <font>
      <sz val="8"/>
      <color indexed="81"/>
      <name val="Tahoma"/>
      <family val="2"/>
    </font>
    <font>
      <sz val="10"/>
      <name val="Arial"/>
      <family val="2"/>
    </font>
    <font>
      <b/>
      <u/>
      <sz val="9"/>
      <name val="Calibri"/>
      <family val="2"/>
      <scheme val="minor"/>
    </font>
    <font>
      <sz val="9"/>
      <name val="Calibri"/>
      <family val="2"/>
      <scheme val="minor"/>
    </font>
    <font>
      <b/>
      <sz val="9"/>
      <name val="Calibri"/>
      <family val="2"/>
      <scheme val="minor"/>
    </font>
    <font>
      <b/>
      <sz val="8"/>
      <color theme="0"/>
      <name val="Calibri"/>
      <family val="2"/>
      <scheme val="minor"/>
    </font>
    <font>
      <sz val="9"/>
      <color theme="1"/>
      <name val="Calibri"/>
      <family val="2"/>
      <scheme val="minor"/>
    </font>
    <font>
      <b/>
      <sz val="16"/>
      <color rgb="FF0070C0"/>
      <name val="Cambria"/>
      <family val="1"/>
      <scheme val="major"/>
    </font>
    <font>
      <b/>
      <sz val="9"/>
      <color rgb="FF0070C0"/>
      <name val="Cambria"/>
      <family val="1"/>
      <scheme val="major"/>
    </font>
    <font>
      <b/>
      <sz val="9"/>
      <color rgb="FF00B050"/>
      <name val="Cambria"/>
      <family val="1"/>
      <scheme val="major"/>
    </font>
    <font>
      <b/>
      <sz val="14"/>
      <color theme="0"/>
      <name val="Cambria"/>
      <family val="1"/>
      <scheme val="major"/>
    </font>
    <font>
      <sz val="8"/>
      <name val="Calibri"/>
      <family val="2"/>
      <scheme val="minor"/>
    </font>
    <font>
      <b/>
      <sz val="9"/>
      <color rgb="FFFF0000"/>
      <name val="Cambria"/>
      <family val="1"/>
      <scheme val="major"/>
    </font>
    <font>
      <b/>
      <u/>
      <sz val="8"/>
      <name val="Calibri"/>
      <family val="2"/>
      <scheme val="minor"/>
    </font>
    <font>
      <b/>
      <sz val="8"/>
      <color rgb="FF0070C0"/>
      <name val="Calibri"/>
      <family val="2"/>
      <scheme val="minor"/>
    </font>
    <font>
      <b/>
      <sz val="8"/>
      <name val="Calibri"/>
      <family val="2"/>
      <scheme val="minor"/>
    </font>
    <font>
      <u/>
      <sz val="8"/>
      <name val="Calibri"/>
      <family val="2"/>
      <scheme val="minor"/>
    </font>
    <font>
      <u/>
      <sz val="8"/>
      <color indexed="12"/>
      <name val="Calibri"/>
      <family val="2"/>
      <scheme val="minor"/>
    </font>
    <font>
      <b/>
      <sz val="8"/>
      <color rgb="FF00B050"/>
      <name val="Calibri"/>
      <family val="2"/>
      <scheme val="minor"/>
    </font>
    <font>
      <sz val="8"/>
      <color theme="0" tint="-0.14999847407452621"/>
      <name val="Calibri"/>
      <family val="2"/>
      <scheme val="minor"/>
    </font>
    <font>
      <sz val="8"/>
      <color rgb="FFFF0000"/>
      <name val="Calibri"/>
      <family val="2"/>
      <scheme val="minor"/>
    </font>
    <font>
      <b/>
      <sz val="8"/>
      <color rgb="FF0000FF"/>
      <name val="Calibri"/>
      <family val="2"/>
      <scheme val="minor"/>
    </font>
    <font>
      <sz val="9"/>
      <color rgb="FF00000A"/>
      <name val="Times New Roman"/>
      <family val="1"/>
    </font>
    <font>
      <u/>
      <sz val="9"/>
      <name val="Calibri"/>
      <family val="2"/>
      <scheme val="minor"/>
    </font>
    <font>
      <b/>
      <sz val="12"/>
      <color theme="0"/>
      <name val="Cambria"/>
      <family val="1"/>
      <scheme val="major"/>
    </font>
    <font>
      <sz val="10"/>
      <name val="Cambria"/>
      <family val="1"/>
      <scheme val="major"/>
    </font>
    <font>
      <sz val="9"/>
      <name val="Cambria"/>
      <family val="1"/>
      <scheme val="major"/>
    </font>
    <font>
      <sz val="9"/>
      <color rgb="FF0070C0"/>
      <name val="Cambria"/>
      <family val="1"/>
      <scheme val="major"/>
    </font>
    <font>
      <sz val="11"/>
      <color rgb="FF0070C0"/>
      <name val="Cambria"/>
      <family val="1"/>
      <scheme val="major"/>
    </font>
    <font>
      <sz val="10"/>
      <color rgb="FF0070C0"/>
      <name val="Cambria"/>
      <family val="1"/>
      <scheme val="major"/>
    </font>
    <font>
      <sz val="9"/>
      <color rgb="FFFF0000"/>
      <name val="Calibri"/>
      <family val="2"/>
      <scheme val="minor"/>
    </font>
    <font>
      <sz val="9"/>
      <color rgb="FF000000"/>
      <name val="Calibri"/>
      <family val="2"/>
      <scheme val="minor"/>
    </font>
    <font>
      <b/>
      <sz val="14"/>
      <color rgb="FF0070C0"/>
      <name val="Calibri"/>
      <family val="2"/>
    </font>
    <font>
      <sz val="10"/>
      <color indexed="8"/>
      <name val="Arial"/>
      <family val="2"/>
    </font>
    <font>
      <sz val="9"/>
      <color indexed="8"/>
      <name val="Calibri"/>
      <family val="2"/>
    </font>
    <font>
      <sz val="9"/>
      <color indexed="8"/>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6" tint="0.59999389629810485"/>
        <bgColor theme="4" tint="0.79998168889431442"/>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79998168889431442"/>
        <bgColor indexed="64"/>
      </patternFill>
    </fill>
  </fills>
  <borders count="27">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theme="0" tint="-4.9989318521683403E-2"/>
      </left>
      <right style="thin">
        <color theme="0" tint="-0.24994659260841701"/>
      </right>
      <top style="thin">
        <color theme="0" tint="-4.9989318521683403E-2"/>
      </top>
      <bottom/>
      <diagonal/>
    </border>
    <border>
      <left style="thin">
        <color theme="0" tint="-4.9989318521683403E-2"/>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4.9989318521683403E-2"/>
      </top>
      <bottom/>
      <diagonal/>
    </border>
    <border>
      <left style="thin">
        <color theme="0" tint="-0.24994659260841701"/>
      </left>
      <right style="thin">
        <color theme="0" tint="-0.24994659260841701"/>
      </right>
      <top/>
      <bottom style="thin">
        <color theme="0" tint="-0.24994659260841701"/>
      </bottom>
      <diagonal/>
    </border>
    <border>
      <left style="thin">
        <color theme="8"/>
      </left>
      <right/>
      <top style="thin">
        <color theme="8"/>
      </top>
      <bottom/>
      <diagonal/>
    </border>
    <border>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0" fontId="1" fillId="0" borderId="0" applyNumberFormat="0" applyFill="0" applyBorder="0" applyAlignment="0" applyProtection="0">
      <alignment vertical="top"/>
      <protection locked="0"/>
    </xf>
    <xf numFmtId="0" fontId="3" fillId="0" borderId="0"/>
    <xf numFmtId="0" fontId="35" fillId="0" borderId="0"/>
  </cellStyleXfs>
  <cellXfs count="332">
    <xf numFmtId="0" fontId="0" fillId="0" borderId="0" xfId="0"/>
    <xf numFmtId="0" fontId="10" fillId="3" borderId="10" xfId="0" applyFont="1" applyFill="1" applyBorder="1" applyAlignment="1" applyProtection="1">
      <alignment horizontal="center" vertical="center"/>
      <protection hidden="1"/>
    </xf>
    <xf numFmtId="0" fontId="10" fillId="3" borderId="11" xfId="0" applyFont="1" applyFill="1" applyBorder="1" applyAlignment="1" applyProtection="1">
      <alignment horizontal="center" vertical="center"/>
      <protection hidden="1"/>
    </xf>
    <xf numFmtId="0" fontId="11" fillId="3" borderId="7" xfId="0" applyFont="1" applyFill="1" applyBorder="1" applyAlignment="1" applyProtection="1">
      <alignment horizontal="center" vertical="top"/>
      <protection hidden="1"/>
    </xf>
    <xf numFmtId="0" fontId="13" fillId="0" borderId="0" xfId="0" applyFont="1" applyAlignment="1" applyProtection="1">
      <alignment horizontal="center" vertical="top"/>
      <protection hidden="1"/>
    </xf>
    <xf numFmtId="0" fontId="5" fillId="0" borderId="0" xfId="0" applyFont="1" applyAlignment="1" applyProtection="1">
      <alignment horizontal="center"/>
      <protection hidden="1"/>
    </xf>
    <xf numFmtId="0" fontId="5" fillId="0" borderId="0" xfId="0" applyFont="1" applyProtection="1">
      <protection hidden="1"/>
    </xf>
    <xf numFmtId="0" fontId="13" fillId="0" borderId="0" xfId="0" applyFont="1" applyAlignment="1" applyProtection="1">
      <alignment horizontal="center" vertical="center"/>
      <protection hidden="1"/>
    </xf>
    <xf numFmtId="0" fontId="14" fillId="0" borderId="8" xfId="0" applyFont="1" applyBorder="1" applyAlignment="1" applyProtection="1">
      <alignment horizontal="center" vertical="top"/>
      <protection locked="0"/>
    </xf>
    <xf numFmtId="0" fontId="13" fillId="0" borderId="0" xfId="0" applyFont="1" applyAlignment="1" applyProtection="1">
      <alignment vertical="top"/>
      <protection hidden="1"/>
    </xf>
    <xf numFmtId="0" fontId="7" fillId="0" borderId="0" xfId="0" applyFont="1" applyAlignment="1" applyProtection="1">
      <alignment vertical="top" wrapText="1"/>
      <protection hidden="1"/>
    </xf>
    <xf numFmtId="0" fontId="16" fillId="3" borderId="10" xfId="0" applyFont="1" applyFill="1" applyBorder="1" applyAlignment="1" applyProtection="1">
      <alignment horizontal="center" vertical="top" shrinkToFit="1"/>
      <protection hidden="1"/>
    </xf>
    <xf numFmtId="0" fontId="18" fillId="3" borderId="4" xfId="0" applyFont="1" applyFill="1" applyBorder="1" applyAlignment="1" applyProtection="1">
      <alignment horizontal="right" wrapText="1" shrinkToFit="1"/>
      <protection hidden="1"/>
    </xf>
    <xf numFmtId="0" fontId="13" fillId="3" borderId="0" xfId="0" applyFont="1" applyFill="1" applyAlignment="1" applyProtection="1">
      <alignment shrinkToFit="1"/>
      <protection hidden="1"/>
    </xf>
    <xf numFmtId="0" fontId="13" fillId="3" borderId="2" xfId="0" applyFont="1" applyFill="1" applyBorder="1" applyAlignment="1" applyProtection="1">
      <alignment horizontal="center" shrinkToFit="1"/>
      <protection hidden="1"/>
    </xf>
    <xf numFmtId="0" fontId="13" fillId="3" borderId="4" xfId="0" applyFont="1" applyFill="1" applyBorder="1" applyAlignment="1" applyProtection="1">
      <alignment horizontal="right" wrapText="1" shrinkToFit="1"/>
      <protection hidden="1"/>
    </xf>
    <xf numFmtId="0" fontId="13" fillId="3" borderId="0" xfId="0" applyFont="1" applyFill="1" applyAlignment="1" applyProtection="1">
      <alignment horizontal="right" shrinkToFit="1"/>
      <protection hidden="1"/>
    </xf>
    <xf numFmtId="0" fontId="18" fillId="3" borderId="4" xfId="0" applyFont="1" applyFill="1" applyBorder="1" applyAlignment="1" applyProtection="1">
      <alignment horizontal="right" vertical="top" shrinkToFit="1"/>
      <protection hidden="1"/>
    </xf>
    <xf numFmtId="0" fontId="18" fillId="3" borderId="0" xfId="0" applyFont="1" applyFill="1" applyAlignment="1" applyProtection="1">
      <alignment vertical="top" shrinkToFit="1"/>
      <protection hidden="1"/>
    </xf>
    <xf numFmtId="0" fontId="15" fillId="3" borderId="0" xfId="0" applyFont="1" applyFill="1" applyAlignment="1" applyProtection="1">
      <alignment vertical="top" shrinkToFit="1"/>
      <protection hidden="1"/>
    </xf>
    <xf numFmtId="0" fontId="13" fillId="3" borderId="4" xfId="0" applyFont="1" applyFill="1" applyBorder="1" applyAlignment="1" applyProtection="1">
      <alignment shrinkToFit="1"/>
      <protection hidden="1"/>
    </xf>
    <xf numFmtId="49" fontId="13" fillId="3" borderId="0" xfId="0" applyNumberFormat="1" applyFont="1" applyFill="1" applyAlignment="1" applyProtection="1">
      <alignment horizontal="right" vertical="top" shrinkToFit="1"/>
      <protection hidden="1"/>
    </xf>
    <xf numFmtId="0" fontId="13" fillId="3" borderId="4" xfId="0" applyFont="1" applyFill="1" applyBorder="1" applyAlignment="1" applyProtection="1">
      <alignment wrapText="1" shrinkToFit="1"/>
      <protection hidden="1"/>
    </xf>
    <xf numFmtId="0" fontId="13" fillId="3" borderId="4" xfId="0" applyFont="1" applyFill="1" applyBorder="1" applyAlignment="1" applyProtection="1">
      <alignment horizontal="right" vertical="top" wrapText="1" shrinkToFit="1"/>
      <protection hidden="1"/>
    </xf>
    <xf numFmtId="0" fontId="19" fillId="3" borderId="0" xfId="1" applyNumberFormat="1" applyFont="1" applyFill="1" applyBorder="1" applyAlignment="1" applyProtection="1">
      <alignment horizontal="right" vertical="top" shrinkToFit="1"/>
      <protection hidden="1"/>
    </xf>
    <xf numFmtId="0" fontId="13" fillId="3" borderId="6" xfId="0" applyFont="1" applyFill="1" applyBorder="1" applyAlignment="1" applyProtection="1">
      <alignment horizontal="right" vertical="top" wrapText="1" shrinkToFit="1"/>
      <protection hidden="1"/>
    </xf>
    <xf numFmtId="0" fontId="13" fillId="3" borderId="7" xfId="0" applyFont="1" applyFill="1" applyBorder="1" applyAlignment="1" applyProtection="1">
      <alignment shrinkToFit="1"/>
      <protection hidden="1"/>
    </xf>
    <xf numFmtId="0" fontId="15" fillId="3" borderId="7" xfId="0" applyFont="1" applyFill="1" applyBorder="1" applyAlignment="1" applyProtection="1">
      <alignment vertical="top" shrinkToFit="1"/>
      <protection hidden="1"/>
    </xf>
    <xf numFmtId="49" fontId="13" fillId="3" borderId="7" xfId="0" applyNumberFormat="1" applyFont="1" applyFill="1" applyBorder="1" applyAlignment="1" applyProtection="1">
      <alignment horizontal="right" vertical="top" shrinkToFit="1"/>
      <protection hidden="1"/>
    </xf>
    <xf numFmtId="0" fontId="13" fillId="3" borderId="6" xfId="0" applyFont="1" applyFill="1" applyBorder="1" applyAlignment="1" applyProtection="1">
      <alignment shrinkToFit="1"/>
      <protection hidden="1"/>
    </xf>
    <xf numFmtId="0" fontId="13" fillId="3" borderId="7" xfId="0" applyFont="1" applyFill="1" applyBorder="1" applyAlignment="1" applyProtection="1">
      <alignment horizontal="right" vertical="top" shrinkToFit="1"/>
      <protection hidden="1"/>
    </xf>
    <xf numFmtId="0" fontId="20" fillId="3" borderId="7" xfId="0" applyFont="1" applyFill="1" applyBorder="1" applyAlignment="1" applyProtection="1">
      <alignment vertical="center" wrapText="1" shrinkToFit="1"/>
      <protection hidden="1"/>
    </xf>
    <xf numFmtId="0" fontId="15" fillId="3" borderId="7" xfId="0" applyFont="1" applyFill="1" applyBorder="1" applyAlignment="1" applyProtection="1">
      <alignment horizontal="left" vertical="top" shrinkToFit="1"/>
      <protection hidden="1"/>
    </xf>
    <xf numFmtId="0" fontId="21" fillId="0" borderId="12" xfId="0" applyFont="1" applyBorder="1" applyAlignment="1" applyProtection="1">
      <alignment horizontal="left" vertical="top" wrapText="1"/>
      <protection hidden="1"/>
    </xf>
    <xf numFmtId="0" fontId="13" fillId="0" borderId="0" xfId="0" applyFont="1" applyProtection="1">
      <protection hidden="1"/>
    </xf>
    <xf numFmtId="0" fontId="13" fillId="0" borderId="8" xfId="0" applyFont="1" applyBorder="1" applyAlignment="1" applyProtection="1">
      <alignment vertical="top"/>
      <protection hidden="1"/>
    </xf>
    <xf numFmtId="0" fontId="13" fillId="0" borderId="4" xfId="0" applyFont="1" applyBorder="1" applyAlignment="1" applyProtection="1">
      <alignment vertical="top"/>
      <protection hidden="1"/>
    </xf>
    <xf numFmtId="0" fontId="13" fillId="0" borderId="1" xfId="0" applyFont="1" applyBorder="1" applyAlignment="1" applyProtection="1">
      <alignment vertical="top"/>
      <protection hidden="1"/>
    </xf>
    <xf numFmtId="0" fontId="13" fillId="0" borderId="6" xfId="0" applyFont="1" applyBorder="1" applyAlignment="1" applyProtection="1">
      <alignment vertical="top"/>
      <protection hidden="1"/>
    </xf>
    <xf numFmtId="0" fontId="13" fillId="8" borderId="9" xfId="0" applyFont="1" applyFill="1" applyBorder="1" applyAlignment="1" applyProtection="1">
      <alignment vertical="top"/>
      <protection hidden="1"/>
    </xf>
    <xf numFmtId="0" fontId="13" fillId="8" borderId="11" xfId="0" applyFont="1" applyFill="1" applyBorder="1" applyAlignment="1" applyProtection="1">
      <alignment vertical="top"/>
      <protection hidden="1"/>
    </xf>
    <xf numFmtId="0" fontId="13" fillId="0" borderId="4" xfId="0" applyFont="1" applyBorder="1" applyProtection="1">
      <protection hidden="1"/>
    </xf>
    <xf numFmtId="0" fontId="13" fillId="0" borderId="1" xfId="0" applyFont="1" applyBorder="1" applyProtection="1">
      <protection hidden="1"/>
    </xf>
    <xf numFmtId="0" fontId="13" fillId="0" borderId="6" xfId="0" applyFont="1" applyBorder="1" applyProtection="1">
      <protection hidden="1"/>
    </xf>
    <xf numFmtId="0" fontId="13" fillId="0" borderId="8" xfId="0" applyFont="1" applyBorder="1" applyProtection="1">
      <protection hidden="1"/>
    </xf>
    <xf numFmtId="0" fontId="20" fillId="3" borderId="0" xfId="0" applyFont="1" applyFill="1" applyAlignment="1" applyProtection="1">
      <alignment vertical="center" wrapText="1" shrinkToFit="1"/>
      <protection hidden="1"/>
    </xf>
    <xf numFmtId="0" fontId="5" fillId="0" borderId="0" xfId="0" applyFont="1" applyAlignment="1" applyProtection="1">
      <alignment vertical="top"/>
      <protection hidden="1"/>
    </xf>
    <xf numFmtId="0" fontId="5" fillId="0" borderId="5" xfId="0" applyFont="1" applyBorder="1" applyAlignment="1" applyProtection="1">
      <alignment horizontal="center" vertical="top" wrapText="1"/>
      <protection hidden="1"/>
    </xf>
    <xf numFmtId="0" fontId="20" fillId="0" borderId="0" xfId="0" applyFont="1" applyAlignment="1" applyProtection="1">
      <alignment vertical="top" shrinkToFit="1"/>
      <protection locked="0"/>
    </xf>
    <xf numFmtId="0" fontId="13" fillId="3" borderId="2" xfId="0" applyFont="1" applyFill="1" applyBorder="1" applyAlignment="1" applyProtection="1">
      <alignment horizontal="center" vertical="center" wrapText="1"/>
      <protection hidden="1"/>
    </xf>
    <xf numFmtId="0" fontId="21" fillId="0" borderId="0" xfId="0" applyFont="1" applyAlignment="1" applyProtection="1">
      <alignment horizontal="center" vertical="top" wrapText="1"/>
      <protection hidden="1"/>
    </xf>
    <xf numFmtId="0" fontId="21" fillId="0" borderId="0" xfId="0" applyFont="1" applyAlignment="1" applyProtection="1">
      <alignment horizontal="left" vertical="top" wrapText="1"/>
      <protection hidden="1"/>
    </xf>
    <xf numFmtId="0" fontId="5" fillId="0" borderId="0" xfId="0" applyFont="1" applyAlignment="1" applyProtection="1">
      <alignment vertical="top" shrinkToFit="1"/>
      <protection locked="0"/>
    </xf>
    <xf numFmtId="0" fontId="13" fillId="3" borderId="8" xfId="0" applyFont="1" applyFill="1" applyBorder="1" applyAlignment="1" applyProtection="1">
      <alignment vertical="center" wrapText="1" shrinkToFit="1"/>
      <protection hidden="1"/>
    </xf>
    <xf numFmtId="0" fontId="13" fillId="3" borderId="1" xfId="0" applyFont="1" applyFill="1" applyBorder="1" applyProtection="1">
      <protection hidden="1"/>
    </xf>
    <xf numFmtId="0" fontId="13" fillId="0" borderId="0" xfId="0" applyFont="1" applyAlignment="1" applyProtection="1">
      <alignment horizontal="center"/>
      <protection hidden="1"/>
    </xf>
    <xf numFmtId="0" fontId="17" fillId="0" borderId="0" xfId="0" applyFont="1" applyAlignment="1" applyProtection="1">
      <alignment horizontal="left" vertical="top"/>
      <protection hidden="1"/>
    </xf>
    <xf numFmtId="0" fontId="5" fillId="0" borderId="2" xfId="0" applyFont="1" applyBorder="1" applyAlignment="1" applyProtection="1">
      <alignment vertical="top" wrapText="1"/>
      <protection hidden="1"/>
    </xf>
    <xf numFmtId="0" fontId="13" fillId="0" borderId="0" xfId="2" applyFont="1" applyAlignment="1" applyProtection="1">
      <alignment vertical="top"/>
      <protection hidden="1"/>
    </xf>
    <xf numFmtId="0" fontId="22" fillId="0" borderId="0" xfId="2" applyFont="1" applyAlignment="1" applyProtection="1">
      <alignment vertical="top"/>
      <protection hidden="1"/>
    </xf>
    <xf numFmtId="0" fontId="13" fillId="9" borderId="2" xfId="0" applyFont="1" applyFill="1" applyBorder="1" applyAlignment="1" applyProtection="1">
      <alignment vertical="top"/>
      <protection hidden="1"/>
    </xf>
    <xf numFmtId="0" fontId="5" fillId="0" borderId="1" xfId="0" applyFont="1" applyBorder="1" applyAlignment="1" applyProtection="1">
      <alignment vertical="top" wrapText="1"/>
      <protection hidden="1"/>
    </xf>
    <xf numFmtId="0" fontId="17" fillId="3" borderId="0" xfId="0" applyFont="1" applyFill="1" applyAlignment="1" applyProtection="1">
      <alignment vertical="top" wrapText="1" shrinkToFit="1"/>
      <protection hidden="1"/>
    </xf>
    <xf numFmtId="0" fontId="13" fillId="3" borderId="2" xfId="0" applyFont="1" applyFill="1" applyBorder="1" applyAlignment="1" applyProtection="1">
      <alignment vertical="top" wrapText="1"/>
      <protection hidden="1"/>
    </xf>
    <xf numFmtId="0" fontId="13" fillId="3" borderId="2" xfId="0" applyFont="1" applyFill="1" applyBorder="1" applyAlignment="1" applyProtection="1">
      <alignment vertical="center" wrapText="1"/>
      <protection hidden="1"/>
    </xf>
    <xf numFmtId="0" fontId="13" fillId="3" borderId="0" xfId="0" applyFont="1" applyFill="1" applyProtection="1">
      <protection hidden="1"/>
    </xf>
    <xf numFmtId="0" fontId="17" fillId="11" borderId="4" xfId="0" applyFont="1" applyFill="1" applyBorder="1" applyAlignment="1" applyProtection="1">
      <alignment horizontal="center" vertical="center" wrapText="1"/>
      <protection hidden="1"/>
    </xf>
    <xf numFmtId="0" fontId="19" fillId="3" borderId="2" xfId="1" applyFont="1" applyFill="1" applyBorder="1" applyAlignment="1" applyProtection="1">
      <alignment vertical="top" wrapText="1"/>
      <protection hidden="1"/>
    </xf>
    <xf numFmtId="0" fontId="17" fillId="3" borderId="0" xfId="0" applyFont="1" applyFill="1" applyAlignment="1" applyProtection="1">
      <alignment horizontal="center" vertical="top" wrapText="1"/>
      <protection hidden="1"/>
    </xf>
    <xf numFmtId="0" fontId="17" fillId="3" borderId="0" xfId="0" applyFont="1" applyFill="1" applyAlignment="1" applyProtection="1">
      <alignment horizontal="center" vertical="center" shrinkToFit="1"/>
      <protection hidden="1"/>
    </xf>
    <xf numFmtId="0" fontId="17" fillId="3" borderId="0" xfId="0" applyFont="1" applyFill="1" applyAlignment="1" applyProtection="1">
      <alignment horizontal="center" vertical="top"/>
      <protection hidden="1"/>
    </xf>
    <xf numFmtId="0" fontId="5" fillId="0" borderId="0" xfId="0" applyFont="1" applyAlignment="1" applyProtection="1">
      <alignment vertical="top"/>
      <protection locked="0"/>
    </xf>
    <xf numFmtId="0" fontId="5" fillId="0" borderId="0" xfId="0" applyFont="1" applyProtection="1">
      <protection locked="0"/>
    </xf>
    <xf numFmtId="0" fontId="3" fillId="0" borderId="0" xfId="0" applyFont="1" applyAlignment="1" applyProtection="1">
      <alignment horizontal="center"/>
      <protection locked="0"/>
    </xf>
    <xf numFmtId="0" fontId="3" fillId="0" borderId="0" xfId="0" applyFont="1" applyProtection="1">
      <protection locked="0"/>
    </xf>
    <xf numFmtId="0" fontId="13" fillId="3" borderId="7" xfId="0" applyFont="1" applyFill="1" applyBorder="1" applyAlignment="1" applyProtection="1">
      <alignment vertical="top"/>
      <protection hidden="1"/>
    </xf>
    <xf numFmtId="0" fontId="13" fillId="3" borderId="7" xfId="0" applyFont="1" applyFill="1" applyBorder="1" applyAlignment="1" applyProtection="1">
      <alignment vertical="top" wrapText="1" shrinkToFit="1"/>
      <protection hidden="1"/>
    </xf>
    <xf numFmtId="0" fontId="13" fillId="3" borderId="8" xfId="0" applyFont="1" applyFill="1" applyBorder="1" applyAlignment="1" applyProtection="1">
      <alignment vertical="top" wrapText="1" shrinkToFit="1"/>
      <protection hidden="1"/>
    </xf>
    <xf numFmtId="0" fontId="13" fillId="3" borderId="0" xfId="0" applyFont="1" applyFill="1" applyAlignment="1" applyProtection="1">
      <alignment horizontal="right" vertical="top" shrinkToFit="1"/>
      <protection hidden="1"/>
    </xf>
    <xf numFmtId="0" fontId="13" fillId="3" borderId="0" xfId="0" applyFont="1" applyFill="1" applyAlignment="1" applyProtection="1">
      <alignment vertical="top" shrinkToFit="1"/>
      <protection hidden="1"/>
    </xf>
    <xf numFmtId="0" fontId="13" fillId="0" borderId="0" xfId="0" applyFont="1" applyAlignment="1" applyProtection="1">
      <alignment vertical="top" shrinkToFit="1"/>
      <protection locked="0"/>
    </xf>
    <xf numFmtId="0" fontId="13" fillId="0" borderId="0" xfId="0" applyFont="1" applyAlignment="1" applyProtection="1">
      <alignment vertical="top" shrinkToFit="1"/>
      <protection hidden="1"/>
    </xf>
    <xf numFmtId="0" fontId="15" fillId="3" borderId="0" xfId="0" applyFont="1" applyFill="1" applyAlignment="1" applyProtection="1">
      <alignment shrinkToFit="1"/>
      <protection hidden="1"/>
    </xf>
    <xf numFmtId="0" fontId="5" fillId="9" borderId="9" xfId="0" applyFont="1" applyFill="1" applyBorder="1" applyProtection="1">
      <protection hidden="1"/>
    </xf>
    <xf numFmtId="0" fontId="5" fillId="9" borderId="10" xfId="0" applyFont="1" applyFill="1" applyBorder="1" applyProtection="1">
      <protection hidden="1"/>
    </xf>
    <xf numFmtId="0" fontId="5" fillId="9" borderId="11" xfId="0" applyFont="1" applyFill="1" applyBorder="1" applyProtection="1">
      <protection hidden="1"/>
    </xf>
    <xf numFmtId="0" fontId="13" fillId="3" borderId="7" xfId="0" applyFont="1" applyFill="1" applyBorder="1" applyAlignment="1" applyProtection="1">
      <alignment vertical="center" wrapText="1" shrinkToFit="1"/>
      <protection hidden="1"/>
    </xf>
    <xf numFmtId="0" fontId="13" fillId="13" borderId="8" xfId="0" applyFont="1" applyFill="1" applyBorder="1" applyAlignment="1" applyProtection="1">
      <alignment vertical="top"/>
      <protection hidden="1"/>
    </xf>
    <xf numFmtId="0" fontId="22" fillId="13" borderId="6" xfId="0" applyFont="1" applyFill="1" applyBorder="1" applyAlignment="1" applyProtection="1">
      <alignment vertical="top"/>
      <protection hidden="1"/>
    </xf>
    <xf numFmtId="0" fontId="5" fillId="8" borderId="9" xfId="0" applyFont="1" applyFill="1" applyBorder="1" applyAlignment="1" applyProtection="1">
      <alignment vertical="top"/>
      <protection hidden="1"/>
    </xf>
    <xf numFmtId="0" fontId="5" fillId="8" borderId="11" xfId="0" applyFont="1" applyFill="1" applyBorder="1" applyAlignment="1" applyProtection="1">
      <alignment vertical="top"/>
      <protection hidden="1"/>
    </xf>
    <xf numFmtId="0" fontId="5" fillId="0" borderId="4" xfId="0" applyFont="1" applyBorder="1" applyProtection="1">
      <protection hidden="1"/>
    </xf>
    <xf numFmtId="0" fontId="5" fillId="0" borderId="1" xfId="0" applyFont="1" applyBorder="1" applyProtection="1">
      <protection hidden="1"/>
    </xf>
    <xf numFmtId="0" fontId="5" fillId="0" borderId="6" xfId="0" applyFont="1" applyBorder="1" applyProtection="1">
      <protection hidden="1"/>
    </xf>
    <xf numFmtId="0" fontId="5" fillId="0" borderId="8" xfId="0" applyFont="1" applyBorder="1" applyProtection="1">
      <protection hidden="1"/>
    </xf>
    <xf numFmtId="0" fontId="5" fillId="0" borderId="12" xfId="0" applyFont="1" applyBorder="1" applyAlignment="1" applyProtection="1">
      <alignment vertical="center" wrapText="1"/>
      <protection hidden="1"/>
    </xf>
    <xf numFmtId="0" fontId="5" fillId="0" borderId="4" xfId="0" applyFont="1" applyBorder="1" applyAlignment="1" applyProtection="1">
      <alignment horizontal="center" vertical="top" wrapText="1"/>
      <protection hidden="1"/>
    </xf>
    <xf numFmtId="0" fontId="5" fillId="0" borderId="2" xfId="0" applyFont="1" applyBorder="1" applyAlignment="1" applyProtection="1">
      <alignment vertical="center" wrapText="1"/>
      <protection hidden="1"/>
    </xf>
    <xf numFmtId="0" fontId="5" fillId="0" borderId="8" xfId="0" applyFont="1" applyBorder="1" applyAlignment="1" applyProtection="1">
      <alignment vertical="top" wrapText="1"/>
      <protection hidden="1"/>
    </xf>
    <xf numFmtId="0" fontId="5" fillId="0" borderId="15" xfId="0" applyFont="1" applyBorder="1" applyAlignment="1" applyProtection="1">
      <alignment wrapText="1"/>
      <protection hidden="1"/>
    </xf>
    <xf numFmtId="0" fontId="13" fillId="0" borderId="0" xfId="0" applyFont="1" applyAlignment="1" applyProtection="1">
      <alignment horizontal="center"/>
      <protection locked="0"/>
    </xf>
    <xf numFmtId="0" fontId="13" fillId="0" borderId="0" xfId="0" applyFont="1" applyAlignment="1" applyProtection="1">
      <alignment vertical="top"/>
      <protection locked="0"/>
    </xf>
    <xf numFmtId="14" fontId="13" fillId="0" borderId="0" xfId="0" applyNumberFormat="1" applyFont="1" applyAlignment="1" applyProtection="1">
      <alignment vertical="top"/>
      <protection locked="0"/>
    </xf>
    <xf numFmtId="22" fontId="13" fillId="0" borderId="0" xfId="0" applyNumberFormat="1" applyFont="1" applyAlignment="1" applyProtection="1">
      <alignment vertical="top"/>
      <protection locked="0"/>
    </xf>
    <xf numFmtId="0" fontId="27" fillId="0" borderId="0" xfId="0" applyFont="1" applyProtection="1">
      <protection hidden="1"/>
    </xf>
    <xf numFmtId="0" fontId="28" fillId="3" borderId="7" xfId="0" applyFont="1" applyFill="1" applyBorder="1" applyAlignment="1" applyProtection="1">
      <alignment horizontal="center" vertical="top"/>
      <protection hidden="1"/>
    </xf>
    <xf numFmtId="0" fontId="28" fillId="3" borderId="8" xfId="0" applyFont="1" applyFill="1" applyBorder="1" applyAlignment="1" applyProtection="1">
      <alignment horizontal="center" vertical="center"/>
      <protection hidden="1"/>
    </xf>
    <xf numFmtId="0" fontId="29" fillId="3" borderId="10" xfId="0" applyFont="1" applyFill="1" applyBorder="1" applyAlignment="1" applyProtection="1">
      <alignment horizontal="center" vertical="center"/>
      <protection hidden="1"/>
    </xf>
    <xf numFmtId="0" fontId="29" fillId="3" borderId="11" xfId="0" applyFont="1" applyFill="1" applyBorder="1" applyAlignment="1" applyProtection="1">
      <alignment horizontal="center" vertical="center"/>
      <protection hidden="1"/>
    </xf>
    <xf numFmtId="0" fontId="13" fillId="3" borderId="0" xfId="1" applyFont="1" applyFill="1" applyBorder="1" applyAlignment="1" applyProtection="1">
      <alignment vertical="center" wrapText="1"/>
      <protection hidden="1"/>
    </xf>
    <xf numFmtId="0" fontId="13" fillId="3" borderId="1" xfId="1" applyFont="1" applyFill="1" applyBorder="1" applyAlignment="1" applyProtection="1">
      <alignment vertical="center" wrapText="1"/>
      <protection hidden="1"/>
    </xf>
    <xf numFmtId="0" fontId="19" fillId="3" borderId="2" xfId="1" applyFont="1" applyFill="1" applyBorder="1" applyAlignment="1" applyProtection="1">
      <alignment horizontal="center" vertical="center" wrapText="1"/>
      <protection hidden="1"/>
    </xf>
    <xf numFmtId="0" fontId="19" fillId="3" borderId="2" xfId="1" applyFont="1" applyFill="1" applyBorder="1" applyAlignment="1" applyProtection="1">
      <alignment horizontal="center" vertical="center"/>
      <protection hidden="1"/>
    </xf>
    <xf numFmtId="0" fontId="13" fillId="0" borderId="0" xfId="0" applyFont="1" applyProtection="1">
      <protection locked="0"/>
    </xf>
    <xf numFmtId="0" fontId="13" fillId="6" borderId="0" xfId="0" applyFont="1" applyFill="1" applyAlignment="1" applyProtection="1">
      <alignment horizontal="center" shrinkToFit="1"/>
      <protection locked="0"/>
    </xf>
    <xf numFmtId="0" fontId="13" fillId="3" borderId="10" xfId="0" applyFont="1" applyFill="1" applyBorder="1" applyProtection="1">
      <protection hidden="1"/>
    </xf>
    <xf numFmtId="0" fontId="13" fillId="3" borderId="11" xfId="0" applyFont="1" applyFill="1" applyBorder="1" applyProtection="1">
      <protection hidden="1"/>
    </xf>
    <xf numFmtId="0" fontId="13" fillId="3" borderId="4" xfId="1" applyFont="1" applyFill="1" applyBorder="1" applyAlignment="1" applyProtection="1">
      <alignment horizontal="right" vertical="top" shrinkToFit="1"/>
      <protection hidden="1"/>
    </xf>
    <xf numFmtId="0" fontId="13" fillId="3" borderId="0" xfId="1" applyFont="1" applyFill="1" applyBorder="1" applyAlignment="1" applyProtection="1">
      <alignment horizontal="right" vertical="top" shrinkToFit="1"/>
      <protection hidden="1"/>
    </xf>
    <xf numFmtId="0" fontId="17" fillId="3" borderId="0" xfId="0" applyFont="1" applyFill="1" applyAlignment="1" applyProtection="1">
      <alignment vertical="top" shrinkToFit="1"/>
      <protection hidden="1"/>
    </xf>
    <xf numFmtId="0" fontId="13" fillId="3" borderId="7" xfId="0" applyFont="1" applyFill="1" applyBorder="1" applyProtection="1">
      <protection hidden="1"/>
    </xf>
    <xf numFmtId="0" fontId="5" fillId="8" borderId="10" xfId="0" applyFont="1" applyFill="1" applyBorder="1" applyAlignment="1" applyProtection="1">
      <alignment vertical="top"/>
      <protection hidden="1"/>
    </xf>
    <xf numFmtId="0" fontId="5" fillId="0" borderId="7" xfId="0" applyFont="1" applyBorder="1" applyProtection="1">
      <protection hidden="1"/>
    </xf>
    <xf numFmtId="0" fontId="5" fillId="7" borderId="0" xfId="0" applyFont="1" applyFill="1" applyProtection="1">
      <protection hidden="1"/>
    </xf>
    <xf numFmtId="0" fontId="5" fillId="7" borderId="7" xfId="0" applyFont="1" applyFill="1" applyBorder="1" applyProtection="1">
      <protection hidden="1"/>
    </xf>
    <xf numFmtId="0" fontId="5" fillId="0" borderId="13" xfId="0" applyFont="1" applyBorder="1" applyAlignment="1" applyProtection="1">
      <alignment horizontal="center"/>
      <protection hidden="1"/>
    </xf>
    <xf numFmtId="0" fontId="5" fillId="0" borderId="8" xfId="0" applyFont="1" applyBorder="1" applyAlignment="1" applyProtection="1">
      <alignment horizontal="center"/>
      <protection hidden="1"/>
    </xf>
    <xf numFmtId="0" fontId="5" fillId="0" borderId="7" xfId="0" applyFont="1" applyBorder="1" applyAlignment="1" applyProtection="1">
      <alignment horizontal="left" vertical="center" readingOrder="1"/>
      <protection hidden="1"/>
    </xf>
    <xf numFmtId="0" fontId="5" fillId="0" borderId="7" xfId="0" applyFont="1" applyBorder="1" applyAlignment="1" applyProtection="1">
      <alignment horizontal="center"/>
      <protection hidden="1"/>
    </xf>
    <xf numFmtId="0" fontId="5" fillId="0" borderId="12" xfId="0" applyFont="1" applyBorder="1" applyAlignment="1" applyProtection="1">
      <alignment horizontal="center"/>
      <protection hidden="1"/>
    </xf>
    <xf numFmtId="0" fontId="5" fillId="0" borderId="1" xfId="0" applyFont="1" applyBorder="1" applyAlignment="1" applyProtection="1">
      <alignment horizontal="center"/>
      <protection hidden="1"/>
    </xf>
    <xf numFmtId="0" fontId="33" fillId="0" borderId="7" xfId="0" applyFont="1" applyBorder="1" applyAlignment="1" applyProtection="1">
      <alignment vertical="center" readingOrder="1"/>
      <protection hidden="1"/>
    </xf>
    <xf numFmtId="0" fontId="33" fillId="0" borderId="0" xfId="0" applyFont="1" applyAlignment="1" applyProtection="1">
      <alignment vertical="center" readingOrder="1"/>
      <protection hidden="1"/>
    </xf>
    <xf numFmtId="0" fontId="5" fillId="0" borderId="11" xfId="0" applyFont="1" applyBorder="1" applyAlignment="1" applyProtection="1">
      <alignment horizontal="center"/>
      <protection hidden="1"/>
    </xf>
    <xf numFmtId="0" fontId="5" fillId="0" borderId="10" xfId="0" applyFont="1" applyBorder="1" applyProtection="1">
      <protection hidden="1"/>
    </xf>
    <xf numFmtId="0" fontId="33" fillId="0" borderId="10" xfId="0" applyFont="1" applyBorder="1" applyAlignment="1" applyProtection="1">
      <alignment vertical="center" readingOrder="1"/>
      <protection hidden="1"/>
    </xf>
    <xf numFmtId="0" fontId="5" fillId="0" borderId="10" xfId="0" applyFont="1" applyBorder="1" applyAlignment="1" applyProtection="1">
      <alignment horizontal="center"/>
      <protection hidden="1"/>
    </xf>
    <xf numFmtId="0" fontId="6" fillId="14" borderId="2" xfId="0" applyFont="1" applyFill="1" applyBorder="1" applyAlignment="1" applyProtection="1">
      <alignment vertical="top"/>
      <protection hidden="1"/>
    </xf>
    <xf numFmtId="0" fontId="6" fillId="14" borderId="2" xfId="0" applyFont="1" applyFill="1" applyBorder="1" applyProtection="1">
      <protection hidden="1"/>
    </xf>
    <xf numFmtId="0" fontId="13" fillId="3" borderId="12" xfId="0" applyFont="1" applyFill="1" applyBorder="1" applyAlignment="1" applyProtection="1">
      <alignment vertical="center" shrinkToFit="1"/>
      <protection hidden="1"/>
    </xf>
    <xf numFmtId="0" fontId="13" fillId="3" borderId="13" xfId="0" applyFont="1" applyFill="1" applyBorder="1" applyAlignment="1" applyProtection="1">
      <alignment vertical="center" shrinkToFit="1"/>
      <protection hidden="1"/>
    </xf>
    <xf numFmtId="0" fontId="13" fillId="6" borderId="3" xfId="0" applyFont="1" applyFill="1" applyBorder="1" applyAlignment="1" applyProtection="1">
      <alignment horizontal="center" shrinkToFit="1"/>
      <protection locked="0"/>
    </xf>
    <xf numFmtId="0" fontId="13" fillId="6" borderId="12" xfId="0" applyFont="1" applyFill="1" applyBorder="1" applyAlignment="1" applyProtection="1">
      <alignment horizontal="center" shrinkToFit="1"/>
      <protection locked="0"/>
    </xf>
    <xf numFmtId="0" fontId="22" fillId="0" borderId="10" xfId="0" applyFont="1" applyBorder="1" applyAlignment="1" applyProtection="1">
      <alignment vertical="top"/>
      <protection hidden="1"/>
    </xf>
    <xf numFmtId="0" fontId="13" fillId="0" borderId="10" xfId="0" applyFont="1" applyBorder="1" applyAlignment="1" applyProtection="1">
      <alignment horizontal="left" vertical="top" readingOrder="1"/>
      <protection hidden="1"/>
    </xf>
    <xf numFmtId="0" fontId="13" fillId="0" borderId="11" xfId="0" applyFont="1" applyBorder="1" applyAlignment="1" applyProtection="1">
      <alignment horizontal="center" vertical="top"/>
      <protection hidden="1"/>
    </xf>
    <xf numFmtId="0" fontId="13" fillId="0" borderId="3" xfId="0" applyFont="1" applyBorder="1" applyAlignment="1" applyProtection="1">
      <alignment horizontal="center"/>
      <protection hidden="1"/>
    </xf>
    <xf numFmtId="0" fontId="13" fillId="0" borderId="0" xfId="0" applyFont="1" applyAlignment="1" applyProtection="1">
      <alignment vertical="top" wrapText="1"/>
      <protection hidden="1"/>
    </xf>
    <xf numFmtId="0" fontId="13" fillId="0" borderId="21" xfId="0" applyFont="1" applyBorder="1" applyAlignment="1" applyProtection="1">
      <alignment vertical="top" wrapText="1"/>
      <protection hidden="1"/>
    </xf>
    <xf numFmtId="0" fontId="13" fillId="0" borderId="22" xfId="0" applyFont="1" applyBorder="1" applyAlignment="1" applyProtection="1">
      <alignment vertical="top"/>
      <protection hidden="1"/>
    </xf>
    <xf numFmtId="0" fontId="13" fillId="0" borderId="22" xfId="0" applyFont="1" applyBorder="1" applyAlignment="1" applyProtection="1">
      <alignment vertical="top" wrapText="1"/>
      <protection hidden="1"/>
    </xf>
    <xf numFmtId="0" fontId="13" fillId="0" borderId="21" xfId="0" applyFont="1" applyBorder="1" applyAlignment="1" applyProtection="1">
      <alignment vertical="top" wrapText="1" shrinkToFit="1"/>
      <protection hidden="1"/>
    </xf>
    <xf numFmtId="0" fontId="13" fillId="0" borderId="21" xfId="0" applyFont="1" applyBorder="1" applyAlignment="1" applyProtection="1">
      <alignment vertical="top"/>
      <protection hidden="1"/>
    </xf>
    <xf numFmtId="0" fontId="13" fillId="0" borderId="21" xfId="0" applyFont="1" applyBorder="1" applyAlignment="1" applyProtection="1">
      <alignment vertical="top" shrinkToFit="1"/>
      <protection hidden="1"/>
    </xf>
    <xf numFmtId="0" fontId="13" fillId="0" borderId="21" xfId="2" applyFont="1" applyBorder="1" applyAlignment="1" applyProtection="1">
      <alignment vertical="top" wrapText="1"/>
      <protection hidden="1"/>
    </xf>
    <xf numFmtId="0" fontId="13" fillId="0" borderId="22" xfId="2" applyFont="1" applyBorder="1" applyAlignment="1" applyProtection="1">
      <alignment vertical="top" wrapText="1"/>
      <protection hidden="1"/>
    </xf>
    <xf numFmtId="0" fontId="13" fillId="0" borderId="22" xfId="2" applyFont="1" applyBorder="1" applyAlignment="1" applyProtection="1">
      <alignment vertical="top"/>
      <protection hidden="1"/>
    </xf>
    <xf numFmtId="0" fontId="13" fillId="0" borderId="23" xfId="0" applyFont="1" applyBorder="1" applyAlignment="1" applyProtection="1">
      <alignment vertical="top"/>
      <protection hidden="1"/>
    </xf>
    <xf numFmtId="0" fontId="13" fillId="0" borderId="24" xfId="0" applyFont="1" applyBorder="1" applyAlignment="1" applyProtection="1">
      <alignment vertical="top"/>
      <protection hidden="1"/>
    </xf>
    <xf numFmtId="0" fontId="13" fillId="0" borderId="24" xfId="0" applyFont="1" applyBorder="1" applyAlignment="1" applyProtection="1">
      <alignment vertical="top" wrapText="1"/>
      <protection hidden="1"/>
    </xf>
    <xf numFmtId="0" fontId="5" fillId="0" borderId="0" xfId="2" applyFont="1" applyProtection="1">
      <protection hidden="1"/>
    </xf>
    <xf numFmtId="0" fontId="4" fillId="0" borderId="0" xfId="0" applyFont="1" applyAlignment="1" applyProtection="1">
      <alignment horizontal="center" vertical="top" wrapText="1"/>
      <protection hidden="1"/>
    </xf>
    <xf numFmtId="0" fontId="5" fillId="0" borderId="0" xfId="0" applyFont="1" applyAlignment="1" applyProtection="1">
      <alignment vertical="top" wrapText="1"/>
      <protection hidden="1"/>
    </xf>
    <xf numFmtId="0" fontId="5" fillId="0" borderId="0" xfId="2" applyFont="1" applyAlignment="1" applyProtection="1">
      <alignment vertical="top" wrapText="1"/>
      <protection hidden="1"/>
    </xf>
    <xf numFmtId="0" fontId="5" fillId="0" borderId="0" xfId="0" applyFont="1" applyAlignment="1" applyProtection="1">
      <alignment horizontal="center" vertical="top" wrapText="1"/>
      <protection hidden="1"/>
    </xf>
    <xf numFmtId="0" fontId="5" fillId="0" borderId="0" xfId="0" applyFont="1" applyAlignment="1" applyProtection="1">
      <alignment horizontal="center" wrapText="1"/>
      <protection hidden="1"/>
    </xf>
    <xf numFmtId="0" fontId="5" fillId="0" borderId="0" xfId="0" quotePrefix="1" applyFont="1" applyAlignment="1" applyProtection="1">
      <alignment wrapText="1"/>
      <protection hidden="1"/>
    </xf>
    <xf numFmtId="0" fontId="6" fillId="10" borderId="3" xfId="0" applyFont="1" applyFill="1" applyBorder="1" applyAlignment="1" applyProtection="1">
      <alignment vertical="top" wrapText="1"/>
      <protection hidden="1"/>
    </xf>
    <xf numFmtId="0" fontId="6" fillId="10" borderId="3" xfId="0" applyFont="1" applyFill="1" applyBorder="1" applyAlignment="1" applyProtection="1">
      <alignment horizontal="center" vertical="top" wrapText="1"/>
      <protection hidden="1"/>
    </xf>
    <xf numFmtId="0" fontId="5" fillId="0" borderId="2" xfId="2" applyFont="1" applyBorder="1" applyProtection="1">
      <protection hidden="1"/>
    </xf>
    <xf numFmtId="0" fontId="5" fillId="0" borderId="5" xfId="2" applyFont="1" applyBorder="1" applyAlignment="1" applyProtection="1">
      <alignment horizontal="center" vertical="top" wrapText="1"/>
      <protection hidden="1"/>
    </xf>
    <xf numFmtId="0" fontId="5" fillId="0" borderId="11" xfId="2" applyFont="1" applyBorder="1" applyAlignment="1" applyProtection="1">
      <alignment vertical="top" wrapText="1"/>
      <protection hidden="1"/>
    </xf>
    <xf numFmtId="0" fontId="5" fillId="0" borderId="1" xfId="2" applyFont="1" applyBorder="1" applyAlignment="1" applyProtection="1">
      <alignment vertical="top" wrapText="1"/>
      <protection hidden="1"/>
    </xf>
    <xf numFmtId="0" fontId="5" fillId="0" borderId="15" xfId="2" applyFont="1" applyBorder="1" applyAlignment="1" applyProtection="1">
      <alignment vertical="top"/>
      <protection hidden="1"/>
    </xf>
    <xf numFmtId="0" fontId="5" fillId="0" borderId="11" xfId="2" applyFont="1" applyBorder="1" applyAlignment="1" applyProtection="1">
      <alignment vertical="center"/>
      <protection hidden="1"/>
    </xf>
    <xf numFmtId="0" fontId="5" fillId="0" borderId="1" xfId="2" applyFont="1" applyBorder="1" applyAlignment="1" applyProtection="1">
      <alignment vertical="center"/>
      <protection hidden="1"/>
    </xf>
    <xf numFmtId="0" fontId="25" fillId="0" borderId="1" xfId="2" applyFont="1" applyBorder="1" applyAlignment="1" applyProtection="1">
      <alignment vertical="center"/>
      <protection hidden="1"/>
    </xf>
    <xf numFmtId="0" fontId="5" fillId="0" borderId="8" xfId="2" applyFont="1" applyBorder="1" applyAlignment="1" applyProtection="1">
      <alignment vertical="center"/>
      <protection hidden="1"/>
    </xf>
    <xf numFmtId="0" fontId="5" fillId="0" borderId="2" xfId="2" applyFont="1" applyBorder="1" applyAlignment="1" applyProtection="1">
      <alignment vertical="top"/>
      <protection hidden="1"/>
    </xf>
    <xf numFmtId="0" fontId="5" fillId="0" borderId="3" xfId="2" applyFont="1" applyBorder="1" applyAlignment="1" applyProtection="1">
      <alignment vertical="top"/>
      <protection hidden="1"/>
    </xf>
    <xf numFmtId="0" fontId="5" fillId="0" borderId="9" xfId="2" applyFont="1" applyBorder="1" applyAlignment="1" applyProtection="1">
      <alignment horizontal="center" vertical="top" wrapText="1"/>
      <protection hidden="1"/>
    </xf>
    <xf numFmtId="0" fontId="5" fillId="0" borderId="2" xfId="2" applyFont="1" applyBorder="1" applyAlignment="1" applyProtection="1">
      <alignment vertical="top" wrapText="1"/>
      <protection hidden="1"/>
    </xf>
    <xf numFmtId="0" fontId="5" fillId="0" borderId="8" xfId="2" applyFont="1" applyBorder="1" applyAlignment="1" applyProtection="1">
      <alignment vertical="top" wrapText="1"/>
      <protection hidden="1"/>
    </xf>
    <xf numFmtId="0" fontId="8" fillId="0" borderId="0" xfId="0" applyFont="1"/>
    <xf numFmtId="0" fontId="5" fillId="0" borderId="0" xfId="0" applyFont="1"/>
    <xf numFmtId="0" fontId="8" fillId="0" borderId="16" xfId="0" applyFont="1" applyBorder="1"/>
    <xf numFmtId="0" fontId="8" fillId="0" borderId="7" xfId="0" applyFont="1" applyBorder="1"/>
    <xf numFmtId="0" fontId="8" fillId="7" borderId="0" xfId="0" applyFont="1" applyFill="1"/>
    <xf numFmtId="0" fontId="8" fillId="0" borderId="4" xfId="0" applyFont="1" applyBorder="1"/>
    <xf numFmtId="0" fontId="8" fillId="0" borderId="1" xfId="0" applyFont="1" applyBorder="1"/>
    <xf numFmtId="0" fontId="36" fillId="0" borderId="0" xfId="3" applyFont="1"/>
    <xf numFmtId="0" fontId="32" fillId="13" borderId="6" xfId="0" applyFont="1" applyFill="1" applyBorder="1"/>
    <xf numFmtId="0" fontId="8" fillId="13" borderId="7" xfId="0" applyFont="1" applyFill="1" applyBorder="1"/>
    <xf numFmtId="0" fontId="8" fillId="13" borderId="8" xfId="0" applyFont="1" applyFill="1" applyBorder="1"/>
    <xf numFmtId="0" fontId="37" fillId="8" borderId="9" xfId="2" applyFont="1" applyFill="1" applyBorder="1" applyAlignment="1" applyProtection="1">
      <alignment vertical="top"/>
      <protection hidden="1"/>
    </xf>
    <xf numFmtId="0" fontId="37" fillId="8" borderId="11" xfId="2" applyFont="1" applyFill="1" applyBorder="1" applyAlignment="1" applyProtection="1">
      <alignment vertical="top"/>
      <protection hidden="1"/>
    </xf>
    <xf numFmtId="0" fontId="5" fillId="0" borderId="4" xfId="2" applyFont="1" applyBorder="1" applyProtection="1">
      <protection hidden="1"/>
    </xf>
    <xf numFmtId="0" fontId="5" fillId="0" borderId="1" xfId="2" applyFont="1" applyBorder="1" applyProtection="1">
      <protection hidden="1"/>
    </xf>
    <xf numFmtId="0" fontId="37" fillId="0" borderId="6" xfId="2" applyFont="1" applyBorder="1" applyAlignment="1" applyProtection="1">
      <alignment vertical="top"/>
      <protection hidden="1"/>
    </xf>
    <xf numFmtId="0" fontId="5" fillId="13" borderId="8" xfId="2" applyFont="1" applyFill="1" applyBorder="1" applyAlignment="1" applyProtection="1">
      <alignment vertical="top"/>
      <protection hidden="1"/>
    </xf>
    <xf numFmtId="0" fontId="5" fillId="0" borderId="4" xfId="0" applyFont="1" applyBorder="1"/>
    <xf numFmtId="0" fontId="8" fillId="8" borderId="9" xfId="0" applyFont="1" applyFill="1" applyBorder="1"/>
    <xf numFmtId="0" fontId="8" fillId="8" borderId="10" xfId="0" applyFont="1" applyFill="1" applyBorder="1"/>
    <xf numFmtId="0" fontId="8" fillId="8" borderId="11" xfId="0" applyFont="1" applyFill="1" applyBorder="1"/>
    <xf numFmtId="0" fontId="5" fillId="0" borderId="16" xfId="0" applyFont="1" applyBorder="1"/>
    <xf numFmtId="0" fontId="5" fillId="0" borderId="25" xfId="0" applyFont="1" applyBorder="1"/>
    <xf numFmtId="0" fontId="8" fillId="0" borderId="26" xfId="0" applyFont="1" applyBorder="1"/>
    <xf numFmtId="0" fontId="5" fillId="0" borderId="16" xfId="0" applyFont="1" applyBorder="1" applyProtection="1">
      <protection hidden="1"/>
    </xf>
    <xf numFmtId="0" fontId="5" fillId="0" borderId="6" xfId="0" applyFont="1" applyBorder="1"/>
    <xf numFmtId="0" fontId="5" fillId="0" borderId="7" xfId="0" applyFont="1" applyBorder="1"/>
    <xf numFmtId="0" fontId="8" fillId="0" borderId="8" xfId="0" applyFont="1" applyBorder="1"/>
    <xf numFmtId="0" fontId="13" fillId="3" borderId="3" xfId="0" applyFont="1" applyFill="1" applyBorder="1" applyAlignment="1" applyProtection="1">
      <alignment vertical="top" wrapText="1"/>
      <protection hidden="1"/>
    </xf>
    <xf numFmtId="0" fontId="13" fillId="3" borderId="13" xfId="0" applyFont="1" applyFill="1" applyBorder="1" applyAlignment="1" applyProtection="1">
      <alignment vertical="top" wrapText="1"/>
      <protection hidden="1"/>
    </xf>
    <xf numFmtId="0" fontId="19" fillId="3" borderId="4" xfId="1" applyFont="1" applyFill="1" applyBorder="1" applyAlignment="1" applyProtection="1">
      <alignment horizontal="right" wrapText="1" shrinkToFit="1"/>
      <protection hidden="1"/>
    </xf>
    <xf numFmtId="0" fontId="19" fillId="3" borderId="0" xfId="1" applyFont="1" applyFill="1" applyBorder="1" applyAlignment="1" applyProtection="1">
      <alignment horizontal="right" wrapText="1" shrinkToFit="1"/>
      <protection hidden="1"/>
    </xf>
    <xf numFmtId="0" fontId="17" fillId="3" borderId="5" xfId="0" applyFont="1" applyFill="1" applyBorder="1" applyAlignment="1" applyProtection="1">
      <alignment vertical="top" wrapText="1"/>
      <protection hidden="1"/>
    </xf>
    <xf numFmtId="0" fontId="17" fillId="3" borderId="14" xfId="0" applyFont="1" applyFill="1" applyBorder="1" applyAlignment="1" applyProtection="1">
      <alignment vertical="top" wrapText="1"/>
      <protection hidden="1"/>
    </xf>
    <xf numFmtId="0" fontId="17" fillId="3" borderId="15" xfId="0" applyFont="1" applyFill="1" applyBorder="1" applyAlignment="1" applyProtection="1">
      <alignment vertical="top" wrapText="1"/>
      <protection hidden="1"/>
    </xf>
    <xf numFmtId="0" fontId="23" fillId="0" borderId="5" xfId="0" applyFont="1" applyBorder="1" applyAlignment="1" applyProtection="1">
      <alignment vertical="center"/>
      <protection hidden="1"/>
    </xf>
    <xf numFmtId="0" fontId="23" fillId="0" borderId="14" xfId="0" applyFont="1" applyBorder="1" applyAlignment="1" applyProtection="1">
      <alignment vertical="center"/>
      <protection hidden="1"/>
    </xf>
    <xf numFmtId="0" fontId="23" fillId="0" borderId="15" xfId="0" applyFont="1" applyBorder="1" applyAlignment="1" applyProtection="1">
      <alignment vertical="center"/>
      <protection hidden="1"/>
    </xf>
    <xf numFmtId="0" fontId="13" fillId="3" borderId="5" xfId="0" applyFont="1" applyFill="1" applyBorder="1" applyAlignment="1" applyProtection="1">
      <alignment horizontal="center" vertical="top" wrapText="1"/>
      <protection hidden="1"/>
    </xf>
    <xf numFmtId="0" fontId="13" fillId="3" borderId="15" xfId="0" applyFont="1" applyFill="1" applyBorder="1" applyAlignment="1" applyProtection="1">
      <alignment horizontal="center" vertical="top" wrapText="1"/>
      <protection hidden="1"/>
    </xf>
    <xf numFmtId="0" fontId="17" fillId="3" borderId="5" xfId="0" applyFont="1" applyFill="1" applyBorder="1" applyAlignment="1" applyProtection="1">
      <alignment horizontal="center" vertical="center" wrapText="1"/>
      <protection hidden="1"/>
    </xf>
    <xf numFmtId="0" fontId="17" fillId="3" borderId="14" xfId="0" applyFont="1" applyFill="1" applyBorder="1" applyAlignment="1" applyProtection="1">
      <alignment horizontal="center" vertical="center" wrapText="1"/>
      <protection hidden="1"/>
    </xf>
    <xf numFmtId="0" fontId="17" fillId="3" borderId="15" xfId="0" applyFont="1" applyFill="1" applyBorder="1" applyAlignment="1" applyProtection="1">
      <alignment horizontal="center" vertical="center" wrapText="1"/>
      <protection hidden="1"/>
    </xf>
    <xf numFmtId="0" fontId="19" fillId="3" borderId="4" xfId="1" applyFont="1" applyFill="1" applyBorder="1" applyAlignment="1" applyProtection="1">
      <alignment horizontal="right" vertical="top" shrinkToFit="1"/>
      <protection hidden="1"/>
    </xf>
    <xf numFmtId="0" fontId="19" fillId="3" borderId="0" xfId="1" applyFont="1" applyFill="1" applyBorder="1" applyAlignment="1" applyProtection="1">
      <alignment horizontal="right" vertical="top" shrinkToFit="1"/>
      <protection hidden="1"/>
    </xf>
    <xf numFmtId="0" fontId="13" fillId="3" borderId="4" xfId="0" applyFont="1" applyFill="1" applyBorder="1" applyAlignment="1" applyProtection="1">
      <alignment horizontal="right" vertical="top" shrinkToFit="1"/>
      <protection hidden="1"/>
    </xf>
    <xf numFmtId="0" fontId="13" fillId="3" borderId="0" xfId="0" applyFont="1" applyFill="1" applyAlignment="1" applyProtection="1">
      <alignment horizontal="right" vertical="top" shrinkToFit="1"/>
      <protection hidden="1"/>
    </xf>
    <xf numFmtId="0" fontId="13" fillId="0" borderId="0" xfId="0" applyFont="1" applyAlignment="1" applyProtection="1">
      <alignment vertical="top" shrinkToFit="1"/>
      <protection locked="0"/>
    </xf>
    <xf numFmtId="0" fontId="13" fillId="3" borderId="7" xfId="0" applyFont="1" applyFill="1" applyBorder="1" applyAlignment="1" applyProtection="1">
      <alignment vertical="top" shrinkToFit="1"/>
      <protection hidden="1"/>
    </xf>
    <xf numFmtId="0" fontId="19" fillId="3" borderId="3" xfId="1" applyFont="1" applyFill="1" applyBorder="1" applyAlignment="1" applyProtection="1">
      <alignment vertical="top" wrapText="1"/>
      <protection hidden="1"/>
    </xf>
    <xf numFmtId="0" fontId="19" fillId="3" borderId="13" xfId="1" applyFont="1" applyFill="1" applyBorder="1" applyAlignment="1" applyProtection="1">
      <alignment vertical="top" wrapText="1"/>
      <protection hidden="1"/>
    </xf>
    <xf numFmtId="0" fontId="17" fillId="3" borderId="3" xfId="0" applyFont="1" applyFill="1" applyBorder="1" applyAlignment="1" applyProtection="1">
      <alignment horizontal="center" vertical="center" wrapText="1"/>
      <protection hidden="1"/>
    </xf>
    <xf numFmtId="0" fontId="17" fillId="3" borderId="13" xfId="0" applyFont="1" applyFill="1" applyBorder="1" applyAlignment="1" applyProtection="1">
      <alignment horizontal="center" vertical="center" wrapText="1"/>
      <protection hidden="1"/>
    </xf>
    <xf numFmtId="0" fontId="7" fillId="5" borderId="4" xfId="0" applyFont="1" applyFill="1" applyBorder="1" applyAlignment="1" applyProtection="1">
      <alignment vertical="top" shrinkToFit="1"/>
      <protection hidden="1"/>
    </xf>
    <xf numFmtId="0" fontId="7" fillId="5" borderId="0" xfId="0" applyFont="1" applyFill="1" applyAlignment="1" applyProtection="1">
      <alignment vertical="top" shrinkToFit="1"/>
      <protection hidden="1"/>
    </xf>
    <xf numFmtId="0" fontId="13" fillId="3" borderId="11" xfId="0" applyFont="1" applyFill="1" applyBorder="1" applyAlignment="1" applyProtection="1">
      <alignment horizontal="center" vertical="center" shrinkToFit="1"/>
      <protection hidden="1"/>
    </xf>
    <xf numFmtId="0" fontId="13" fillId="3" borderId="1" xfId="0" applyFont="1" applyFill="1" applyBorder="1" applyAlignment="1" applyProtection="1">
      <alignment horizontal="center" vertical="center" shrinkToFit="1"/>
      <protection hidden="1"/>
    </xf>
    <xf numFmtId="0" fontId="13" fillId="3" borderId="8" xfId="0" applyFont="1" applyFill="1" applyBorder="1" applyAlignment="1" applyProtection="1">
      <alignment horizontal="center" vertical="center" shrinkToFit="1"/>
      <protection hidden="1"/>
    </xf>
    <xf numFmtId="0" fontId="13" fillId="6" borderId="0" xfId="0" applyFont="1" applyFill="1" applyAlignment="1" applyProtection="1">
      <alignment horizontal="center" vertical="top" shrinkToFit="1"/>
      <protection locked="0"/>
    </xf>
    <xf numFmtId="49" fontId="13" fillId="0" borderId="0" xfId="0" applyNumberFormat="1" applyFont="1" applyAlignment="1" applyProtection="1">
      <alignment vertical="top" shrinkToFit="1"/>
      <protection locked="0"/>
    </xf>
    <xf numFmtId="0" fontId="13" fillId="3" borderId="4" xfId="0" applyFont="1" applyFill="1" applyBorder="1" applyAlignment="1" applyProtection="1">
      <alignment vertical="top" shrinkToFit="1"/>
      <protection hidden="1"/>
    </xf>
    <xf numFmtId="0" fontId="13" fillId="3" borderId="0" xfId="0" applyFont="1" applyFill="1" applyAlignment="1" applyProtection="1">
      <alignment vertical="top" shrinkToFit="1"/>
      <protection hidden="1"/>
    </xf>
    <xf numFmtId="0" fontId="15" fillId="3" borderId="10" xfId="0" applyFont="1" applyFill="1" applyBorder="1" applyAlignment="1" applyProtection="1">
      <alignment shrinkToFit="1"/>
      <protection hidden="1"/>
    </xf>
    <xf numFmtId="0" fontId="15" fillId="3" borderId="9" xfId="0" applyFont="1" applyFill="1" applyBorder="1" applyAlignment="1" applyProtection="1">
      <alignment vertical="top" shrinkToFit="1"/>
      <protection hidden="1"/>
    </xf>
    <xf numFmtId="0" fontId="15" fillId="3" borderId="10" xfId="0" applyFont="1" applyFill="1" applyBorder="1" applyAlignment="1" applyProtection="1">
      <alignment vertical="top" shrinkToFit="1"/>
      <protection hidden="1"/>
    </xf>
    <xf numFmtId="0" fontId="13" fillId="0" borderId="0" xfId="0" applyFont="1" applyAlignment="1" applyProtection="1">
      <alignment horizontal="center" vertical="top" wrapText="1" shrinkToFit="1"/>
      <protection locked="0"/>
    </xf>
    <xf numFmtId="0" fontId="13" fillId="0" borderId="1" xfId="0" applyFont="1" applyBorder="1" applyAlignment="1" applyProtection="1">
      <alignment horizontal="center" vertical="top" wrapText="1" shrinkToFit="1"/>
      <protection locked="0"/>
    </xf>
    <xf numFmtId="0" fontId="20" fillId="3" borderId="0" xfId="0" applyFont="1" applyFill="1" applyAlignment="1" applyProtection="1">
      <alignment horizontal="center" vertical="center" wrapText="1" shrinkToFit="1"/>
      <protection hidden="1"/>
    </xf>
    <xf numFmtId="0" fontId="13" fillId="3" borderId="19" xfId="0" applyFont="1" applyFill="1" applyBorder="1" applyAlignment="1" applyProtection="1">
      <alignment vertical="center" wrapText="1" shrinkToFit="1"/>
      <protection hidden="1"/>
    </xf>
    <xf numFmtId="0" fontId="13" fillId="3" borderId="20" xfId="0" applyFont="1" applyFill="1" applyBorder="1" applyAlignment="1" applyProtection="1">
      <alignment vertical="center" wrapText="1" shrinkToFit="1"/>
      <protection hidden="1"/>
    </xf>
    <xf numFmtId="0" fontId="19" fillId="3" borderId="17" xfId="1" applyFont="1" applyFill="1" applyBorder="1" applyAlignment="1" applyProtection="1">
      <alignment horizontal="center" vertical="center" wrapText="1"/>
      <protection hidden="1"/>
    </xf>
    <xf numFmtId="0" fontId="19" fillId="3" borderId="18" xfId="1" applyFont="1" applyFill="1" applyBorder="1" applyAlignment="1" applyProtection="1">
      <alignment horizontal="center" vertical="center" wrapText="1"/>
      <protection hidden="1"/>
    </xf>
    <xf numFmtId="0" fontId="13" fillId="3" borderId="10" xfId="0" applyFont="1" applyFill="1" applyBorder="1" applyAlignment="1" applyProtection="1">
      <alignment vertical="top" shrinkToFit="1"/>
      <protection hidden="1"/>
    </xf>
    <xf numFmtId="0" fontId="13" fillId="3" borderId="11" xfId="0" applyFont="1" applyFill="1" applyBorder="1" applyAlignment="1" applyProtection="1">
      <alignment vertical="top" shrinkToFit="1"/>
      <protection hidden="1"/>
    </xf>
    <xf numFmtId="0" fontId="12" fillId="4" borderId="9" xfId="0" applyFont="1" applyFill="1" applyBorder="1" applyAlignment="1" applyProtection="1">
      <alignment horizontal="center" vertical="center" wrapText="1"/>
      <protection hidden="1"/>
    </xf>
    <xf numFmtId="0" fontId="12" fillId="4" borderId="10" xfId="0" applyFont="1" applyFill="1" applyBorder="1" applyAlignment="1" applyProtection="1">
      <alignment horizontal="center" vertical="center" wrapText="1"/>
      <protection hidden="1"/>
    </xf>
    <xf numFmtId="0" fontId="12" fillId="4" borderId="6" xfId="0" applyFont="1" applyFill="1" applyBorder="1" applyAlignment="1" applyProtection="1">
      <alignment horizontal="center" vertical="center" wrapText="1"/>
      <protection hidden="1"/>
    </xf>
    <xf numFmtId="0" fontId="12" fillId="4" borderId="7" xfId="0" applyFont="1" applyFill="1" applyBorder="1" applyAlignment="1" applyProtection="1">
      <alignment horizontal="center" vertical="center" wrapText="1"/>
      <protection hidden="1"/>
    </xf>
    <xf numFmtId="0" fontId="9" fillId="3" borderId="10" xfId="0" applyFont="1" applyFill="1" applyBorder="1" applyAlignment="1" applyProtection="1">
      <alignment horizontal="center" vertical="center"/>
      <protection hidden="1"/>
    </xf>
    <xf numFmtId="0" fontId="30" fillId="3" borderId="7" xfId="0" applyFont="1" applyFill="1" applyBorder="1" applyAlignment="1" applyProtection="1">
      <alignment horizontal="center" vertical="center"/>
      <protection hidden="1"/>
    </xf>
    <xf numFmtId="0" fontId="13" fillId="0" borderId="0" xfId="0" applyFont="1" applyAlignment="1" applyProtection="1">
      <alignment vertical="top" shrinkToFit="1"/>
      <protection hidden="1"/>
    </xf>
    <xf numFmtId="0" fontId="17" fillId="3" borderId="9" xfId="0" applyFont="1" applyFill="1" applyBorder="1" applyAlignment="1" applyProtection="1">
      <alignment shrinkToFit="1"/>
      <protection hidden="1"/>
    </xf>
    <xf numFmtId="0" fontId="17" fillId="3" borderId="10" xfId="0" applyFont="1" applyFill="1" applyBorder="1" applyAlignment="1" applyProtection="1">
      <alignment shrinkToFit="1"/>
      <protection hidden="1"/>
    </xf>
    <xf numFmtId="0" fontId="13" fillId="3" borderId="10" xfId="0" applyFont="1" applyFill="1" applyBorder="1" applyProtection="1">
      <protection hidden="1"/>
    </xf>
    <xf numFmtId="0" fontId="13" fillId="3" borderId="11" xfId="0" applyFont="1" applyFill="1" applyBorder="1" applyProtection="1">
      <protection hidden="1"/>
    </xf>
    <xf numFmtId="14" fontId="13" fillId="6" borderId="0" xfId="0" applyNumberFormat="1" applyFont="1" applyFill="1" applyAlignment="1" applyProtection="1">
      <alignment horizontal="center" vertical="top" shrinkToFit="1"/>
      <protection locked="0"/>
    </xf>
    <xf numFmtId="0" fontId="19" fillId="0" borderId="0" xfId="1" applyFont="1" applyFill="1" applyBorder="1" applyAlignment="1" applyProtection="1">
      <alignment vertical="top" shrinkToFit="1"/>
      <protection locked="0"/>
    </xf>
    <xf numFmtId="0" fontId="18" fillId="0" borderId="0" xfId="1" applyFont="1" applyFill="1" applyBorder="1" applyAlignment="1" applyProtection="1">
      <alignment vertical="top" shrinkToFit="1"/>
      <protection locked="0"/>
    </xf>
    <xf numFmtId="49" fontId="13" fillId="0" borderId="0" xfId="0" applyNumberFormat="1" applyFont="1" applyAlignment="1" applyProtection="1">
      <alignment horizontal="center" shrinkToFit="1"/>
      <protection locked="0"/>
    </xf>
    <xf numFmtId="0" fontId="13" fillId="3" borderId="4" xfId="1" applyFont="1" applyFill="1" applyBorder="1" applyAlignment="1" applyProtection="1">
      <alignment horizontal="right" vertical="top" shrinkToFit="1"/>
      <protection hidden="1"/>
    </xf>
    <xf numFmtId="0" fontId="13" fillId="3" borderId="0" xfId="1" applyFont="1" applyFill="1" applyBorder="1" applyAlignment="1" applyProtection="1">
      <alignment horizontal="right" vertical="top" shrinkToFit="1"/>
      <protection hidden="1"/>
    </xf>
    <xf numFmtId="0" fontId="17" fillId="3" borderId="5" xfId="0" applyFont="1" applyFill="1" applyBorder="1" applyAlignment="1" applyProtection="1">
      <alignment vertical="center" wrapText="1"/>
      <protection hidden="1"/>
    </xf>
    <xf numFmtId="0" fontId="17" fillId="3" borderId="14" xfId="0" applyFont="1" applyFill="1" applyBorder="1" applyAlignment="1" applyProtection="1">
      <alignment vertical="center" wrapText="1"/>
      <protection hidden="1"/>
    </xf>
    <xf numFmtId="0" fontId="17" fillId="3" borderId="15" xfId="0" applyFont="1" applyFill="1" applyBorder="1" applyAlignment="1" applyProtection="1">
      <alignment vertical="center" wrapText="1"/>
      <protection hidden="1"/>
    </xf>
    <xf numFmtId="0" fontId="15" fillId="3" borderId="0" xfId="0" applyFont="1" applyFill="1" applyAlignment="1" applyProtection="1">
      <alignment shrinkToFit="1"/>
      <protection hidden="1"/>
    </xf>
    <xf numFmtId="0" fontId="20" fillId="3" borderId="0" xfId="0" applyFont="1" applyFill="1" applyAlignment="1" applyProtection="1">
      <alignment vertical="top" wrapText="1" shrinkToFit="1"/>
      <protection hidden="1"/>
    </xf>
    <xf numFmtId="0" fontId="17" fillId="3" borderId="0" xfId="0" applyFont="1" applyFill="1" applyAlignment="1" applyProtection="1">
      <alignment vertical="top" shrinkToFit="1"/>
      <protection hidden="1"/>
    </xf>
    <xf numFmtId="0" fontId="13" fillId="3" borderId="19" xfId="1" applyFont="1" applyFill="1" applyBorder="1" applyAlignment="1" applyProtection="1">
      <alignment horizontal="center" vertical="center" wrapText="1"/>
      <protection hidden="1"/>
    </xf>
    <xf numFmtId="0" fontId="13" fillId="3" borderId="20" xfId="1" applyFont="1" applyFill="1" applyBorder="1" applyAlignment="1" applyProtection="1">
      <alignment horizontal="center" vertical="center" wrapText="1"/>
      <protection hidden="1"/>
    </xf>
    <xf numFmtId="0" fontId="26" fillId="4" borderId="9" xfId="0" applyFont="1" applyFill="1" applyBorder="1" applyAlignment="1" applyProtection="1">
      <alignment horizontal="center" vertical="center" wrapText="1"/>
      <protection hidden="1"/>
    </xf>
    <xf numFmtId="0" fontId="26" fillId="4" borderId="10" xfId="0" applyFont="1" applyFill="1" applyBorder="1" applyAlignment="1" applyProtection="1">
      <alignment horizontal="center" vertical="center" wrapText="1"/>
      <protection hidden="1"/>
    </xf>
    <xf numFmtId="0" fontId="26" fillId="4" borderId="6" xfId="0" applyFont="1" applyFill="1" applyBorder="1" applyAlignment="1" applyProtection="1">
      <alignment horizontal="center" vertical="center" wrapText="1"/>
      <protection hidden="1"/>
    </xf>
    <xf numFmtId="0" fontId="26" fillId="4" borderId="7" xfId="0" applyFont="1" applyFill="1" applyBorder="1" applyAlignment="1" applyProtection="1">
      <alignment horizontal="center" vertical="center" wrapText="1"/>
      <protection hidden="1"/>
    </xf>
    <xf numFmtId="0" fontId="31" fillId="3" borderId="7" xfId="0" applyFont="1" applyFill="1" applyBorder="1" applyAlignment="1" applyProtection="1">
      <alignment horizontal="center" vertical="center"/>
      <protection hidden="1"/>
    </xf>
    <xf numFmtId="0" fontId="17" fillId="0" borderId="7" xfId="0" applyFont="1" applyBorder="1" applyProtection="1">
      <protection hidden="1"/>
    </xf>
    <xf numFmtId="0" fontId="17" fillId="2" borderId="0" xfId="0" applyFont="1" applyFill="1" applyAlignment="1" applyProtection="1">
      <alignment vertical="top"/>
      <protection hidden="1"/>
    </xf>
    <xf numFmtId="0" fontId="17" fillId="0" borderId="7" xfId="0" applyFont="1" applyBorder="1" applyAlignment="1" applyProtection="1">
      <alignment vertical="top"/>
      <protection hidden="1"/>
    </xf>
    <xf numFmtId="0" fontId="17" fillId="0" borderId="0" xfId="0" applyFont="1" applyProtection="1">
      <protection hidden="1"/>
    </xf>
    <xf numFmtId="0" fontId="5" fillId="3" borderId="2" xfId="0" applyFont="1" applyFill="1" applyBorder="1" applyAlignment="1" applyProtection="1">
      <alignment horizontal="center" vertical="center" wrapText="1"/>
      <protection hidden="1"/>
    </xf>
    <xf numFmtId="0" fontId="5" fillId="0" borderId="2" xfId="2" applyFont="1" applyBorder="1" applyAlignment="1" applyProtection="1">
      <alignment horizontal="left" vertical="top"/>
      <protection hidden="1"/>
    </xf>
    <xf numFmtId="0" fontId="5" fillId="0" borderId="3" xfId="2" applyFont="1" applyBorder="1" applyAlignment="1" applyProtection="1">
      <alignment horizontal="left" vertical="top"/>
      <protection hidden="1"/>
    </xf>
    <xf numFmtId="0" fontId="5" fillId="0" borderId="9" xfId="2" applyFont="1" applyBorder="1" applyAlignment="1" applyProtection="1">
      <alignment vertical="top" wrapText="1"/>
      <protection hidden="1"/>
    </xf>
    <xf numFmtId="0" fontId="5" fillId="0" borderId="11" xfId="2" applyFont="1" applyBorder="1" applyAlignment="1" applyProtection="1">
      <alignment vertical="top" wrapText="1"/>
      <protection hidden="1"/>
    </xf>
    <xf numFmtId="0" fontId="5" fillId="0" borderId="4" xfId="2" applyFont="1" applyBorder="1" applyAlignment="1" applyProtection="1">
      <alignment vertical="top" wrapText="1"/>
      <protection hidden="1"/>
    </xf>
    <xf numFmtId="0" fontId="5" fillId="0" borderId="1" xfId="2" applyFont="1" applyBorder="1" applyAlignment="1" applyProtection="1">
      <alignment vertical="top" wrapText="1"/>
      <protection hidden="1"/>
    </xf>
    <xf numFmtId="0" fontId="5" fillId="0" borderId="6" xfId="2" applyFont="1" applyBorder="1" applyAlignment="1" applyProtection="1">
      <alignment vertical="top" wrapText="1"/>
      <protection hidden="1"/>
    </xf>
    <xf numFmtId="0" fontId="5" fillId="0" borderId="8" xfId="2" applyFont="1" applyBorder="1" applyAlignment="1" applyProtection="1">
      <alignment vertical="top" wrapText="1"/>
      <protection hidden="1"/>
    </xf>
    <xf numFmtId="0" fontId="5" fillId="0" borderId="5" xfId="2" applyFont="1" applyBorder="1" applyAlignment="1" applyProtection="1">
      <alignment horizontal="left" vertical="top" wrapText="1"/>
      <protection hidden="1"/>
    </xf>
    <xf numFmtId="0" fontId="5" fillId="0" borderId="15" xfId="2" applyFont="1" applyBorder="1" applyAlignment="1" applyProtection="1">
      <alignment horizontal="left" vertical="top" wrapText="1"/>
      <protection hidden="1"/>
    </xf>
    <xf numFmtId="0" fontId="5" fillId="0" borderId="9" xfId="2" applyFont="1" applyBorder="1" applyAlignment="1" applyProtection="1">
      <alignment horizontal="left" vertical="top"/>
      <protection hidden="1"/>
    </xf>
    <xf numFmtId="0" fontId="5" fillId="0" borderId="4" xfId="2" applyFont="1" applyBorder="1" applyAlignment="1" applyProtection="1">
      <alignment horizontal="left" vertical="top"/>
      <protection hidden="1"/>
    </xf>
    <xf numFmtId="0" fontId="5" fillId="0" borderId="6" xfId="2" applyFont="1" applyBorder="1" applyAlignment="1" applyProtection="1">
      <alignment horizontal="left" vertical="top"/>
      <protection hidden="1"/>
    </xf>
    <xf numFmtId="0" fontId="6" fillId="10" borderId="0" xfId="0" applyFont="1" applyFill="1" applyAlignment="1" applyProtection="1">
      <alignment vertical="top" wrapText="1"/>
      <protection hidden="1"/>
    </xf>
    <xf numFmtId="0" fontId="6" fillId="0" borderId="0" xfId="0" applyFont="1" applyAlignment="1" applyProtection="1">
      <alignment vertical="top" wrapText="1"/>
      <protection hidden="1"/>
    </xf>
    <xf numFmtId="0" fontId="5" fillId="0" borderId="0" xfId="0" applyFont="1" applyAlignment="1" applyProtection="1">
      <alignment vertical="top"/>
      <protection hidden="1"/>
    </xf>
    <xf numFmtId="0" fontId="6" fillId="0" borderId="7" xfId="0" applyFont="1" applyBorder="1" applyAlignment="1" applyProtection="1">
      <alignment wrapText="1"/>
      <protection hidden="1"/>
    </xf>
    <xf numFmtId="0" fontId="5" fillId="0" borderId="12" xfId="2" applyFont="1" applyBorder="1" applyAlignment="1" applyProtection="1">
      <alignment horizontal="center" vertical="center"/>
      <protection hidden="1"/>
    </xf>
    <xf numFmtId="0" fontId="8" fillId="0" borderId="5" xfId="2" applyFont="1" applyBorder="1" applyAlignment="1" applyProtection="1">
      <alignment horizontal="center" vertical="center" textRotation="90"/>
      <protection hidden="1"/>
    </xf>
    <xf numFmtId="0" fontId="8" fillId="0" borderId="2" xfId="2" applyFont="1" applyBorder="1" applyAlignment="1" applyProtection="1">
      <alignment horizontal="center" vertical="center" textRotation="90"/>
      <protection hidden="1"/>
    </xf>
    <xf numFmtId="0" fontId="8" fillId="0" borderId="3" xfId="2" applyFont="1" applyBorder="1" applyAlignment="1" applyProtection="1">
      <alignment horizontal="center" vertical="center" textRotation="90"/>
      <protection hidden="1"/>
    </xf>
    <xf numFmtId="0" fontId="5" fillId="3" borderId="2" xfId="2" applyFont="1" applyFill="1" applyBorder="1" applyAlignment="1" applyProtection="1">
      <alignment horizontal="center" vertical="center" wrapText="1"/>
      <protection hidden="1"/>
    </xf>
    <xf numFmtId="0" fontId="5" fillId="0" borderId="9" xfId="2" applyFont="1" applyBorder="1" applyAlignment="1" applyProtection="1">
      <alignment horizontal="center" vertical="top" wrapText="1"/>
      <protection hidden="1"/>
    </xf>
    <xf numFmtId="0" fontId="5" fillId="0" borderId="4" xfId="2" applyFont="1" applyBorder="1" applyAlignment="1" applyProtection="1">
      <alignment horizontal="center" vertical="top" wrapText="1"/>
      <protection hidden="1"/>
    </xf>
    <xf numFmtId="0" fontId="6" fillId="0" borderId="2" xfId="2" applyFont="1" applyBorder="1" applyAlignment="1" applyProtection="1">
      <alignment horizontal="center" vertical="center" textRotation="90"/>
      <protection hidden="1"/>
    </xf>
    <xf numFmtId="0" fontId="8" fillId="3" borderId="2" xfId="2" applyFont="1" applyFill="1" applyBorder="1" applyAlignment="1" applyProtection="1">
      <alignment horizontal="center" vertical="center" textRotation="90"/>
      <protection hidden="1"/>
    </xf>
    <xf numFmtId="0" fontId="8" fillId="12" borderId="2" xfId="2" applyFont="1" applyFill="1" applyBorder="1" applyAlignment="1" applyProtection="1">
      <alignment horizontal="center" vertical="center" textRotation="90"/>
      <protection hidden="1"/>
    </xf>
    <xf numFmtId="0" fontId="5" fillId="12" borderId="2" xfId="2" applyFont="1" applyFill="1" applyBorder="1" applyAlignment="1" applyProtection="1">
      <alignment horizontal="center" vertical="center" wrapText="1"/>
      <protection hidden="1"/>
    </xf>
    <xf numFmtId="0" fontId="6" fillId="0" borderId="13" xfId="2" applyFont="1" applyBorder="1" applyAlignment="1" applyProtection="1">
      <alignment horizontal="center" vertical="center" textRotation="90"/>
      <protection hidden="1"/>
    </xf>
    <xf numFmtId="0" fontId="25" fillId="0" borderId="11" xfId="2" applyFont="1" applyBorder="1" applyAlignment="1" applyProtection="1">
      <alignment horizontal="center" vertical="top"/>
      <protection hidden="1"/>
    </xf>
    <xf numFmtId="0" fontId="25" fillId="0" borderId="1" xfId="2" applyFont="1" applyBorder="1" applyAlignment="1" applyProtection="1">
      <alignment horizontal="center" vertical="top"/>
      <protection hidden="1"/>
    </xf>
    <xf numFmtId="0" fontId="6" fillId="0" borderId="3" xfId="0" applyFont="1" applyBorder="1" applyAlignment="1" applyProtection="1">
      <alignment horizontal="center" vertical="center" textRotation="90"/>
      <protection hidden="1"/>
    </xf>
    <xf numFmtId="0" fontId="6" fillId="0" borderId="12" xfId="0" applyFont="1" applyBorder="1" applyAlignment="1" applyProtection="1">
      <alignment horizontal="center" vertical="center" textRotation="90"/>
      <protection hidden="1"/>
    </xf>
    <xf numFmtId="0" fontId="6" fillId="0" borderId="13" xfId="0" applyFont="1" applyBorder="1" applyAlignment="1" applyProtection="1">
      <alignment horizontal="center" vertical="center" textRotation="90"/>
      <protection hidden="1"/>
    </xf>
    <xf numFmtId="0" fontId="34" fillId="14" borderId="0" xfId="0" applyFont="1" applyFill="1" applyAlignment="1" applyProtection="1">
      <alignment vertical="center" readingOrder="1"/>
      <protection hidden="1"/>
    </xf>
    <xf numFmtId="0" fontId="5" fillId="0" borderId="9" xfId="0" applyFont="1" applyBorder="1" applyAlignment="1" applyProtection="1">
      <alignment horizontal="center" vertical="top"/>
      <protection hidden="1"/>
    </xf>
    <xf numFmtId="0" fontId="5" fillId="0" borderId="4" xfId="0" applyFont="1" applyBorder="1" applyAlignment="1" applyProtection="1">
      <alignment horizontal="center" vertical="top"/>
      <protection hidden="1"/>
    </xf>
    <xf numFmtId="0" fontId="5" fillId="0" borderId="6" xfId="0" applyFont="1" applyBorder="1" applyAlignment="1" applyProtection="1">
      <alignment horizontal="center" vertical="top"/>
      <protection hidden="1"/>
    </xf>
    <xf numFmtId="0" fontId="13" fillId="0" borderId="0" xfId="0" applyFont="1" applyAlignment="1" applyProtection="1">
      <alignment vertical="top" wrapText="1"/>
      <protection hidden="1"/>
    </xf>
    <xf numFmtId="0" fontId="17" fillId="7" borderId="0" xfId="0" applyFont="1" applyFill="1" applyAlignment="1" applyProtection="1">
      <alignment vertical="top"/>
      <protection hidden="1"/>
    </xf>
  </cellXfs>
  <cellStyles count="4">
    <cellStyle name="Hyperlink" xfId="1" builtinId="8"/>
    <cellStyle name="Normal" xfId="0" builtinId="0"/>
    <cellStyle name="Normal 2" xfId="2" xr:uid="{00000000-0005-0000-0000-000002000000}"/>
    <cellStyle name="Normal_tablesOfCodes" xfId="3" xr:uid="{C7684F0C-8A87-4AF6-BADD-BC06CC8BE4B6}"/>
  </cellStyles>
  <dxfs count="48">
    <dxf>
      <fill>
        <patternFill>
          <bgColor rgb="FFFFFF00"/>
        </patternFill>
      </fill>
    </dxf>
    <dxf>
      <fill>
        <patternFill>
          <bgColor rgb="FFFFFF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strike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border outline="0">
        <right style="thin">
          <color theme="4" tint="0.39997558519241921"/>
        </right>
        <top style="thin">
          <color indexed="64"/>
        </top>
      </border>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8"/>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9" formatCode="yyyy/mm/dd"/>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solid">
          <fgColor indexed="64"/>
          <bgColor theme="0" tint="-0.14999847407452621"/>
        </patternFill>
      </fill>
      <protection locked="1" hidden="1"/>
    </dxf>
  </dxfs>
  <tableStyles count="0" defaultTableStyle="TableStyleMedium9"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10</xdr:col>
      <xdr:colOff>86458</xdr:colOff>
      <xdr:row>1</xdr:row>
      <xdr:rowOff>240323</xdr:rowOff>
    </xdr:to>
    <xdr:pic>
      <xdr:nvPicPr>
        <xdr:cNvPr id="2" name="Picture 17" descr="LOGOTIPO" hidden="1">
          <a:extLst>
            <a:ext uri="{FF2B5EF4-FFF2-40B4-BE49-F238E27FC236}">
              <a16:creationId xmlns:a16="http://schemas.microsoft.com/office/drawing/2014/main" id="{00000000-0008-0000-01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9975" y="0"/>
          <a:ext cx="505558" cy="42129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blST10A" displayName="tblST10A" ref="A26:N50" totalsRowShown="0" headerRowDxfId="47" dataDxfId="46">
  <autoFilter ref="A26:N50" xr:uid="{00000000-0009-0000-0100-000008000000}"/>
  <tableColumns count="14">
    <tableColumn id="1" xr3:uid="{00000000-0010-0000-0000-000001000000}" name="LandingID" dataDxfId="45"/>
    <tableColumn id="2" xr3:uid="{00000000-0010-0000-0000-000002000000}" name="DtLanding" dataDxfId="44"/>
    <tableColumn id="3" xr3:uid="{00000000-0010-0000-0000-000003000000}" name="ICCATSerialNo" dataDxfId="43"/>
    <tableColumn id="4" xr3:uid="{00000000-0010-0000-0000-000004000000}" name="VesselName" dataDxfId="42"/>
    <tableColumn id="5" xr3:uid="{00000000-0010-0000-0000-000005000000}" name="VessNRN" dataDxfId="41"/>
    <tableColumn id="6" xr3:uid="{00000000-0010-0000-0000-000006000000}" name="FlagVesCd" dataDxfId="40"/>
    <tableColumn id="7" xr3:uid="{00000000-0010-0000-0000-000007000000}" name="GearCd" dataDxfId="39"/>
    <tableColumn id="9" xr3:uid="{00000000-0010-0000-0000-000009000000}" name="YFTw" dataDxfId="38"/>
    <tableColumn id="8" xr3:uid="{00000000-0010-0000-0000-000008000000}" name="YFTpt" dataDxfId="37"/>
    <tableColumn id="11" xr3:uid="{00000000-0010-0000-0000-00000B000000}" name="BETw" dataDxfId="36"/>
    <tableColumn id="10" xr3:uid="{00000000-0010-0000-0000-00000A000000}" name="BETpt" dataDxfId="35"/>
    <tableColumn id="13" xr3:uid="{00000000-0010-0000-0000-00000D000000}" name="SKJw" dataDxfId="34"/>
    <tableColumn id="12" xr3:uid="{00000000-0010-0000-0000-00000C000000}" name="SKJpt" dataDxfId="33"/>
    <tableColumn id="14" xr3:uid="{00000000-0010-0000-0000-00000E000000}" name="SzDataYN" dataDxfId="32"/>
  </tableColumns>
  <tableStyleInfo name="TableStyleLight1"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ST10B" displayName="tblST10B" ref="A18:G39" totalsRowShown="0" headerRowDxfId="31" dataDxfId="30" tableBorderDxfId="29">
  <autoFilter ref="A18:G39" xr:uid="{00000000-0009-0000-0100-000002000000}"/>
  <tableColumns count="7">
    <tableColumn id="1" xr3:uid="{00000000-0010-0000-0100-000001000000}" name="szLandingID" dataDxfId="28"/>
    <tableColumn id="2" xr3:uid="{00000000-0010-0000-0100-000002000000}" name="SpeciesCd" dataDxfId="27"/>
    <tableColumn id="3" xr3:uid="{00000000-0010-0000-0100-000003000000}" name="SzFreqTypCd" dataDxfId="26"/>
    <tableColumn id="4" xr3:uid="{00000000-0010-0000-0100-000004000000}" name="SzPTypeCd" dataDxfId="25"/>
    <tableColumn id="5" xr3:uid="{00000000-0010-0000-0100-000005000000}" name="SexCd" dataDxfId="24"/>
    <tableColumn id="6" xr3:uid="{00000000-0010-0000-0100-000006000000}" name="LenghCm" dataDxfId="23"/>
    <tableColumn id="7" xr3:uid="{00000000-0010-0000-0100-000007000000}" name="Notes" dataDxfId="22"/>
  </tableColumns>
  <tableStyleInfo name="TableStyleLight2"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blTrans3Langs" displayName="tblTrans3Langs" ref="A4:M82" totalsRowShown="0" headerRowDxfId="21" dataDxfId="20">
  <autoFilter ref="A4:M82" xr:uid="{2948119A-38C3-455C-9A12-58D89FEC9CDD}"/>
  <tableColumns count="13">
    <tableColumn id="1" xr3:uid="{00000000-0010-0000-0200-000001000000}" name="FieldID" dataDxfId="19"/>
    <tableColumn id="2" xr3:uid="{00000000-0010-0000-0200-000002000000}" name="Order" dataDxfId="18"/>
    <tableColumn id="13" xr3:uid="{C92A68D0-0596-46BF-AAA4-B8E6AF49642E}" name="FormID" dataDxfId="17"/>
    <tableColumn id="3" xr3:uid="{00000000-0010-0000-0200-000003000000}" name="SubFormID" dataDxfId="16"/>
    <tableColumn id="4" xr3:uid="{00000000-0010-0000-0200-000004000000}" name="Section" dataDxfId="15"/>
    <tableColumn id="5" xr3:uid="{00000000-0010-0000-0200-000005000000}" name="Item" dataDxfId="14"/>
    <tableColumn id="6" xr3:uid="{00000000-0010-0000-0200-000006000000}" name="FieldType" dataDxfId="13"/>
    <tableColumn id="7" xr3:uid="{00000000-0010-0000-0200-000007000000}" name="FldNameEN" dataDxfId="12"/>
    <tableColumn id="8" xr3:uid="{00000000-0010-0000-0200-000008000000}" name="FldNameFR" dataDxfId="11"/>
    <tableColumn id="9" xr3:uid="{00000000-0010-0000-0200-000009000000}" name="FldNameES" dataDxfId="10"/>
    <tableColumn id="10" xr3:uid="{00000000-0010-0000-0200-00000A000000}" name="FldInstructEN" dataDxfId="9"/>
    <tableColumn id="11" xr3:uid="{00000000-0010-0000-0200-00000B000000}" name="FldInstructFR" dataDxfId="8"/>
    <tableColumn id="12" xr3:uid="{00000000-0010-0000-0200-00000C000000}" name="FldInstructES" dataDxfId="7"/>
  </tableColumns>
  <tableStyleInfo name="TableStyleLight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autoPageBreaks="0"/>
  </sheetPr>
  <dimension ref="A1:R50"/>
  <sheetViews>
    <sheetView tabSelected="1" showOutlineSymbols="0" zoomScale="115" zoomScaleNormal="115" zoomScaleSheetLayoutView="100" workbookViewId="0">
      <selection activeCell="C5" sqref="C5:I5"/>
    </sheetView>
  </sheetViews>
  <sheetFormatPr defaultColWidth="9.08984375" defaultRowHeight="12" x14ac:dyDescent="0.25"/>
  <cols>
    <col min="1" max="1" width="13.08984375" style="71" customWidth="1"/>
    <col min="2" max="2" width="14.08984375" style="71" customWidth="1"/>
    <col min="3" max="3" width="16.08984375" style="52" customWidth="1"/>
    <col min="4" max="4" width="21.6328125" style="71" bestFit="1" customWidth="1"/>
    <col min="5" max="5" width="12.90625" style="71" customWidth="1"/>
    <col min="6" max="6" width="9" style="71" customWidth="1"/>
    <col min="7" max="7" width="8.453125" style="71" customWidth="1"/>
    <col min="8" max="12" width="8.6328125" style="71" customWidth="1"/>
    <col min="13" max="13" width="8.453125" style="71" bestFit="1" customWidth="1"/>
    <col min="14" max="14" width="14.453125" style="71" customWidth="1"/>
    <col min="15" max="15" width="5.453125" style="71" customWidth="1"/>
    <col min="16" max="16" width="2" style="71" bestFit="1" customWidth="1"/>
    <col min="17" max="17" width="7.08984375" style="71" bestFit="1" customWidth="1"/>
    <col min="18" max="18" width="8.36328125" style="71" bestFit="1" customWidth="1"/>
    <col min="19" max="16384" width="9.08984375" style="71"/>
  </cols>
  <sheetData>
    <row r="1" spans="1:18" s="46" customFormat="1" ht="20" x14ac:dyDescent="0.25">
      <c r="A1" s="257" t="str">
        <f>VLOOKUP("T00",tblTrans3Langs[],LangFieldID,FALSE)</f>
        <v>ST10-PrtSmp</v>
      </c>
      <c r="B1" s="258"/>
      <c r="C1" s="261" t="str">
        <f>VLOOKUP("T00",tblTrans3Langs[],LangNameID,FALSE)</f>
        <v xml:space="preserve">TASK 3 - PORT SAMPLING </v>
      </c>
      <c r="D1" s="261"/>
      <c r="E1" s="261"/>
      <c r="F1" s="261"/>
      <c r="G1" s="261"/>
      <c r="H1" s="261"/>
      <c r="I1" s="261"/>
      <c r="J1" s="261"/>
      <c r="K1" s="261"/>
      <c r="L1" s="261"/>
      <c r="M1" s="261"/>
      <c r="N1" s="261"/>
      <c r="O1" s="261"/>
      <c r="P1" s="261"/>
      <c r="Q1" s="1" t="str">
        <f>VLOOKUP("tVersion",tblTrans3Langs[],LangFieldID,FALSE)</f>
        <v>Version</v>
      </c>
      <c r="R1" s="2" t="str">
        <f>VLOOKUP("tLang",tblTrans3Langs[],LangFieldID,FALSE)</f>
        <v>Language</v>
      </c>
    </row>
    <row r="2" spans="1:18" s="46" customFormat="1" ht="14" x14ac:dyDescent="0.25">
      <c r="A2" s="259"/>
      <c r="B2" s="260"/>
      <c r="C2" s="262" t="str">
        <f>VLOOKUP("T01",tblTrans3Langs[],LangFieldID,FALSE)&amp;": "&amp;VLOOKUP("T01",tblTrans3Langs[],LangNameID,FALSE)</f>
        <v>ICCAT: INTERNATIONAL COMMISSION FOR THE CONSERVATION OF ATLANTIC TUNAS</v>
      </c>
      <c r="D2" s="262"/>
      <c r="E2" s="262"/>
      <c r="F2" s="262"/>
      <c r="G2" s="262"/>
      <c r="H2" s="262"/>
      <c r="I2" s="262"/>
      <c r="J2" s="262"/>
      <c r="K2" s="262"/>
      <c r="L2" s="262"/>
      <c r="M2" s="262"/>
      <c r="N2" s="262"/>
      <c r="O2" s="262"/>
      <c r="P2" s="262"/>
      <c r="Q2" s="3" t="s">
        <v>2196</v>
      </c>
      <c r="R2" s="8" t="s">
        <v>2003</v>
      </c>
    </row>
    <row r="3" spans="1:18" s="9" customFormat="1" ht="10.5" x14ac:dyDescent="0.25">
      <c r="A3" s="263"/>
      <c r="B3" s="263"/>
      <c r="C3" s="263"/>
      <c r="D3" s="263"/>
      <c r="E3" s="263"/>
      <c r="F3" s="263"/>
      <c r="G3" s="263"/>
      <c r="H3" s="263"/>
      <c r="I3" s="81"/>
      <c r="J3" s="81"/>
      <c r="K3" s="81"/>
      <c r="L3" s="81"/>
      <c r="M3" s="81"/>
      <c r="N3" s="81"/>
      <c r="O3" s="81"/>
      <c r="P3" s="81"/>
      <c r="Q3" s="81"/>
      <c r="R3" s="81"/>
    </row>
    <row r="4" spans="1:18" s="9" customFormat="1" ht="10.5" x14ac:dyDescent="0.25">
      <c r="A4" s="246" t="str">
        <f>VLOOKUP("H10",tblTrans3Langs[],LangFieldID,FALSE)</f>
        <v>Statistical correspondent</v>
      </c>
      <c r="B4" s="247"/>
      <c r="C4" s="247"/>
      <c r="D4" s="247"/>
      <c r="E4" s="247"/>
      <c r="F4" s="247"/>
      <c r="G4" s="247"/>
      <c r="H4" s="247"/>
      <c r="I4" s="247"/>
      <c r="J4" s="11" t="str">
        <f>IF(AND(C5&gt;0,C6&gt;0,G6&gt;0,C7&gt;0,C8&gt;0,C9&gt;0,G9&gt;0),"ok","inc")</f>
        <v>inc</v>
      </c>
      <c r="K4" s="264" t="str">
        <f>VLOOKUP("H20",tblTrans3Langs[],LangFieldID,FALSE)</f>
        <v>Secretariat use only</v>
      </c>
      <c r="L4" s="265"/>
      <c r="M4" s="265"/>
      <c r="N4" s="265"/>
      <c r="O4" s="265"/>
      <c r="P4" s="266" t="str">
        <f>VLOOKUP("H21",tblTrans3Langs[],LangFieldID,FALSE)</f>
        <v>Filtering criteria</v>
      </c>
      <c r="Q4" s="266"/>
      <c r="R4" s="267"/>
    </row>
    <row r="5" spans="1:18" s="9" customFormat="1" ht="10.5" x14ac:dyDescent="0.25">
      <c r="A5" s="12" t="str">
        <f>VLOOKUP("H11",tblTrans3Langs[],LangFieldID,FALSE)</f>
        <v>Identification</v>
      </c>
      <c r="B5" s="78" t="str">
        <f>VLOOKUP("hName",tblTrans3Langs[],LangFieldID,FALSE)</f>
        <v>Name</v>
      </c>
      <c r="C5" s="230"/>
      <c r="D5" s="230"/>
      <c r="E5" s="230"/>
      <c r="F5" s="230"/>
      <c r="G5" s="230"/>
      <c r="H5" s="230"/>
      <c r="I5" s="230"/>
      <c r="J5" s="13"/>
      <c r="K5" s="228" t="str">
        <f>VLOOKUP("hDaterep",tblTrans3Langs[],LangFieldID,FALSE)</f>
        <v>Date reported</v>
      </c>
      <c r="L5" s="229"/>
      <c r="M5" s="268"/>
      <c r="N5" s="268"/>
      <c r="O5" s="13"/>
      <c r="P5" s="13"/>
      <c r="Q5" s="14" t="str">
        <f>VLOOKUP("hFilter1",tblTrans3Langs[],LangFieldID,FALSE)</f>
        <v>Filter 1</v>
      </c>
      <c r="R5" s="14" t="str">
        <f>VLOOKUP("hFilter2",tblTrans3Langs[],LangFieldID,FALSE)</f>
        <v>Filter 2</v>
      </c>
    </row>
    <row r="6" spans="1:18" s="9" customFormat="1" ht="10.5" x14ac:dyDescent="0.25">
      <c r="A6" s="15"/>
      <c r="B6" s="78" t="str">
        <f>VLOOKUP("hEmail",tblTrans3Langs[],LangFieldID,FALSE)</f>
        <v>E-mail</v>
      </c>
      <c r="C6" s="269"/>
      <c r="D6" s="270"/>
      <c r="E6" s="270"/>
      <c r="F6" s="78" t="str">
        <f>VLOOKUP("hPhone",tblTrans3Langs[],LangFieldID,FALSE)</f>
        <v>Phone</v>
      </c>
      <c r="G6" s="271"/>
      <c r="H6" s="271"/>
      <c r="I6" s="271"/>
      <c r="J6" s="79"/>
      <c r="K6" s="228" t="str">
        <f>VLOOKUP("hRef",tblTrans3Langs[],LangFieldID,FALSE)</f>
        <v>Reference Nº</v>
      </c>
      <c r="L6" s="229"/>
      <c r="M6" s="241"/>
      <c r="N6" s="241"/>
      <c r="O6" s="13"/>
      <c r="P6" s="16" t="s">
        <v>1656</v>
      </c>
      <c r="Q6" s="141">
        <v>0</v>
      </c>
      <c r="R6" s="238" t="s">
        <v>1580</v>
      </c>
    </row>
    <row r="7" spans="1:18" s="9" customFormat="1" ht="10.5" x14ac:dyDescent="0.25">
      <c r="A7" s="17" t="str">
        <f>VLOOKUP("H12",tblTrans3Langs[],LangFieldID,FALSE)</f>
        <v>Affiliation</v>
      </c>
      <c r="B7" s="78" t="str">
        <f>VLOOKUP("hInstit",tblTrans3Langs[],LangFieldID,FALSE)</f>
        <v>Institution</v>
      </c>
      <c r="C7" s="230"/>
      <c r="D7" s="230"/>
      <c r="E7" s="230"/>
      <c r="F7" s="230"/>
      <c r="G7" s="18"/>
      <c r="H7" s="13"/>
      <c r="I7" s="19"/>
      <c r="J7" s="79"/>
      <c r="K7" s="20"/>
      <c r="L7" s="16" t="s">
        <v>1954</v>
      </c>
      <c r="M7" s="114"/>
      <c r="N7" s="13"/>
      <c r="O7" s="21"/>
      <c r="P7" s="16" t="s">
        <v>1657</v>
      </c>
      <c r="Q7" s="142">
        <v>0</v>
      </c>
      <c r="R7" s="239"/>
    </row>
    <row r="8" spans="1:18" s="9" customFormat="1" ht="10.5" x14ac:dyDescent="0.25">
      <c r="A8" s="22"/>
      <c r="B8" s="78" t="str">
        <f>VLOOKUP("hDepart",tblTrans3Langs[],LangFieldID,FALSE)</f>
        <v>Department</v>
      </c>
      <c r="C8" s="230"/>
      <c r="D8" s="230"/>
      <c r="E8" s="230"/>
      <c r="F8" s="230"/>
      <c r="G8" s="18"/>
      <c r="H8" s="13"/>
      <c r="I8" s="19"/>
      <c r="J8" s="79"/>
      <c r="K8" s="243" t="str">
        <f>VLOOKUP("hFName",tblTrans3Langs[],LangFieldID,FALSE)</f>
        <v>File name (proposed)</v>
      </c>
      <c r="L8" s="244"/>
      <c r="M8" s="244"/>
      <c r="N8" s="244"/>
      <c r="O8" s="79"/>
      <c r="P8" s="16" t="s">
        <v>1658</v>
      </c>
      <c r="Q8" s="142">
        <v>0</v>
      </c>
      <c r="R8" s="239"/>
    </row>
    <row r="9" spans="1:18" s="9" customFormat="1" ht="10.5" x14ac:dyDescent="0.25">
      <c r="A9" s="23"/>
      <c r="B9" s="78" t="str">
        <f>VLOOKUP("hAddress",tblTrans3Langs[],LangFieldID,FALSE)</f>
        <v>Address</v>
      </c>
      <c r="C9" s="230"/>
      <c r="D9" s="230"/>
      <c r="E9" s="230"/>
      <c r="F9" s="24" t="str">
        <f>VLOOKUP("hCountry",tblTrans3Langs[],LangFieldID,FALSE)</f>
        <v>Country</v>
      </c>
      <c r="G9" s="242"/>
      <c r="H9" s="242"/>
      <c r="I9" s="242"/>
      <c r="J9" s="13"/>
      <c r="K9" s="236" t="str">
        <f>IF(AND(J4="ok",J11="ok"),"ST10_"&amp;E12&amp;C13&amp;LEFT(C17,1)&amp;"-"&amp;LEFT(C19,2)&amp;"#"&amp;M6&amp;".xlsx","")</f>
        <v/>
      </c>
      <c r="L9" s="237"/>
      <c r="M9" s="237"/>
      <c r="N9" s="237"/>
      <c r="O9" s="79"/>
      <c r="P9" s="16" t="s">
        <v>1659</v>
      </c>
      <c r="Q9" s="139"/>
      <c r="R9" s="239"/>
    </row>
    <row r="10" spans="1:18" s="9" customFormat="1" ht="10.5" x14ac:dyDescent="0.25">
      <c r="A10" s="25"/>
      <c r="B10" s="26"/>
      <c r="C10" s="26"/>
      <c r="D10" s="26"/>
      <c r="E10" s="26"/>
      <c r="F10" s="26"/>
      <c r="G10" s="26"/>
      <c r="H10" s="26"/>
      <c r="I10" s="27"/>
      <c r="J10" s="28"/>
      <c r="K10" s="29"/>
      <c r="L10" s="26"/>
      <c r="M10" s="26"/>
      <c r="N10" s="26"/>
      <c r="O10" s="28"/>
      <c r="P10" s="28"/>
      <c r="Q10" s="140"/>
      <c r="R10" s="240"/>
    </row>
    <row r="11" spans="1:18" s="9" customFormat="1" ht="10.5" x14ac:dyDescent="0.25">
      <c r="A11" s="246" t="str">
        <f>VLOOKUP("H30",tblTrans3Langs[],LangFieldID,FALSE)</f>
        <v>Data set characteristics</v>
      </c>
      <c r="B11" s="247"/>
      <c r="C11" s="247"/>
      <c r="D11" s="247"/>
      <c r="E11" s="247"/>
      <c r="F11" s="245" t="str">
        <f>VLOOKUP("H31",tblTrans3Langs[],LangFieldID,FALSE)</f>
        <v>Tropical Tunas Moratory Sampling Area</v>
      </c>
      <c r="G11" s="245"/>
      <c r="H11" s="245"/>
      <c r="I11" s="245"/>
      <c r="J11" s="11" t="str">
        <f>IF(E12="","inc",IF(AND(C13&gt;0,C15&gt;0,C17&gt;0,C18&gt;0),"ok","inc"))</f>
        <v>inc</v>
      </c>
      <c r="K11" s="255" t="str">
        <f>VLOOKUP("hNotes",tblTrans3Langs[],LangFieldID,FALSE)</f>
        <v>Notes</v>
      </c>
      <c r="L11" s="255"/>
      <c r="M11" s="255"/>
      <c r="N11" s="255"/>
      <c r="O11" s="255"/>
      <c r="P11" s="255"/>
      <c r="Q11" s="255"/>
      <c r="R11" s="256"/>
    </row>
    <row r="12" spans="1:18" s="9" customFormat="1" ht="12.15" customHeight="1" x14ac:dyDescent="0.25">
      <c r="A12" s="226" t="str">
        <f>VLOOKUP("hFlagrep",tblTrans3Langs[],LangFieldID,FALSE)</f>
        <v>Reporting Flag</v>
      </c>
      <c r="B12" s="227"/>
      <c r="C12" s="230"/>
      <c r="D12" s="230"/>
      <c r="E12" s="79" t="str">
        <f>IFERROR(IF(C12&gt;0,VLOOKUP(C12,Codes!A3:B175,2,FALSE),""),"")</f>
        <v/>
      </c>
      <c r="F12" s="250" t="str">
        <f>VLOOKUP("H31",tblTrans3Langs[],LangNameID,FALSE)</f>
        <v>ICCAT Convention Area (January &amp; February 2020)</v>
      </c>
      <c r="G12" s="250"/>
      <c r="H12" s="250"/>
      <c r="I12" s="250"/>
      <c r="J12" s="82"/>
      <c r="K12" s="248"/>
      <c r="L12" s="248"/>
      <c r="M12" s="248"/>
      <c r="N12" s="248"/>
      <c r="O12" s="248"/>
      <c r="P12" s="248"/>
      <c r="Q12" s="248"/>
      <c r="R12" s="249"/>
    </row>
    <row r="13" spans="1:18" s="9" customFormat="1" ht="12.15" customHeight="1" x14ac:dyDescent="0.25">
      <c r="A13" s="228" t="str">
        <f>VLOOKUP("hYearC",tblTrans3Langs[],LangFieldID,FALSE)</f>
        <v>Year (calendar)</v>
      </c>
      <c r="B13" s="229"/>
      <c r="C13" s="80"/>
      <c r="D13" s="79"/>
      <c r="E13" s="79"/>
      <c r="F13" s="250"/>
      <c r="G13" s="250"/>
      <c r="H13" s="250"/>
      <c r="I13" s="250"/>
      <c r="J13" s="45"/>
      <c r="K13" s="248"/>
      <c r="L13" s="248"/>
      <c r="M13" s="248"/>
      <c r="N13" s="248"/>
      <c r="O13" s="248"/>
      <c r="P13" s="248"/>
      <c r="Q13" s="248"/>
      <c r="R13" s="249"/>
    </row>
    <row r="14" spans="1:18" s="9" customFormat="1" ht="10.5" x14ac:dyDescent="0.25">
      <c r="A14" s="213"/>
      <c r="B14" s="214"/>
      <c r="C14" s="13"/>
      <c r="D14" s="13"/>
      <c r="E14" s="13"/>
      <c r="F14" s="250"/>
      <c r="G14" s="250"/>
      <c r="H14" s="250"/>
      <c r="I14" s="250"/>
      <c r="J14" s="45"/>
      <c r="K14" s="248"/>
      <c r="L14" s="248"/>
      <c r="M14" s="248"/>
      <c r="N14" s="248"/>
      <c r="O14" s="248"/>
      <c r="P14" s="248"/>
      <c r="Q14" s="248"/>
      <c r="R14" s="249"/>
    </row>
    <row r="15" spans="1:18" s="9" customFormat="1" ht="10.5" x14ac:dyDescent="0.25">
      <c r="A15" s="228" t="str">
        <f>VLOOKUP("hLandingPort",tblTrans3Langs[],LangFieldID,FALSE)</f>
        <v>Landing/sampling Port (name)</v>
      </c>
      <c r="B15" s="229"/>
      <c r="C15" s="230"/>
      <c r="D15" s="230"/>
      <c r="E15" s="13"/>
      <c r="F15" s="250"/>
      <c r="G15" s="250"/>
      <c r="H15" s="250"/>
      <c r="I15" s="250"/>
      <c r="J15" s="45"/>
      <c r="K15" s="248"/>
      <c r="L15" s="248"/>
      <c r="M15" s="248"/>
      <c r="N15" s="248"/>
      <c r="O15" s="248"/>
      <c r="P15" s="248"/>
      <c r="Q15" s="248"/>
      <c r="R15" s="249"/>
    </row>
    <row r="16" spans="1:18" s="9" customFormat="1" ht="10.5" x14ac:dyDescent="0.25">
      <c r="A16" s="22"/>
      <c r="B16" s="13"/>
      <c r="C16" s="13"/>
      <c r="D16" s="79"/>
      <c r="E16" s="19"/>
      <c r="F16" s="62"/>
      <c r="G16" s="62"/>
      <c r="H16" s="62"/>
      <c r="I16" s="62"/>
      <c r="J16" s="45"/>
      <c r="K16" s="248"/>
      <c r="L16" s="248"/>
      <c r="M16" s="248"/>
      <c r="N16" s="248"/>
      <c r="O16" s="248"/>
      <c r="P16" s="248"/>
      <c r="Q16" s="248"/>
      <c r="R16" s="249"/>
    </row>
    <row r="17" spans="1:18" s="9" customFormat="1" ht="10.5" x14ac:dyDescent="0.25">
      <c r="A17" s="226" t="str">
        <f>VLOOKUP("hVersion",tblTrans3Langs[],LangFieldID,FALSE)</f>
        <v>Version reported</v>
      </c>
      <c r="B17" s="227"/>
      <c r="C17" s="80"/>
      <c r="D17" s="79"/>
      <c r="E17" s="19"/>
      <c r="F17" s="253" t="str">
        <f>VLOOKUP("T04",tblTrans3Langs[],LangFieldID,FALSE)</f>
        <v>ST10B</v>
      </c>
      <c r="G17" s="251" t="str">
        <f>VLOOKUP("T04",tblTrans3Langs[],LangNameID,FALSE)</f>
        <v>Size Frequency sample details by landing operation</v>
      </c>
      <c r="H17" s="251"/>
      <c r="I17" s="251"/>
      <c r="J17" s="45"/>
      <c r="K17" s="248"/>
      <c r="L17" s="248"/>
      <c r="M17" s="248"/>
      <c r="N17" s="248"/>
      <c r="O17" s="248"/>
      <c r="P17" s="248"/>
      <c r="Q17" s="248"/>
      <c r="R17" s="249"/>
    </row>
    <row r="18" spans="1:18" s="9" customFormat="1" ht="12.15" customHeight="1" x14ac:dyDescent="0.25">
      <c r="A18" s="226" t="str">
        <f>VLOOKUP("hContent",tblTrans3Langs[],LangFieldID,FALSE)</f>
        <v>Content (data)</v>
      </c>
      <c r="B18" s="227"/>
      <c r="C18" s="48"/>
      <c r="D18" s="79"/>
      <c r="E18" s="19"/>
      <c r="F18" s="254"/>
      <c r="G18" s="252"/>
      <c r="H18" s="252"/>
      <c r="I18" s="252"/>
      <c r="J18" s="45"/>
      <c r="K18" s="248"/>
      <c r="L18" s="248"/>
      <c r="M18" s="248"/>
      <c r="N18" s="248"/>
      <c r="O18" s="248"/>
      <c r="P18" s="248"/>
      <c r="Q18" s="248"/>
      <c r="R18" s="249"/>
    </row>
    <row r="19" spans="1:18" s="9" customFormat="1" ht="10.5" x14ac:dyDescent="0.25">
      <c r="A19" s="25"/>
      <c r="B19" s="30"/>
      <c r="C19" s="231" t="str">
        <f>IF(C18&gt;0,VLOOKUP(C18,Codes!$T$39:$V$42,3,FALSE)&amp;": " &amp;VLOOKUP(C18,Codes!$T$39:$V$42,2,FALSE),"")</f>
        <v/>
      </c>
      <c r="D19" s="231"/>
      <c r="E19" s="231"/>
      <c r="F19" s="31"/>
      <c r="G19" s="75"/>
      <c r="H19" s="75"/>
      <c r="I19" s="75"/>
      <c r="J19" s="32"/>
      <c r="K19" s="76"/>
      <c r="L19" s="76"/>
      <c r="M19" s="76"/>
      <c r="N19" s="76"/>
      <c r="O19" s="76"/>
      <c r="P19" s="76"/>
      <c r="Q19" s="76"/>
      <c r="R19" s="77"/>
    </row>
    <row r="20" spans="1:18" s="9" customFormat="1" ht="10.5" x14ac:dyDescent="0.25">
      <c r="C20" s="81"/>
    </row>
    <row r="21" spans="1:18" s="9" customFormat="1" ht="10.5" x14ac:dyDescent="0.25">
      <c r="A21" s="218" t="str">
        <f>VLOOKUP("D01",tblTrans3Langs[],LangFieldID,FALSE) &amp; ": " &amp;VLOOKUP("D01",tblTrans3Langs[],LangNameID,FALSE)</f>
        <v>Data by Landing Operation(s): Complete this section for each vessel-landing operation by date.  If size samples were taken please add this information to the subform ST10B-PrtSmpSZ</v>
      </c>
      <c r="B21" s="219"/>
      <c r="C21" s="219"/>
      <c r="D21" s="219"/>
      <c r="E21" s="219"/>
      <c r="F21" s="219"/>
      <c r="G21" s="219"/>
      <c r="H21" s="219"/>
      <c r="I21" s="219"/>
      <c r="J21" s="219"/>
      <c r="K21" s="219"/>
      <c r="L21" s="219"/>
      <c r="M21" s="219"/>
      <c r="N21" s="220"/>
    </row>
    <row r="22" spans="1:18" s="4" customFormat="1" ht="10.5" x14ac:dyDescent="0.25">
      <c r="A22" s="215" t="str">
        <f>VLOOKUP("D10",tblTrans3Langs[],LangFieldID,FALSE)</f>
        <v>Landing operation details</v>
      </c>
      <c r="B22" s="216"/>
      <c r="C22" s="216"/>
      <c r="D22" s="216"/>
      <c r="E22" s="216"/>
      <c r="F22" s="216"/>
      <c r="G22" s="217"/>
      <c r="H22" s="223" t="str">
        <f>VLOOKUP("D20",tblTrans3Langs[],LangFieldID,FALSE)</f>
        <v>Landings (YFT, BET, SKJ)</v>
      </c>
      <c r="I22" s="224"/>
      <c r="J22" s="224"/>
      <c r="K22" s="224"/>
      <c r="L22" s="224"/>
      <c r="M22" s="225"/>
      <c r="N22" s="234" t="str">
        <f>VLOOKUP("D30",tblTrans3Langs[],LangFieldID,FALSE)</f>
        <v>Sampling (size availability)</v>
      </c>
      <c r="P22" s="56"/>
    </row>
    <row r="23" spans="1:18" s="7" customFormat="1" ht="11.25" customHeight="1" x14ac:dyDescent="0.25">
      <c r="A23" s="211" t="str">
        <f>VLOOKUP(A$26,tblTrans3Langs[],LangFieldID,FALSE)</f>
        <v>Landing ID (secuencial number)</v>
      </c>
      <c r="B23" s="211" t="str">
        <f>VLOOKUP(B$26,tblTrans3Langs[],LangFieldID,FALSE)</f>
        <v>Landing date (yyyy/mm/dd)</v>
      </c>
      <c r="C23" s="211" t="str">
        <f>VLOOKUP(C$26,tblTrans3Langs[],LangFieldID,FALSE)</f>
        <v>Vessel ICCAT Serial number</v>
      </c>
      <c r="D23" s="211" t="str">
        <f>VLOOKUP(D$26,tblTrans3Langs[],LangFieldID,FALSE)</f>
        <v>Vessel name (latin)</v>
      </c>
      <c r="E23" s="211" t="str">
        <f>VLOOKUP(E$26,tblTrans3Langs[],LangFieldID,FALSE)</f>
        <v>Vessel National Register number</v>
      </c>
      <c r="F23" s="211" t="str">
        <f>VLOOKUP(F$26,tblTrans3Langs[],LangFieldID,FALSE)</f>
        <v>Flag of Vessel (cod)</v>
      </c>
      <c r="G23" s="232" t="str">
        <f>VLOOKUP($G$26,tblTrans3Langs[],LangFieldID,FALSE)</f>
        <v>Gear (cod)</v>
      </c>
      <c r="H23" s="221" t="s">
        <v>27</v>
      </c>
      <c r="I23" s="222"/>
      <c r="J23" s="221" t="s">
        <v>40</v>
      </c>
      <c r="K23" s="222"/>
      <c r="L23" s="221" t="s">
        <v>56</v>
      </c>
      <c r="M23" s="222"/>
      <c r="N23" s="235"/>
    </row>
    <row r="24" spans="1:18" s="7" customFormat="1" ht="21" x14ac:dyDescent="0.25">
      <c r="A24" s="212"/>
      <c r="B24" s="212"/>
      <c r="C24" s="212"/>
      <c r="D24" s="212"/>
      <c r="E24" s="212"/>
      <c r="F24" s="212"/>
      <c r="G24" s="233"/>
      <c r="H24" s="63" t="str">
        <f>VLOOKUP(H$26,tblTrans3Langs[],LangFieldID,FALSE)</f>
        <v>Weight (kg)</v>
      </c>
      <c r="I24" s="67" t="str">
        <f>VLOOKUP(I$26,tblTrans3Langs[],LangFieldID,FALSE)</f>
        <v>Product type</v>
      </c>
      <c r="J24" s="63" t="str">
        <f>VLOOKUP(J$26,tblTrans3Langs[],LangFieldID,FALSE)</f>
        <v>Weight (kg)</v>
      </c>
      <c r="K24" s="67" t="str">
        <f>VLOOKUP(K$26,tblTrans3Langs[],LangFieldID,FALSE)</f>
        <v>Product type</v>
      </c>
      <c r="L24" s="63" t="str">
        <f>VLOOKUP(L$26,tblTrans3Langs[],LangFieldID,FALSE)</f>
        <v>Weight (kg)</v>
      </c>
      <c r="M24" s="67" t="str">
        <f>VLOOKUP(M$26,tblTrans3Langs[],LangFieldID,FALSE)</f>
        <v>Product type</v>
      </c>
      <c r="N24" s="64" t="str">
        <f>VLOOKUP($N$26,tblTrans3Langs[],LangFieldID,FALSE)</f>
        <v>Landings with samples (Y/N ?</v>
      </c>
    </row>
    <row r="25" spans="1:18" s="9" customFormat="1" ht="21" x14ac:dyDescent="0.25">
      <c r="A25" s="33" t="str">
        <f t="shared" ref="A25:M25" si="0">REPT("+",8)</f>
        <v>++++++++</v>
      </c>
      <c r="B25" s="33" t="str">
        <f t="shared" si="0"/>
        <v>++++++++</v>
      </c>
      <c r="C25" s="33" t="str">
        <f>REPT("+",13)</f>
        <v>+++++++++++++</v>
      </c>
      <c r="D25" s="33" t="str">
        <f>REPT("+",30)</f>
        <v>++++++++++++++++++++++++++++++</v>
      </c>
      <c r="E25" s="33" t="str">
        <f>REPT("+",14)</f>
        <v>++++++++++++++</v>
      </c>
      <c r="F25" s="33" t="str">
        <f t="shared" si="0"/>
        <v>++++++++</v>
      </c>
      <c r="G25" s="33" t="str">
        <f t="shared" si="0"/>
        <v>++++++++</v>
      </c>
      <c r="H25" s="33" t="str">
        <f t="shared" si="0"/>
        <v>++++++++</v>
      </c>
      <c r="I25" s="33" t="str">
        <f t="shared" si="0"/>
        <v>++++++++</v>
      </c>
      <c r="J25" s="33" t="str">
        <f t="shared" si="0"/>
        <v>++++++++</v>
      </c>
      <c r="K25" s="33" t="str">
        <f t="shared" si="0"/>
        <v>++++++++</v>
      </c>
      <c r="L25" s="33" t="str">
        <f t="shared" si="0"/>
        <v>++++++++</v>
      </c>
      <c r="M25" s="33" t="str">
        <f t="shared" si="0"/>
        <v>++++++++</v>
      </c>
      <c r="N25" s="33" t="str">
        <f>REPT("+",4)</f>
        <v>++++</v>
      </c>
    </row>
    <row r="26" spans="1:18" s="4" customFormat="1" ht="10.5" x14ac:dyDescent="0.25">
      <c r="A26" s="68" t="s">
        <v>558</v>
      </c>
      <c r="B26" s="68" t="s">
        <v>1799</v>
      </c>
      <c r="C26" s="68" t="s">
        <v>1771</v>
      </c>
      <c r="D26" s="68" t="s">
        <v>1800</v>
      </c>
      <c r="E26" s="68" t="s">
        <v>1801</v>
      </c>
      <c r="F26" s="68" t="s">
        <v>1802</v>
      </c>
      <c r="G26" s="68" t="s">
        <v>1803</v>
      </c>
      <c r="H26" s="68" t="s">
        <v>560</v>
      </c>
      <c r="I26" s="69" t="s">
        <v>1768</v>
      </c>
      <c r="J26" s="68" t="s">
        <v>561</v>
      </c>
      <c r="K26" s="69" t="s">
        <v>1766</v>
      </c>
      <c r="L26" s="68" t="s">
        <v>562</v>
      </c>
      <c r="M26" s="69" t="s">
        <v>1767</v>
      </c>
      <c r="N26" s="70" t="s">
        <v>1765</v>
      </c>
    </row>
    <row r="27" spans="1:18" s="101" customFormat="1" ht="10.5" x14ac:dyDescent="0.25">
      <c r="B27" s="102"/>
      <c r="E27" s="80"/>
    </row>
    <row r="28" spans="1:18" s="101" customFormat="1" ht="11.25" customHeight="1" x14ac:dyDescent="0.25">
      <c r="B28" s="102"/>
      <c r="E28" s="80"/>
    </row>
    <row r="29" spans="1:18" s="101" customFormat="1" ht="10.5" x14ac:dyDescent="0.25">
      <c r="B29" s="102"/>
      <c r="E29" s="80"/>
    </row>
    <row r="30" spans="1:18" s="101" customFormat="1" ht="10.5" x14ac:dyDescent="0.25">
      <c r="B30" s="102"/>
      <c r="E30" s="80"/>
    </row>
    <row r="31" spans="1:18" s="101" customFormat="1" ht="10.5" x14ac:dyDescent="0.25">
      <c r="B31" s="102"/>
      <c r="E31" s="80"/>
      <c r="R31" s="103"/>
    </row>
    <row r="32" spans="1:18" s="101" customFormat="1" ht="10.5" x14ac:dyDescent="0.25">
      <c r="B32" s="102"/>
      <c r="E32" s="80"/>
      <c r="R32" s="102"/>
    </row>
    <row r="33" spans="2:5" s="101" customFormat="1" ht="10.5" x14ac:dyDescent="0.25">
      <c r="B33" s="102"/>
      <c r="E33" s="80"/>
    </row>
    <row r="34" spans="2:5" s="101" customFormat="1" ht="10.5" x14ac:dyDescent="0.25">
      <c r="B34" s="102"/>
      <c r="E34" s="80"/>
    </row>
    <row r="35" spans="2:5" s="101" customFormat="1" ht="10.5" x14ac:dyDescent="0.25">
      <c r="B35" s="102"/>
      <c r="E35" s="80"/>
    </row>
    <row r="36" spans="2:5" s="101" customFormat="1" ht="10.5" x14ac:dyDescent="0.25">
      <c r="B36" s="102"/>
      <c r="E36" s="80"/>
    </row>
    <row r="37" spans="2:5" s="101" customFormat="1" ht="10.5" x14ac:dyDescent="0.25">
      <c r="B37" s="102"/>
      <c r="E37" s="80"/>
    </row>
    <row r="38" spans="2:5" s="101" customFormat="1" ht="10.5" x14ac:dyDescent="0.25">
      <c r="B38" s="102"/>
      <c r="E38" s="80"/>
    </row>
    <row r="39" spans="2:5" s="101" customFormat="1" ht="10.5" x14ac:dyDescent="0.25">
      <c r="B39" s="102"/>
      <c r="E39" s="80"/>
    </row>
    <row r="40" spans="2:5" s="101" customFormat="1" ht="10.5" x14ac:dyDescent="0.25">
      <c r="B40" s="102"/>
      <c r="E40" s="80"/>
    </row>
    <row r="41" spans="2:5" s="101" customFormat="1" ht="10.5" x14ac:dyDescent="0.25">
      <c r="B41" s="102"/>
      <c r="E41" s="80"/>
    </row>
    <row r="42" spans="2:5" s="101" customFormat="1" ht="10.5" x14ac:dyDescent="0.25">
      <c r="B42" s="102"/>
      <c r="E42" s="80"/>
    </row>
    <row r="43" spans="2:5" s="101" customFormat="1" ht="10.5" x14ac:dyDescent="0.25">
      <c r="B43" s="102"/>
      <c r="E43" s="80"/>
    </row>
    <row r="44" spans="2:5" s="101" customFormat="1" ht="10.5" x14ac:dyDescent="0.25">
      <c r="B44" s="102"/>
      <c r="E44" s="80"/>
    </row>
    <row r="45" spans="2:5" s="101" customFormat="1" ht="10.5" x14ac:dyDescent="0.25">
      <c r="B45" s="102"/>
      <c r="E45" s="80"/>
    </row>
    <row r="46" spans="2:5" s="101" customFormat="1" ht="10.5" x14ac:dyDescent="0.25">
      <c r="B46" s="102"/>
      <c r="E46" s="80"/>
    </row>
    <row r="47" spans="2:5" s="101" customFormat="1" ht="10.5" x14ac:dyDescent="0.25">
      <c r="B47" s="102"/>
      <c r="E47" s="80"/>
    </row>
    <row r="48" spans="2:5" s="101" customFormat="1" ht="10.5" x14ac:dyDescent="0.25">
      <c r="B48" s="102"/>
      <c r="E48" s="80"/>
    </row>
    <row r="49" spans="2:5" s="101" customFormat="1" ht="10.5" x14ac:dyDescent="0.25">
      <c r="B49" s="102"/>
      <c r="E49" s="80"/>
    </row>
    <row r="50" spans="2:5" s="101" customFormat="1" ht="10.5" x14ac:dyDescent="0.25">
      <c r="B50" s="102"/>
      <c r="E50" s="80"/>
    </row>
  </sheetData>
  <sheetProtection algorithmName="SHA-512" hashValue="S4e2OPBdlmu5aFxksYLg1KWThqrKBMj1+sPH8JAfg0bq+uaDZDgKO11Jkgl1PbNazow0S+/Y2aWDXih/vWO+5A==" saltValue="HQEdM7Mc1urn9YqRNHV/Mg==" spinCount="100000" sheet="1" scenarios="1" formatCells="0" formatRows="0" insertRows="0" deleteRows="0" autoFilter="0"/>
  <dataConsolidate/>
  <mergeCells count="51">
    <mergeCell ref="C5:I5"/>
    <mergeCell ref="K5:L5"/>
    <mergeCell ref="M5:N5"/>
    <mergeCell ref="C6:E6"/>
    <mergeCell ref="G6:I6"/>
    <mergeCell ref="A1:B2"/>
    <mergeCell ref="C1:P1"/>
    <mergeCell ref="C2:P2"/>
    <mergeCell ref="A3:H3"/>
    <mergeCell ref="A4:I4"/>
    <mergeCell ref="K4:O4"/>
    <mergeCell ref="P4:R4"/>
    <mergeCell ref="A12:B12"/>
    <mergeCell ref="C12:D12"/>
    <mergeCell ref="F11:I11"/>
    <mergeCell ref="A11:E11"/>
    <mergeCell ref="K12:R18"/>
    <mergeCell ref="F12:I15"/>
    <mergeCell ref="G17:I18"/>
    <mergeCell ref="F17:F18"/>
    <mergeCell ref="K11:R11"/>
    <mergeCell ref="A18:B18"/>
    <mergeCell ref="A13:B13"/>
    <mergeCell ref="F23:F24"/>
    <mergeCell ref="G23:G24"/>
    <mergeCell ref="N22:N23"/>
    <mergeCell ref="K9:N9"/>
    <mergeCell ref="R6:R10"/>
    <mergeCell ref="K6:L6"/>
    <mergeCell ref="M6:N6"/>
    <mergeCell ref="C7:F7"/>
    <mergeCell ref="C8:F8"/>
    <mergeCell ref="C9:E9"/>
    <mergeCell ref="G9:I9"/>
    <mergeCell ref="K8:N8"/>
    <mergeCell ref="A23:A24"/>
    <mergeCell ref="B23:B24"/>
    <mergeCell ref="C23:C24"/>
    <mergeCell ref="A14:B14"/>
    <mergeCell ref="A22:G22"/>
    <mergeCell ref="A21:N21"/>
    <mergeCell ref="H23:I23"/>
    <mergeCell ref="H22:M22"/>
    <mergeCell ref="J23:K23"/>
    <mergeCell ref="L23:M23"/>
    <mergeCell ref="A17:B17"/>
    <mergeCell ref="A15:B15"/>
    <mergeCell ref="C15:D15"/>
    <mergeCell ref="C19:E19"/>
    <mergeCell ref="D23:D24"/>
    <mergeCell ref="E23:E24"/>
  </mergeCells>
  <phoneticPr fontId="0" type="noConversion"/>
  <conditionalFormatting sqref="C5:I5 C6:E6 G6:I6 C7:F8 C9:E9 G9:I9 C12:D12 C13 C15:D15 C17:C18">
    <cfRule type="containsBlanks" dxfId="6" priority="6">
      <formula>LEN(TRIM(C5))=0</formula>
    </cfRule>
  </conditionalFormatting>
  <conditionalFormatting sqref="J4 J11">
    <cfRule type="containsText" dxfId="5" priority="5" operator="containsText" text="inc">
      <formula>NOT(ISERROR(SEARCH("inc",J4)))</formula>
    </cfRule>
  </conditionalFormatting>
  <conditionalFormatting sqref="J4 K9:N9 J11 C12">
    <cfRule type="containsErrors" dxfId="4" priority="1">
      <formula>ISERROR(C4)</formula>
    </cfRule>
  </conditionalFormatting>
  <conditionalFormatting sqref="K9:N9">
    <cfRule type="expression" dxfId="3" priority="2">
      <formula>LEN($C$12)=0</formula>
    </cfRule>
    <cfRule type="expression" dxfId="2" priority="3">
      <formula>LEN($K$9)=0</formula>
    </cfRule>
  </conditionalFormatting>
  <conditionalFormatting sqref="Q6:Q8">
    <cfRule type="cellIs" dxfId="1" priority="7" operator="equal">
      <formula>1</formula>
    </cfRule>
  </conditionalFormatting>
  <conditionalFormatting sqref="R6">
    <cfRule type="cellIs" dxfId="0" priority="8" operator="equal">
      <formula>1</formula>
    </cfRule>
  </conditionalFormatting>
  <dataValidations xWindow="316" yWindow="682" count="16">
    <dataValidation type="list" allowBlank="1" errorTitle="Reporting Flag name not defined" error="Select a valid Reporting Flag name" promptTitle="Reporting Flag names" prompt="Select from the list" sqref="C12:D12" xr:uid="{00000000-0002-0000-0000-000000000000}">
      <formula1>FlagName</formula1>
    </dataValidation>
    <dataValidation type="list" allowBlank="1" showInputMessage="1" showErrorMessage="1" sqref="R2" xr:uid="{00000000-0002-0000-0000-000001000000}">
      <formula1>"ENG,FRA,ESP"</formula1>
    </dataValidation>
    <dataValidation type="list" allowBlank="1" showInputMessage="1" showErrorMessage="1" errorTitle="Version reported" error="Select a valid option" promptTitle="Version reported" prompt="Final or preliminary" sqref="C17" xr:uid="{00000000-0002-0000-0000-000002000000}">
      <formula1>Version</formula1>
    </dataValidation>
    <dataValidation type="whole" allowBlank="1" errorTitle="Invalid year" error="Not between 1950 and Current Year" promptTitle="Year (4 digits)" prompt="between 1950 and Current Year" sqref="C13" xr:uid="{00000000-0002-0000-0000-000003000000}">
      <formula1>1950</formula1>
      <formula2>YEAR(NOW())</formula2>
    </dataValidation>
    <dataValidation type="list" allowBlank="1" showInputMessage="1" showErrorMessage="1" errorTitle="Country name not defined" error="Select a valid Country name" promptTitle="Country names" prompt="Select from the list" sqref="G9:I9" xr:uid="{00000000-0002-0000-0000-000004000000}">
      <formula1>FlagName</formula1>
    </dataValidation>
    <dataValidation type="list" allowBlank="1" showInputMessage="1" showErrorMessage="1" sqref="C18" xr:uid="{00000000-0002-0000-0000-000005000000}">
      <formula1>Content</formula1>
    </dataValidation>
    <dataValidation type="list" allowBlank="1" showInputMessage="1" showErrorMessage="1" prompt="Yes if size sample collected" sqref="N27:N50" xr:uid="{00000000-0002-0000-0000-000007000000}">
      <formula1>"No, Yes"</formula1>
    </dataValidation>
    <dataValidation type="list" allowBlank="1" showInputMessage="1" showErrorMessage="1" promptTitle="Gear Code" prompt="Select Gear code" sqref="G27:G50" xr:uid="{00000000-0002-0000-0000-000008000000}">
      <formula1>GearCode</formula1>
    </dataValidation>
    <dataValidation type="date" allowBlank="1" showInputMessage="1" showErrorMessage="1" errorTitle="Incorrect date" error="Please check the date of landing" promptTitle="Landing date" prompt="Year month day_x000a_yyyy/mm/dd" sqref="B27:B50" xr:uid="{00000000-0002-0000-0000-000009000000}">
      <formula1>41640</formula1>
      <formula2>TODAY()</formula2>
    </dataValidation>
    <dataValidation type="whole" operator="greaterThan" allowBlank="1" showInputMessage="1" showErrorMessage="1" sqref="H27:H50 J27:J50 L27:L50" xr:uid="{00000000-0002-0000-0000-00000C000000}">
      <formula1>0</formula1>
    </dataValidation>
    <dataValidation type="date" operator="greaterThanOrEqual" allowBlank="1" showInputMessage="1" showErrorMessage="1" sqref="M5:N5" xr:uid="{00000000-0002-0000-0000-00000D000000}">
      <formula1>DATE(YEAR(NOW()),1,1)</formula1>
    </dataValidation>
    <dataValidation type="textLength" allowBlank="1" showInputMessage="1" showErrorMessage="1" sqref="M6:N6" xr:uid="{00000000-0002-0000-0000-00000E000000}">
      <formula1>9</formula1>
      <formula2>9</formula2>
    </dataValidation>
    <dataValidation type="textLength" allowBlank="1" showInputMessage="1" showErrorMessage="1" sqref="M7" xr:uid="{56DBE54A-6784-4E70-986D-A86DBD0C0942}">
      <formula1>2</formula1>
      <formula2>2</formula2>
    </dataValidation>
    <dataValidation type="whole" allowBlank="1" showInputMessage="1" showErrorMessage="1" sqref="Q6:Q8" xr:uid="{4114EDE2-9EE6-42F2-B33B-DD5828E03975}">
      <formula1>0</formula1>
      <formula2>1</formula2>
    </dataValidation>
    <dataValidation type="list" allowBlank="1" showInputMessage="1" showErrorMessage="1" sqref="I27:I50 K27:K50 M27:M50" xr:uid="{EE4C6F33-B1E2-4E67-B8D1-69C556A32518}">
      <formula1>ProdTypeCode</formula1>
    </dataValidation>
    <dataValidation type="list" allowBlank="1" showInputMessage="1" showErrorMessage="1" promptTitle="Flag of Vessel" prompt="Current Flag of Vessel" sqref="F27:F50" xr:uid="{7A312B87-3B4B-45CF-B899-539939564235}">
      <formula1>FlagA3ISO</formula1>
    </dataValidation>
  </dataValidations>
  <hyperlinks>
    <hyperlink ref="G23:G24" location="GearCode" display="GearCode" xr:uid="{00000000-0004-0000-0000-000000000000}"/>
    <hyperlink ref="A12:B12" location="FlagName" display="FlagName" xr:uid="{00000000-0004-0000-0000-000001000000}"/>
    <hyperlink ref="F9" location="FlagName" display="FlagName" xr:uid="{00000000-0004-0000-0000-000002000000}"/>
    <hyperlink ref="A17:B17" location="Version" display="Version" xr:uid="{00000000-0004-0000-0000-000003000000}"/>
    <hyperlink ref="F17" location="'ST10B-PrtSmpSZ'!A1" display="ST10B" xr:uid="{00000000-0004-0000-0000-000005000000}"/>
    <hyperlink ref="A18:B18" location="Content" display="Content" xr:uid="{00000000-0004-0000-0000-000006000000}"/>
    <hyperlink ref="I24" location="ProdTypeCode" display="ProdTypeCode" xr:uid="{00000000-0004-0000-0000-000007000000}"/>
    <hyperlink ref="K24" location="ProdTypeCode" display="ProdTypeCode" xr:uid="{9BB966A8-46BC-4A1B-8E8C-9C0982D0E047}"/>
    <hyperlink ref="M24" location="ProdTypeCode" display="ProdTypeCode" xr:uid="{5A4DD6E8-B52E-4257-BC66-094B0234C96D}"/>
  </hyperlinks>
  <pageMargins left="0.45" right="0.36" top="0.44" bottom="0.33" header="0.24" footer="0.26"/>
  <pageSetup paperSize="9" scale="95" orientation="landscape" r:id="rId1"/>
  <headerFooter alignWithMargins="0">
    <oddHeader>&amp;R&amp;"Times New Roman,Regular"page: &amp;P/&amp;N</oddHead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B0F0"/>
  </sheetPr>
  <dimension ref="A1:K39"/>
  <sheetViews>
    <sheetView zoomScale="115" zoomScaleNormal="115" workbookViewId="0">
      <selection activeCell="E16" sqref="E16"/>
    </sheetView>
  </sheetViews>
  <sheetFormatPr defaultColWidth="9.08984375" defaultRowHeight="12.5" x14ac:dyDescent="0.25"/>
  <cols>
    <col min="1" max="1" width="12.36328125" style="73" bestFit="1" customWidth="1"/>
    <col min="2" max="2" width="11.36328125" style="74" bestFit="1" customWidth="1"/>
    <col min="3" max="3" width="12.90625" style="74" bestFit="1" customWidth="1"/>
    <col min="4" max="4" width="11.6328125" style="74" bestFit="1" customWidth="1"/>
    <col min="5" max="5" width="8.90625" style="74" bestFit="1" customWidth="1"/>
    <col min="6" max="6" width="10.90625" style="74" bestFit="1" customWidth="1"/>
    <col min="7" max="7" width="27.90625" style="74" bestFit="1" customWidth="1"/>
    <col min="8" max="8" width="9.453125" style="74" customWidth="1"/>
    <col min="9" max="9" width="6.08984375" style="74" bestFit="1" customWidth="1"/>
    <col min="10" max="10" width="7.36328125" style="74" bestFit="1" customWidth="1"/>
    <col min="11" max="16384" width="9.08984375" style="74"/>
  </cols>
  <sheetData>
    <row r="1" spans="1:11" s="104" customFormat="1" ht="20" x14ac:dyDescent="0.25">
      <c r="A1" s="282" t="str">
        <f>+'ST10A-PrtSmp'!$A$1</f>
        <v>ST10-PrtSmp</v>
      </c>
      <c r="B1" s="283"/>
      <c r="C1" s="261" t="str">
        <f>+'ST10A-PrtSmp'!$C$1</f>
        <v xml:space="preserve">TASK 3 - PORT SAMPLING </v>
      </c>
      <c r="D1" s="261"/>
      <c r="E1" s="261"/>
      <c r="F1" s="261"/>
      <c r="G1" s="261"/>
      <c r="H1" s="261"/>
      <c r="I1" s="261"/>
      <c r="J1" s="107" t="str">
        <f>+'ST10A-PrtSmp'!Q1</f>
        <v>Version</v>
      </c>
      <c r="K1" s="108" t="str">
        <f>+'ST10A-PrtSmp'!R1</f>
        <v>Language</v>
      </c>
    </row>
    <row r="2" spans="1:11" s="104" customFormat="1" x14ac:dyDescent="0.25">
      <c r="A2" s="284"/>
      <c r="B2" s="285"/>
      <c r="C2" s="286" t="str">
        <f>+'ST10A-PrtSmp'!$C$2</f>
        <v>ICCAT: INTERNATIONAL COMMISSION FOR THE CONSERVATION OF ATLANTIC TUNAS</v>
      </c>
      <c r="D2" s="286"/>
      <c r="E2" s="286"/>
      <c r="F2" s="286"/>
      <c r="G2" s="286"/>
      <c r="H2" s="286"/>
      <c r="I2" s="286"/>
      <c r="J2" s="105" t="str">
        <f>+'ST10A-PrtSmp'!Q2</f>
        <v>2025a</v>
      </c>
      <c r="K2" s="106" t="str">
        <f>+'ST10A-PrtSmp'!R2</f>
        <v>ENG</v>
      </c>
    </row>
    <row r="3" spans="1:11" s="6" customFormat="1" ht="12" x14ac:dyDescent="0.3">
      <c r="A3" s="5"/>
    </row>
    <row r="4" spans="1:11" s="34" customFormat="1" ht="10.5" x14ac:dyDescent="0.25">
      <c r="A4" s="246" t="str">
        <f>+'ST10A-PrtSmp'!A11</f>
        <v>Data set characteristics</v>
      </c>
      <c r="B4" s="247"/>
      <c r="C4" s="247"/>
      <c r="D4" s="247"/>
      <c r="E4" s="247"/>
      <c r="F4" s="115"/>
      <c r="G4" s="115"/>
      <c r="H4" s="115"/>
      <c r="I4" s="115"/>
      <c r="J4" s="115"/>
      <c r="K4" s="116"/>
    </row>
    <row r="5" spans="1:11" s="34" customFormat="1" ht="10.5" x14ac:dyDescent="0.25">
      <c r="A5" s="272" t="str">
        <f>+'ST10A-PrtSmp'!A12</f>
        <v>Reporting Flag</v>
      </c>
      <c r="B5" s="273"/>
      <c r="C5" s="279" t="str">
        <f>IF('ST10A-PrtSmp'!C12&gt;0,'ST10A-PrtSmp'!C12,"")</f>
        <v/>
      </c>
      <c r="D5" s="279"/>
      <c r="E5" s="79"/>
      <c r="F5" s="277" t="str">
        <f>'ST10A-PrtSmp'!F11</f>
        <v>Tropical Tunas Moratory Sampling Area</v>
      </c>
      <c r="G5" s="277"/>
      <c r="H5" s="65"/>
      <c r="I5" s="65"/>
      <c r="J5" s="65"/>
      <c r="K5" s="54"/>
    </row>
    <row r="6" spans="1:11" s="34" customFormat="1" ht="10.25" customHeight="1" x14ac:dyDescent="0.25">
      <c r="A6" s="272" t="str">
        <f>+'ST10A-PrtSmp'!A13</f>
        <v>Year (calendar)</v>
      </c>
      <c r="B6" s="273"/>
      <c r="C6" s="119" t="str">
        <f>IF('ST10A-PrtSmp'!C13&gt;0,'ST10A-PrtSmp'!C13,"")</f>
        <v/>
      </c>
      <c r="D6" s="79"/>
      <c r="E6" s="79"/>
      <c r="F6" s="278" t="str">
        <f>'ST10A-PrtSmp'!F12</f>
        <v>ICCAT Convention Area (January &amp; February 2020)</v>
      </c>
      <c r="G6" s="278"/>
      <c r="H6" s="65"/>
      <c r="I6" s="65"/>
      <c r="J6" s="65"/>
      <c r="K6" s="54"/>
    </row>
    <row r="7" spans="1:11" s="34" customFormat="1" ht="10.5" x14ac:dyDescent="0.25">
      <c r="A7" s="272">
        <f>+'ST10A-PrtSmp'!A14</f>
        <v>0</v>
      </c>
      <c r="B7" s="273"/>
      <c r="C7" s="119" t="str">
        <f>IF('ST10A-PrtSmp'!C14&gt;0,'ST10A-PrtSmp'!C14,"")</f>
        <v/>
      </c>
      <c r="D7" s="13"/>
      <c r="E7" s="13"/>
      <c r="F7" s="278"/>
      <c r="G7" s="278"/>
      <c r="H7" s="65"/>
      <c r="I7" s="65"/>
      <c r="J7" s="65"/>
      <c r="K7" s="54"/>
    </row>
    <row r="8" spans="1:11" s="34" customFormat="1" ht="10.5" x14ac:dyDescent="0.25">
      <c r="A8" s="272" t="str">
        <f>+'ST10A-PrtSmp'!A15</f>
        <v>Landing/sampling Port (name)</v>
      </c>
      <c r="B8" s="273"/>
      <c r="C8" s="279" t="str">
        <f>IF('ST10A-PrtSmp'!C15&gt;0,'ST10A-PrtSmp'!C15,"")</f>
        <v/>
      </c>
      <c r="D8" s="279"/>
      <c r="E8" s="13"/>
      <c r="F8" s="278"/>
      <c r="G8" s="278"/>
      <c r="H8" s="65"/>
      <c r="I8" s="65"/>
      <c r="J8" s="65"/>
      <c r="K8" s="54"/>
    </row>
    <row r="9" spans="1:11" s="34" customFormat="1" ht="10.5" x14ac:dyDescent="0.25">
      <c r="A9" s="272"/>
      <c r="B9" s="273"/>
      <c r="C9" s="13"/>
      <c r="D9" s="79"/>
      <c r="E9" s="19"/>
      <c r="F9" s="278"/>
      <c r="G9" s="278"/>
      <c r="H9" s="65"/>
      <c r="I9" s="65"/>
      <c r="J9" s="65"/>
      <c r="K9" s="54"/>
    </row>
    <row r="10" spans="1:11" s="34" customFormat="1" ht="11.25" customHeight="1" x14ac:dyDescent="0.25">
      <c r="A10" s="272" t="str">
        <f>+'ST10A-PrtSmp'!A17</f>
        <v>Version reported</v>
      </c>
      <c r="B10" s="273"/>
      <c r="C10" s="279" t="str">
        <f>IF('ST10A-PrtSmp'!C17&gt;0,'ST10A-PrtSmp'!C17,"")</f>
        <v/>
      </c>
      <c r="D10" s="279"/>
      <c r="E10" s="19"/>
      <c r="F10" s="65"/>
      <c r="G10" s="65"/>
      <c r="H10" s="65"/>
      <c r="I10" s="65"/>
      <c r="J10" s="109"/>
      <c r="K10" s="110"/>
    </row>
    <row r="11" spans="1:11" s="34" customFormat="1" ht="12.15" customHeight="1" x14ac:dyDescent="0.25">
      <c r="A11" s="272" t="str">
        <f>+'ST10A-PrtSmp'!A18</f>
        <v>Content (data)</v>
      </c>
      <c r="B11" s="273"/>
      <c r="C11" s="279" t="str">
        <f>IF('ST10A-PrtSmp'!C18&gt;0,'ST10A-PrtSmp'!C18,"")</f>
        <v/>
      </c>
      <c r="D11" s="279"/>
      <c r="E11" s="19"/>
      <c r="F11" s="253" t="str">
        <f>VLOOKUP("T03",tblTrans3Langs[],LangFieldID,FALSE)</f>
        <v>ST10A</v>
      </c>
      <c r="G11" s="280" t="str">
        <f>VLOOKUP("T03",tblTrans3Langs[],LangNameID,FALSE)</f>
        <v>Landing Operation details</v>
      </c>
      <c r="H11" s="65"/>
      <c r="I11" s="65"/>
      <c r="J11" s="109"/>
      <c r="K11" s="110"/>
    </row>
    <row r="12" spans="1:11" s="34" customFormat="1" ht="12.15" customHeight="1" x14ac:dyDescent="0.25">
      <c r="A12" s="117"/>
      <c r="B12" s="118"/>
      <c r="C12" s="119"/>
      <c r="D12" s="119"/>
      <c r="E12" s="19"/>
      <c r="F12" s="254"/>
      <c r="G12" s="281"/>
      <c r="H12" s="65"/>
      <c r="I12" s="65"/>
      <c r="J12" s="109"/>
      <c r="K12" s="110"/>
    </row>
    <row r="13" spans="1:11" s="34" customFormat="1" ht="10.5" x14ac:dyDescent="0.25">
      <c r="A13" s="25"/>
      <c r="B13" s="30"/>
      <c r="C13" s="30"/>
      <c r="D13" s="30"/>
      <c r="E13" s="30"/>
      <c r="F13" s="30"/>
      <c r="G13" s="30"/>
      <c r="H13" s="120"/>
      <c r="I13" s="120"/>
      <c r="J13" s="86"/>
      <c r="K13" s="53"/>
    </row>
    <row r="14" spans="1:11" s="34" customFormat="1" ht="10.5" x14ac:dyDescent="0.25">
      <c r="A14" s="55"/>
      <c r="C14" s="56"/>
      <c r="D14" s="56"/>
      <c r="E14" s="56"/>
      <c r="F14" s="56"/>
      <c r="G14" s="56"/>
    </row>
    <row r="15" spans="1:11" s="34" customFormat="1" ht="10.5" x14ac:dyDescent="0.25">
      <c r="A15" s="274" t="str">
        <f>VLOOKUP("D40",tblTrans3Langs[],LangFieldID,FALSE)</f>
        <v>Size Frequency Sample details by landing operation</v>
      </c>
      <c r="B15" s="275"/>
      <c r="C15" s="275"/>
      <c r="D15" s="275"/>
      <c r="E15" s="275"/>
      <c r="F15" s="275"/>
      <c r="G15" s="276"/>
    </row>
    <row r="16" spans="1:11" s="34" customFormat="1" ht="21" x14ac:dyDescent="0.25">
      <c r="A16" s="111" t="str">
        <f>VLOOKUP($A$18,tblTrans3Langs[],LangFieldID,FALSE)</f>
        <v>Landing ID (from ST10A)</v>
      </c>
      <c r="B16" s="112" t="str">
        <f>VLOOKUP($B$18,tblTrans3Langs[],LangFieldID,FALSE)</f>
        <v>Species (cod)</v>
      </c>
      <c r="C16" s="111" t="str">
        <f>VLOOKUP($C$18,tblTrans3Langs[],LangFieldID,FALSE)</f>
        <v>Size class type</v>
      </c>
      <c r="D16" s="111" t="str">
        <f>VLOOKUP($D$18,tblTrans3Langs[],LangFieldID,FALSE)</f>
        <v>Product type</v>
      </c>
      <c r="E16" s="111" t="str">
        <f>VLOOKUP($E$18,tblTrans3Langs[],LangFieldID,FALSE)</f>
        <v>Sex code</v>
      </c>
      <c r="F16" s="49" t="str">
        <f>VLOOKUP($F$18,tblTrans3Langs[],LangFieldID,FALSE)</f>
        <v>Size (cm)</v>
      </c>
      <c r="G16" s="49" t="str">
        <f>VLOOKUP($G$18,tblTrans3Langs[],LangFieldID,FALSE)</f>
        <v>Notes</v>
      </c>
    </row>
    <row r="17" spans="1:7" s="34" customFormat="1" ht="21" x14ac:dyDescent="0.25">
      <c r="A17" s="50" t="str">
        <f>REPT("+",12)</f>
        <v>++++++++++++</v>
      </c>
      <c r="B17" s="51" t="str">
        <f t="shared" ref="B17:F17" si="0">REPT("+",8)</f>
        <v>++++++++</v>
      </c>
      <c r="C17" s="51" t="str">
        <f>REPT("+",12)</f>
        <v>++++++++++++</v>
      </c>
      <c r="D17" s="51" t="str">
        <f t="shared" si="0"/>
        <v>++++++++</v>
      </c>
      <c r="E17" s="51" t="str">
        <f t="shared" si="0"/>
        <v>++++++++</v>
      </c>
      <c r="F17" s="51" t="str">
        <f t="shared" si="0"/>
        <v>++++++++</v>
      </c>
      <c r="G17" s="51" t="str">
        <f>REPT("+",40)</f>
        <v>++++++++++++++++++++++++++++++++++++++++</v>
      </c>
    </row>
    <row r="18" spans="1:7" s="7" customFormat="1" ht="10.5" x14ac:dyDescent="0.25">
      <c r="A18" s="66" t="s">
        <v>1787</v>
      </c>
      <c r="B18" s="66" t="s">
        <v>1568</v>
      </c>
      <c r="C18" s="66" t="s">
        <v>1812</v>
      </c>
      <c r="D18" s="66" t="s">
        <v>1784</v>
      </c>
      <c r="E18" s="66" t="s">
        <v>1788</v>
      </c>
      <c r="F18" s="66" t="s">
        <v>1807</v>
      </c>
      <c r="G18" s="66" t="s">
        <v>426</v>
      </c>
    </row>
    <row r="19" spans="1:7" s="113" customFormat="1" ht="10.5" x14ac:dyDescent="0.25">
      <c r="A19" s="100"/>
      <c r="B19" s="101"/>
      <c r="C19" s="100"/>
      <c r="D19" s="100"/>
      <c r="E19" s="100"/>
      <c r="F19" s="100"/>
      <c r="G19" s="100"/>
    </row>
    <row r="20" spans="1:7" s="113" customFormat="1" ht="10.5" x14ac:dyDescent="0.25">
      <c r="A20" s="100"/>
      <c r="B20" s="101"/>
      <c r="C20" s="100"/>
      <c r="D20" s="100"/>
      <c r="E20" s="100"/>
      <c r="F20" s="100"/>
      <c r="G20" s="100"/>
    </row>
    <row r="21" spans="1:7" s="113" customFormat="1" ht="10.5" x14ac:dyDescent="0.25">
      <c r="A21" s="100"/>
      <c r="B21" s="101"/>
      <c r="C21" s="100"/>
      <c r="D21" s="100"/>
      <c r="E21" s="100"/>
      <c r="F21" s="100"/>
      <c r="G21" s="100"/>
    </row>
    <row r="22" spans="1:7" s="113" customFormat="1" ht="10.5" x14ac:dyDescent="0.25">
      <c r="A22" s="100"/>
      <c r="B22" s="101"/>
      <c r="C22" s="100"/>
      <c r="D22" s="100"/>
      <c r="E22" s="100"/>
      <c r="F22" s="100"/>
      <c r="G22" s="100"/>
    </row>
    <row r="23" spans="1:7" s="113" customFormat="1" ht="10.5" x14ac:dyDescent="0.25">
      <c r="A23" s="100"/>
      <c r="B23" s="101"/>
      <c r="C23" s="100"/>
      <c r="D23" s="100"/>
      <c r="E23" s="100"/>
      <c r="F23" s="100"/>
      <c r="G23" s="100"/>
    </row>
    <row r="24" spans="1:7" s="113" customFormat="1" ht="10.5" x14ac:dyDescent="0.25">
      <c r="A24" s="100"/>
      <c r="B24" s="101"/>
      <c r="C24" s="100"/>
      <c r="D24" s="100"/>
      <c r="E24" s="100"/>
      <c r="F24" s="100"/>
      <c r="G24" s="100"/>
    </row>
    <row r="25" spans="1:7" s="113" customFormat="1" ht="10.5" x14ac:dyDescent="0.25">
      <c r="A25" s="100"/>
      <c r="B25" s="101"/>
      <c r="C25" s="100"/>
      <c r="D25" s="100"/>
      <c r="E25" s="100"/>
      <c r="F25" s="100"/>
      <c r="G25" s="100"/>
    </row>
    <row r="26" spans="1:7" s="113" customFormat="1" ht="10.5" x14ac:dyDescent="0.25">
      <c r="A26" s="100"/>
      <c r="B26" s="101"/>
      <c r="C26" s="100"/>
      <c r="D26" s="100"/>
      <c r="E26" s="100"/>
      <c r="F26" s="100"/>
      <c r="G26" s="100"/>
    </row>
    <row r="27" spans="1:7" s="113" customFormat="1" ht="10.5" x14ac:dyDescent="0.25">
      <c r="A27" s="100"/>
      <c r="B27" s="101"/>
      <c r="C27" s="100"/>
      <c r="D27" s="100"/>
      <c r="E27" s="100"/>
      <c r="F27" s="100"/>
      <c r="G27" s="100"/>
    </row>
    <row r="28" spans="1:7" s="113" customFormat="1" ht="10.5" x14ac:dyDescent="0.25">
      <c r="A28" s="100"/>
      <c r="B28" s="101"/>
      <c r="C28" s="100"/>
      <c r="D28" s="100"/>
      <c r="E28" s="100"/>
      <c r="F28" s="100"/>
      <c r="G28" s="100"/>
    </row>
    <row r="29" spans="1:7" s="113" customFormat="1" ht="10.5" x14ac:dyDescent="0.25">
      <c r="A29" s="100"/>
      <c r="B29" s="101"/>
      <c r="C29" s="100"/>
      <c r="D29" s="100"/>
      <c r="E29" s="100"/>
      <c r="F29" s="100"/>
      <c r="G29" s="100"/>
    </row>
    <row r="30" spans="1:7" s="113" customFormat="1" ht="10.5" x14ac:dyDescent="0.25">
      <c r="A30" s="100"/>
      <c r="B30" s="101"/>
      <c r="C30" s="100"/>
      <c r="D30" s="100"/>
      <c r="E30" s="100"/>
      <c r="F30" s="100"/>
      <c r="G30" s="100"/>
    </row>
    <row r="31" spans="1:7" s="113" customFormat="1" ht="10.5" x14ac:dyDescent="0.25">
      <c r="A31" s="100"/>
      <c r="B31" s="101"/>
      <c r="C31" s="100"/>
      <c r="D31" s="100"/>
      <c r="E31" s="100"/>
      <c r="F31" s="100"/>
      <c r="G31" s="100"/>
    </row>
    <row r="32" spans="1:7" s="113" customFormat="1" ht="10.5" x14ac:dyDescent="0.25">
      <c r="A32" s="100"/>
      <c r="B32" s="101"/>
      <c r="C32" s="100"/>
      <c r="D32" s="100"/>
      <c r="E32" s="100"/>
      <c r="F32" s="100"/>
      <c r="G32" s="100"/>
    </row>
    <row r="33" spans="1:7" s="113" customFormat="1" ht="10.5" x14ac:dyDescent="0.25">
      <c r="A33" s="100"/>
      <c r="B33" s="101"/>
      <c r="C33" s="100"/>
      <c r="D33" s="100"/>
      <c r="E33" s="100"/>
      <c r="F33" s="100"/>
      <c r="G33" s="100"/>
    </row>
    <row r="34" spans="1:7" s="113" customFormat="1" ht="10.5" x14ac:dyDescent="0.25">
      <c r="A34" s="100"/>
      <c r="B34" s="101"/>
      <c r="C34" s="100"/>
      <c r="D34" s="100"/>
      <c r="E34" s="100"/>
      <c r="F34" s="100"/>
      <c r="G34" s="100"/>
    </row>
    <row r="35" spans="1:7" s="113" customFormat="1" ht="10.5" x14ac:dyDescent="0.25">
      <c r="A35" s="100"/>
      <c r="B35" s="101"/>
      <c r="C35" s="100"/>
      <c r="D35" s="100"/>
      <c r="E35" s="100"/>
      <c r="F35" s="100"/>
      <c r="G35" s="100"/>
    </row>
    <row r="36" spans="1:7" s="113" customFormat="1" ht="10.5" x14ac:dyDescent="0.25">
      <c r="A36" s="100"/>
      <c r="B36" s="101"/>
      <c r="C36" s="100"/>
      <c r="D36" s="100"/>
      <c r="E36" s="100"/>
      <c r="F36" s="100"/>
      <c r="G36" s="100"/>
    </row>
    <row r="37" spans="1:7" s="113" customFormat="1" ht="10.5" x14ac:dyDescent="0.25">
      <c r="A37" s="100"/>
      <c r="B37" s="101"/>
      <c r="C37" s="100"/>
      <c r="D37" s="100"/>
      <c r="E37" s="100"/>
      <c r="F37" s="100"/>
      <c r="G37" s="100"/>
    </row>
    <row r="38" spans="1:7" s="72" customFormat="1" ht="12" x14ac:dyDescent="0.3">
      <c r="A38" s="100"/>
      <c r="B38" s="101"/>
      <c r="C38" s="100"/>
      <c r="D38" s="100"/>
      <c r="E38" s="100"/>
      <c r="F38" s="100"/>
      <c r="G38" s="100"/>
    </row>
    <row r="39" spans="1:7" x14ac:dyDescent="0.25">
      <c r="A39" s="100"/>
      <c r="B39" s="101"/>
      <c r="C39" s="100"/>
      <c r="D39" s="100"/>
      <c r="E39" s="100"/>
      <c r="F39" s="100"/>
      <c r="G39" s="100"/>
    </row>
  </sheetData>
  <sheetProtection algorithmName="SHA-512" hashValue="PIdJUCc6hgCPb2pWKVemKatqWGqeSSpYgwVUghKqkoUKpPenvVkSERx1ThMiuVFEkD+9H2iP6bXNzabP9frj5A==" saltValue="dE6aZu2SmuduY6s4rIURoQ==" spinCount="100000" sheet="1" scenarios="1" formatCells="0" formatRows="0" insertRows="0" deleteRows="0" autoFilter="0"/>
  <mergeCells count="20">
    <mergeCell ref="A1:B2"/>
    <mergeCell ref="A9:B9"/>
    <mergeCell ref="A10:B10"/>
    <mergeCell ref="C5:D5"/>
    <mergeCell ref="C8:D8"/>
    <mergeCell ref="C1:I1"/>
    <mergeCell ref="C2:I2"/>
    <mergeCell ref="A11:B11"/>
    <mergeCell ref="A15:G15"/>
    <mergeCell ref="A4:E4"/>
    <mergeCell ref="A5:B5"/>
    <mergeCell ref="A6:B6"/>
    <mergeCell ref="A7:B7"/>
    <mergeCell ref="A8:B8"/>
    <mergeCell ref="F5:G5"/>
    <mergeCell ref="F6:G9"/>
    <mergeCell ref="C10:D10"/>
    <mergeCell ref="C11:D11"/>
    <mergeCell ref="F11:F12"/>
    <mergeCell ref="G11:G12"/>
  </mergeCells>
  <dataValidations count="6">
    <dataValidation type="list" allowBlank="1" showInputMessage="1" showErrorMessage="1" sqref="C19:C39" xr:uid="{00000000-0002-0000-0100-000000000000}">
      <formula1>FreqTypeCode</formula1>
    </dataValidation>
    <dataValidation type="list" allowBlank="1" showInputMessage="1" showErrorMessage="1" sqref="E19:E39" xr:uid="{00000000-0002-0000-0100-000001000000}">
      <formula1>SexCode</formula1>
    </dataValidation>
    <dataValidation type="list" allowBlank="1" showInputMessage="1" showErrorMessage="1" sqref="D19:D39" xr:uid="{00000000-0002-0000-0100-000002000000}">
      <formula1>ProdTypeCode</formula1>
    </dataValidation>
    <dataValidation type="list" allowBlank="1" showErrorMessage="1" sqref="B19:B39" xr:uid="{00000000-0002-0000-0100-000003000000}">
      <formula1>SpeciesCode</formula1>
    </dataValidation>
    <dataValidation type="list" operator="greaterThanOrEqual" allowBlank="1" showInputMessage="1" showErrorMessage="1" sqref="A19:A39" xr:uid="{00000000-0002-0000-0100-000004000000}">
      <formula1>LandingID</formula1>
    </dataValidation>
    <dataValidation type="decimal" allowBlank="1" showInputMessage="1" showErrorMessage="1" errorTitle="Error" error="Value between 10 and 400" sqref="F19:F39" xr:uid="{00000000-0002-0000-0100-000005000000}">
      <formula1>10</formula1>
      <formula2>400</formula2>
    </dataValidation>
  </dataValidations>
  <hyperlinks>
    <hyperlink ref="E16" location="SexCode" display="SexCode" xr:uid="{00000000-0004-0000-0100-000000000000}"/>
    <hyperlink ref="B16" location="SpeciesCode" display="SpeciesCode" xr:uid="{00000000-0004-0000-0100-000001000000}"/>
    <hyperlink ref="D16" location="ProdTypeCode" display="ProdTypeCode" xr:uid="{00000000-0004-0000-0100-000002000000}"/>
    <hyperlink ref="C16" location="FreqTypeCode" display="FreqTypeCode" xr:uid="{00000000-0004-0000-0100-000003000000}"/>
    <hyperlink ref="A16" location="LandingID" display="LandingID" xr:uid="{00000000-0004-0000-0100-000004000000}"/>
    <hyperlink ref="F11" location="'ST10B-PrtSmpSZ'!A1" display="ST10B" xr:uid="{00000000-0004-0000-0100-000005000000}"/>
    <hyperlink ref="F11" location="'ST10A-PrtSmp'!A1" display="'ST10A-PrtSmp'!A1" xr:uid="{00000000-0004-0000-0100-000006000000}"/>
  </hyperlinks>
  <pageMargins left="0.7" right="0.7" top="0.75" bottom="0.75" header="0.3" footer="0.3"/>
  <pageSetup paperSize="9" orientation="portrait" r:id="rId1"/>
  <ignoredErrors>
    <ignoredError sqref="C5:C7 C8:D11" unlockedFormula="1"/>
    <ignoredError sqref="B17:C17" formula="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V204"/>
  <sheetViews>
    <sheetView zoomScaleNormal="100" zoomScaleSheetLayoutView="100" workbookViewId="0">
      <pane ySplit="2" topLeftCell="A3" activePane="bottomLeft" state="frozen"/>
      <selection activeCell="S42" sqref="S42"/>
      <selection pane="bottomLeft" sqref="A1:F1"/>
    </sheetView>
  </sheetViews>
  <sheetFormatPr defaultColWidth="7.36328125" defaultRowHeight="10.5" x14ac:dyDescent="0.25"/>
  <cols>
    <col min="1" max="1" width="20" style="34" bestFit="1" customWidth="1"/>
    <col min="2" max="2" width="7.453125" style="34" bestFit="1" customWidth="1"/>
    <col min="3" max="3" width="8.08984375" style="34" bestFit="1" customWidth="1"/>
    <col min="4" max="4" width="58.08984375" style="34" bestFit="1" customWidth="1"/>
    <col min="5" max="6" width="8.36328125" style="34" bestFit="1" customWidth="1"/>
    <col min="7" max="7" width="2.36328125" style="34" customWidth="1"/>
    <col min="8" max="8" width="9.6328125" style="34" bestFit="1" customWidth="1"/>
    <col min="9" max="9" width="23.90625" style="34" bestFit="1" customWidth="1"/>
    <col min="10" max="10" width="24.08984375" style="34" bestFit="1" customWidth="1"/>
    <col min="11" max="11" width="23.36328125" style="34" bestFit="1" customWidth="1"/>
    <col min="12" max="12" width="24" style="34" bestFit="1" customWidth="1"/>
    <col min="13" max="13" width="15.453125" style="34" bestFit="1" customWidth="1"/>
    <col min="14" max="14" width="10.36328125" style="34" bestFit="1" customWidth="1"/>
    <col min="15" max="15" width="2.36328125" style="34" customWidth="1"/>
    <col min="16" max="16" width="7.453125" style="34" bestFit="1" customWidth="1"/>
    <col min="17" max="17" width="42.36328125" style="34" bestFit="1" customWidth="1"/>
    <col min="18" max="18" width="8.08984375" style="34" bestFit="1" customWidth="1"/>
    <col min="19" max="19" width="2.36328125" style="34" customWidth="1"/>
    <col min="20" max="20" width="13.36328125" style="34" bestFit="1" customWidth="1"/>
    <col min="21" max="21" width="49.08984375" style="34" bestFit="1" customWidth="1"/>
    <col min="22" max="22" width="8.453125" style="34" bestFit="1" customWidth="1"/>
    <col min="23" max="16384" width="7.36328125" style="34"/>
  </cols>
  <sheetData>
    <row r="1" spans="1:21" ht="11.25" customHeight="1" x14ac:dyDescent="0.25">
      <c r="A1" s="288" t="s">
        <v>1748</v>
      </c>
      <c r="B1" s="288"/>
      <c r="C1" s="288"/>
      <c r="D1" s="288"/>
      <c r="E1" s="288"/>
      <c r="F1" s="288"/>
      <c r="H1" s="289" t="s">
        <v>1749</v>
      </c>
      <c r="I1" s="289"/>
      <c r="J1" s="289"/>
      <c r="K1" s="289"/>
      <c r="L1" s="289"/>
      <c r="M1" s="289"/>
      <c r="N1" s="289"/>
      <c r="P1" s="290" t="s">
        <v>1750</v>
      </c>
      <c r="Q1" s="290"/>
      <c r="R1" s="290"/>
      <c r="T1" s="290" t="s">
        <v>1751</v>
      </c>
      <c r="U1" s="290"/>
    </row>
    <row r="2" spans="1:21" ht="12" x14ac:dyDescent="0.3">
      <c r="A2" s="201" t="s">
        <v>1389</v>
      </c>
      <c r="B2" s="202" t="s">
        <v>1955</v>
      </c>
      <c r="C2" s="202" t="s">
        <v>1956</v>
      </c>
      <c r="D2" s="121" t="s">
        <v>2197</v>
      </c>
      <c r="E2" s="202" t="s">
        <v>1390</v>
      </c>
      <c r="F2" s="203" t="s">
        <v>1391</v>
      </c>
      <c r="H2" s="83" t="s">
        <v>1980</v>
      </c>
      <c r="I2" s="84" t="s">
        <v>808</v>
      </c>
      <c r="J2" s="84" t="s">
        <v>809</v>
      </c>
      <c r="K2" s="84" t="s">
        <v>810</v>
      </c>
      <c r="L2" s="84" t="s">
        <v>811</v>
      </c>
      <c r="M2" s="84" t="s">
        <v>812</v>
      </c>
      <c r="N2" s="85" t="s">
        <v>813</v>
      </c>
      <c r="P2" s="89" t="s">
        <v>1981</v>
      </c>
      <c r="Q2" s="121" t="s">
        <v>115</v>
      </c>
      <c r="R2" s="90" t="s">
        <v>114</v>
      </c>
      <c r="T2" s="194" t="s">
        <v>2180</v>
      </c>
      <c r="U2" s="195" t="s">
        <v>2181</v>
      </c>
    </row>
    <row r="3" spans="1:21" ht="12" x14ac:dyDescent="0.3">
      <c r="A3" s="200" t="s">
        <v>242</v>
      </c>
      <c r="B3" s="183" t="s">
        <v>34</v>
      </c>
      <c r="C3" s="183" t="s">
        <v>412</v>
      </c>
      <c r="D3" s="6"/>
      <c r="E3" s="183" t="s">
        <v>34</v>
      </c>
      <c r="F3" s="189" t="s">
        <v>1392</v>
      </c>
      <c r="H3" s="6" t="s">
        <v>18</v>
      </c>
      <c r="I3" s="6" t="s">
        <v>19</v>
      </c>
      <c r="J3" s="6" t="s">
        <v>483</v>
      </c>
      <c r="K3" s="6" t="s">
        <v>484</v>
      </c>
      <c r="L3" s="6" t="s">
        <v>485</v>
      </c>
      <c r="M3" s="6" t="s">
        <v>814</v>
      </c>
      <c r="N3" s="6" t="s">
        <v>815</v>
      </c>
      <c r="P3" s="188" t="s">
        <v>122</v>
      </c>
      <c r="Q3" s="183" t="s">
        <v>123</v>
      </c>
      <c r="R3" s="189" t="s">
        <v>122</v>
      </c>
      <c r="T3" s="196" t="s">
        <v>1388</v>
      </c>
      <c r="U3" s="197" t="s">
        <v>2182</v>
      </c>
    </row>
    <row r="4" spans="1:21" ht="12" x14ac:dyDescent="0.3">
      <c r="A4" s="200" t="s">
        <v>12</v>
      </c>
      <c r="B4" s="183" t="s">
        <v>13</v>
      </c>
      <c r="C4" s="183" t="s">
        <v>412</v>
      </c>
      <c r="D4" s="6"/>
      <c r="E4" s="183" t="s">
        <v>13</v>
      </c>
      <c r="F4" s="189" t="s">
        <v>1393</v>
      </c>
      <c r="H4" s="6" t="s">
        <v>27</v>
      </c>
      <c r="I4" s="6" t="s">
        <v>28</v>
      </c>
      <c r="J4" s="6" t="s">
        <v>29</v>
      </c>
      <c r="K4" s="6" t="s">
        <v>30</v>
      </c>
      <c r="L4" s="6" t="s">
        <v>31</v>
      </c>
      <c r="M4" s="6" t="s">
        <v>814</v>
      </c>
      <c r="N4" s="6" t="s">
        <v>815</v>
      </c>
      <c r="P4" s="188" t="s">
        <v>2103</v>
      </c>
      <c r="Q4" s="183" t="s">
        <v>2139</v>
      </c>
      <c r="R4" s="189" t="s">
        <v>122</v>
      </c>
      <c r="T4" s="196" t="s">
        <v>300</v>
      </c>
      <c r="U4" s="197" t="s">
        <v>2183</v>
      </c>
    </row>
    <row r="5" spans="1:21" ht="12" x14ac:dyDescent="0.3">
      <c r="A5" s="200" t="s">
        <v>16</v>
      </c>
      <c r="B5" s="183" t="s">
        <v>17</v>
      </c>
      <c r="C5" s="183" t="s">
        <v>412</v>
      </c>
      <c r="D5" s="6"/>
      <c r="E5" s="183" t="s">
        <v>17</v>
      </c>
      <c r="F5" s="189" t="s">
        <v>1394</v>
      </c>
      <c r="H5" s="6" t="s">
        <v>34</v>
      </c>
      <c r="I5" s="6" t="s">
        <v>35</v>
      </c>
      <c r="J5" s="6" t="s">
        <v>30</v>
      </c>
      <c r="K5" s="6" t="s">
        <v>36</v>
      </c>
      <c r="L5" s="6" t="s">
        <v>37</v>
      </c>
      <c r="M5" s="6" t="s">
        <v>814</v>
      </c>
      <c r="N5" s="6" t="s">
        <v>815</v>
      </c>
      <c r="P5" s="188" t="s">
        <v>2104</v>
      </c>
      <c r="Q5" s="183" t="s">
        <v>2140</v>
      </c>
      <c r="R5" s="189" t="s">
        <v>122</v>
      </c>
      <c r="T5" s="196" t="s">
        <v>286</v>
      </c>
      <c r="U5" s="197" t="s">
        <v>2184</v>
      </c>
    </row>
    <row r="6" spans="1:21" ht="12" x14ac:dyDescent="0.3">
      <c r="A6" s="200" t="s">
        <v>20</v>
      </c>
      <c r="B6" s="183" t="s">
        <v>21</v>
      </c>
      <c r="C6" s="183" t="s">
        <v>412</v>
      </c>
      <c r="D6" s="6"/>
      <c r="E6" s="183" t="s">
        <v>21</v>
      </c>
      <c r="F6" s="189" t="s">
        <v>178</v>
      </c>
      <c r="H6" s="6" t="s">
        <v>40</v>
      </c>
      <c r="I6" s="6" t="s">
        <v>41</v>
      </c>
      <c r="J6" s="6" t="s">
        <v>42</v>
      </c>
      <c r="K6" s="6" t="s">
        <v>43</v>
      </c>
      <c r="L6" s="6" t="s">
        <v>44</v>
      </c>
      <c r="M6" s="6" t="s">
        <v>814</v>
      </c>
      <c r="N6" s="6" t="s">
        <v>815</v>
      </c>
      <c r="P6" s="188" t="s">
        <v>2105</v>
      </c>
      <c r="Q6" s="183" t="s">
        <v>2141</v>
      </c>
      <c r="R6" s="189" t="s">
        <v>122</v>
      </c>
      <c r="T6" s="196" t="s">
        <v>2185</v>
      </c>
      <c r="U6" s="197" t="s">
        <v>2186</v>
      </c>
    </row>
    <row r="7" spans="1:21" ht="12" x14ac:dyDescent="0.3">
      <c r="A7" s="200" t="s">
        <v>392</v>
      </c>
      <c r="B7" s="183" t="s">
        <v>257</v>
      </c>
      <c r="C7" s="183" t="s">
        <v>412</v>
      </c>
      <c r="D7" s="6" t="s">
        <v>2199</v>
      </c>
      <c r="E7" s="183" t="s">
        <v>257</v>
      </c>
      <c r="F7" s="189" t="s">
        <v>1395</v>
      </c>
      <c r="H7" s="6" t="s">
        <v>56</v>
      </c>
      <c r="I7" s="6" t="s">
        <v>57</v>
      </c>
      <c r="J7" s="6" t="s">
        <v>58</v>
      </c>
      <c r="K7" s="6" t="s">
        <v>59</v>
      </c>
      <c r="L7" s="6" t="s">
        <v>60</v>
      </c>
      <c r="M7" s="6" t="s">
        <v>814</v>
      </c>
      <c r="N7" s="6" t="s">
        <v>815</v>
      </c>
      <c r="P7" s="188" t="s">
        <v>2106</v>
      </c>
      <c r="Q7" s="183" t="s">
        <v>2142</v>
      </c>
      <c r="R7" s="189" t="s">
        <v>122</v>
      </c>
      <c r="T7" s="196" t="s">
        <v>2187</v>
      </c>
      <c r="U7" s="197" t="s">
        <v>2188</v>
      </c>
    </row>
    <row r="8" spans="1:21" ht="12" x14ac:dyDescent="0.3">
      <c r="A8" s="200" t="s">
        <v>473</v>
      </c>
      <c r="B8" s="183" t="s">
        <v>26</v>
      </c>
      <c r="C8" s="183" t="s">
        <v>412</v>
      </c>
      <c r="D8" s="6" t="s">
        <v>601</v>
      </c>
      <c r="E8" s="183" t="s">
        <v>26</v>
      </c>
      <c r="F8" s="189" t="s">
        <v>1396</v>
      </c>
      <c r="H8" s="6" t="s">
        <v>91</v>
      </c>
      <c r="I8" s="6" t="s">
        <v>92</v>
      </c>
      <c r="J8" s="6" t="s">
        <v>93</v>
      </c>
      <c r="K8" s="6" t="s">
        <v>94</v>
      </c>
      <c r="L8" s="6" t="s">
        <v>95</v>
      </c>
      <c r="M8" s="6" t="s">
        <v>814</v>
      </c>
      <c r="N8" s="6" t="s">
        <v>815</v>
      </c>
      <c r="P8" s="200" t="s">
        <v>2107</v>
      </c>
      <c r="Q8" s="190" t="s">
        <v>2143</v>
      </c>
      <c r="R8" s="189" t="s">
        <v>122</v>
      </c>
      <c r="T8" s="196" t="s">
        <v>292</v>
      </c>
      <c r="U8" s="197" t="s">
        <v>2189</v>
      </c>
    </row>
    <row r="9" spans="1:21" ht="12" x14ac:dyDescent="0.3">
      <c r="A9" s="200" t="s">
        <v>32</v>
      </c>
      <c r="B9" s="183" t="s">
        <v>33</v>
      </c>
      <c r="C9" s="183" t="s">
        <v>412</v>
      </c>
      <c r="D9" s="6"/>
      <c r="E9" s="183" t="s">
        <v>33</v>
      </c>
      <c r="F9" s="189" t="s">
        <v>1397</v>
      </c>
      <c r="H9" s="6" t="s">
        <v>97</v>
      </c>
      <c r="I9" s="6" t="s">
        <v>98</v>
      </c>
      <c r="J9" s="6" t="s">
        <v>486</v>
      </c>
      <c r="K9" s="6" t="s">
        <v>487</v>
      </c>
      <c r="L9" s="6" t="s">
        <v>488</v>
      </c>
      <c r="M9" s="6" t="s">
        <v>814</v>
      </c>
      <c r="N9" s="6" t="s">
        <v>815</v>
      </c>
      <c r="P9" s="188" t="s">
        <v>2108</v>
      </c>
      <c r="Q9" s="183" t="s">
        <v>2144</v>
      </c>
      <c r="R9" s="189" t="s">
        <v>122</v>
      </c>
      <c r="T9" s="196" t="s">
        <v>295</v>
      </c>
      <c r="U9" s="197" t="s">
        <v>296</v>
      </c>
    </row>
    <row r="10" spans="1:21" ht="12" x14ac:dyDescent="0.3">
      <c r="A10" s="200" t="s">
        <v>38</v>
      </c>
      <c r="B10" s="183" t="s">
        <v>39</v>
      </c>
      <c r="C10" s="183" t="s">
        <v>412</v>
      </c>
      <c r="D10" s="6" t="s">
        <v>2200</v>
      </c>
      <c r="E10" s="183" t="s">
        <v>39</v>
      </c>
      <c r="F10" s="189" t="s">
        <v>1398</v>
      </c>
      <c r="H10" s="6" t="s">
        <v>99</v>
      </c>
      <c r="I10" s="6" t="s">
        <v>1986</v>
      </c>
      <c r="J10" s="6" t="s">
        <v>100</v>
      </c>
      <c r="K10" s="6" t="s">
        <v>101</v>
      </c>
      <c r="L10" s="6" t="s">
        <v>102</v>
      </c>
      <c r="M10" s="6" t="s">
        <v>814</v>
      </c>
      <c r="N10" s="6" t="s">
        <v>815</v>
      </c>
      <c r="P10" s="188" t="s">
        <v>2109</v>
      </c>
      <c r="Q10" s="183" t="s">
        <v>2145</v>
      </c>
      <c r="R10" s="189" t="s">
        <v>122</v>
      </c>
      <c r="T10" s="196" t="s">
        <v>2190</v>
      </c>
      <c r="U10" s="197" t="s">
        <v>2191</v>
      </c>
    </row>
    <row r="11" spans="1:21" ht="12" x14ac:dyDescent="0.3">
      <c r="A11" s="200" t="s">
        <v>474</v>
      </c>
      <c r="B11" s="183" t="s">
        <v>45</v>
      </c>
      <c r="C11" s="183" t="s">
        <v>412</v>
      </c>
      <c r="D11" s="6"/>
      <c r="E11" s="183" t="s">
        <v>45</v>
      </c>
      <c r="F11" s="189" t="s">
        <v>1399</v>
      </c>
      <c r="H11" s="6" t="s">
        <v>104</v>
      </c>
      <c r="I11" s="6" t="s">
        <v>105</v>
      </c>
      <c r="J11" s="6" t="s">
        <v>106</v>
      </c>
      <c r="K11" s="6" t="s">
        <v>107</v>
      </c>
      <c r="L11" s="6" t="s">
        <v>108</v>
      </c>
      <c r="M11" s="6" t="s">
        <v>814</v>
      </c>
      <c r="N11" s="6" t="s">
        <v>815</v>
      </c>
      <c r="P11" s="188" t="s">
        <v>2110</v>
      </c>
      <c r="Q11" s="183" t="s">
        <v>2146</v>
      </c>
      <c r="R11" s="189" t="s">
        <v>122</v>
      </c>
      <c r="T11" s="196" t="s">
        <v>2192</v>
      </c>
      <c r="U11" s="197" t="s">
        <v>2193</v>
      </c>
    </row>
    <row r="12" spans="1:21" ht="12" x14ac:dyDescent="0.3">
      <c r="A12" s="200" t="s">
        <v>274</v>
      </c>
      <c r="B12" s="183" t="s">
        <v>275</v>
      </c>
      <c r="C12" s="183" t="s">
        <v>412</v>
      </c>
      <c r="D12" s="6"/>
      <c r="E12" s="183" t="s">
        <v>275</v>
      </c>
      <c r="F12" s="189" t="s">
        <v>1492</v>
      </c>
      <c r="H12" s="6" t="s">
        <v>109</v>
      </c>
      <c r="I12" s="6" t="s">
        <v>110</v>
      </c>
      <c r="J12" s="6" t="s">
        <v>111</v>
      </c>
      <c r="K12" s="6" t="s">
        <v>112</v>
      </c>
      <c r="L12" s="6" t="s">
        <v>113</v>
      </c>
      <c r="M12" s="122" t="s">
        <v>814</v>
      </c>
      <c r="N12" s="122" t="s">
        <v>815</v>
      </c>
      <c r="P12" s="200" t="s">
        <v>2111</v>
      </c>
      <c r="Q12" s="190" t="s">
        <v>2147</v>
      </c>
      <c r="R12" s="189" t="s">
        <v>122</v>
      </c>
      <c r="T12" s="198" t="s">
        <v>96</v>
      </c>
      <c r="U12" s="199" t="s">
        <v>2194</v>
      </c>
    </row>
    <row r="13" spans="1:21" ht="12" x14ac:dyDescent="0.3">
      <c r="A13" s="200" t="s">
        <v>430</v>
      </c>
      <c r="B13" s="183" t="s">
        <v>480</v>
      </c>
      <c r="C13" s="183" t="s">
        <v>412</v>
      </c>
      <c r="D13" s="6" t="s">
        <v>2199</v>
      </c>
      <c r="E13" s="183" t="s">
        <v>480</v>
      </c>
      <c r="F13" s="189" t="s">
        <v>1400</v>
      </c>
      <c r="H13" s="6" t="s">
        <v>46</v>
      </c>
      <c r="I13" s="6" t="s">
        <v>47</v>
      </c>
      <c r="J13" s="6" t="s">
        <v>48</v>
      </c>
      <c r="K13" s="6" t="s">
        <v>49</v>
      </c>
      <c r="L13" s="6" t="s">
        <v>521</v>
      </c>
      <c r="M13" s="6" t="s">
        <v>1818</v>
      </c>
      <c r="N13" s="6" t="s">
        <v>815</v>
      </c>
      <c r="P13" s="188" t="s">
        <v>2112</v>
      </c>
      <c r="Q13" s="183" t="s">
        <v>2148</v>
      </c>
      <c r="R13" s="189" t="s">
        <v>122</v>
      </c>
    </row>
    <row r="14" spans="1:21" ht="12" x14ac:dyDescent="0.3">
      <c r="A14" s="200" t="s">
        <v>600</v>
      </c>
      <c r="B14" s="183" t="s">
        <v>50</v>
      </c>
      <c r="C14" s="183" t="s">
        <v>412</v>
      </c>
      <c r="D14" s="6" t="s">
        <v>2201</v>
      </c>
      <c r="E14" s="183" t="s">
        <v>50</v>
      </c>
      <c r="F14" s="189" t="s">
        <v>1401</v>
      </c>
      <c r="H14" s="6" t="s">
        <v>51</v>
      </c>
      <c r="I14" s="6" t="s">
        <v>52</v>
      </c>
      <c r="J14" s="6" t="s">
        <v>53</v>
      </c>
      <c r="K14" s="6" t="s">
        <v>54</v>
      </c>
      <c r="L14" s="6" t="s">
        <v>55</v>
      </c>
      <c r="M14" s="6" t="s">
        <v>1818</v>
      </c>
      <c r="N14" s="6" t="s">
        <v>815</v>
      </c>
      <c r="P14" s="188" t="s">
        <v>2113</v>
      </c>
      <c r="Q14" s="183" t="s">
        <v>2149</v>
      </c>
      <c r="R14" s="189" t="s">
        <v>122</v>
      </c>
    </row>
    <row r="15" spans="1:21" ht="12" x14ac:dyDescent="0.3">
      <c r="A15" s="200" t="s">
        <v>2015</v>
      </c>
      <c r="B15" s="183" t="s">
        <v>2016</v>
      </c>
      <c r="C15" s="183" t="s">
        <v>412</v>
      </c>
      <c r="D15" s="184"/>
      <c r="E15" s="183" t="s">
        <v>1813</v>
      </c>
      <c r="F15" s="189" t="s">
        <v>1814</v>
      </c>
      <c r="H15" s="6" t="s">
        <v>61</v>
      </c>
      <c r="I15" s="6" t="s">
        <v>62</v>
      </c>
      <c r="J15" s="6" t="s">
        <v>63</v>
      </c>
      <c r="K15" s="6" t="s">
        <v>64</v>
      </c>
      <c r="L15" s="6" t="s">
        <v>65</v>
      </c>
      <c r="M15" s="6" t="s">
        <v>1818</v>
      </c>
      <c r="N15" s="6" t="s">
        <v>815</v>
      </c>
      <c r="P15" s="188" t="s">
        <v>219</v>
      </c>
      <c r="Q15" s="183" t="s">
        <v>220</v>
      </c>
      <c r="R15" s="189" t="s">
        <v>219</v>
      </c>
      <c r="T15" s="287" t="s">
        <v>1752</v>
      </c>
      <c r="U15" s="287"/>
    </row>
    <row r="16" spans="1:21" ht="12" x14ac:dyDescent="0.3">
      <c r="A16" s="200" t="s">
        <v>2017</v>
      </c>
      <c r="B16" s="183" t="s">
        <v>2018</v>
      </c>
      <c r="C16" s="183" t="s">
        <v>412</v>
      </c>
      <c r="D16" s="6"/>
      <c r="E16" s="183" t="s">
        <v>1402</v>
      </c>
      <c r="F16" s="189" t="s">
        <v>1403</v>
      </c>
      <c r="H16" s="6" t="s">
        <v>66</v>
      </c>
      <c r="I16" s="6" t="s">
        <v>67</v>
      </c>
      <c r="J16" s="6" t="s">
        <v>68</v>
      </c>
      <c r="K16" s="6" t="s">
        <v>69</v>
      </c>
      <c r="L16" s="6" t="s">
        <v>70</v>
      </c>
      <c r="M16" s="6" t="s">
        <v>1818</v>
      </c>
      <c r="N16" s="6" t="s">
        <v>815</v>
      </c>
      <c r="P16" s="188" t="s">
        <v>2114</v>
      </c>
      <c r="Q16" s="183" t="s">
        <v>2150</v>
      </c>
      <c r="R16" s="189" t="s">
        <v>219</v>
      </c>
      <c r="T16" s="60" t="s">
        <v>1982</v>
      </c>
      <c r="U16" s="60" t="s">
        <v>319</v>
      </c>
    </row>
    <row r="17" spans="1:21" ht="12" x14ac:dyDescent="0.3">
      <c r="A17" s="200" t="s">
        <v>2019</v>
      </c>
      <c r="B17" s="183" t="s">
        <v>2020</v>
      </c>
      <c r="C17" s="183" t="s">
        <v>412</v>
      </c>
      <c r="D17" s="6"/>
      <c r="E17" s="183" t="s">
        <v>1404</v>
      </c>
      <c r="F17" s="189" t="s">
        <v>1405</v>
      </c>
      <c r="H17" s="6" t="s">
        <v>71</v>
      </c>
      <c r="I17" s="6" t="s">
        <v>72</v>
      </c>
      <c r="J17" s="6" t="s">
        <v>73</v>
      </c>
      <c r="K17" s="6" t="s">
        <v>74</v>
      </c>
      <c r="L17" s="6" t="s">
        <v>75</v>
      </c>
      <c r="M17" s="6" t="s">
        <v>1818</v>
      </c>
      <c r="N17" s="6" t="s">
        <v>815</v>
      </c>
      <c r="P17" s="188" t="s">
        <v>2115</v>
      </c>
      <c r="Q17" s="183" t="s">
        <v>2151</v>
      </c>
      <c r="R17" s="189" t="s">
        <v>219</v>
      </c>
      <c r="T17" s="36" t="s">
        <v>325</v>
      </c>
      <c r="U17" s="37" t="s">
        <v>386</v>
      </c>
    </row>
    <row r="18" spans="1:21" ht="12" x14ac:dyDescent="0.3">
      <c r="A18" s="200" t="s">
        <v>2021</v>
      </c>
      <c r="B18" s="183" t="s">
        <v>2022</v>
      </c>
      <c r="C18" s="183" t="s">
        <v>412</v>
      </c>
      <c r="D18" s="6" t="s">
        <v>601</v>
      </c>
      <c r="E18" s="183" t="s">
        <v>1406</v>
      </c>
      <c r="F18" s="189" t="s">
        <v>1407</v>
      </c>
      <c r="H18" s="6" t="s">
        <v>76</v>
      </c>
      <c r="I18" s="6" t="s">
        <v>77</v>
      </c>
      <c r="J18" s="6" t="s">
        <v>78</v>
      </c>
      <c r="K18" s="6" t="s">
        <v>79</v>
      </c>
      <c r="L18" s="6" t="s">
        <v>80</v>
      </c>
      <c r="M18" s="6" t="s">
        <v>1818</v>
      </c>
      <c r="N18" s="6" t="s">
        <v>815</v>
      </c>
      <c r="P18" s="188" t="s">
        <v>2116</v>
      </c>
      <c r="Q18" s="183" t="s">
        <v>2152</v>
      </c>
      <c r="R18" s="189" t="s">
        <v>219</v>
      </c>
      <c r="T18" s="36" t="s">
        <v>333</v>
      </c>
      <c r="U18" s="37" t="s">
        <v>334</v>
      </c>
    </row>
    <row r="19" spans="1:21" ht="12" x14ac:dyDescent="0.3">
      <c r="A19" s="200" t="s">
        <v>2023</v>
      </c>
      <c r="B19" s="183" t="s">
        <v>2024</v>
      </c>
      <c r="C19" s="183" t="s">
        <v>412</v>
      </c>
      <c r="D19" s="6" t="s">
        <v>601</v>
      </c>
      <c r="E19" s="183" t="s">
        <v>1408</v>
      </c>
      <c r="F19" s="189" t="s">
        <v>1409</v>
      </c>
      <c r="H19" s="6" t="s">
        <v>81</v>
      </c>
      <c r="I19" s="6" t="s">
        <v>82</v>
      </c>
      <c r="J19" s="6" t="s">
        <v>83</v>
      </c>
      <c r="K19" s="6" t="s">
        <v>84</v>
      </c>
      <c r="L19" s="6" t="s">
        <v>85</v>
      </c>
      <c r="M19" s="6" t="s">
        <v>1818</v>
      </c>
      <c r="N19" s="6" t="s">
        <v>815</v>
      </c>
      <c r="P19" s="188" t="s">
        <v>2117</v>
      </c>
      <c r="Q19" s="183" t="s">
        <v>2153</v>
      </c>
      <c r="R19" s="189" t="s">
        <v>219</v>
      </c>
      <c r="T19" s="36" t="s">
        <v>336</v>
      </c>
      <c r="U19" s="37" t="s">
        <v>337</v>
      </c>
    </row>
    <row r="20" spans="1:21" ht="12" x14ac:dyDescent="0.3">
      <c r="A20" s="200" t="s">
        <v>2025</v>
      </c>
      <c r="B20" s="183" t="s">
        <v>2026</v>
      </c>
      <c r="C20" s="183" t="s">
        <v>412</v>
      </c>
      <c r="D20" s="184"/>
      <c r="E20" s="183" t="s">
        <v>1128</v>
      </c>
      <c r="F20" s="189" t="s">
        <v>1957</v>
      </c>
      <c r="H20" s="6" t="s">
        <v>86</v>
      </c>
      <c r="I20" s="6" t="s">
        <v>87</v>
      </c>
      <c r="J20" s="6" t="s">
        <v>88</v>
      </c>
      <c r="K20" s="6" t="s">
        <v>89</v>
      </c>
      <c r="L20" s="6" t="s">
        <v>90</v>
      </c>
      <c r="M20" s="6" t="s">
        <v>1818</v>
      </c>
      <c r="N20" s="6" t="s">
        <v>815</v>
      </c>
      <c r="P20" s="188" t="s">
        <v>2118</v>
      </c>
      <c r="Q20" s="183" t="s">
        <v>2154</v>
      </c>
      <c r="R20" s="189" t="s">
        <v>219</v>
      </c>
      <c r="T20" s="88" t="s">
        <v>299</v>
      </c>
      <c r="U20" s="87" t="s">
        <v>385</v>
      </c>
    </row>
    <row r="21" spans="1:21" ht="12" x14ac:dyDescent="0.3">
      <c r="A21" s="200" t="s">
        <v>2027</v>
      </c>
      <c r="B21" s="183" t="s">
        <v>2028</v>
      </c>
      <c r="C21" s="183" t="s">
        <v>412</v>
      </c>
      <c r="D21" s="6"/>
      <c r="E21" s="183" t="s">
        <v>1410</v>
      </c>
      <c r="F21" s="189" t="s">
        <v>1411</v>
      </c>
      <c r="H21" s="6" t="s">
        <v>135</v>
      </c>
      <c r="I21" s="6" t="s">
        <v>136</v>
      </c>
      <c r="J21" s="6" t="s">
        <v>137</v>
      </c>
      <c r="K21" s="6" t="s">
        <v>138</v>
      </c>
      <c r="L21" s="6" t="s">
        <v>139</v>
      </c>
      <c r="M21" s="6" t="s">
        <v>1818</v>
      </c>
      <c r="N21" s="6" t="s">
        <v>815</v>
      </c>
      <c r="P21" s="188" t="s">
        <v>2119</v>
      </c>
      <c r="Q21" s="183" t="s">
        <v>2155</v>
      </c>
      <c r="R21" s="189" t="s">
        <v>219</v>
      </c>
    </row>
    <row r="22" spans="1:21" ht="12" x14ac:dyDescent="0.3">
      <c r="A22" s="200" t="s">
        <v>2029</v>
      </c>
      <c r="B22" s="183" t="s">
        <v>2030</v>
      </c>
      <c r="C22" s="183" t="s">
        <v>412</v>
      </c>
      <c r="D22" s="6" t="s">
        <v>2202</v>
      </c>
      <c r="E22" s="183" t="s">
        <v>1412</v>
      </c>
      <c r="F22" s="189" t="s">
        <v>1413</v>
      </c>
      <c r="H22" s="6" t="s">
        <v>142</v>
      </c>
      <c r="I22" s="6" t="s">
        <v>143</v>
      </c>
      <c r="J22" s="6" t="s">
        <v>144</v>
      </c>
      <c r="K22" s="6" t="s">
        <v>145</v>
      </c>
      <c r="L22" s="6" t="s">
        <v>146</v>
      </c>
      <c r="M22" s="6" t="s">
        <v>1818</v>
      </c>
      <c r="N22" s="6" t="s">
        <v>815</v>
      </c>
      <c r="P22" s="188" t="s">
        <v>2120</v>
      </c>
      <c r="Q22" s="183" t="s">
        <v>2156</v>
      </c>
      <c r="R22" s="189" t="s">
        <v>219</v>
      </c>
    </row>
    <row r="23" spans="1:21" ht="12" x14ac:dyDescent="0.3">
      <c r="A23" s="200" t="s">
        <v>2031</v>
      </c>
      <c r="B23" s="183" t="s">
        <v>2032</v>
      </c>
      <c r="C23" s="183" t="s">
        <v>412</v>
      </c>
      <c r="D23" s="6"/>
      <c r="E23" s="183" t="s">
        <v>1414</v>
      </c>
      <c r="F23" s="189" t="s">
        <v>1415</v>
      </c>
      <c r="H23" s="6" t="s">
        <v>149</v>
      </c>
      <c r="I23" s="6" t="s">
        <v>150</v>
      </c>
      <c r="J23" s="6" t="s">
        <v>151</v>
      </c>
      <c r="K23" s="6" t="s">
        <v>152</v>
      </c>
      <c r="L23" s="6" t="s">
        <v>153</v>
      </c>
      <c r="M23" s="6" t="s">
        <v>1818</v>
      </c>
      <c r="N23" s="6" t="s">
        <v>815</v>
      </c>
      <c r="P23" s="188" t="s">
        <v>2121</v>
      </c>
      <c r="Q23" s="183" t="s">
        <v>2157</v>
      </c>
      <c r="R23" s="189" t="s">
        <v>2137</v>
      </c>
      <c r="T23" s="287" t="s">
        <v>1753</v>
      </c>
      <c r="U23" s="287"/>
    </row>
    <row r="24" spans="1:21" ht="12" x14ac:dyDescent="0.3">
      <c r="A24" s="200" t="s">
        <v>2033</v>
      </c>
      <c r="B24" s="183" t="s">
        <v>2034</v>
      </c>
      <c r="C24" s="183" t="s">
        <v>412</v>
      </c>
      <c r="D24" s="184"/>
      <c r="E24" s="183" t="s">
        <v>1958</v>
      </c>
      <c r="F24" s="189" t="s">
        <v>1959</v>
      </c>
      <c r="H24" s="6" t="s">
        <v>156</v>
      </c>
      <c r="I24" s="6" t="s">
        <v>157</v>
      </c>
      <c r="J24" s="6" t="s">
        <v>158</v>
      </c>
      <c r="K24" s="6" t="s">
        <v>159</v>
      </c>
      <c r="L24" s="6" t="s">
        <v>160</v>
      </c>
      <c r="M24" s="6" t="s">
        <v>1818</v>
      </c>
      <c r="N24" s="6" t="s">
        <v>815</v>
      </c>
      <c r="P24" s="188" t="s">
        <v>2122</v>
      </c>
      <c r="Q24" s="183" t="s">
        <v>2158</v>
      </c>
      <c r="R24" s="189" t="s">
        <v>2137</v>
      </c>
      <c r="T24" s="60" t="s">
        <v>2010</v>
      </c>
      <c r="U24" s="60" t="s">
        <v>2011</v>
      </c>
    </row>
    <row r="25" spans="1:21" ht="12" x14ac:dyDescent="0.3">
      <c r="A25" s="200" t="s">
        <v>2035</v>
      </c>
      <c r="B25" s="183" t="s">
        <v>2036</v>
      </c>
      <c r="C25" s="183" t="s">
        <v>412</v>
      </c>
      <c r="D25" s="6" t="s">
        <v>2203</v>
      </c>
      <c r="E25" s="183" t="s">
        <v>1416</v>
      </c>
      <c r="F25" s="189" t="s">
        <v>1417</v>
      </c>
      <c r="H25" s="6" t="s">
        <v>522</v>
      </c>
      <c r="I25" s="6" t="s">
        <v>523</v>
      </c>
      <c r="J25" s="6" t="s">
        <v>524</v>
      </c>
      <c r="K25" s="6" t="s">
        <v>525</v>
      </c>
      <c r="L25" s="6" t="s">
        <v>526</v>
      </c>
      <c r="M25" s="122" t="s">
        <v>1818</v>
      </c>
      <c r="N25" s="122" t="s">
        <v>815</v>
      </c>
      <c r="P25" s="188" t="s">
        <v>2123</v>
      </c>
      <c r="Q25" s="183" t="s">
        <v>2159</v>
      </c>
      <c r="R25" s="189" t="s">
        <v>2137</v>
      </c>
      <c r="T25" s="36" t="s">
        <v>546</v>
      </c>
      <c r="U25" s="37" t="s">
        <v>15</v>
      </c>
    </row>
    <row r="26" spans="1:21" ht="12" x14ac:dyDescent="0.3">
      <c r="A26" s="200" t="s">
        <v>2037</v>
      </c>
      <c r="B26" s="183" t="s">
        <v>2038</v>
      </c>
      <c r="C26" s="183" t="s">
        <v>412</v>
      </c>
      <c r="D26" s="6"/>
      <c r="E26" s="183" t="s">
        <v>1418</v>
      </c>
      <c r="F26" s="189" t="s">
        <v>1419</v>
      </c>
      <c r="H26" s="6" t="s">
        <v>22</v>
      </c>
      <c r="I26" s="6" t="s">
        <v>23</v>
      </c>
      <c r="J26" s="6" t="s">
        <v>24</v>
      </c>
      <c r="K26" s="6" t="s">
        <v>25</v>
      </c>
      <c r="L26" s="6" t="s">
        <v>489</v>
      </c>
      <c r="M26" s="6" t="s">
        <v>1819</v>
      </c>
      <c r="N26" s="6" t="s">
        <v>815</v>
      </c>
      <c r="P26" s="188" t="s">
        <v>178</v>
      </c>
      <c r="Q26" s="183" t="s">
        <v>179</v>
      </c>
      <c r="R26" s="189" t="s">
        <v>178</v>
      </c>
      <c r="T26" s="36" t="s">
        <v>547</v>
      </c>
      <c r="U26" s="37" t="s">
        <v>470</v>
      </c>
    </row>
    <row r="27" spans="1:21" ht="12" x14ac:dyDescent="0.3">
      <c r="A27" s="200" t="s">
        <v>2039</v>
      </c>
      <c r="B27" s="183" t="s">
        <v>2040</v>
      </c>
      <c r="C27" s="183" t="s">
        <v>412</v>
      </c>
      <c r="D27" s="6" t="s">
        <v>601</v>
      </c>
      <c r="E27" s="183" t="s">
        <v>1420</v>
      </c>
      <c r="F27" s="189" t="s">
        <v>1421</v>
      </c>
      <c r="H27" s="6" t="s">
        <v>667</v>
      </c>
      <c r="I27" s="6" t="s">
        <v>668</v>
      </c>
      <c r="J27" s="6" t="s">
        <v>669</v>
      </c>
      <c r="K27" s="6" t="s">
        <v>670</v>
      </c>
      <c r="L27" s="6" t="s">
        <v>671</v>
      </c>
      <c r="M27" s="6" t="s">
        <v>1819</v>
      </c>
      <c r="N27" s="6" t="s">
        <v>815</v>
      </c>
      <c r="P27" s="188" t="s">
        <v>2124</v>
      </c>
      <c r="Q27" s="183" t="s">
        <v>2160</v>
      </c>
      <c r="R27" s="189" t="s">
        <v>178</v>
      </c>
      <c r="T27" s="36" t="s">
        <v>548</v>
      </c>
      <c r="U27" s="37" t="s">
        <v>549</v>
      </c>
    </row>
    <row r="28" spans="1:21" ht="12" x14ac:dyDescent="0.3">
      <c r="A28" s="200" t="s">
        <v>2041</v>
      </c>
      <c r="B28" s="183" t="s">
        <v>2042</v>
      </c>
      <c r="C28" s="183" t="s">
        <v>412</v>
      </c>
      <c r="D28" s="6"/>
      <c r="E28" s="183" t="s">
        <v>1422</v>
      </c>
      <c r="F28" s="189" t="s">
        <v>1423</v>
      </c>
      <c r="H28" s="6" t="s">
        <v>128</v>
      </c>
      <c r="I28" s="6" t="s">
        <v>129</v>
      </c>
      <c r="J28" s="6" t="s">
        <v>130</v>
      </c>
      <c r="K28" s="6" t="s">
        <v>131</v>
      </c>
      <c r="L28" s="6" t="s">
        <v>132</v>
      </c>
      <c r="M28" s="6" t="s">
        <v>1819</v>
      </c>
      <c r="N28" s="6" t="s">
        <v>815</v>
      </c>
      <c r="P28" s="188" t="s">
        <v>2125</v>
      </c>
      <c r="Q28" s="183" t="s">
        <v>2161</v>
      </c>
      <c r="R28" s="189" t="s">
        <v>178</v>
      </c>
      <c r="T28" s="38" t="s">
        <v>550</v>
      </c>
      <c r="U28" s="35" t="s">
        <v>551</v>
      </c>
    </row>
    <row r="29" spans="1:21" ht="12" x14ac:dyDescent="0.3">
      <c r="A29" s="200" t="s">
        <v>2043</v>
      </c>
      <c r="B29" s="183" t="s">
        <v>2044</v>
      </c>
      <c r="C29" s="183" t="s">
        <v>412</v>
      </c>
      <c r="D29" s="6"/>
      <c r="E29" s="183" t="s">
        <v>1424</v>
      </c>
      <c r="F29" s="189" t="s">
        <v>1425</v>
      </c>
      <c r="H29" s="6" t="s">
        <v>677</v>
      </c>
      <c r="I29" s="6" t="s">
        <v>678</v>
      </c>
      <c r="J29" s="6" t="s">
        <v>679</v>
      </c>
      <c r="K29" s="6" t="s">
        <v>680</v>
      </c>
      <c r="L29" s="6" t="s">
        <v>681</v>
      </c>
      <c r="M29" s="6" t="s">
        <v>1819</v>
      </c>
      <c r="N29" s="6" t="s">
        <v>815</v>
      </c>
      <c r="P29" s="188" t="s">
        <v>2126</v>
      </c>
      <c r="Q29" s="183" t="s">
        <v>2162</v>
      </c>
      <c r="R29" s="189" t="s">
        <v>178</v>
      </c>
    </row>
    <row r="30" spans="1:21" ht="12" x14ac:dyDescent="0.3">
      <c r="A30" s="200" t="s">
        <v>2045</v>
      </c>
      <c r="B30" s="183" t="s">
        <v>2046</v>
      </c>
      <c r="C30" s="183" t="s">
        <v>412</v>
      </c>
      <c r="D30" s="6" t="s">
        <v>475</v>
      </c>
      <c r="E30" s="183" t="s">
        <v>1426</v>
      </c>
      <c r="F30" s="189" t="s">
        <v>1427</v>
      </c>
      <c r="H30" s="6" t="s">
        <v>687</v>
      </c>
      <c r="I30" s="6" t="s">
        <v>688</v>
      </c>
      <c r="J30" s="6" t="s">
        <v>689</v>
      </c>
      <c r="K30" s="6" t="s">
        <v>690</v>
      </c>
      <c r="L30" s="6" t="s">
        <v>691</v>
      </c>
      <c r="M30" s="6" t="s">
        <v>1819</v>
      </c>
      <c r="N30" s="6" t="s">
        <v>815</v>
      </c>
      <c r="P30" s="188" t="s">
        <v>239</v>
      </c>
      <c r="Q30" s="183" t="s">
        <v>241</v>
      </c>
      <c r="R30" s="189" t="s">
        <v>240</v>
      </c>
    </row>
    <row r="31" spans="1:21" ht="12" x14ac:dyDescent="0.3">
      <c r="A31" s="200" t="s">
        <v>2047</v>
      </c>
      <c r="B31" s="183" t="s">
        <v>2048</v>
      </c>
      <c r="C31" s="183" t="s">
        <v>412</v>
      </c>
      <c r="D31" s="6"/>
      <c r="E31" s="183" t="s">
        <v>1148</v>
      </c>
      <c r="F31" s="189" t="s">
        <v>1428</v>
      </c>
      <c r="H31" s="6" t="s">
        <v>491</v>
      </c>
      <c r="I31" s="6" t="s">
        <v>492</v>
      </c>
      <c r="J31" s="6" t="s">
        <v>493</v>
      </c>
      <c r="K31" s="6" t="s">
        <v>494</v>
      </c>
      <c r="L31" s="6" t="s">
        <v>495</v>
      </c>
      <c r="M31" s="6" t="s">
        <v>1819</v>
      </c>
      <c r="N31" s="6" t="s">
        <v>815</v>
      </c>
      <c r="P31" s="188" t="s">
        <v>2127</v>
      </c>
      <c r="Q31" s="183" t="s">
        <v>2163</v>
      </c>
      <c r="R31" s="189" t="s">
        <v>240</v>
      </c>
      <c r="T31" s="287" t="s">
        <v>1665</v>
      </c>
      <c r="U31" s="287"/>
    </row>
    <row r="32" spans="1:21" ht="12" x14ac:dyDescent="0.3">
      <c r="A32" s="200" t="s">
        <v>2049</v>
      </c>
      <c r="B32" s="183" t="s">
        <v>2050</v>
      </c>
      <c r="C32" s="183" t="s">
        <v>412</v>
      </c>
      <c r="D32" s="6"/>
      <c r="E32" s="183" t="s">
        <v>1429</v>
      </c>
      <c r="F32" s="189" t="s">
        <v>1430</v>
      </c>
      <c r="H32" s="6" t="s">
        <v>692</v>
      </c>
      <c r="I32" s="6" t="s">
        <v>693</v>
      </c>
      <c r="J32" s="6" t="s">
        <v>694</v>
      </c>
      <c r="K32" s="6" t="s">
        <v>695</v>
      </c>
      <c r="L32" s="6" t="s">
        <v>696</v>
      </c>
      <c r="M32" s="6" t="s">
        <v>1819</v>
      </c>
      <c r="N32" s="6" t="s">
        <v>815</v>
      </c>
      <c r="P32" s="188" t="s">
        <v>599</v>
      </c>
      <c r="Q32" s="183" t="s">
        <v>2164</v>
      </c>
      <c r="R32" s="189" t="s">
        <v>240</v>
      </c>
      <c r="T32" s="39" t="s">
        <v>472</v>
      </c>
      <c r="U32" s="40" t="s">
        <v>1666</v>
      </c>
    </row>
    <row r="33" spans="1:22" ht="12" x14ac:dyDescent="0.3">
      <c r="A33" s="200" t="s">
        <v>2051</v>
      </c>
      <c r="B33" s="183" t="s">
        <v>2052</v>
      </c>
      <c r="C33" s="183" t="s">
        <v>412</v>
      </c>
      <c r="D33" s="184"/>
      <c r="E33" s="183" t="s">
        <v>1960</v>
      </c>
      <c r="F33" s="189" t="s">
        <v>1961</v>
      </c>
      <c r="H33" s="6" t="s">
        <v>697</v>
      </c>
      <c r="I33" s="6" t="s">
        <v>698</v>
      </c>
      <c r="J33" s="6" t="s">
        <v>699</v>
      </c>
      <c r="K33" s="6" t="s">
        <v>700</v>
      </c>
      <c r="L33" s="6" t="s">
        <v>701</v>
      </c>
      <c r="M33" s="6" t="s">
        <v>1819</v>
      </c>
      <c r="N33" s="6" t="s">
        <v>815</v>
      </c>
      <c r="P33" s="188" t="s">
        <v>2128</v>
      </c>
      <c r="Q33" s="183" t="s">
        <v>2165</v>
      </c>
      <c r="R33" s="189" t="s">
        <v>240</v>
      </c>
      <c r="T33" s="41" t="s">
        <v>1667</v>
      </c>
      <c r="U33" s="42" t="s">
        <v>1668</v>
      </c>
    </row>
    <row r="34" spans="1:22" ht="12" x14ac:dyDescent="0.3">
      <c r="A34" s="200" t="s">
        <v>2053</v>
      </c>
      <c r="B34" s="183" t="s">
        <v>2054</v>
      </c>
      <c r="C34" s="183" t="s">
        <v>412</v>
      </c>
      <c r="D34" s="6" t="s">
        <v>601</v>
      </c>
      <c r="E34" s="183" t="s">
        <v>1431</v>
      </c>
      <c r="F34" s="189" t="s">
        <v>1432</v>
      </c>
      <c r="H34" s="6" t="s">
        <v>702</v>
      </c>
      <c r="I34" s="6" t="s">
        <v>703</v>
      </c>
      <c r="J34" s="6" t="s">
        <v>704</v>
      </c>
      <c r="K34" s="6" t="s">
        <v>705</v>
      </c>
      <c r="L34" s="6" t="s">
        <v>706</v>
      </c>
      <c r="M34" s="6" t="s">
        <v>1819</v>
      </c>
      <c r="N34" s="6" t="s">
        <v>815</v>
      </c>
      <c r="P34" s="188" t="s">
        <v>169</v>
      </c>
      <c r="Q34" s="183" t="s">
        <v>2166</v>
      </c>
      <c r="R34" s="189" t="s">
        <v>170</v>
      </c>
      <c r="T34" s="43" t="s">
        <v>1669</v>
      </c>
      <c r="U34" s="44" t="s">
        <v>1670</v>
      </c>
    </row>
    <row r="35" spans="1:22" ht="12" x14ac:dyDescent="0.3">
      <c r="A35" s="200" t="s">
        <v>2055</v>
      </c>
      <c r="B35" s="183" t="s">
        <v>2056</v>
      </c>
      <c r="C35" s="183" t="s">
        <v>412</v>
      </c>
      <c r="D35" s="6"/>
      <c r="E35" s="183" t="s">
        <v>1433</v>
      </c>
      <c r="F35" s="189" t="s">
        <v>1434</v>
      </c>
      <c r="H35" s="6" t="s">
        <v>501</v>
      </c>
      <c r="I35" s="6" t="s">
        <v>502</v>
      </c>
      <c r="J35" s="6" t="s">
        <v>503</v>
      </c>
      <c r="K35" s="6" t="s">
        <v>504</v>
      </c>
      <c r="L35" s="6" t="s">
        <v>505</v>
      </c>
      <c r="M35" s="6" t="s">
        <v>1819</v>
      </c>
      <c r="N35" s="6" t="s">
        <v>815</v>
      </c>
      <c r="P35" s="188" t="s">
        <v>209</v>
      </c>
      <c r="Q35" s="183" t="s">
        <v>2167</v>
      </c>
      <c r="R35" s="189" t="s">
        <v>210</v>
      </c>
    </row>
    <row r="36" spans="1:22" ht="12" x14ac:dyDescent="0.3">
      <c r="A36" s="200" t="s">
        <v>2057</v>
      </c>
      <c r="B36" s="183" t="s">
        <v>2058</v>
      </c>
      <c r="C36" s="183" t="s">
        <v>412</v>
      </c>
      <c r="D36" s="6"/>
      <c r="E36" s="183" t="s">
        <v>1435</v>
      </c>
      <c r="F36" s="189" t="s">
        <v>1436</v>
      </c>
      <c r="H36" s="6" t="s">
        <v>516</v>
      </c>
      <c r="I36" s="6" t="s">
        <v>517</v>
      </c>
      <c r="J36" s="6" t="s">
        <v>518</v>
      </c>
      <c r="K36" s="6" t="s">
        <v>519</v>
      </c>
      <c r="L36" s="6" t="s">
        <v>520</v>
      </c>
      <c r="M36" s="6" t="s">
        <v>1819</v>
      </c>
      <c r="N36" s="6" t="s">
        <v>815</v>
      </c>
      <c r="P36" s="188" t="s">
        <v>2129</v>
      </c>
      <c r="Q36" s="183" t="s">
        <v>2168</v>
      </c>
      <c r="R36" s="189" t="s">
        <v>210</v>
      </c>
    </row>
    <row r="37" spans="1:22" ht="12" x14ac:dyDescent="0.3">
      <c r="A37" s="200" t="s">
        <v>2059</v>
      </c>
      <c r="B37" s="183" t="s">
        <v>2060</v>
      </c>
      <c r="C37" s="183" t="s">
        <v>412</v>
      </c>
      <c r="D37" s="6" t="s">
        <v>602</v>
      </c>
      <c r="E37" s="183" t="s">
        <v>1437</v>
      </c>
      <c r="F37" s="189" t="s">
        <v>1438</v>
      </c>
      <c r="H37" s="6" t="s">
        <v>506</v>
      </c>
      <c r="I37" s="6" t="s">
        <v>507</v>
      </c>
      <c r="J37" s="6" t="s">
        <v>508</v>
      </c>
      <c r="K37" s="6" t="s">
        <v>509</v>
      </c>
      <c r="L37" s="6" t="s">
        <v>510</v>
      </c>
      <c r="M37" s="6" t="s">
        <v>1819</v>
      </c>
      <c r="N37" s="6" t="s">
        <v>815</v>
      </c>
      <c r="P37" s="188" t="s">
        <v>2130</v>
      </c>
      <c r="Q37" s="183" t="s">
        <v>2169</v>
      </c>
      <c r="R37" s="189" t="s">
        <v>210</v>
      </c>
      <c r="T37" s="287" t="s">
        <v>1671</v>
      </c>
      <c r="U37" s="287"/>
    </row>
    <row r="38" spans="1:22" ht="12" x14ac:dyDescent="0.3">
      <c r="A38" s="200" t="s">
        <v>2061</v>
      </c>
      <c r="B38" s="183" t="s">
        <v>2062</v>
      </c>
      <c r="C38" s="183" t="s">
        <v>412</v>
      </c>
      <c r="D38" s="184"/>
      <c r="E38" s="183" t="s">
        <v>344</v>
      </c>
      <c r="F38" s="189" t="s">
        <v>1439</v>
      </c>
      <c r="H38" s="6" t="s">
        <v>511</v>
      </c>
      <c r="I38" s="6" t="s">
        <v>512</v>
      </c>
      <c r="J38" s="6" t="s">
        <v>513</v>
      </c>
      <c r="K38" s="6" t="s">
        <v>514</v>
      </c>
      <c r="L38" s="6" t="s">
        <v>515</v>
      </c>
      <c r="M38" s="6" t="s">
        <v>1819</v>
      </c>
      <c r="N38" s="6" t="s">
        <v>815</v>
      </c>
      <c r="P38" s="200" t="s">
        <v>2131</v>
      </c>
      <c r="Q38" s="183" t="s">
        <v>2170</v>
      </c>
      <c r="R38" s="189" t="s">
        <v>210</v>
      </c>
      <c r="T38" s="89" t="s">
        <v>1672</v>
      </c>
      <c r="U38" s="90" t="s">
        <v>1673</v>
      </c>
      <c r="V38" s="34" t="s">
        <v>1975</v>
      </c>
    </row>
    <row r="39" spans="1:22" ht="12" x14ac:dyDescent="0.3">
      <c r="A39" s="200" t="s">
        <v>2063</v>
      </c>
      <c r="B39" s="183" t="s">
        <v>2064</v>
      </c>
      <c r="C39" s="183" t="s">
        <v>412</v>
      </c>
      <c r="D39" s="184"/>
      <c r="E39" s="183" t="s">
        <v>1962</v>
      </c>
      <c r="F39" s="189" t="s">
        <v>1963</v>
      </c>
      <c r="H39" s="6" t="s">
        <v>496</v>
      </c>
      <c r="I39" s="6" t="s">
        <v>497</v>
      </c>
      <c r="J39" s="6" t="s">
        <v>498</v>
      </c>
      <c r="K39" s="6" t="s">
        <v>499</v>
      </c>
      <c r="L39" s="6" t="s">
        <v>500</v>
      </c>
      <c r="M39" s="6" t="s">
        <v>1819</v>
      </c>
      <c r="N39" s="123" t="s">
        <v>816</v>
      </c>
      <c r="P39" s="188" t="s">
        <v>195</v>
      </c>
      <c r="Q39" s="183" t="s">
        <v>421</v>
      </c>
      <c r="R39" s="189" t="s">
        <v>195</v>
      </c>
      <c r="T39" s="91" t="s">
        <v>1842</v>
      </c>
      <c r="U39" s="92" t="s">
        <v>1843</v>
      </c>
      <c r="V39" s="34" t="s">
        <v>1976</v>
      </c>
    </row>
    <row r="40" spans="1:22" ht="12" x14ac:dyDescent="0.3">
      <c r="A40" s="200" t="s">
        <v>2065</v>
      </c>
      <c r="B40" s="183" t="s">
        <v>2066</v>
      </c>
      <c r="C40" s="183" t="s">
        <v>412</v>
      </c>
      <c r="D40" s="6"/>
      <c r="E40" s="183" t="s">
        <v>1440</v>
      </c>
      <c r="F40" s="189" t="s">
        <v>1441</v>
      </c>
      <c r="H40" s="6" t="s">
        <v>116</v>
      </c>
      <c r="I40" s="6" t="s">
        <v>707</v>
      </c>
      <c r="J40" s="6" t="s">
        <v>708</v>
      </c>
      <c r="K40" s="6" t="s">
        <v>709</v>
      </c>
      <c r="L40" s="6" t="s">
        <v>710</v>
      </c>
      <c r="M40" s="6" t="s">
        <v>1819</v>
      </c>
      <c r="N40" s="123" t="s">
        <v>817</v>
      </c>
      <c r="P40" s="188" t="s">
        <v>2132</v>
      </c>
      <c r="Q40" s="183" t="s">
        <v>2171</v>
      </c>
      <c r="R40" s="189" t="s">
        <v>195</v>
      </c>
      <c r="T40" s="91" t="s">
        <v>1844</v>
      </c>
      <c r="U40" s="92" t="s">
        <v>1845</v>
      </c>
      <c r="V40" s="34" t="s">
        <v>1977</v>
      </c>
    </row>
    <row r="41" spans="1:22" ht="12" x14ac:dyDescent="0.3">
      <c r="A41" s="200" t="s">
        <v>2067</v>
      </c>
      <c r="B41" s="183" t="s">
        <v>2068</v>
      </c>
      <c r="C41" s="183" t="s">
        <v>412</v>
      </c>
      <c r="D41" s="6"/>
      <c r="E41" s="183" t="s">
        <v>1442</v>
      </c>
      <c r="F41" s="189" t="s">
        <v>1443</v>
      </c>
      <c r="H41" s="6" t="s">
        <v>118</v>
      </c>
      <c r="I41" s="6" t="s">
        <v>119</v>
      </c>
      <c r="J41" s="6" t="s">
        <v>490</v>
      </c>
      <c r="K41" s="6" t="s">
        <v>120</v>
      </c>
      <c r="L41" s="6" t="s">
        <v>121</v>
      </c>
      <c r="M41" s="122" t="s">
        <v>1819</v>
      </c>
      <c r="N41" s="124" t="s">
        <v>818</v>
      </c>
      <c r="P41" s="188" t="s">
        <v>2133</v>
      </c>
      <c r="Q41" s="183" t="s">
        <v>2172</v>
      </c>
      <c r="R41" s="189" t="s">
        <v>195</v>
      </c>
      <c r="T41" s="91" t="s">
        <v>1674</v>
      </c>
      <c r="U41" s="92" t="s">
        <v>1846</v>
      </c>
      <c r="V41" s="34" t="s">
        <v>1978</v>
      </c>
    </row>
    <row r="42" spans="1:22" ht="12" x14ac:dyDescent="0.3">
      <c r="A42" s="200" t="s">
        <v>282</v>
      </c>
      <c r="B42" s="183" t="s">
        <v>283</v>
      </c>
      <c r="C42" s="183" t="s">
        <v>412</v>
      </c>
      <c r="D42" s="6"/>
      <c r="E42" s="183" t="s">
        <v>283</v>
      </c>
      <c r="F42" s="189" t="s">
        <v>1446</v>
      </c>
      <c r="H42" s="6" t="s">
        <v>303</v>
      </c>
      <c r="I42" s="6" t="s">
        <v>304</v>
      </c>
      <c r="J42" s="6" t="s">
        <v>305</v>
      </c>
      <c r="K42" s="6" t="s">
        <v>306</v>
      </c>
      <c r="L42" s="6" t="s">
        <v>307</v>
      </c>
      <c r="M42" s="6" t="s">
        <v>1820</v>
      </c>
      <c r="N42" s="6" t="s">
        <v>815</v>
      </c>
      <c r="P42" s="188" t="s">
        <v>217</v>
      </c>
      <c r="Q42" s="183" t="s">
        <v>2173</v>
      </c>
      <c r="R42" s="189" t="s">
        <v>217</v>
      </c>
      <c r="T42" s="93" t="s">
        <v>1675</v>
      </c>
      <c r="U42" s="94" t="s">
        <v>1847</v>
      </c>
      <c r="V42" s="34" t="s">
        <v>1979</v>
      </c>
    </row>
    <row r="43" spans="1:22" ht="12" x14ac:dyDescent="0.3">
      <c r="A43" s="200" t="s">
        <v>395</v>
      </c>
      <c r="B43" s="183" t="s">
        <v>396</v>
      </c>
      <c r="C43" s="183" t="s">
        <v>412</v>
      </c>
      <c r="D43" s="6" t="s">
        <v>2199</v>
      </c>
      <c r="E43" s="183" t="s">
        <v>396</v>
      </c>
      <c r="F43" s="189" t="s">
        <v>1447</v>
      </c>
      <c r="H43" s="6" t="s">
        <v>320</v>
      </c>
      <c r="I43" s="6" t="s">
        <v>321</v>
      </c>
      <c r="J43" s="6" t="s">
        <v>322</v>
      </c>
      <c r="K43" s="6" t="s">
        <v>323</v>
      </c>
      <c r="L43" s="6" t="s">
        <v>324</v>
      </c>
      <c r="M43" s="6" t="s">
        <v>1820</v>
      </c>
      <c r="N43" s="6" t="s">
        <v>815</v>
      </c>
      <c r="P43" s="188" t="s">
        <v>201</v>
      </c>
      <c r="Q43" s="183" t="s">
        <v>2174</v>
      </c>
      <c r="R43" s="189" t="s">
        <v>201</v>
      </c>
    </row>
    <row r="44" spans="1:22" ht="12" x14ac:dyDescent="0.3">
      <c r="A44" s="200" t="s">
        <v>2069</v>
      </c>
      <c r="B44" s="183" t="s">
        <v>2070</v>
      </c>
      <c r="C44" s="183" t="s">
        <v>412</v>
      </c>
      <c r="D44" s="184"/>
      <c r="E44" s="183" t="s">
        <v>2003</v>
      </c>
      <c r="F44" s="189" t="s">
        <v>1445</v>
      </c>
      <c r="H44" s="6" t="s">
        <v>350</v>
      </c>
      <c r="I44" s="6" t="s">
        <v>351</v>
      </c>
      <c r="J44" s="6" t="s">
        <v>352</v>
      </c>
      <c r="K44" s="6" t="s">
        <v>353</v>
      </c>
      <c r="L44" s="6" t="s">
        <v>354</v>
      </c>
      <c r="M44" s="122" t="s">
        <v>1820</v>
      </c>
      <c r="N44" s="122" t="s">
        <v>815</v>
      </c>
      <c r="P44" s="188" t="s">
        <v>252</v>
      </c>
      <c r="Q44" s="183" t="s">
        <v>254</v>
      </c>
      <c r="R44" s="189" t="s">
        <v>253</v>
      </c>
    </row>
    <row r="45" spans="1:22" ht="12" x14ac:dyDescent="0.3">
      <c r="A45" s="200" t="s">
        <v>2071</v>
      </c>
      <c r="B45" s="183" t="s">
        <v>2072</v>
      </c>
      <c r="C45" s="183" t="s">
        <v>412</v>
      </c>
      <c r="D45" s="6"/>
      <c r="E45" s="183" t="s">
        <v>1448</v>
      </c>
      <c r="F45" s="189" t="s">
        <v>1449</v>
      </c>
      <c r="H45" s="6" t="s">
        <v>182</v>
      </c>
      <c r="I45" s="6" t="s">
        <v>183</v>
      </c>
      <c r="J45" s="6" t="s">
        <v>184</v>
      </c>
      <c r="K45" s="6" t="s">
        <v>185</v>
      </c>
      <c r="L45" s="6" t="s">
        <v>186</v>
      </c>
      <c r="M45" s="6" t="s">
        <v>1821</v>
      </c>
      <c r="N45" s="6" t="s">
        <v>815</v>
      </c>
      <c r="P45" s="188" t="s">
        <v>2134</v>
      </c>
      <c r="Q45" s="183" t="s">
        <v>2175</v>
      </c>
      <c r="R45" s="189" t="s">
        <v>253</v>
      </c>
    </row>
    <row r="46" spans="1:22" ht="12" x14ac:dyDescent="0.3">
      <c r="A46" s="200" t="s">
        <v>126</v>
      </c>
      <c r="B46" s="183" t="s">
        <v>127</v>
      </c>
      <c r="C46" s="183" t="s">
        <v>412</v>
      </c>
      <c r="D46" s="6"/>
      <c r="E46" s="183" t="s">
        <v>127</v>
      </c>
      <c r="F46" s="189" t="s">
        <v>1450</v>
      </c>
      <c r="H46" s="6" t="s">
        <v>264</v>
      </c>
      <c r="I46" s="6" t="s">
        <v>265</v>
      </c>
      <c r="J46" s="6" t="s">
        <v>266</v>
      </c>
      <c r="K46" s="6" t="s">
        <v>527</v>
      </c>
      <c r="L46" s="6" t="s">
        <v>267</v>
      </c>
      <c r="M46" s="6" t="s">
        <v>1821</v>
      </c>
      <c r="N46" s="6" t="s">
        <v>815</v>
      </c>
      <c r="P46" s="188" t="s">
        <v>2135</v>
      </c>
      <c r="Q46" s="183" t="s">
        <v>2176</v>
      </c>
      <c r="R46" s="189" t="s">
        <v>2135</v>
      </c>
    </row>
    <row r="47" spans="1:22" ht="12" x14ac:dyDescent="0.3">
      <c r="A47" s="200" t="s">
        <v>288</v>
      </c>
      <c r="B47" s="183" t="s">
        <v>289</v>
      </c>
      <c r="C47" s="183" t="s">
        <v>412</v>
      </c>
      <c r="D47" s="6"/>
      <c r="E47" s="183" t="s">
        <v>289</v>
      </c>
      <c r="F47" s="189" t="s">
        <v>1519</v>
      </c>
      <c r="H47" s="6" t="s">
        <v>173</v>
      </c>
      <c r="I47" s="6" t="s">
        <v>174</v>
      </c>
      <c r="J47" s="6" t="s">
        <v>175</v>
      </c>
      <c r="K47" s="6" t="s">
        <v>176</v>
      </c>
      <c r="L47" s="6" t="s">
        <v>177</v>
      </c>
      <c r="M47" s="6" t="s">
        <v>1821</v>
      </c>
      <c r="N47" s="6" t="s">
        <v>815</v>
      </c>
      <c r="P47" s="188" t="s">
        <v>204</v>
      </c>
      <c r="Q47" s="183" t="s">
        <v>422</v>
      </c>
      <c r="R47" s="189" t="s">
        <v>205</v>
      </c>
    </row>
    <row r="48" spans="1:22" ht="12" x14ac:dyDescent="0.3">
      <c r="A48" s="200" t="s">
        <v>133</v>
      </c>
      <c r="B48" s="183" t="s">
        <v>134</v>
      </c>
      <c r="C48" s="183" t="s">
        <v>412</v>
      </c>
      <c r="D48" s="6" t="s">
        <v>2204</v>
      </c>
      <c r="E48" s="183" t="s">
        <v>134</v>
      </c>
      <c r="F48" s="189" t="s">
        <v>1451</v>
      </c>
      <c r="H48" s="6" t="s">
        <v>711</v>
      </c>
      <c r="I48" s="6" t="s">
        <v>712</v>
      </c>
      <c r="J48" s="6" t="s">
        <v>713</v>
      </c>
      <c r="K48" s="6" t="s">
        <v>714</v>
      </c>
      <c r="L48" s="6" t="s">
        <v>715</v>
      </c>
      <c r="M48" s="6" t="s">
        <v>1821</v>
      </c>
      <c r="N48" s="6" t="s">
        <v>815</v>
      </c>
      <c r="P48" s="200" t="s">
        <v>2136</v>
      </c>
      <c r="Q48" s="183" t="s">
        <v>2177</v>
      </c>
      <c r="R48" s="189" t="s">
        <v>2138</v>
      </c>
    </row>
    <row r="49" spans="1:18" ht="12" x14ac:dyDescent="0.3">
      <c r="A49" s="200" t="s">
        <v>2073</v>
      </c>
      <c r="B49" s="183" t="s">
        <v>1444</v>
      </c>
      <c r="C49" s="183" t="s">
        <v>412</v>
      </c>
      <c r="D49" s="184"/>
      <c r="E49" s="183" t="s">
        <v>1444</v>
      </c>
      <c r="F49" s="189" t="s">
        <v>1445</v>
      </c>
      <c r="H49" s="6" t="s">
        <v>716</v>
      </c>
      <c r="I49" s="6" t="s">
        <v>717</v>
      </c>
      <c r="J49" s="6" t="s">
        <v>718</v>
      </c>
      <c r="K49" s="6" t="s">
        <v>719</v>
      </c>
      <c r="L49" s="6" t="s">
        <v>720</v>
      </c>
      <c r="M49" s="6" t="s">
        <v>1821</v>
      </c>
      <c r="N49" s="6" t="s">
        <v>815</v>
      </c>
      <c r="P49" s="188" t="s">
        <v>423</v>
      </c>
      <c r="Q49" s="183" t="s">
        <v>2178</v>
      </c>
      <c r="R49" s="189" t="s">
        <v>14</v>
      </c>
    </row>
    <row r="50" spans="1:18" ht="12" x14ac:dyDescent="0.3">
      <c r="A50" s="200" t="s">
        <v>293</v>
      </c>
      <c r="B50" s="183" t="s">
        <v>294</v>
      </c>
      <c r="C50" s="183" t="s">
        <v>412</v>
      </c>
      <c r="D50" s="6"/>
      <c r="E50" s="183" t="s">
        <v>294</v>
      </c>
      <c r="F50" s="189" t="s">
        <v>1521</v>
      </c>
      <c r="H50" s="6" t="s">
        <v>721</v>
      </c>
      <c r="I50" s="6" t="s">
        <v>1822</v>
      </c>
      <c r="J50" s="6" t="s">
        <v>722</v>
      </c>
      <c r="K50" s="6" t="s">
        <v>723</v>
      </c>
      <c r="L50" s="6" t="s">
        <v>724</v>
      </c>
      <c r="M50" s="6" t="s">
        <v>1821</v>
      </c>
      <c r="N50" s="6" t="s">
        <v>815</v>
      </c>
      <c r="P50" s="191" t="s">
        <v>96</v>
      </c>
      <c r="Q50" s="192" t="s">
        <v>2179</v>
      </c>
      <c r="R50" s="193"/>
    </row>
    <row r="51" spans="1:18" ht="12" x14ac:dyDescent="0.3">
      <c r="A51" s="200" t="s">
        <v>297</v>
      </c>
      <c r="B51" s="183" t="s">
        <v>298</v>
      </c>
      <c r="C51" s="183" t="s">
        <v>412</v>
      </c>
      <c r="D51" s="6" t="s">
        <v>2199</v>
      </c>
      <c r="E51" s="183" t="s">
        <v>298</v>
      </c>
      <c r="F51" s="189" t="s">
        <v>1452</v>
      </c>
      <c r="H51" s="6" t="s">
        <v>725</v>
      </c>
      <c r="I51" s="6" t="s">
        <v>1823</v>
      </c>
      <c r="J51" s="6" t="s">
        <v>726</v>
      </c>
      <c r="K51" s="6" t="s">
        <v>727</v>
      </c>
      <c r="L51" s="6" t="s">
        <v>728</v>
      </c>
      <c r="M51" s="6" t="s">
        <v>1821</v>
      </c>
      <c r="N51" s="6" t="s">
        <v>815</v>
      </c>
    </row>
    <row r="52" spans="1:18" ht="12" x14ac:dyDescent="0.3">
      <c r="A52" s="200" t="s">
        <v>397</v>
      </c>
      <c r="B52" s="183" t="s">
        <v>287</v>
      </c>
      <c r="C52" s="183" t="s">
        <v>412</v>
      </c>
      <c r="D52" s="6"/>
      <c r="E52" s="183" t="s">
        <v>287</v>
      </c>
      <c r="F52" s="189" t="s">
        <v>1453</v>
      </c>
      <c r="H52" s="6" t="s">
        <v>729</v>
      </c>
      <c r="I52" s="6" t="s">
        <v>1824</v>
      </c>
      <c r="J52" s="6" t="s">
        <v>730</v>
      </c>
      <c r="K52" s="6" t="s">
        <v>731</v>
      </c>
      <c r="L52" s="6" t="s">
        <v>732</v>
      </c>
      <c r="M52" s="6" t="s">
        <v>1821</v>
      </c>
      <c r="N52" s="6" t="s">
        <v>815</v>
      </c>
    </row>
    <row r="53" spans="1:18" ht="12" x14ac:dyDescent="0.3">
      <c r="A53" s="200" t="s">
        <v>124</v>
      </c>
      <c r="B53" s="183" t="s">
        <v>125</v>
      </c>
      <c r="C53" s="183" t="s">
        <v>412</v>
      </c>
      <c r="D53" s="6" t="s">
        <v>476</v>
      </c>
      <c r="E53" s="183" t="s">
        <v>125</v>
      </c>
      <c r="F53" s="189" t="s">
        <v>1454</v>
      </c>
      <c r="H53" s="6" t="s">
        <v>212</v>
      </c>
      <c r="I53" s="6" t="s">
        <v>213</v>
      </c>
      <c r="J53" s="6" t="s">
        <v>214</v>
      </c>
      <c r="K53" s="6" t="s">
        <v>215</v>
      </c>
      <c r="L53" s="6" t="s">
        <v>216</v>
      </c>
      <c r="M53" s="6" t="s">
        <v>1821</v>
      </c>
      <c r="N53" s="6" t="s">
        <v>815</v>
      </c>
    </row>
    <row r="54" spans="1:18" ht="12" x14ac:dyDescent="0.3">
      <c r="A54" s="200" t="s">
        <v>2074</v>
      </c>
      <c r="B54" s="183" t="s">
        <v>117</v>
      </c>
      <c r="C54" s="183" t="s">
        <v>412</v>
      </c>
      <c r="D54" s="6"/>
      <c r="E54" s="183" t="s">
        <v>117</v>
      </c>
      <c r="F54" s="189" t="s">
        <v>210</v>
      </c>
      <c r="H54" s="6" t="s">
        <v>733</v>
      </c>
      <c r="I54" s="6" t="s">
        <v>1825</v>
      </c>
      <c r="J54" s="6" t="s">
        <v>734</v>
      </c>
      <c r="K54" s="6" t="s">
        <v>1826</v>
      </c>
      <c r="L54" s="6" t="s">
        <v>1827</v>
      </c>
      <c r="M54" s="6" t="s">
        <v>1821</v>
      </c>
      <c r="N54" s="6" t="s">
        <v>815</v>
      </c>
    </row>
    <row r="55" spans="1:18" ht="12" x14ac:dyDescent="0.3">
      <c r="A55" s="200" t="s">
        <v>140</v>
      </c>
      <c r="B55" s="183" t="s">
        <v>141</v>
      </c>
      <c r="C55" s="183" t="s">
        <v>412</v>
      </c>
      <c r="D55" s="6"/>
      <c r="E55" s="183" t="s">
        <v>141</v>
      </c>
      <c r="F55" s="189" t="s">
        <v>1455</v>
      </c>
      <c r="H55" s="6" t="s">
        <v>735</v>
      </c>
      <c r="I55" s="6" t="s">
        <v>736</v>
      </c>
      <c r="J55" s="6" t="s">
        <v>737</v>
      </c>
      <c r="K55" s="6" t="s">
        <v>738</v>
      </c>
      <c r="L55" s="6" t="s">
        <v>739</v>
      </c>
      <c r="M55" s="6" t="s">
        <v>1821</v>
      </c>
      <c r="N55" s="6" t="s">
        <v>815</v>
      </c>
    </row>
    <row r="56" spans="1:18" ht="12" x14ac:dyDescent="0.3">
      <c r="A56" s="200" t="s">
        <v>147</v>
      </c>
      <c r="B56" s="183" t="s">
        <v>148</v>
      </c>
      <c r="C56" s="183" t="s">
        <v>412</v>
      </c>
      <c r="D56" s="6"/>
      <c r="E56" s="183" t="s">
        <v>148</v>
      </c>
      <c r="F56" s="189" t="s">
        <v>1456</v>
      </c>
      <c r="H56" s="6" t="s">
        <v>740</v>
      </c>
      <c r="I56" s="6" t="s">
        <v>1828</v>
      </c>
      <c r="J56" s="6" t="s">
        <v>741</v>
      </c>
      <c r="K56" s="6" t="s">
        <v>742</v>
      </c>
      <c r="L56" s="6" t="s">
        <v>743</v>
      </c>
      <c r="M56" s="6" t="s">
        <v>1821</v>
      </c>
      <c r="N56" s="6" t="s">
        <v>815</v>
      </c>
    </row>
    <row r="57" spans="1:18" ht="12" x14ac:dyDescent="0.3">
      <c r="A57" s="200" t="s">
        <v>154</v>
      </c>
      <c r="B57" s="183" t="s">
        <v>155</v>
      </c>
      <c r="C57" s="183" t="s">
        <v>412</v>
      </c>
      <c r="D57" s="6"/>
      <c r="E57" s="183" t="s">
        <v>155</v>
      </c>
      <c r="F57" s="189" t="s">
        <v>1457</v>
      </c>
      <c r="H57" s="6" t="s">
        <v>310</v>
      </c>
      <c r="I57" s="6" t="s">
        <v>311</v>
      </c>
      <c r="J57" s="6" t="s">
        <v>312</v>
      </c>
      <c r="K57" s="6" t="s">
        <v>313</v>
      </c>
      <c r="L57" s="6" t="s">
        <v>314</v>
      </c>
      <c r="M57" s="6" t="s">
        <v>1821</v>
      </c>
      <c r="N57" s="6" t="s">
        <v>815</v>
      </c>
    </row>
    <row r="58" spans="1:18" ht="12" x14ac:dyDescent="0.3">
      <c r="A58" s="200" t="s">
        <v>2075</v>
      </c>
      <c r="B58" s="183" t="s">
        <v>161</v>
      </c>
      <c r="C58" s="183" t="s">
        <v>412</v>
      </c>
      <c r="D58" s="6"/>
      <c r="E58" s="183" t="s">
        <v>161</v>
      </c>
      <c r="F58" s="189" t="s">
        <v>1458</v>
      </c>
      <c r="H58" s="6" t="s">
        <v>744</v>
      </c>
      <c r="I58" s="6" t="s">
        <v>1829</v>
      </c>
      <c r="J58" s="6" t="s">
        <v>745</v>
      </c>
      <c r="K58" s="6" t="s">
        <v>746</v>
      </c>
      <c r="L58" s="6" t="s">
        <v>747</v>
      </c>
      <c r="M58" s="6" t="s">
        <v>1821</v>
      </c>
      <c r="N58" s="6" t="s">
        <v>815</v>
      </c>
    </row>
    <row r="59" spans="1:18" ht="12" x14ac:dyDescent="0.3">
      <c r="A59" s="200" t="s">
        <v>317</v>
      </c>
      <c r="B59" s="183" t="s">
        <v>318</v>
      </c>
      <c r="C59" s="183" t="s">
        <v>412</v>
      </c>
      <c r="D59" s="6"/>
      <c r="E59" s="183" t="s">
        <v>318</v>
      </c>
      <c r="F59" s="189" t="s">
        <v>1459</v>
      </c>
      <c r="H59" s="6" t="s">
        <v>748</v>
      </c>
      <c r="I59" s="6" t="s">
        <v>749</v>
      </c>
      <c r="J59" s="6" t="s">
        <v>750</v>
      </c>
      <c r="K59" s="6" t="s">
        <v>751</v>
      </c>
      <c r="L59" s="6" t="s">
        <v>752</v>
      </c>
      <c r="M59" s="6" t="s">
        <v>1821</v>
      </c>
      <c r="N59" s="6" t="s">
        <v>815</v>
      </c>
    </row>
    <row r="60" spans="1:18" ht="12" x14ac:dyDescent="0.3">
      <c r="A60" s="200" t="s">
        <v>162</v>
      </c>
      <c r="B60" s="183" t="s">
        <v>163</v>
      </c>
      <c r="C60" s="183" t="s">
        <v>412</v>
      </c>
      <c r="D60" s="6"/>
      <c r="E60" s="183" t="s">
        <v>163</v>
      </c>
      <c r="F60" s="189" t="s">
        <v>1460</v>
      </c>
      <c r="H60" s="6" t="s">
        <v>224</v>
      </c>
      <c r="I60" s="6" t="s">
        <v>225</v>
      </c>
      <c r="J60" s="6" t="s">
        <v>226</v>
      </c>
      <c r="K60" s="6" t="s">
        <v>227</v>
      </c>
      <c r="L60" s="6" t="s">
        <v>228</v>
      </c>
      <c r="M60" s="6" t="s">
        <v>1821</v>
      </c>
      <c r="N60" s="6" t="s">
        <v>815</v>
      </c>
    </row>
    <row r="61" spans="1:18" ht="12" x14ac:dyDescent="0.3">
      <c r="A61" s="200" t="s">
        <v>171</v>
      </c>
      <c r="B61" s="183" t="s">
        <v>172</v>
      </c>
      <c r="C61" s="183" t="s">
        <v>412</v>
      </c>
      <c r="D61" s="6" t="s">
        <v>2205</v>
      </c>
      <c r="E61" s="183" t="s">
        <v>172</v>
      </c>
      <c r="F61" s="189" t="s">
        <v>1461</v>
      </c>
      <c r="H61" s="6" t="s">
        <v>535</v>
      </c>
      <c r="I61" s="6" t="s">
        <v>536</v>
      </c>
      <c r="J61" s="6" t="s">
        <v>537</v>
      </c>
      <c r="K61" s="6" t="s">
        <v>538</v>
      </c>
      <c r="L61" s="6" t="s">
        <v>539</v>
      </c>
      <c r="M61" s="6" t="s">
        <v>1821</v>
      </c>
      <c r="N61" s="6" t="s">
        <v>815</v>
      </c>
    </row>
    <row r="62" spans="1:18" ht="12" x14ac:dyDescent="0.3">
      <c r="A62" s="200" t="s">
        <v>326</v>
      </c>
      <c r="B62" s="183" t="s">
        <v>327</v>
      </c>
      <c r="C62" s="183" t="s">
        <v>412</v>
      </c>
      <c r="D62" s="6"/>
      <c r="E62" s="183" t="s">
        <v>327</v>
      </c>
      <c r="F62" s="189" t="s">
        <v>1462</v>
      </c>
      <c r="H62" s="6" t="s">
        <v>530</v>
      </c>
      <c r="I62" s="6" t="s">
        <v>531</v>
      </c>
      <c r="J62" s="6" t="s">
        <v>532</v>
      </c>
      <c r="K62" s="6" t="s">
        <v>533</v>
      </c>
      <c r="L62" s="6" t="s">
        <v>534</v>
      </c>
      <c r="M62" s="6" t="s">
        <v>1821</v>
      </c>
      <c r="N62" s="6" t="s">
        <v>815</v>
      </c>
    </row>
    <row r="63" spans="1:18" ht="12" x14ac:dyDescent="0.3">
      <c r="A63" s="200" t="s">
        <v>180</v>
      </c>
      <c r="B63" s="183" t="s">
        <v>181</v>
      </c>
      <c r="C63" s="183" t="s">
        <v>412</v>
      </c>
      <c r="D63" s="6"/>
      <c r="E63" s="183" t="s">
        <v>181</v>
      </c>
      <c r="F63" s="189" t="s">
        <v>1463</v>
      </c>
      <c r="H63" s="6" t="s">
        <v>753</v>
      </c>
      <c r="I63" s="6" t="s">
        <v>754</v>
      </c>
      <c r="J63" s="6" t="s">
        <v>755</v>
      </c>
      <c r="K63" s="6" t="s">
        <v>756</v>
      </c>
      <c r="L63" s="6" t="s">
        <v>757</v>
      </c>
      <c r="M63" s="6" t="s">
        <v>1821</v>
      </c>
      <c r="N63" s="6" t="s">
        <v>815</v>
      </c>
    </row>
    <row r="64" spans="1:18" ht="12" x14ac:dyDescent="0.3">
      <c r="A64" s="200" t="s">
        <v>187</v>
      </c>
      <c r="B64" s="183" t="s">
        <v>103</v>
      </c>
      <c r="C64" s="183" t="s">
        <v>412</v>
      </c>
      <c r="D64" s="6"/>
      <c r="E64" s="183" t="s">
        <v>103</v>
      </c>
      <c r="F64" s="189" t="s">
        <v>1464</v>
      </c>
      <c r="H64" s="6" t="s">
        <v>758</v>
      </c>
      <c r="I64" s="6" t="s">
        <v>759</v>
      </c>
      <c r="J64" s="6" t="s">
        <v>760</v>
      </c>
      <c r="K64" s="6" t="s">
        <v>761</v>
      </c>
      <c r="L64" s="6" t="s">
        <v>762</v>
      </c>
      <c r="M64" s="6" t="s">
        <v>1821</v>
      </c>
      <c r="N64" s="6" t="s">
        <v>815</v>
      </c>
    </row>
    <row r="65" spans="1:14" ht="12" x14ac:dyDescent="0.3">
      <c r="A65" s="200" t="s">
        <v>389</v>
      </c>
      <c r="B65" s="183" t="s">
        <v>390</v>
      </c>
      <c r="C65" s="183" t="s">
        <v>412</v>
      </c>
      <c r="D65" s="6"/>
      <c r="E65" s="183" t="s">
        <v>390</v>
      </c>
      <c r="F65" s="189" t="s">
        <v>1465</v>
      </c>
      <c r="H65" s="6" t="s">
        <v>763</v>
      </c>
      <c r="I65" s="6" t="s">
        <v>1830</v>
      </c>
      <c r="J65" s="6" t="s">
        <v>1987</v>
      </c>
      <c r="K65" s="6"/>
      <c r="L65" s="6"/>
      <c r="M65" s="6" t="s">
        <v>1821</v>
      </c>
      <c r="N65" s="6" t="s">
        <v>815</v>
      </c>
    </row>
    <row r="66" spans="1:14" ht="12" x14ac:dyDescent="0.3">
      <c r="A66" s="200" t="s">
        <v>338</v>
      </c>
      <c r="B66" s="183" t="s">
        <v>339</v>
      </c>
      <c r="C66" s="183" t="s">
        <v>412</v>
      </c>
      <c r="D66" s="6"/>
      <c r="E66" s="183" t="s">
        <v>339</v>
      </c>
      <c r="F66" s="189" t="s">
        <v>1466</v>
      </c>
      <c r="H66" s="6" t="s">
        <v>540</v>
      </c>
      <c r="I66" s="6" t="s">
        <v>541</v>
      </c>
      <c r="J66" s="6" t="s">
        <v>542</v>
      </c>
      <c r="K66" s="6" t="s">
        <v>543</v>
      </c>
      <c r="L66" s="6" t="s">
        <v>544</v>
      </c>
      <c r="M66" s="6" t="s">
        <v>1821</v>
      </c>
      <c r="N66" s="6" t="s">
        <v>815</v>
      </c>
    </row>
    <row r="67" spans="1:14" ht="12" x14ac:dyDescent="0.3">
      <c r="A67" s="200" t="s">
        <v>2076</v>
      </c>
      <c r="B67" s="183" t="s">
        <v>2077</v>
      </c>
      <c r="C67" s="183" t="s">
        <v>412</v>
      </c>
      <c r="D67" s="184"/>
      <c r="E67" s="183" t="s">
        <v>2078</v>
      </c>
      <c r="F67" s="189" t="s">
        <v>1445</v>
      </c>
      <c r="H67" s="6" t="s">
        <v>764</v>
      </c>
      <c r="I67" s="6" t="s">
        <v>765</v>
      </c>
      <c r="J67" s="6" t="s">
        <v>766</v>
      </c>
      <c r="K67" s="6" t="s">
        <v>767</v>
      </c>
      <c r="L67" s="6" t="s">
        <v>768</v>
      </c>
      <c r="M67" s="6" t="s">
        <v>1821</v>
      </c>
      <c r="N67" s="6" t="s">
        <v>815</v>
      </c>
    </row>
    <row r="68" spans="1:14" ht="12" x14ac:dyDescent="0.3">
      <c r="A68" s="200" t="s">
        <v>340</v>
      </c>
      <c r="B68" s="183" t="s">
        <v>341</v>
      </c>
      <c r="C68" s="183" t="s">
        <v>412</v>
      </c>
      <c r="D68" s="6"/>
      <c r="E68" s="183" t="s">
        <v>341</v>
      </c>
      <c r="F68" s="189" t="s">
        <v>1467</v>
      </c>
      <c r="H68" s="6" t="s">
        <v>769</v>
      </c>
      <c r="I68" s="6" t="s">
        <v>1988</v>
      </c>
      <c r="J68" s="6" t="s">
        <v>770</v>
      </c>
      <c r="K68" s="6"/>
      <c r="L68" s="6"/>
      <c r="M68" s="6" t="s">
        <v>1821</v>
      </c>
      <c r="N68" s="6" t="s">
        <v>815</v>
      </c>
    </row>
    <row r="69" spans="1:14" ht="12" x14ac:dyDescent="0.3">
      <c r="A69" s="200" t="s">
        <v>188</v>
      </c>
      <c r="B69" s="183" t="s">
        <v>189</v>
      </c>
      <c r="C69" s="183" t="s">
        <v>412</v>
      </c>
      <c r="D69" s="6" t="s">
        <v>2199</v>
      </c>
      <c r="E69" s="183" t="s">
        <v>189</v>
      </c>
      <c r="F69" s="189" t="s">
        <v>1468</v>
      </c>
      <c r="H69" s="6" t="s">
        <v>771</v>
      </c>
      <c r="I69" s="6" t="s">
        <v>772</v>
      </c>
      <c r="J69" s="6" t="s">
        <v>773</v>
      </c>
      <c r="K69" s="6" t="s">
        <v>774</v>
      </c>
      <c r="L69" s="6" t="s">
        <v>775</v>
      </c>
      <c r="M69" s="6" t="s">
        <v>1821</v>
      </c>
      <c r="N69" s="6" t="s">
        <v>815</v>
      </c>
    </row>
    <row r="70" spans="1:14" ht="12" x14ac:dyDescent="0.3">
      <c r="A70" s="200" t="s">
        <v>196</v>
      </c>
      <c r="B70" s="183" t="s">
        <v>197</v>
      </c>
      <c r="C70" s="183" t="s">
        <v>412</v>
      </c>
      <c r="D70" s="6"/>
      <c r="E70" s="183" t="s">
        <v>197</v>
      </c>
      <c r="F70" s="189" t="s">
        <v>1469</v>
      </c>
      <c r="H70" s="6" t="s">
        <v>776</v>
      </c>
      <c r="I70" s="6" t="s">
        <v>777</v>
      </c>
      <c r="J70" s="6" t="s">
        <v>778</v>
      </c>
      <c r="K70" s="6" t="s">
        <v>779</v>
      </c>
      <c r="L70" s="6" t="s">
        <v>780</v>
      </c>
      <c r="M70" s="6" t="s">
        <v>1821</v>
      </c>
      <c r="N70" s="6" t="s">
        <v>815</v>
      </c>
    </row>
    <row r="71" spans="1:14" ht="12" x14ac:dyDescent="0.3">
      <c r="A71" s="200" t="s">
        <v>198</v>
      </c>
      <c r="B71" s="183" t="s">
        <v>199</v>
      </c>
      <c r="C71" s="183" t="s">
        <v>412</v>
      </c>
      <c r="D71" s="6"/>
      <c r="E71" s="183" t="s">
        <v>199</v>
      </c>
      <c r="F71" s="189" t="s">
        <v>1470</v>
      </c>
      <c r="H71" s="6" t="s">
        <v>781</v>
      </c>
      <c r="I71" s="6" t="s">
        <v>782</v>
      </c>
      <c r="J71" s="6" t="s">
        <v>783</v>
      </c>
      <c r="K71" s="6" t="s">
        <v>784</v>
      </c>
      <c r="L71" s="6" t="s">
        <v>785</v>
      </c>
      <c r="M71" s="6" t="s">
        <v>1821</v>
      </c>
      <c r="N71" s="6" t="s">
        <v>815</v>
      </c>
    </row>
    <row r="72" spans="1:14" ht="12" x14ac:dyDescent="0.3">
      <c r="A72" s="200" t="s">
        <v>2079</v>
      </c>
      <c r="B72" s="183" t="s">
        <v>200</v>
      </c>
      <c r="C72" s="183" t="s">
        <v>412</v>
      </c>
      <c r="D72" s="6" t="s">
        <v>476</v>
      </c>
      <c r="E72" s="183" t="s">
        <v>200</v>
      </c>
      <c r="F72" s="189" t="s">
        <v>1471</v>
      </c>
      <c r="H72" s="6" t="s">
        <v>786</v>
      </c>
      <c r="I72" s="6" t="s">
        <v>787</v>
      </c>
      <c r="J72" s="6" t="s">
        <v>788</v>
      </c>
      <c r="K72" s="6"/>
      <c r="L72" s="6"/>
      <c r="M72" s="6" t="s">
        <v>1821</v>
      </c>
      <c r="N72" s="6" t="s">
        <v>815</v>
      </c>
    </row>
    <row r="73" spans="1:14" ht="12" x14ac:dyDescent="0.3">
      <c r="A73" s="200" t="s">
        <v>2080</v>
      </c>
      <c r="B73" s="183" t="s">
        <v>2081</v>
      </c>
      <c r="C73" s="183" t="s">
        <v>412</v>
      </c>
      <c r="D73" s="184"/>
      <c r="E73" s="183" t="s">
        <v>2082</v>
      </c>
      <c r="F73" s="189" t="s">
        <v>1445</v>
      </c>
      <c r="H73" s="6" t="s">
        <v>789</v>
      </c>
      <c r="I73" s="6" t="s">
        <v>790</v>
      </c>
      <c r="J73" s="6" t="s">
        <v>791</v>
      </c>
      <c r="K73" s="6" t="s">
        <v>792</v>
      </c>
      <c r="L73" s="6" t="s">
        <v>793</v>
      </c>
      <c r="M73" s="6" t="s">
        <v>1821</v>
      </c>
      <c r="N73" s="6" t="s">
        <v>815</v>
      </c>
    </row>
    <row r="74" spans="1:14" ht="12" x14ac:dyDescent="0.3">
      <c r="A74" s="200" t="s">
        <v>345</v>
      </c>
      <c r="B74" s="183" t="s">
        <v>346</v>
      </c>
      <c r="C74" s="183" t="s">
        <v>412</v>
      </c>
      <c r="D74" s="6" t="s">
        <v>2206</v>
      </c>
      <c r="E74" s="183" t="s">
        <v>346</v>
      </c>
      <c r="F74" s="189" t="s">
        <v>1472</v>
      </c>
      <c r="H74" s="6" t="s">
        <v>794</v>
      </c>
      <c r="I74" s="6" t="s">
        <v>1831</v>
      </c>
      <c r="J74" s="6" t="s">
        <v>795</v>
      </c>
      <c r="K74" s="6" t="s">
        <v>796</v>
      </c>
      <c r="L74" s="6" t="s">
        <v>797</v>
      </c>
      <c r="M74" s="6" t="s">
        <v>1821</v>
      </c>
      <c r="N74" s="6" t="s">
        <v>815</v>
      </c>
    </row>
    <row r="75" spans="1:14" ht="12" x14ac:dyDescent="0.3">
      <c r="A75" s="200" t="s">
        <v>348</v>
      </c>
      <c r="B75" s="183" t="s">
        <v>349</v>
      </c>
      <c r="C75" s="183" t="s">
        <v>412</v>
      </c>
      <c r="D75" s="6"/>
      <c r="E75" s="183" t="s">
        <v>349</v>
      </c>
      <c r="F75" s="189" t="s">
        <v>1473</v>
      </c>
      <c r="H75" s="6" t="s">
        <v>366</v>
      </c>
      <c r="I75" s="6" t="s">
        <v>367</v>
      </c>
      <c r="J75" s="6" t="s">
        <v>368</v>
      </c>
      <c r="K75" s="6" t="s">
        <v>369</v>
      </c>
      <c r="L75" s="6" t="s">
        <v>370</v>
      </c>
      <c r="M75" s="6" t="s">
        <v>1821</v>
      </c>
      <c r="N75" s="6" t="s">
        <v>815</v>
      </c>
    </row>
    <row r="76" spans="1:14" ht="12" x14ac:dyDescent="0.3">
      <c r="A76" s="200" t="s">
        <v>202</v>
      </c>
      <c r="B76" s="183" t="s">
        <v>203</v>
      </c>
      <c r="C76" s="183" t="s">
        <v>412</v>
      </c>
      <c r="D76" s="6" t="s">
        <v>601</v>
      </c>
      <c r="E76" s="183" t="s">
        <v>203</v>
      </c>
      <c r="F76" s="189" t="s">
        <v>1474</v>
      </c>
      <c r="H76" s="6" t="s">
        <v>362</v>
      </c>
      <c r="I76" s="6" t="s">
        <v>363</v>
      </c>
      <c r="J76" s="6" t="s">
        <v>364</v>
      </c>
      <c r="K76" s="6" t="s">
        <v>529</v>
      </c>
      <c r="L76" s="6" t="s">
        <v>365</v>
      </c>
      <c r="M76" s="6" t="s">
        <v>1821</v>
      </c>
      <c r="N76" s="6" t="s">
        <v>815</v>
      </c>
    </row>
    <row r="77" spans="1:14" ht="12" x14ac:dyDescent="0.3">
      <c r="A77" s="200" t="s">
        <v>2083</v>
      </c>
      <c r="B77" s="183" t="s">
        <v>356</v>
      </c>
      <c r="C77" s="183" t="s">
        <v>412</v>
      </c>
      <c r="D77" s="6"/>
      <c r="E77" s="183" t="s">
        <v>356</v>
      </c>
      <c r="F77" s="189" t="s">
        <v>1475</v>
      </c>
      <c r="H77" s="6" t="s">
        <v>376</v>
      </c>
      <c r="I77" s="6" t="s">
        <v>377</v>
      </c>
      <c r="J77" s="6" t="s">
        <v>378</v>
      </c>
      <c r="K77" s="6" t="s">
        <v>528</v>
      </c>
      <c r="L77" s="6" t="s">
        <v>379</v>
      </c>
      <c r="M77" s="6" t="s">
        <v>1821</v>
      </c>
      <c r="N77" s="6" t="s">
        <v>815</v>
      </c>
    </row>
    <row r="78" spans="1:14" ht="12" x14ac:dyDescent="0.3">
      <c r="A78" s="200" t="s">
        <v>477</v>
      </c>
      <c r="B78" s="183" t="s">
        <v>357</v>
      </c>
      <c r="C78" s="183" t="s">
        <v>412</v>
      </c>
      <c r="D78" s="6"/>
      <c r="E78" s="183" t="s">
        <v>357</v>
      </c>
      <c r="F78" s="189" t="s">
        <v>1476</v>
      </c>
      <c r="H78" s="6" t="s">
        <v>243</v>
      </c>
      <c r="I78" s="6" t="s">
        <v>244</v>
      </c>
      <c r="J78" s="6" t="s">
        <v>245</v>
      </c>
      <c r="K78" s="6" t="s">
        <v>246</v>
      </c>
      <c r="L78" s="6" t="s">
        <v>247</v>
      </c>
      <c r="M78" s="6" t="s">
        <v>1821</v>
      </c>
      <c r="N78" s="6" t="s">
        <v>815</v>
      </c>
    </row>
    <row r="79" spans="1:14" ht="12" x14ac:dyDescent="0.3">
      <c r="A79" s="200" t="s">
        <v>206</v>
      </c>
      <c r="B79" s="183" t="s">
        <v>207</v>
      </c>
      <c r="C79" s="183" t="s">
        <v>412</v>
      </c>
      <c r="D79" s="6" t="s">
        <v>478</v>
      </c>
      <c r="E79" s="183" t="s">
        <v>207</v>
      </c>
      <c r="F79" s="189" t="s">
        <v>1477</v>
      </c>
      <c r="H79" s="6" t="s">
        <v>371</v>
      </c>
      <c r="I79" s="6" t="s">
        <v>372</v>
      </c>
      <c r="J79" s="6" t="s">
        <v>373</v>
      </c>
      <c r="K79" s="6" t="s">
        <v>374</v>
      </c>
      <c r="L79" s="6" t="s">
        <v>375</v>
      </c>
      <c r="M79" s="6" t="s">
        <v>1821</v>
      </c>
      <c r="N79" s="123" t="s">
        <v>816</v>
      </c>
    </row>
    <row r="80" spans="1:14" ht="12" x14ac:dyDescent="0.3">
      <c r="A80" s="200" t="s">
        <v>208</v>
      </c>
      <c r="B80" s="183" t="s">
        <v>116</v>
      </c>
      <c r="C80" s="183" t="s">
        <v>412</v>
      </c>
      <c r="D80" s="6"/>
      <c r="E80" s="183" t="s">
        <v>116</v>
      </c>
      <c r="F80" s="189" t="s">
        <v>217</v>
      </c>
      <c r="H80" s="6" t="s">
        <v>164</v>
      </c>
      <c r="I80" s="6" t="s">
        <v>165</v>
      </c>
      <c r="J80" s="6" t="s">
        <v>166</v>
      </c>
      <c r="K80" s="6" t="s">
        <v>167</v>
      </c>
      <c r="L80" s="6" t="s">
        <v>168</v>
      </c>
      <c r="M80" s="6" t="s">
        <v>1821</v>
      </c>
      <c r="N80" s="123" t="s">
        <v>816</v>
      </c>
    </row>
    <row r="81" spans="1:14" ht="12" x14ac:dyDescent="0.3">
      <c r="A81" s="200" t="s">
        <v>2195</v>
      </c>
      <c r="B81" s="183" t="s">
        <v>211</v>
      </c>
      <c r="C81" s="183" t="s">
        <v>412</v>
      </c>
      <c r="D81" s="6"/>
      <c r="E81" s="183" t="s">
        <v>211</v>
      </c>
      <c r="F81" s="189" t="s">
        <v>170</v>
      </c>
      <c r="H81" s="6" t="s">
        <v>798</v>
      </c>
      <c r="I81" s="6" t="s">
        <v>799</v>
      </c>
      <c r="J81" s="6" t="s">
        <v>800</v>
      </c>
      <c r="K81" s="6" t="s">
        <v>801</v>
      </c>
      <c r="L81" s="6" t="s">
        <v>802</v>
      </c>
      <c r="M81" s="6" t="s">
        <v>1821</v>
      </c>
      <c r="N81" s="123" t="s">
        <v>818</v>
      </c>
    </row>
    <row r="82" spans="1:14" ht="12" x14ac:dyDescent="0.3">
      <c r="A82" s="200" t="s">
        <v>2084</v>
      </c>
      <c r="B82" s="183" t="s">
        <v>2085</v>
      </c>
      <c r="C82" s="183" t="s">
        <v>412</v>
      </c>
      <c r="D82" s="6"/>
      <c r="E82" s="183" t="s">
        <v>1479</v>
      </c>
      <c r="F82" s="189" t="s">
        <v>1480</v>
      </c>
      <c r="H82" s="6" t="s">
        <v>328</v>
      </c>
      <c r="I82" s="6" t="s">
        <v>329</v>
      </c>
      <c r="J82" s="6" t="s">
        <v>330</v>
      </c>
      <c r="K82" s="6" t="s">
        <v>331</v>
      </c>
      <c r="L82" s="6" t="s">
        <v>332</v>
      </c>
      <c r="M82" s="6" t="s">
        <v>1821</v>
      </c>
      <c r="N82" s="123" t="s">
        <v>818</v>
      </c>
    </row>
    <row r="83" spans="1:14" ht="12" x14ac:dyDescent="0.3">
      <c r="A83" s="200" t="s">
        <v>2086</v>
      </c>
      <c r="B83" s="183" t="s">
        <v>2087</v>
      </c>
      <c r="C83" s="183" t="s">
        <v>412</v>
      </c>
      <c r="D83" s="6"/>
      <c r="E83" s="183" t="s">
        <v>1481</v>
      </c>
      <c r="F83" s="189" t="s">
        <v>1482</v>
      </c>
      <c r="H83" s="6" t="s">
        <v>190</v>
      </c>
      <c r="I83" s="6" t="s">
        <v>191</v>
      </c>
      <c r="J83" s="6" t="s">
        <v>192</v>
      </c>
      <c r="K83" s="6" t="s">
        <v>193</v>
      </c>
      <c r="L83" s="6" t="s">
        <v>194</v>
      </c>
      <c r="M83" s="6" t="s">
        <v>1821</v>
      </c>
      <c r="N83" s="123" t="s">
        <v>818</v>
      </c>
    </row>
    <row r="84" spans="1:14" ht="12" x14ac:dyDescent="0.3">
      <c r="A84" s="200" t="s">
        <v>2088</v>
      </c>
      <c r="B84" s="183" t="s">
        <v>2089</v>
      </c>
      <c r="C84" s="183" t="s">
        <v>412</v>
      </c>
      <c r="D84" s="6"/>
      <c r="E84" s="183" t="s">
        <v>1483</v>
      </c>
      <c r="F84" s="189" t="s">
        <v>1484</v>
      </c>
      <c r="H84" s="6" t="s">
        <v>380</v>
      </c>
      <c r="I84" s="6" t="s">
        <v>381</v>
      </c>
      <c r="J84" s="6" t="s">
        <v>382</v>
      </c>
      <c r="K84" s="6" t="s">
        <v>383</v>
      </c>
      <c r="L84" s="6" t="s">
        <v>384</v>
      </c>
      <c r="M84" s="6" t="s">
        <v>1821</v>
      </c>
      <c r="N84" s="123" t="s">
        <v>818</v>
      </c>
    </row>
    <row r="85" spans="1:14" ht="12" x14ac:dyDescent="0.3">
      <c r="A85" s="200" t="s">
        <v>2090</v>
      </c>
      <c r="B85" s="183" t="s">
        <v>2091</v>
      </c>
      <c r="C85" s="183" t="s">
        <v>412</v>
      </c>
      <c r="D85" s="6" t="s">
        <v>601</v>
      </c>
      <c r="E85" s="183" t="s">
        <v>1485</v>
      </c>
      <c r="F85" s="189" t="s">
        <v>1486</v>
      </c>
      <c r="H85" s="6" t="s">
        <v>803</v>
      </c>
      <c r="I85" s="6" t="s">
        <v>804</v>
      </c>
      <c r="J85" s="6" t="s">
        <v>805</v>
      </c>
      <c r="K85" s="6" t="s">
        <v>806</v>
      </c>
      <c r="L85" s="6" t="s">
        <v>807</v>
      </c>
      <c r="M85" s="6" t="s">
        <v>1821</v>
      </c>
      <c r="N85" s="123" t="s">
        <v>818</v>
      </c>
    </row>
    <row r="86" spans="1:14" ht="12" x14ac:dyDescent="0.3">
      <c r="A86" s="200" t="s">
        <v>218</v>
      </c>
      <c r="B86" s="183" t="s">
        <v>218</v>
      </c>
      <c r="C86" s="183" t="s">
        <v>412</v>
      </c>
      <c r="D86" s="6" t="s">
        <v>479</v>
      </c>
      <c r="E86" s="183" t="s">
        <v>218</v>
      </c>
      <c r="F86" s="189" t="s">
        <v>1478</v>
      </c>
      <c r="H86" s="183" t="s">
        <v>1832</v>
      </c>
      <c r="I86" s="183" t="s">
        <v>1833</v>
      </c>
      <c r="J86" s="183" t="s">
        <v>1834</v>
      </c>
      <c r="K86" s="183" t="s">
        <v>1835</v>
      </c>
      <c r="L86" s="183" t="s">
        <v>1836</v>
      </c>
      <c r="M86" s="186" t="s">
        <v>1821</v>
      </c>
      <c r="N86" s="187" t="s">
        <v>1837</v>
      </c>
    </row>
    <row r="87" spans="1:14" ht="12" x14ac:dyDescent="0.3">
      <c r="A87" s="200" t="s">
        <v>221</v>
      </c>
      <c r="B87" s="183" t="s">
        <v>222</v>
      </c>
      <c r="C87" s="183" t="s">
        <v>412</v>
      </c>
      <c r="D87" s="6"/>
      <c r="E87" s="183" t="s">
        <v>222</v>
      </c>
      <c r="F87" s="189" t="s">
        <v>1487</v>
      </c>
      <c r="H87" s="6" t="s">
        <v>672</v>
      </c>
      <c r="I87" s="6" t="s">
        <v>673</v>
      </c>
      <c r="J87" s="6" t="s">
        <v>674</v>
      </c>
      <c r="K87" s="6" t="s">
        <v>675</v>
      </c>
      <c r="L87" s="6" t="s">
        <v>676</v>
      </c>
      <c r="M87" s="6" t="s">
        <v>1838</v>
      </c>
      <c r="N87" s="6" t="s">
        <v>815</v>
      </c>
    </row>
    <row r="88" spans="1:14" ht="12" x14ac:dyDescent="0.3">
      <c r="A88" s="200" t="s">
        <v>233</v>
      </c>
      <c r="B88" s="183" t="s">
        <v>234</v>
      </c>
      <c r="C88" s="183" t="s">
        <v>412</v>
      </c>
      <c r="D88" s="6" t="s">
        <v>476</v>
      </c>
      <c r="E88" s="183" t="s">
        <v>234</v>
      </c>
      <c r="F88" s="189" t="s">
        <v>1489</v>
      </c>
      <c r="H88" s="6" t="s">
        <v>682</v>
      </c>
      <c r="I88" s="6" t="s">
        <v>683</v>
      </c>
      <c r="J88" s="6" t="s">
        <v>684</v>
      </c>
      <c r="K88" s="6" t="s">
        <v>685</v>
      </c>
      <c r="L88" s="6" t="s">
        <v>686</v>
      </c>
      <c r="M88" s="6" t="s">
        <v>1838</v>
      </c>
      <c r="N88" s="6" t="s">
        <v>815</v>
      </c>
    </row>
    <row r="89" spans="1:14" ht="12.5" thickBot="1" x14ac:dyDescent="0.35">
      <c r="A89" s="205" t="s">
        <v>2092</v>
      </c>
      <c r="B89" s="185" t="s">
        <v>2093</v>
      </c>
      <c r="C89" s="185" t="s">
        <v>412</v>
      </c>
      <c r="D89" s="204"/>
      <c r="E89" s="185" t="s">
        <v>2094</v>
      </c>
      <c r="F89" s="206" t="s">
        <v>1445</v>
      </c>
      <c r="H89" s="6" t="s">
        <v>819</v>
      </c>
      <c r="I89" s="6" t="s">
        <v>820</v>
      </c>
      <c r="J89" s="6" t="s">
        <v>821</v>
      </c>
      <c r="K89" s="6" t="s">
        <v>822</v>
      </c>
      <c r="L89" s="6" t="s">
        <v>823</v>
      </c>
      <c r="M89" s="6" t="s">
        <v>1838</v>
      </c>
      <c r="N89" s="6" t="s">
        <v>815</v>
      </c>
    </row>
    <row r="90" spans="1:14" ht="12" x14ac:dyDescent="0.3">
      <c r="A90" s="200" t="s">
        <v>431</v>
      </c>
      <c r="B90" s="183" t="s">
        <v>432</v>
      </c>
      <c r="C90" s="183" t="s">
        <v>419</v>
      </c>
      <c r="D90" s="6"/>
      <c r="E90" s="183" t="s">
        <v>432</v>
      </c>
      <c r="F90" s="189" t="s">
        <v>1490</v>
      </c>
      <c r="H90" s="6" t="s">
        <v>824</v>
      </c>
      <c r="I90" s="6" t="s">
        <v>825</v>
      </c>
      <c r="J90" s="6" t="s">
        <v>826</v>
      </c>
      <c r="K90" s="6" t="s">
        <v>827</v>
      </c>
      <c r="L90" s="6" t="s">
        <v>828</v>
      </c>
      <c r="M90" s="6" t="s">
        <v>1838</v>
      </c>
      <c r="N90" s="6" t="s">
        <v>815</v>
      </c>
    </row>
    <row r="91" spans="1:14" ht="12" x14ac:dyDescent="0.3">
      <c r="A91" s="200" t="s">
        <v>235</v>
      </c>
      <c r="B91" s="183" t="s">
        <v>236</v>
      </c>
      <c r="C91" s="183" t="s">
        <v>419</v>
      </c>
      <c r="D91" s="6"/>
      <c r="E91" s="183" t="s">
        <v>1491</v>
      </c>
      <c r="F91" s="189" t="s">
        <v>240</v>
      </c>
      <c r="H91" s="6" t="s">
        <v>829</v>
      </c>
      <c r="I91" s="6" t="s">
        <v>830</v>
      </c>
      <c r="J91" s="6" t="s">
        <v>831</v>
      </c>
      <c r="K91" s="6" t="s">
        <v>832</v>
      </c>
      <c r="L91" s="6" t="s">
        <v>833</v>
      </c>
      <c r="M91" s="6" t="s">
        <v>1838</v>
      </c>
      <c r="N91" s="6" t="s">
        <v>815</v>
      </c>
    </row>
    <row r="92" spans="1:14" ht="12" x14ac:dyDescent="0.3">
      <c r="A92" s="200" t="s">
        <v>237</v>
      </c>
      <c r="B92" s="183" t="s">
        <v>238</v>
      </c>
      <c r="C92" s="183" t="s">
        <v>419</v>
      </c>
      <c r="D92" s="6"/>
      <c r="E92" s="183" t="s">
        <v>238</v>
      </c>
      <c r="F92" s="189" t="s">
        <v>1493</v>
      </c>
      <c r="H92" s="6" t="s">
        <v>652</v>
      </c>
      <c r="I92" s="6" t="s">
        <v>834</v>
      </c>
      <c r="J92" s="6" t="s">
        <v>835</v>
      </c>
      <c r="K92" s="6" t="s">
        <v>836</v>
      </c>
      <c r="L92" s="6" t="s">
        <v>837</v>
      </c>
      <c r="M92" s="6" t="s">
        <v>1838</v>
      </c>
      <c r="N92" s="6" t="s">
        <v>815</v>
      </c>
    </row>
    <row r="93" spans="1:14" ht="12.5" thickBot="1" x14ac:dyDescent="0.35">
      <c r="A93" s="205" t="s">
        <v>424</v>
      </c>
      <c r="B93" s="185" t="s">
        <v>425</v>
      </c>
      <c r="C93" s="185" t="s">
        <v>419</v>
      </c>
      <c r="D93" s="207"/>
      <c r="E93" s="185" t="s">
        <v>425</v>
      </c>
      <c r="F93" s="206" t="s">
        <v>1494</v>
      </c>
      <c r="H93" s="6" t="s">
        <v>838</v>
      </c>
      <c r="I93" s="6" t="s">
        <v>839</v>
      </c>
      <c r="J93" s="6" t="s">
        <v>840</v>
      </c>
      <c r="K93" s="6" t="s">
        <v>841</v>
      </c>
      <c r="L93" s="6" t="s">
        <v>842</v>
      </c>
      <c r="M93" s="6" t="s">
        <v>1838</v>
      </c>
      <c r="N93" s="6" t="s">
        <v>815</v>
      </c>
    </row>
    <row r="94" spans="1:14" ht="12" x14ac:dyDescent="0.3">
      <c r="A94" s="200" t="s">
        <v>603</v>
      </c>
      <c r="B94" s="183" t="s">
        <v>604</v>
      </c>
      <c r="C94" s="183" t="s">
        <v>420</v>
      </c>
      <c r="D94" s="6"/>
      <c r="E94" s="183" t="s">
        <v>604</v>
      </c>
      <c r="F94" s="189" t="s">
        <v>1495</v>
      </c>
      <c r="H94" s="6" t="s">
        <v>843</v>
      </c>
      <c r="I94" s="6" t="s">
        <v>844</v>
      </c>
      <c r="J94" s="6" t="s">
        <v>845</v>
      </c>
      <c r="K94" s="6" t="s">
        <v>846</v>
      </c>
      <c r="L94" s="6" t="s">
        <v>847</v>
      </c>
      <c r="M94" s="6" t="s">
        <v>1838</v>
      </c>
      <c r="N94" s="6" t="s">
        <v>815</v>
      </c>
    </row>
    <row r="95" spans="1:14" ht="12" x14ac:dyDescent="0.3">
      <c r="A95" s="200" t="s">
        <v>413</v>
      </c>
      <c r="B95" s="183" t="s">
        <v>229</v>
      </c>
      <c r="C95" s="183" t="s">
        <v>420</v>
      </c>
      <c r="D95" s="6"/>
      <c r="E95" s="183" t="s">
        <v>229</v>
      </c>
      <c r="F95" s="189" t="s">
        <v>1496</v>
      </c>
      <c r="H95" s="6" t="s">
        <v>848</v>
      </c>
      <c r="I95" s="6" t="s">
        <v>849</v>
      </c>
      <c r="J95" s="6" t="s">
        <v>850</v>
      </c>
      <c r="K95" s="6" t="s">
        <v>851</v>
      </c>
      <c r="L95" s="6" t="s">
        <v>852</v>
      </c>
      <c r="M95" s="6" t="s">
        <v>1838</v>
      </c>
      <c r="N95" s="6" t="s">
        <v>815</v>
      </c>
    </row>
    <row r="96" spans="1:14" ht="12" x14ac:dyDescent="0.3">
      <c r="A96" s="200" t="s">
        <v>248</v>
      </c>
      <c r="B96" s="183" t="s">
        <v>249</v>
      </c>
      <c r="C96" s="183" t="s">
        <v>420</v>
      </c>
      <c r="D96" s="6"/>
      <c r="E96" s="183" t="s">
        <v>249</v>
      </c>
      <c r="F96" s="189" t="s">
        <v>1497</v>
      </c>
      <c r="H96" s="6" t="s">
        <v>853</v>
      </c>
      <c r="I96" s="6" t="s">
        <v>854</v>
      </c>
      <c r="J96" s="6" t="s">
        <v>855</v>
      </c>
      <c r="K96" s="6" t="s">
        <v>856</v>
      </c>
      <c r="L96" s="6" t="s">
        <v>857</v>
      </c>
      <c r="M96" s="6" t="s">
        <v>1838</v>
      </c>
      <c r="N96" s="6" t="s">
        <v>815</v>
      </c>
    </row>
    <row r="97" spans="1:14" ht="12" x14ac:dyDescent="0.3">
      <c r="A97" s="200" t="s">
        <v>250</v>
      </c>
      <c r="B97" s="183" t="s">
        <v>251</v>
      </c>
      <c r="C97" s="183" t="s">
        <v>420</v>
      </c>
      <c r="D97" s="6"/>
      <c r="E97" s="183" t="s">
        <v>251</v>
      </c>
      <c r="F97" s="189" t="s">
        <v>1498</v>
      </c>
      <c r="H97" s="6" t="s">
        <v>858</v>
      </c>
      <c r="I97" s="6" t="s">
        <v>859</v>
      </c>
      <c r="J97" s="6" t="s">
        <v>860</v>
      </c>
      <c r="K97" s="6" t="s">
        <v>861</v>
      </c>
      <c r="L97" s="6" t="s">
        <v>862</v>
      </c>
      <c r="M97" s="6" t="s">
        <v>1838</v>
      </c>
      <c r="N97" s="6" t="s">
        <v>815</v>
      </c>
    </row>
    <row r="98" spans="1:14" ht="12" x14ac:dyDescent="0.3">
      <c r="A98" s="200" t="s">
        <v>391</v>
      </c>
      <c r="B98" s="183" t="s">
        <v>255</v>
      </c>
      <c r="C98" s="183" t="s">
        <v>420</v>
      </c>
      <c r="D98" s="6"/>
      <c r="E98" s="183" t="s">
        <v>255</v>
      </c>
      <c r="F98" s="189" t="s">
        <v>1499</v>
      </c>
      <c r="H98" s="6" t="s">
        <v>863</v>
      </c>
      <c r="I98" s="6" t="s">
        <v>864</v>
      </c>
      <c r="J98" s="6" t="s">
        <v>865</v>
      </c>
      <c r="K98" s="6" t="s">
        <v>866</v>
      </c>
      <c r="L98" s="6" t="s">
        <v>867</v>
      </c>
      <c r="M98" s="6" t="s">
        <v>1838</v>
      </c>
      <c r="N98" s="6" t="s">
        <v>815</v>
      </c>
    </row>
    <row r="99" spans="1:14" ht="12" x14ac:dyDescent="0.3">
      <c r="A99" s="200" t="s">
        <v>605</v>
      </c>
      <c r="B99" s="183" t="s">
        <v>606</v>
      </c>
      <c r="C99" s="183" t="s">
        <v>420</v>
      </c>
      <c r="D99" s="6"/>
      <c r="E99" s="183" t="s">
        <v>606</v>
      </c>
      <c r="F99" s="189" t="s">
        <v>1500</v>
      </c>
      <c r="H99" s="6" t="s">
        <v>868</v>
      </c>
      <c r="I99" s="6" t="s">
        <v>869</v>
      </c>
      <c r="J99" s="6" t="s">
        <v>870</v>
      </c>
      <c r="K99" s="6" t="s">
        <v>871</v>
      </c>
      <c r="L99" s="6" t="s">
        <v>872</v>
      </c>
      <c r="M99" s="6" t="s">
        <v>1838</v>
      </c>
      <c r="N99" s="6" t="s">
        <v>815</v>
      </c>
    </row>
    <row r="100" spans="1:14" ht="12" x14ac:dyDescent="0.3">
      <c r="A100" s="200" t="s">
        <v>414</v>
      </c>
      <c r="B100" s="183" t="s">
        <v>415</v>
      </c>
      <c r="C100" s="183" t="s">
        <v>420</v>
      </c>
      <c r="D100" s="6"/>
      <c r="E100" s="183" t="s">
        <v>415</v>
      </c>
      <c r="F100" s="189" t="s">
        <v>1501</v>
      </c>
      <c r="H100" s="6" t="s">
        <v>873</v>
      </c>
      <c r="I100" s="6" t="s">
        <v>874</v>
      </c>
      <c r="J100" s="6" t="s">
        <v>875</v>
      </c>
      <c r="K100" s="6" t="s">
        <v>876</v>
      </c>
      <c r="L100" s="6" t="s">
        <v>875</v>
      </c>
      <c r="M100" s="6" t="s">
        <v>1838</v>
      </c>
      <c r="N100" s="6" t="s">
        <v>815</v>
      </c>
    </row>
    <row r="101" spans="1:14" ht="12" x14ac:dyDescent="0.3">
      <c r="A101" s="200" t="s">
        <v>256</v>
      </c>
      <c r="B101" s="183" t="s">
        <v>230</v>
      </c>
      <c r="C101" s="183" t="s">
        <v>420</v>
      </c>
      <c r="D101" s="6"/>
      <c r="E101" s="183" t="s">
        <v>230</v>
      </c>
      <c r="F101" s="189" t="s">
        <v>1502</v>
      </c>
      <c r="H101" s="6" t="s">
        <v>877</v>
      </c>
      <c r="I101" s="6" t="s">
        <v>878</v>
      </c>
      <c r="J101" s="6" t="s">
        <v>879</v>
      </c>
      <c r="K101" s="6" t="s">
        <v>880</v>
      </c>
      <c r="L101" s="6" t="s">
        <v>881</v>
      </c>
      <c r="M101" s="6" t="s">
        <v>1838</v>
      </c>
      <c r="N101" s="6" t="s">
        <v>815</v>
      </c>
    </row>
    <row r="102" spans="1:14" ht="12" x14ac:dyDescent="0.3">
      <c r="A102" s="200" t="s">
        <v>258</v>
      </c>
      <c r="B102" s="183" t="s">
        <v>259</v>
      </c>
      <c r="C102" s="183" t="s">
        <v>420</v>
      </c>
      <c r="D102" s="6"/>
      <c r="E102" s="183" t="s">
        <v>259</v>
      </c>
      <c r="F102" s="189" t="s">
        <v>1503</v>
      </c>
      <c r="H102" s="6" t="s">
        <v>882</v>
      </c>
      <c r="I102" s="6" t="s">
        <v>883</v>
      </c>
      <c r="J102" s="6" t="s">
        <v>884</v>
      </c>
      <c r="K102" s="6" t="s">
        <v>885</v>
      </c>
      <c r="L102" s="6" t="s">
        <v>886</v>
      </c>
      <c r="M102" s="6" t="s">
        <v>1838</v>
      </c>
      <c r="N102" s="6" t="s">
        <v>815</v>
      </c>
    </row>
    <row r="103" spans="1:14" ht="12" x14ac:dyDescent="0.3">
      <c r="A103" s="200" t="s">
        <v>1964</v>
      </c>
      <c r="B103" s="183" t="s">
        <v>1965</v>
      </c>
      <c r="C103" s="183" t="s">
        <v>420</v>
      </c>
      <c r="D103" s="184"/>
      <c r="E103" s="183" t="s">
        <v>1965</v>
      </c>
      <c r="F103" s="189" t="s">
        <v>1966</v>
      </c>
      <c r="H103" s="6" t="s">
        <v>887</v>
      </c>
      <c r="I103" s="6" t="s">
        <v>888</v>
      </c>
      <c r="J103" s="6" t="s">
        <v>889</v>
      </c>
      <c r="K103" s="6" t="s">
        <v>890</v>
      </c>
      <c r="L103" s="6" t="s">
        <v>891</v>
      </c>
      <c r="M103" s="6" t="s">
        <v>1838</v>
      </c>
      <c r="N103" s="6" t="s">
        <v>815</v>
      </c>
    </row>
    <row r="104" spans="1:14" ht="12" x14ac:dyDescent="0.3">
      <c r="A104" s="200" t="s">
        <v>607</v>
      </c>
      <c r="B104" s="183" t="s">
        <v>608</v>
      </c>
      <c r="C104" s="183" t="s">
        <v>420</v>
      </c>
      <c r="D104" s="6"/>
      <c r="E104" s="183" t="s">
        <v>608</v>
      </c>
      <c r="F104" s="189" t="s">
        <v>1504</v>
      </c>
      <c r="H104" s="6" t="s">
        <v>892</v>
      </c>
      <c r="I104" s="6" t="s">
        <v>893</v>
      </c>
      <c r="J104" s="6" t="s">
        <v>894</v>
      </c>
      <c r="K104" s="6" t="s">
        <v>895</v>
      </c>
      <c r="L104" s="6" t="s">
        <v>896</v>
      </c>
      <c r="M104" s="6" t="s">
        <v>1838</v>
      </c>
      <c r="N104" s="6" t="s">
        <v>815</v>
      </c>
    </row>
    <row r="105" spans="1:14" ht="12" x14ac:dyDescent="0.3">
      <c r="A105" s="200" t="s">
        <v>1745</v>
      </c>
      <c r="B105" s="183" t="s">
        <v>1746</v>
      </c>
      <c r="C105" s="183" t="s">
        <v>420</v>
      </c>
      <c r="D105" s="184"/>
      <c r="E105" s="183" t="s">
        <v>1746</v>
      </c>
      <c r="F105" s="189" t="s">
        <v>1747</v>
      </c>
      <c r="H105" s="6" t="s">
        <v>897</v>
      </c>
      <c r="I105" s="6" t="s">
        <v>898</v>
      </c>
      <c r="J105" s="6" t="s">
        <v>899</v>
      </c>
      <c r="K105" s="6" t="s">
        <v>900</v>
      </c>
      <c r="L105" s="6" t="s">
        <v>901</v>
      </c>
      <c r="M105" s="6" t="s">
        <v>1838</v>
      </c>
      <c r="N105" s="6" t="s">
        <v>815</v>
      </c>
    </row>
    <row r="106" spans="1:14" ht="12" x14ac:dyDescent="0.3">
      <c r="A106" s="200" t="s">
        <v>260</v>
      </c>
      <c r="B106" s="183" t="s">
        <v>261</v>
      </c>
      <c r="C106" s="183" t="s">
        <v>420</v>
      </c>
      <c r="D106" s="6"/>
      <c r="E106" s="183" t="s">
        <v>261</v>
      </c>
      <c r="F106" s="189" t="s">
        <v>1505</v>
      </c>
      <c r="H106" s="6" t="s">
        <v>902</v>
      </c>
      <c r="I106" s="6" t="s">
        <v>903</v>
      </c>
      <c r="J106" s="6" t="s">
        <v>904</v>
      </c>
      <c r="K106" s="6" t="s">
        <v>905</v>
      </c>
      <c r="L106" s="6" t="s">
        <v>906</v>
      </c>
      <c r="M106" s="6" t="s">
        <v>1838</v>
      </c>
      <c r="N106" s="6" t="s">
        <v>815</v>
      </c>
    </row>
    <row r="107" spans="1:14" ht="12" x14ac:dyDescent="0.3">
      <c r="A107" s="200" t="s">
        <v>262</v>
      </c>
      <c r="B107" s="183" t="s">
        <v>263</v>
      </c>
      <c r="C107" s="183" t="s">
        <v>420</v>
      </c>
      <c r="D107" s="6"/>
      <c r="E107" s="183" t="s">
        <v>263</v>
      </c>
      <c r="F107" s="189" t="s">
        <v>1506</v>
      </c>
      <c r="H107" s="6" t="s">
        <v>907</v>
      </c>
      <c r="I107" s="6" t="s">
        <v>908</v>
      </c>
      <c r="J107" s="6" t="s">
        <v>909</v>
      </c>
      <c r="K107" s="6" t="s">
        <v>910</v>
      </c>
      <c r="L107" s="6" t="s">
        <v>911</v>
      </c>
      <c r="M107" s="6" t="s">
        <v>1838</v>
      </c>
      <c r="N107" s="6" t="s">
        <v>815</v>
      </c>
    </row>
    <row r="108" spans="1:14" ht="12" x14ac:dyDescent="0.3">
      <c r="A108" s="200" t="s">
        <v>268</v>
      </c>
      <c r="B108" s="183" t="s">
        <v>269</v>
      </c>
      <c r="C108" s="183" t="s">
        <v>420</v>
      </c>
      <c r="D108" s="6"/>
      <c r="E108" s="183" t="s">
        <v>269</v>
      </c>
      <c r="F108" s="189" t="s">
        <v>1507</v>
      </c>
      <c r="H108" s="6" t="s">
        <v>912</v>
      </c>
      <c r="I108" s="6" t="s">
        <v>913</v>
      </c>
      <c r="J108" s="6" t="s">
        <v>914</v>
      </c>
      <c r="K108" s="6" t="s">
        <v>915</v>
      </c>
      <c r="L108" s="6" t="s">
        <v>913</v>
      </c>
      <c r="M108" s="6" t="s">
        <v>1838</v>
      </c>
      <c r="N108" s="6" t="s">
        <v>815</v>
      </c>
    </row>
    <row r="109" spans="1:14" ht="12" x14ac:dyDescent="0.3">
      <c r="A109" s="200" t="s">
        <v>393</v>
      </c>
      <c r="B109" s="183" t="s">
        <v>394</v>
      </c>
      <c r="C109" s="183" t="s">
        <v>420</v>
      </c>
      <c r="D109" s="6"/>
      <c r="E109" s="183" t="s">
        <v>394</v>
      </c>
      <c r="F109" s="189" t="s">
        <v>1508</v>
      </c>
      <c r="H109" s="6" t="s">
        <v>916</v>
      </c>
      <c r="I109" s="6" t="s">
        <v>917</v>
      </c>
      <c r="J109" s="6" t="s">
        <v>918</v>
      </c>
      <c r="K109" s="6" t="s">
        <v>919</v>
      </c>
      <c r="L109" s="6" t="s">
        <v>920</v>
      </c>
      <c r="M109" s="6" t="s">
        <v>1838</v>
      </c>
      <c r="N109" s="6" t="s">
        <v>815</v>
      </c>
    </row>
    <row r="110" spans="1:14" ht="12" x14ac:dyDescent="0.3">
      <c r="A110" s="200" t="s">
        <v>270</v>
      </c>
      <c r="B110" s="183" t="s">
        <v>271</v>
      </c>
      <c r="C110" s="183" t="s">
        <v>419</v>
      </c>
      <c r="D110" s="6"/>
      <c r="E110" s="183" t="s">
        <v>271</v>
      </c>
      <c r="F110" s="189" t="s">
        <v>1509</v>
      </c>
      <c r="H110" s="6" t="s">
        <v>921</v>
      </c>
      <c r="I110" s="6" t="s">
        <v>922</v>
      </c>
      <c r="J110" s="6" t="s">
        <v>923</v>
      </c>
      <c r="K110" s="6" t="s">
        <v>924</v>
      </c>
      <c r="L110" s="6" t="s">
        <v>925</v>
      </c>
      <c r="M110" s="6" t="s">
        <v>1838</v>
      </c>
      <c r="N110" s="6" t="s">
        <v>815</v>
      </c>
    </row>
    <row r="111" spans="1:14" ht="12" x14ac:dyDescent="0.3">
      <c r="A111" s="200" t="s">
        <v>272</v>
      </c>
      <c r="B111" s="183" t="s">
        <v>273</v>
      </c>
      <c r="C111" s="183" t="s">
        <v>420</v>
      </c>
      <c r="D111" s="6"/>
      <c r="E111" s="183" t="s">
        <v>273</v>
      </c>
      <c r="F111" s="189" t="s">
        <v>1510</v>
      </c>
      <c r="H111" s="6" t="s">
        <v>926</v>
      </c>
      <c r="I111" s="6" t="s">
        <v>927</v>
      </c>
      <c r="J111" s="6" t="s">
        <v>928</v>
      </c>
      <c r="K111" s="6" t="s">
        <v>929</v>
      </c>
      <c r="L111" s="6" t="s">
        <v>930</v>
      </c>
      <c r="M111" s="6" t="s">
        <v>1838</v>
      </c>
      <c r="N111" s="6" t="s">
        <v>815</v>
      </c>
    </row>
    <row r="112" spans="1:14" ht="12" x14ac:dyDescent="0.3">
      <c r="A112" s="200" t="s">
        <v>609</v>
      </c>
      <c r="B112" s="183" t="s">
        <v>610</v>
      </c>
      <c r="C112" s="183" t="s">
        <v>420</v>
      </c>
      <c r="D112" s="6"/>
      <c r="E112" s="183" t="s">
        <v>610</v>
      </c>
      <c r="F112" s="189" t="s">
        <v>1511</v>
      </c>
      <c r="H112" s="6" t="s">
        <v>931</v>
      </c>
      <c r="I112" s="6" t="s">
        <v>932</v>
      </c>
      <c r="J112" s="6" t="s">
        <v>933</v>
      </c>
      <c r="K112" s="6" t="s">
        <v>934</v>
      </c>
      <c r="L112" s="6" t="s">
        <v>934</v>
      </c>
      <c r="M112" s="6" t="s">
        <v>1838</v>
      </c>
      <c r="N112" s="6" t="s">
        <v>815</v>
      </c>
    </row>
    <row r="113" spans="1:14" ht="12" x14ac:dyDescent="0.3">
      <c r="A113" s="200" t="s">
        <v>276</v>
      </c>
      <c r="B113" s="183" t="s">
        <v>277</v>
      </c>
      <c r="C113" s="183" t="s">
        <v>420</v>
      </c>
      <c r="D113" s="6"/>
      <c r="E113" s="183" t="s">
        <v>277</v>
      </c>
      <c r="F113" s="189" t="s">
        <v>1512</v>
      </c>
      <c r="H113" s="6" t="s">
        <v>935</v>
      </c>
      <c r="I113" s="6" t="s">
        <v>936</v>
      </c>
      <c r="J113" s="6" t="s">
        <v>937</v>
      </c>
      <c r="K113" s="6" t="s">
        <v>938</v>
      </c>
      <c r="L113" s="6" t="s">
        <v>939</v>
      </c>
      <c r="M113" s="6" t="s">
        <v>1838</v>
      </c>
      <c r="N113" s="6" t="s">
        <v>815</v>
      </c>
    </row>
    <row r="114" spans="1:14" ht="12" x14ac:dyDescent="0.3">
      <c r="A114" s="200" t="s">
        <v>1815</v>
      </c>
      <c r="B114" s="183" t="s">
        <v>1816</v>
      </c>
      <c r="C114" s="183" t="s">
        <v>420</v>
      </c>
      <c r="D114" s="6"/>
      <c r="E114" s="183" t="s">
        <v>1816</v>
      </c>
      <c r="F114" s="189" t="s">
        <v>1817</v>
      </c>
      <c r="H114" s="6" t="s">
        <v>940</v>
      </c>
      <c r="I114" s="6" t="s">
        <v>941</v>
      </c>
      <c r="J114" s="6" t="s">
        <v>942</v>
      </c>
      <c r="K114" s="6" t="s">
        <v>941</v>
      </c>
      <c r="L114" s="6" t="s">
        <v>941</v>
      </c>
      <c r="M114" s="6" t="s">
        <v>1838</v>
      </c>
      <c r="N114" s="6" t="s">
        <v>815</v>
      </c>
    </row>
    <row r="115" spans="1:14" ht="12" x14ac:dyDescent="0.3">
      <c r="A115" s="200" t="s">
        <v>278</v>
      </c>
      <c r="B115" s="183" t="s">
        <v>279</v>
      </c>
      <c r="C115" s="183" t="s">
        <v>420</v>
      </c>
      <c r="D115" s="6"/>
      <c r="E115" s="183" t="s">
        <v>279</v>
      </c>
      <c r="F115" s="189" t="s">
        <v>1513</v>
      </c>
      <c r="H115" s="6" t="s">
        <v>943</v>
      </c>
      <c r="I115" s="6" t="s">
        <v>944</v>
      </c>
      <c r="J115" s="6" t="s">
        <v>945</v>
      </c>
      <c r="K115" s="6"/>
      <c r="L115" s="6"/>
      <c r="M115" s="6" t="s">
        <v>1838</v>
      </c>
      <c r="N115" s="6" t="s">
        <v>815</v>
      </c>
    </row>
    <row r="116" spans="1:14" ht="12" x14ac:dyDescent="0.3">
      <c r="A116" s="200" t="s">
        <v>280</v>
      </c>
      <c r="B116" s="183" t="s">
        <v>281</v>
      </c>
      <c r="C116" s="183" t="s">
        <v>420</v>
      </c>
      <c r="D116" s="6"/>
      <c r="E116" s="183" t="s">
        <v>281</v>
      </c>
      <c r="F116" s="189" t="s">
        <v>1514</v>
      </c>
      <c r="H116" s="6" t="s">
        <v>946</v>
      </c>
      <c r="I116" s="6" t="s">
        <v>947</v>
      </c>
      <c r="J116" s="6" t="s">
        <v>948</v>
      </c>
      <c r="K116" s="6" t="s">
        <v>949</v>
      </c>
      <c r="L116" s="6" t="s">
        <v>950</v>
      </c>
      <c r="M116" s="6" t="s">
        <v>1838</v>
      </c>
      <c r="N116" s="6" t="s">
        <v>815</v>
      </c>
    </row>
    <row r="117" spans="1:14" ht="12" x14ac:dyDescent="0.3">
      <c r="A117" s="200" t="s">
        <v>416</v>
      </c>
      <c r="B117" s="183" t="s">
        <v>417</v>
      </c>
      <c r="C117" s="183" t="s">
        <v>420</v>
      </c>
      <c r="D117" s="6"/>
      <c r="E117" s="183" t="s">
        <v>417</v>
      </c>
      <c r="F117" s="189" t="s">
        <v>1515</v>
      </c>
      <c r="H117" s="6" t="s">
        <v>951</v>
      </c>
      <c r="I117" s="6" t="s">
        <v>952</v>
      </c>
      <c r="J117" s="6" t="s">
        <v>953</v>
      </c>
      <c r="K117" s="6"/>
      <c r="L117" s="6" t="s">
        <v>954</v>
      </c>
      <c r="M117" s="6" t="s">
        <v>1838</v>
      </c>
      <c r="N117" s="6" t="s">
        <v>815</v>
      </c>
    </row>
    <row r="118" spans="1:14" ht="12" x14ac:dyDescent="0.3">
      <c r="A118" s="200" t="s">
        <v>418</v>
      </c>
      <c r="B118" s="183" t="s">
        <v>223</v>
      </c>
      <c r="C118" s="183" t="s">
        <v>420</v>
      </c>
      <c r="D118" s="6"/>
      <c r="E118" s="183" t="s">
        <v>223</v>
      </c>
      <c r="F118" s="189" t="s">
        <v>1516</v>
      </c>
      <c r="H118" s="6" t="s">
        <v>955</v>
      </c>
      <c r="I118" s="6" t="s">
        <v>956</v>
      </c>
      <c r="J118" s="6" t="s">
        <v>957</v>
      </c>
      <c r="K118" s="6" t="s">
        <v>958</v>
      </c>
      <c r="L118" s="6" t="s">
        <v>959</v>
      </c>
      <c r="M118" s="6" t="s">
        <v>1838</v>
      </c>
      <c r="N118" s="6" t="s">
        <v>815</v>
      </c>
    </row>
    <row r="119" spans="1:14" ht="12" x14ac:dyDescent="0.3">
      <c r="A119" s="200" t="s">
        <v>284</v>
      </c>
      <c r="B119" s="183" t="s">
        <v>285</v>
      </c>
      <c r="C119" s="183" t="s">
        <v>420</v>
      </c>
      <c r="D119" s="6"/>
      <c r="E119" s="183" t="s">
        <v>285</v>
      </c>
      <c r="F119" s="189" t="s">
        <v>1517</v>
      </c>
      <c r="H119" s="6" t="s">
        <v>960</v>
      </c>
      <c r="I119" s="6" t="s">
        <v>961</v>
      </c>
      <c r="J119" s="6" t="s">
        <v>962</v>
      </c>
      <c r="K119" s="6" t="s">
        <v>963</v>
      </c>
      <c r="L119" s="6" t="s">
        <v>964</v>
      </c>
      <c r="M119" s="6" t="s">
        <v>1838</v>
      </c>
      <c r="N119" s="6" t="s">
        <v>815</v>
      </c>
    </row>
    <row r="120" spans="1:14" ht="12" x14ac:dyDescent="0.3">
      <c r="A120" s="200" t="s">
        <v>611</v>
      </c>
      <c r="B120" s="183" t="s">
        <v>612</v>
      </c>
      <c r="C120" s="183" t="s">
        <v>420</v>
      </c>
      <c r="D120" s="6"/>
      <c r="E120" s="183" t="s">
        <v>612</v>
      </c>
      <c r="F120" s="189" t="s">
        <v>1518</v>
      </c>
      <c r="H120" s="6" t="s">
        <v>965</v>
      </c>
      <c r="I120" s="6" t="s">
        <v>966</v>
      </c>
      <c r="J120" s="6" t="s">
        <v>967</v>
      </c>
      <c r="K120" s="6" t="s">
        <v>968</v>
      </c>
      <c r="L120" s="6" t="s">
        <v>969</v>
      </c>
      <c r="M120" s="6" t="s">
        <v>1838</v>
      </c>
      <c r="N120" s="6" t="s">
        <v>815</v>
      </c>
    </row>
    <row r="121" spans="1:14" ht="12" x14ac:dyDescent="0.3">
      <c r="A121" s="200" t="s">
        <v>290</v>
      </c>
      <c r="B121" s="183" t="s">
        <v>291</v>
      </c>
      <c r="C121" s="183" t="s">
        <v>420</v>
      </c>
      <c r="D121" s="6"/>
      <c r="E121" s="183" t="s">
        <v>291</v>
      </c>
      <c r="F121" s="189" t="s">
        <v>1520</v>
      </c>
      <c r="H121" s="6" t="s">
        <v>970</v>
      </c>
      <c r="I121" s="6" t="s">
        <v>971</v>
      </c>
      <c r="J121" s="6" t="s">
        <v>972</v>
      </c>
      <c r="K121" s="6" t="s">
        <v>973</v>
      </c>
      <c r="L121" s="6" t="s">
        <v>974</v>
      </c>
      <c r="M121" s="6" t="s">
        <v>1838</v>
      </c>
      <c r="N121" s="123" t="s">
        <v>818</v>
      </c>
    </row>
    <row r="122" spans="1:14" ht="12" x14ac:dyDescent="0.3">
      <c r="A122" s="200" t="s">
        <v>2095</v>
      </c>
      <c r="B122" s="183" t="s">
        <v>2096</v>
      </c>
      <c r="C122" s="183" t="s">
        <v>420</v>
      </c>
      <c r="D122" s="184"/>
      <c r="E122" s="183" t="s">
        <v>2096</v>
      </c>
      <c r="F122" s="189" t="s">
        <v>2097</v>
      </c>
      <c r="H122" s="6" t="s">
        <v>975</v>
      </c>
      <c r="I122" s="6" t="s">
        <v>976</v>
      </c>
      <c r="J122" s="6" t="s">
        <v>977</v>
      </c>
      <c r="K122" s="6" t="s">
        <v>978</v>
      </c>
      <c r="L122" s="6" t="s">
        <v>979</v>
      </c>
      <c r="M122" s="6" t="s">
        <v>1838</v>
      </c>
      <c r="N122" s="123" t="s">
        <v>818</v>
      </c>
    </row>
    <row r="123" spans="1:14" ht="12" x14ac:dyDescent="0.3">
      <c r="A123" s="200" t="s">
        <v>613</v>
      </c>
      <c r="B123" s="183" t="s">
        <v>614</v>
      </c>
      <c r="C123" s="183" t="s">
        <v>420</v>
      </c>
      <c r="D123" s="6"/>
      <c r="E123" s="183" t="s">
        <v>614</v>
      </c>
      <c r="F123" s="189" t="s">
        <v>1522</v>
      </c>
      <c r="H123" s="6" t="s">
        <v>980</v>
      </c>
      <c r="I123" s="6" t="s">
        <v>981</v>
      </c>
      <c r="J123" s="6" t="s">
        <v>982</v>
      </c>
      <c r="K123" s="6" t="s">
        <v>983</v>
      </c>
      <c r="L123" s="6" t="s">
        <v>984</v>
      </c>
      <c r="M123" s="122" t="s">
        <v>1838</v>
      </c>
      <c r="N123" s="124" t="s">
        <v>818</v>
      </c>
    </row>
    <row r="124" spans="1:14" ht="12" x14ac:dyDescent="0.3">
      <c r="A124" s="200" t="s">
        <v>615</v>
      </c>
      <c r="B124" s="183" t="s">
        <v>616</v>
      </c>
      <c r="C124" s="183" t="s">
        <v>420</v>
      </c>
      <c r="D124" s="6"/>
      <c r="E124" s="183" t="s">
        <v>616</v>
      </c>
      <c r="F124" s="189" t="s">
        <v>1523</v>
      </c>
      <c r="H124" s="6" t="s">
        <v>1353</v>
      </c>
      <c r="I124" s="6" t="s">
        <v>1354</v>
      </c>
      <c r="J124" s="6" t="s">
        <v>1355</v>
      </c>
      <c r="K124" s="6" t="s">
        <v>1356</v>
      </c>
      <c r="L124" s="6" t="s">
        <v>1357</v>
      </c>
      <c r="M124" s="6" t="s">
        <v>1839</v>
      </c>
      <c r="N124" s="6" t="s">
        <v>815</v>
      </c>
    </row>
    <row r="125" spans="1:14" ht="12" x14ac:dyDescent="0.3">
      <c r="A125" s="200" t="s">
        <v>398</v>
      </c>
      <c r="B125" s="183" t="s">
        <v>399</v>
      </c>
      <c r="C125" s="183" t="s">
        <v>420</v>
      </c>
      <c r="D125" s="6"/>
      <c r="E125" s="183" t="s">
        <v>399</v>
      </c>
      <c r="F125" s="189" t="s">
        <v>1524</v>
      </c>
      <c r="H125" s="6" t="s">
        <v>1358</v>
      </c>
      <c r="I125" s="6" t="s">
        <v>1359</v>
      </c>
      <c r="J125" s="6" t="s">
        <v>1360</v>
      </c>
      <c r="K125" s="6" t="s">
        <v>1361</v>
      </c>
      <c r="L125" s="6" t="s">
        <v>1362</v>
      </c>
      <c r="M125" s="6" t="s">
        <v>1839</v>
      </c>
      <c r="N125" s="6" t="s">
        <v>815</v>
      </c>
    </row>
    <row r="126" spans="1:14" ht="12" x14ac:dyDescent="0.3">
      <c r="A126" s="200" t="s">
        <v>617</v>
      </c>
      <c r="B126" s="183" t="s">
        <v>618</v>
      </c>
      <c r="C126" s="183" t="s">
        <v>420</v>
      </c>
      <c r="D126" s="6"/>
      <c r="E126" s="183" t="s">
        <v>618</v>
      </c>
      <c r="F126" s="189" t="s">
        <v>1525</v>
      </c>
      <c r="H126" s="6" t="s">
        <v>1363</v>
      </c>
      <c r="I126" s="6" t="s">
        <v>1364</v>
      </c>
      <c r="J126" s="6" t="s">
        <v>1365</v>
      </c>
      <c r="K126" s="6" t="s">
        <v>1366</v>
      </c>
      <c r="L126" s="6" t="s">
        <v>1367</v>
      </c>
      <c r="M126" s="6" t="s">
        <v>1839</v>
      </c>
      <c r="N126" s="6" t="s">
        <v>815</v>
      </c>
    </row>
    <row r="127" spans="1:14" ht="12" x14ac:dyDescent="0.3">
      <c r="A127" s="200" t="s">
        <v>481</v>
      </c>
      <c r="B127" s="183" t="s">
        <v>400</v>
      </c>
      <c r="C127" s="183" t="s">
        <v>420</v>
      </c>
      <c r="D127" s="6"/>
      <c r="E127" s="183" t="s">
        <v>400</v>
      </c>
      <c r="F127" s="189" t="s">
        <v>1526</v>
      </c>
      <c r="H127" s="6" t="s">
        <v>1368</v>
      </c>
      <c r="I127" s="6" t="s">
        <v>1369</v>
      </c>
      <c r="J127" s="6" t="s">
        <v>1370</v>
      </c>
      <c r="K127" s="6" t="s">
        <v>1371</v>
      </c>
      <c r="L127" s="6" t="s">
        <v>1372</v>
      </c>
      <c r="M127" s="6" t="s">
        <v>1839</v>
      </c>
      <c r="N127" s="6" t="s">
        <v>815</v>
      </c>
    </row>
    <row r="128" spans="1:14" ht="12" x14ac:dyDescent="0.3">
      <c r="A128" s="200" t="s">
        <v>1967</v>
      </c>
      <c r="B128" s="183" t="s">
        <v>1968</v>
      </c>
      <c r="C128" s="183" t="s">
        <v>420</v>
      </c>
      <c r="D128" s="184"/>
      <c r="E128" s="183" t="s">
        <v>1968</v>
      </c>
      <c r="F128" s="189" t="s">
        <v>1969</v>
      </c>
      <c r="H128" s="6" t="s">
        <v>1373</v>
      </c>
      <c r="I128" s="6" t="s">
        <v>1374</v>
      </c>
      <c r="J128" s="6" t="s">
        <v>1375</v>
      </c>
      <c r="K128" s="6" t="s">
        <v>1376</v>
      </c>
      <c r="L128" s="6" t="s">
        <v>1377</v>
      </c>
      <c r="M128" s="6" t="s">
        <v>1839</v>
      </c>
      <c r="N128" s="6" t="s">
        <v>815</v>
      </c>
    </row>
    <row r="129" spans="1:14" ht="12" x14ac:dyDescent="0.3">
      <c r="A129" s="200" t="s">
        <v>301</v>
      </c>
      <c r="B129" s="183" t="s">
        <v>302</v>
      </c>
      <c r="C129" s="183" t="s">
        <v>420</v>
      </c>
      <c r="D129" s="6"/>
      <c r="E129" s="183" t="s">
        <v>302</v>
      </c>
      <c r="F129" s="189" t="s">
        <v>1527</v>
      </c>
      <c r="H129" s="6" t="s">
        <v>1378</v>
      </c>
      <c r="I129" s="6" t="s">
        <v>1379</v>
      </c>
      <c r="J129" s="6" t="s">
        <v>1380</v>
      </c>
      <c r="K129" s="6" t="s">
        <v>1381</v>
      </c>
      <c r="L129" s="6" t="s">
        <v>1382</v>
      </c>
      <c r="M129" s="6" t="s">
        <v>1839</v>
      </c>
      <c r="N129" s="6" t="s">
        <v>815</v>
      </c>
    </row>
    <row r="130" spans="1:14" ht="12" x14ac:dyDescent="0.3">
      <c r="A130" s="200" t="s">
        <v>308</v>
      </c>
      <c r="B130" s="183" t="s">
        <v>309</v>
      </c>
      <c r="C130" s="183" t="s">
        <v>420</v>
      </c>
      <c r="D130" s="6"/>
      <c r="E130" s="183" t="s">
        <v>309</v>
      </c>
      <c r="F130" s="189" t="s">
        <v>1528</v>
      </c>
      <c r="H130" s="6" t="s">
        <v>1383</v>
      </c>
      <c r="I130" s="6" t="s">
        <v>1384</v>
      </c>
      <c r="J130" s="6" t="s">
        <v>1385</v>
      </c>
      <c r="K130" s="6" t="s">
        <v>1386</v>
      </c>
      <c r="L130" s="6" t="s">
        <v>1387</v>
      </c>
      <c r="M130" s="122" t="s">
        <v>1839</v>
      </c>
      <c r="N130" s="124" t="s">
        <v>818</v>
      </c>
    </row>
    <row r="131" spans="1:14" ht="12" x14ac:dyDescent="0.3">
      <c r="A131" s="200" t="s">
        <v>619</v>
      </c>
      <c r="B131" s="183" t="s">
        <v>620</v>
      </c>
      <c r="C131" s="183" t="s">
        <v>420</v>
      </c>
      <c r="D131" s="6"/>
      <c r="E131" s="183" t="s">
        <v>620</v>
      </c>
      <c r="F131" s="189" t="s">
        <v>1529</v>
      </c>
      <c r="H131" s="6" t="s">
        <v>1218</v>
      </c>
      <c r="I131" s="6" t="s">
        <v>1219</v>
      </c>
      <c r="J131" s="6" t="s">
        <v>1220</v>
      </c>
      <c r="K131" s="6" t="s">
        <v>1221</v>
      </c>
      <c r="L131" s="6" t="s">
        <v>1222</v>
      </c>
      <c r="M131" s="6" t="s">
        <v>1840</v>
      </c>
      <c r="N131" s="6" t="s">
        <v>815</v>
      </c>
    </row>
    <row r="132" spans="1:14" ht="12" x14ac:dyDescent="0.3">
      <c r="A132" s="200" t="s">
        <v>621</v>
      </c>
      <c r="B132" s="183" t="s">
        <v>622</v>
      </c>
      <c r="C132" s="183" t="s">
        <v>420</v>
      </c>
      <c r="D132" s="6"/>
      <c r="E132" s="183" t="s">
        <v>622</v>
      </c>
      <c r="F132" s="189" t="s">
        <v>1530</v>
      </c>
      <c r="H132" s="6" t="s">
        <v>1128</v>
      </c>
      <c r="I132" s="6" t="s">
        <v>1129</v>
      </c>
      <c r="J132" s="6" t="s">
        <v>1130</v>
      </c>
      <c r="K132" s="6" t="s">
        <v>1131</v>
      </c>
      <c r="L132" s="6" t="s">
        <v>1132</v>
      </c>
      <c r="M132" s="6" t="s">
        <v>1840</v>
      </c>
      <c r="N132" s="6" t="s">
        <v>815</v>
      </c>
    </row>
    <row r="133" spans="1:14" ht="12" x14ac:dyDescent="0.3">
      <c r="A133" s="200" t="s">
        <v>623</v>
      </c>
      <c r="B133" s="183" t="s">
        <v>624</v>
      </c>
      <c r="C133" s="183" t="s">
        <v>420</v>
      </c>
      <c r="D133" s="6"/>
      <c r="E133" s="183" t="s">
        <v>624</v>
      </c>
      <c r="F133" s="189" t="s">
        <v>1531</v>
      </c>
      <c r="H133" s="6" t="s">
        <v>1228</v>
      </c>
      <c r="I133" s="6" t="s">
        <v>1229</v>
      </c>
      <c r="J133" s="6" t="s">
        <v>1230</v>
      </c>
      <c r="K133" s="6" t="s">
        <v>1231</v>
      </c>
      <c r="L133" s="6" t="s">
        <v>1232</v>
      </c>
      <c r="M133" s="6" t="s">
        <v>1840</v>
      </c>
      <c r="N133" s="6" t="s">
        <v>815</v>
      </c>
    </row>
    <row r="134" spans="1:14" ht="12" x14ac:dyDescent="0.3">
      <c r="A134" s="200" t="s">
        <v>315</v>
      </c>
      <c r="B134" s="183" t="s">
        <v>316</v>
      </c>
      <c r="C134" s="183" t="s">
        <v>420</v>
      </c>
      <c r="D134" s="6"/>
      <c r="E134" s="183" t="s">
        <v>316</v>
      </c>
      <c r="F134" s="189" t="s">
        <v>1532</v>
      </c>
      <c r="H134" s="6" t="s">
        <v>1233</v>
      </c>
      <c r="I134" s="6" t="s">
        <v>1234</v>
      </c>
      <c r="J134" s="6" t="s">
        <v>1235</v>
      </c>
      <c r="K134" s="6" t="s">
        <v>1236</v>
      </c>
      <c r="L134" s="6" t="s">
        <v>1237</v>
      </c>
      <c r="M134" s="6" t="s">
        <v>1840</v>
      </c>
      <c r="N134" s="6" t="s">
        <v>815</v>
      </c>
    </row>
    <row r="135" spans="1:14" ht="12" x14ac:dyDescent="0.3">
      <c r="A135" s="200" t="s">
        <v>625</v>
      </c>
      <c r="B135" s="183" t="s">
        <v>626</v>
      </c>
      <c r="C135" s="183" t="s">
        <v>420</v>
      </c>
      <c r="D135" s="6"/>
      <c r="E135" s="183" t="s">
        <v>626</v>
      </c>
      <c r="F135" s="189" t="s">
        <v>1533</v>
      </c>
      <c r="H135" s="6" t="s">
        <v>1258</v>
      </c>
      <c r="I135" s="6" t="s">
        <v>1259</v>
      </c>
      <c r="J135" s="6" t="s">
        <v>1260</v>
      </c>
      <c r="K135" s="6" t="s">
        <v>1261</v>
      </c>
      <c r="L135" s="6" t="s">
        <v>1262</v>
      </c>
      <c r="M135" s="6" t="s">
        <v>1840</v>
      </c>
      <c r="N135" s="6" t="s">
        <v>815</v>
      </c>
    </row>
    <row r="136" spans="1:14" ht="12" x14ac:dyDescent="0.3">
      <c r="A136" s="200" t="s">
        <v>401</v>
      </c>
      <c r="B136" s="183" t="s">
        <v>402</v>
      </c>
      <c r="C136" s="183" t="s">
        <v>420</v>
      </c>
      <c r="D136" s="6"/>
      <c r="E136" s="183" t="s">
        <v>402</v>
      </c>
      <c r="F136" s="189" t="s">
        <v>1534</v>
      </c>
      <c r="H136" s="6" t="s">
        <v>1268</v>
      </c>
      <c r="I136" s="6" t="s">
        <v>1269</v>
      </c>
      <c r="J136" s="6" t="s">
        <v>1270</v>
      </c>
      <c r="K136" s="6" t="s">
        <v>1271</v>
      </c>
      <c r="L136" s="6" t="s">
        <v>1272</v>
      </c>
      <c r="M136" s="6" t="s">
        <v>1840</v>
      </c>
      <c r="N136" s="6" t="s">
        <v>815</v>
      </c>
    </row>
    <row r="137" spans="1:14" ht="12" x14ac:dyDescent="0.3">
      <c r="A137" s="200" t="s">
        <v>627</v>
      </c>
      <c r="B137" s="183" t="s">
        <v>628</v>
      </c>
      <c r="C137" s="183" t="s">
        <v>420</v>
      </c>
      <c r="D137" s="6"/>
      <c r="E137" s="183" t="s">
        <v>628</v>
      </c>
      <c r="F137" s="189" t="s">
        <v>1535</v>
      </c>
      <c r="H137" s="6" t="s">
        <v>1263</v>
      </c>
      <c r="I137" s="6" t="s">
        <v>1264</v>
      </c>
      <c r="J137" s="6" t="s">
        <v>1265</v>
      </c>
      <c r="K137" s="6" t="s">
        <v>1266</v>
      </c>
      <c r="L137" s="6" t="s">
        <v>1267</v>
      </c>
      <c r="M137" s="6" t="s">
        <v>1840</v>
      </c>
      <c r="N137" s="6" t="s">
        <v>815</v>
      </c>
    </row>
    <row r="138" spans="1:14" ht="12" x14ac:dyDescent="0.3">
      <c r="A138" s="200" t="s">
        <v>629</v>
      </c>
      <c r="B138" s="183" t="s">
        <v>630</v>
      </c>
      <c r="C138" s="183" t="s">
        <v>420</v>
      </c>
      <c r="D138" s="6"/>
      <c r="E138" s="183" t="s">
        <v>630</v>
      </c>
      <c r="F138" s="189" t="s">
        <v>1536</v>
      </c>
      <c r="H138" s="6" t="s">
        <v>1133</v>
      </c>
      <c r="I138" s="6" t="s">
        <v>1134</v>
      </c>
      <c r="J138" s="6" t="s">
        <v>1135</v>
      </c>
      <c r="K138" s="6" t="s">
        <v>1136</v>
      </c>
      <c r="L138" s="6" t="s">
        <v>1137</v>
      </c>
      <c r="M138" s="6" t="s">
        <v>1840</v>
      </c>
      <c r="N138" s="6" t="s">
        <v>815</v>
      </c>
    </row>
    <row r="139" spans="1:14" ht="12" x14ac:dyDescent="0.3">
      <c r="A139" s="200" t="s">
        <v>403</v>
      </c>
      <c r="B139" s="183" t="s">
        <v>404</v>
      </c>
      <c r="C139" s="183" t="s">
        <v>420</v>
      </c>
      <c r="D139" s="6"/>
      <c r="E139" s="183" t="s">
        <v>404</v>
      </c>
      <c r="F139" s="189" t="s">
        <v>1537</v>
      </c>
      <c r="H139" s="6" t="s">
        <v>1138</v>
      </c>
      <c r="I139" s="6" t="s">
        <v>1139</v>
      </c>
      <c r="J139" s="6" t="s">
        <v>1140</v>
      </c>
      <c r="K139" s="6" t="s">
        <v>1141</v>
      </c>
      <c r="L139" s="6" t="s">
        <v>1142</v>
      </c>
      <c r="M139" s="6" t="s">
        <v>1840</v>
      </c>
      <c r="N139" s="6" t="s">
        <v>815</v>
      </c>
    </row>
    <row r="140" spans="1:14" ht="12" x14ac:dyDescent="0.3">
      <c r="A140" s="200" t="s">
        <v>631</v>
      </c>
      <c r="B140" s="183" t="s">
        <v>632</v>
      </c>
      <c r="C140" s="183" t="s">
        <v>420</v>
      </c>
      <c r="D140" s="184"/>
      <c r="E140" s="183" t="s">
        <v>632</v>
      </c>
      <c r="F140" s="189" t="s">
        <v>1538</v>
      </c>
      <c r="H140" s="6" t="s">
        <v>1278</v>
      </c>
      <c r="I140" s="6" t="s">
        <v>1279</v>
      </c>
      <c r="J140" s="6" t="s">
        <v>1280</v>
      </c>
      <c r="K140" s="6" t="s">
        <v>1281</v>
      </c>
      <c r="L140" s="6" t="s">
        <v>1282</v>
      </c>
      <c r="M140" s="6" t="s">
        <v>1840</v>
      </c>
      <c r="N140" s="6" t="s">
        <v>815</v>
      </c>
    </row>
    <row r="141" spans="1:14" ht="12" x14ac:dyDescent="0.3">
      <c r="A141" s="200" t="s">
        <v>1970</v>
      </c>
      <c r="B141" s="183" t="s">
        <v>1971</v>
      </c>
      <c r="C141" s="183" t="s">
        <v>420</v>
      </c>
      <c r="D141" s="184"/>
      <c r="E141" s="183" t="s">
        <v>1971</v>
      </c>
      <c r="F141" s="189" t="s">
        <v>1972</v>
      </c>
      <c r="H141" s="6" t="s">
        <v>1143</v>
      </c>
      <c r="I141" s="6" t="s">
        <v>1144</v>
      </c>
      <c r="J141" s="6" t="s">
        <v>1145</v>
      </c>
      <c r="K141" s="6" t="s">
        <v>1146</v>
      </c>
      <c r="L141" s="6" t="s">
        <v>1147</v>
      </c>
      <c r="M141" s="6" t="s">
        <v>1840</v>
      </c>
      <c r="N141" s="6" t="s">
        <v>815</v>
      </c>
    </row>
    <row r="142" spans="1:14" ht="12" x14ac:dyDescent="0.3">
      <c r="A142" s="200" t="s">
        <v>433</v>
      </c>
      <c r="B142" s="183" t="s">
        <v>434</v>
      </c>
      <c r="C142" s="183" t="s">
        <v>420</v>
      </c>
      <c r="D142" s="184"/>
      <c r="E142" s="183" t="s">
        <v>434</v>
      </c>
      <c r="F142" s="189" t="s">
        <v>1539</v>
      </c>
      <c r="H142" s="6" t="s">
        <v>1148</v>
      </c>
      <c r="I142" s="6" t="s">
        <v>1149</v>
      </c>
      <c r="J142" s="6" t="s">
        <v>1150</v>
      </c>
      <c r="K142" s="6" t="s">
        <v>1151</v>
      </c>
      <c r="L142" s="6" t="s">
        <v>1152</v>
      </c>
      <c r="M142" s="6" t="s">
        <v>1840</v>
      </c>
      <c r="N142" s="6" t="s">
        <v>815</v>
      </c>
    </row>
    <row r="143" spans="1:14" ht="12" x14ac:dyDescent="0.3">
      <c r="A143" s="200" t="s">
        <v>633</v>
      </c>
      <c r="B143" s="183" t="s">
        <v>634</v>
      </c>
      <c r="C143" s="183" t="s">
        <v>420</v>
      </c>
      <c r="D143" s="184"/>
      <c r="E143" s="183" t="s">
        <v>634</v>
      </c>
      <c r="F143" s="189" t="s">
        <v>1540</v>
      </c>
      <c r="H143" s="6" t="s">
        <v>1153</v>
      </c>
      <c r="I143" s="6" t="s">
        <v>1154</v>
      </c>
      <c r="J143" s="6" t="s">
        <v>1155</v>
      </c>
      <c r="K143" s="6" t="s">
        <v>1156</v>
      </c>
      <c r="L143" s="6" t="s">
        <v>1157</v>
      </c>
      <c r="M143" s="6" t="s">
        <v>1840</v>
      </c>
      <c r="N143" s="6" t="s">
        <v>815</v>
      </c>
    </row>
    <row r="144" spans="1:14" ht="12" x14ac:dyDescent="0.3">
      <c r="A144" s="200" t="s">
        <v>635</v>
      </c>
      <c r="B144" s="183" t="s">
        <v>636</v>
      </c>
      <c r="C144" s="183" t="s">
        <v>420</v>
      </c>
      <c r="D144" s="184"/>
      <c r="E144" s="183" t="s">
        <v>636</v>
      </c>
      <c r="F144" s="189" t="s">
        <v>1541</v>
      </c>
      <c r="H144" s="6" t="s">
        <v>1158</v>
      </c>
      <c r="I144" s="6" t="s">
        <v>1159</v>
      </c>
      <c r="J144" s="6" t="s">
        <v>1160</v>
      </c>
      <c r="K144" s="6" t="s">
        <v>1161</v>
      </c>
      <c r="L144" s="6" t="s">
        <v>1162</v>
      </c>
      <c r="M144" s="6" t="s">
        <v>1840</v>
      </c>
      <c r="N144" s="6" t="s">
        <v>815</v>
      </c>
    </row>
    <row r="145" spans="1:14" ht="12" x14ac:dyDescent="0.3">
      <c r="A145" s="200" t="s">
        <v>637</v>
      </c>
      <c r="B145" s="183" t="s">
        <v>638</v>
      </c>
      <c r="C145" s="183" t="s">
        <v>420</v>
      </c>
      <c r="D145" s="184"/>
      <c r="E145" s="183" t="s">
        <v>638</v>
      </c>
      <c r="F145" s="189" t="s">
        <v>1542</v>
      </c>
      <c r="H145" s="6" t="s">
        <v>1163</v>
      </c>
      <c r="I145" s="6" t="s">
        <v>1164</v>
      </c>
      <c r="J145" s="6" t="s">
        <v>1165</v>
      </c>
      <c r="K145" s="6" t="s">
        <v>1166</v>
      </c>
      <c r="L145" s="6" t="s">
        <v>1167</v>
      </c>
      <c r="M145" s="6" t="s">
        <v>1840</v>
      </c>
      <c r="N145" s="6" t="s">
        <v>815</v>
      </c>
    </row>
    <row r="146" spans="1:14" ht="12" x14ac:dyDescent="0.3">
      <c r="A146" s="200" t="s">
        <v>2098</v>
      </c>
      <c r="B146" s="183" t="s">
        <v>1973</v>
      </c>
      <c r="C146" s="183" t="s">
        <v>420</v>
      </c>
      <c r="D146" s="184"/>
      <c r="E146" s="183" t="s">
        <v>1973</v>
      </c>
      <c r="F146" s="189" t="s">
        <v>1974</v>
      </c>
      <c r="H146" s="6" t="s">
        <v>1288</v>
      </c>
      <c r="I146" s="6" t="s">
        <v>1289</v>
      </c>
      <c r="J146" s="6" t="s">
        <v>1290</v>
      </c>
      <c r="K146" s="6" t="s">
        <v>1291</v>
      </c>
      <c r="L146" s="6" t="s">
        <v>1292</v>
      </c>
      <c r="M146" s="6" t="s">
        <v>1840</v>
      </c>
      <c r="N146" s="6" t="s">
        <v>815</v>
      </c>
    </row>
    <row r="147" spans="1:14" ht="12" x14ac:dyDescent="0.3">
      <c r="A147" s="200" t="s">
        <v>639</v>
      </c>
      <c r="B147" s="183" t="s">
        <v>640</v>
      </c>
      <c r="C147" s="183" t="s">
        <v>420</v>
      </c>
      <c r="D147" s="184"/>
      <c r="E147" s="183" t="s">
        <v>640</v>
      </c>
      <c r="F147" s="189" t="s">
        <v>1543</v>
      </c>
      <c r="H147" s="6" t="s">
        <v>1283</v>
      </c>
      <c r="I147" s="6" t="s">
        <v>1284</v>
      </c>
      <c r="J147" s="6" t="s">
        <v>1285</v>
      </c>
      <c r="K147" s="6" t="s">
        <v>1286</v>
      </c>
      <c r="L147" s="6" t="s">
        <v>1287</v>
      </c>
      <c r="M147" s="6" t="s">
        <v>1840</v>
      </c>
      <c r="N147" s="6" t="s">
        <v>815</v>
      </c>
    </row>
    <row r="148" spans="1:14" ht="12" x14ac:dyDescent="0.3">
      <c r="A148" s="200" t="s">
        <v>641</v>
      </c>
      <c r="B148" s="183" t="s">
        <v>642</v>
      </c>
      <c r="C148" s="183" t="s">
        <v>420</v>
      </c>
      <c r="D148" s="184"/>
      <c r="E148" s="183" t="s">
        <v>642</v>
      </c>
      <c r="F148" s="189" t="s">
        <v>1544</v>
      </c>
      <c r="H148" s="6" t="s">
        <v>1168</v>
      </c>
      <c r="I148" s="6" t="s">
        <v>1169</v>
      </c>
      <c r="J148" s="6" t="s">
        <v>1170</v>
      </c>
      <c r="K148" s="6" t="s">
        <v>1171</v>
      </c>
      <c r="L148" s="6" t="s">
        <v>1172</v>
      </c>
      <c r="M148" s="6" t="s">
        <v>1840</v>
      </c>
      <c r="N148" s="6" t="s">
        <v>815</v>
      </c>
    </row>
    <row r="149" spans="1:14" ht="12" x14ac:dyDescent="0.3">
      <c r="A149" s="200" t="s">
        <v>482</v>
      </c>
      <c r="B149" s="183" t="s">
        <v>406</v>
      </c>
      <c r="C149" s="183" t="s">
        <v>420</v>
      </c>
      <c r="D149" s="184"/>
      <c r="E149" s="183" t="s">
        <v>406</v>
      </c>
      <c r="F149" s="189" t="s">
        <v>219</v>
      </c>
      <c r="H149" s="6" t="s">
        <v>1173</v>
      </c>
      <c r="I149" s="6" t="s">
        <v>1174</v>
      </c>
      <c r="J149" s="6" t="s">
        <v>1175</v>
      </c>
      <c r="K149" s="6" t="s">
        <v>1176</v>
      </c>
      <c r="L149" s="6" t="s">
        <v>1177</v>
      </c>
      <c r="M149" s="6" t="s">
        <v>1840</v>
      </c>
      <c r="N149" s="6" t="s">
        <v>815</v>
      </c>
    </row>
    <row r="150" spans="1:14" ht="12" x14ac:dyDescent="0.3">
      <c r="A150" s="200" t="s">
        <v>643</v>
      </c>
      <c r="B150" s="183" t="s">
        <v>644</v>
      </c>
      <c r="C150" s="183" t="s">
        <v>420</v>
      </c>
      <c r="D150" s="184"/>
      <c r="E150" s="183" t="s">
        <v>644</v>
      </c>
      <c r="F150" s="189" t="s">
        <v>1545</v>
      </c>
      <c r="H150" s="6" t="s">
        <v>1178</v>
      </c>
      <c r="I150" s="6" t="s">
        <v>1179</v>
      </c>
      <c r="J150" s="6" t="s">
        <v>1180</v>
      </c>
      <c r="K150" s="6" t="s">
        <v>1181</v>
      </c>
      <c r="L150" s="6" t="s">
        <v>1182</v>
      </c>
      <c r="M150" s="6" t="s">
        <v>1840</v>
      </c>
      <c r="N150" s="6" t="s">
        <v>815</v>
      </c>
    </row>
    <row r="151" spans="1:14" ht="12" x14ac:dyDescent="0.3">
      <c r="A151" s="200" t="s">
        <v>645</v>
      </c>
      <c r="B151" s="183" t="s">
        <v>646</v>
      </c>
      <c r="C151" s="183" t="s">
        <v>420</v>
      </c>
      <c r="D151" s="184"/>
      <c r="E151" s="183" t="s">
        <v>646</v>
      </c>
      <c r="F151" s="189" t="s">
        <v>1546</v>
      </c>
      <c r="H151" s="6" t="s">
        <v>1273</v>
      </c>
      <c r="I151" s="6" t="s">
        <v>1274</v>
      </c>
      <c r="J151" s="6" t="s">
        <v>1275</v>
      </c>
      <c r="K151" s="6" t="s">
        <v>1276</v>
      </c>
      <c r="L151" s="6" t="s">
        <v>1277</v>
      </c>
      <c r="M151" s="6" t="s">
        <v>1840</v>
      </c>
      <c r="N151" s="6" t="s">
        <v>815</v>
      </c>
    </row>
    <row r="152" spans="1:14" ht="12" x14ac:dyDescent="0.3">
      <c r="A152" s="200" t="s">
        <v>647</v>
      </c>
      <c r="B152" s="183" t="s">
        <v>648</v>
      </c>
      <c r="C152" s="183" t="s">
        <v>420</v>
      </c>
      <c r="D152" s="184"/>
      <c r="E152" s="183" t="s">
        <v>648</v>
      </c>
      <c r="F152" s="189" t="s">
        <v>1547</v>
      </c>
      <c r="H152" s="6" t="s">
        <v>1323</v>
      </c>
      <c r="I152" s="6" t="s">
        <v>1324</v>
      </c>
      <c r="J152" s="6" t="s">
        <v>1325</v>
      </c>
      <c r="K152" s="6" t="s">
        <v>1326</v>
      </c>
      <c r="L152" s="6" t="s">
        <v>1327</v>
      </c>
      <c r="M152" s="6" t="s">
        <v>1840</v>
      </c>
      <c r="N152" s="6" t="s">
        <v>815</v>
      </c>
    </row>
    <row r="153" spans="1:14" ht="12" x14ac:dyDescent="0.3">
      <c r="A153" s="200" t="s">
        <v>342</v>
      </c>
      <c r="B153" s="183" t="s">
        <v>343</v>
      </c>
      <c r="C153" s="183" t="s">
        <v>420</v>
      </c>
      <c r="D153" s="184"/>
      <c r="E153" s="183" t="s">
        <v>343</v>
      </c>
      <c r="F153" s="189" t="s">
        <v>1548</v>
      </c>
      <c r="H153" s="6" t="s">
        <v>1318</v>
      </c>
      <c r="I153" s="6" t="s">
        <v>1319</v>
      </c>
      <c r="J153" s="6" t="s">
        <v>1320</v>
      </c>
      <c r="K153" s="6" t="s">
        <v>1321</v>
      </c>
      <c r="L153" s="6" t="s">
        <v>1322</v>
      </c>
      <c r="M153" s="6" t="s">
        <v>1840</v>
      </c>
      <c r="N153" s="6" t="s">
        <v>815</v>
      </c>
    </row>
    <row r="154" spans="1:14" ht="12" x14ac:dyDescent="0.3">
      <c r="A154" s="200" t="s">
        <v>2004</v>
      </c>
      <c r="B154" s="183" t="s">
        <v>2005</v>
      </c>
      <c r="C154" s="183" t="s">
        <v>420</v>
      </c>
      <c r="D154" s="184"/>
      <c r="E154" s="183" t="s">
        <v>2005</v>
      </c>
      <c r="F154" s="189" t="s">
        <v>2006</v>
      </c>
      <c r="H154" s="6" t="s">
        <v>1328</v>
      </c>
      <c r="I154" s="6" t="s">
        <v>1329</v>
      </c>
      <c r="J154" s="6" t="s">
        <v>1330</v>
      </c>
      <c r="K154" s="6" t="s">
        <v>1331</v>
      </c>
      <c r="L154" s="6" t="s">
        <v>1332</v>
      </c>
      <c r="M154" s="6" t="s">
        <v>1840</v>
      </c>
      <c r="N154" s="6" t="s">
        <v>815</v>
      </c>
    </row>
    <row r="155" spans="1:14" ht="12" x14ac:dyDescent="0.3">
      <c r="A155" s="200" t="s">
        <v>405</v>
      </c>
      <c r="B155" s="183" t="s">
        <v>335</v>
      </c>
      <c r="C155" s="183" t="s">
        <v>420</v>
      </c>
      <c r="D155" s="184" t="s">
        <v>388</v>
      </c>
      <c r="E155" s="183" t="s">
        <v>335</v>
      </c>
      <c r="F155" s="189" t="s">
        <v>1549</v>
      </c>
      <c r="H155" s="6" t="s">
        <v>1293</v>
      </c>
      <c r="I155" s="6" t="s">
        <v>1294</v>
      </c>
      <c r="J155" s="6" t="s">
        <v>1295</v>
      </c>
      <c r="K155" s="6" t="s">
        <v>1296</v>
      </c>
      <c r="L155" s="6" t="s">
        <v>1297</v>
      </c>
      <c r="M155" s="6" t="s">
        <v>1840</v>
      </c>
      <c r="N155" s="6" t="s">
        <v>815</v>
      </c>
    </row>
    <row r="156" spans="1:14" ht="12" x14ac:dyDescent="0.3">
      <c r="A156" s="200" t="s">
        <v>649</v>
      </c>
      <c r="B156" s="183" t="s">
        <v>650</v>
      </c>
      <c r="C156" s="183" t="s">
        <v>420</v>
      </c>
      <c r="D156" s="184"/>
      <c r="E156" s="183" t="s">
        <v>650</v>
      </c>
      <c r="F156" s="189" t="s">
        <v>1550</v>
      </c>
      <c r="H156" s="6" t="s">
        <v>1298</v>
      </c>
      <c r="I156" s="6" t="s">
        <v>1299</v>
      </c>
      <c r="J156" s="6" t="s">
        <v>1300</v>
      </c>
      <c r="K156" s="6" t="s">
        <v>1301</v>
      </c>
      <c r="L156" s="6" t="s">
        <v>1302</v>
      </c>
      <c r="M156" s="6" t="s">
        <v>1840</v>
      </c>
      <c r="N156" s="6" t="s">
        <v>815</v>
      </c>
    </row>
    <row r="157" spans="1:14" ht="12" x14ac:dyDescent="0.3">
      <c r="A157" s="200" t="s">
        <v>2099</v>
      </c>
      <c r="B157" s="183" t="s">
        <v>2100</v>
      </c>
      <c r="C157" s="183" t="s">
        <v>420</v>
      </c>
      <c r="D157" s="184"/>
      <c r="E157" s="183" t="s">
        <v>2100</v>
      </c>
      <c r="F157" s="189" t="s">
        <v>2101</v>
      </c>
      <c r="H157" s="6" t="s">
        <v>1183</v>
      </c>
      <c r="I157" s="6" t="s">
        <v>1184</v>
      </c>
      <c r="J157" s="6" t="s">
        <v>1185</v>
      </c>
      <c r="K157" s="6" t="s">
        <v>1186</v>
      </c>
      <c r="L157" s="6" t="s">
        <v>1187</v>
      </c>
      <c r="M157" s="6" t="s">
        <v>1840</v>
      </c>
      <c r="N157" s="6" t="s">
        <v>815</v>
      </c>
    </row>
    <row r="158" spans="1:14" ht="12" x14ac:dyDescent="0.3">
      <c r="A158" s="200" t="s">
        <v>651</v>
      </c>
      <c r="B158" s="183" t="s">
        <v>652</v>
      </c>
      <c r="C158" s="183" t="s">
        <v>420</v>
      </c>
      <c r="D158" s="184"/>
      <c r="E158" s="183" t="s">
        <v>652</v>
      </c>
      <c r="F158" s="189" t="s">
        <v>1551</v>
      </c>
      <c r="H158" s="6" t="s">
        <v>1188</v>
      </c>
      <c r="I158" s="6" t="s">
        <v>1189</v>
      </c>
      <c r="J158" s="6" t="s">
        <v>1190</v>
      </c>
      <c r="K158" s="6" t="s">
        <v>1191</v>
      </c>
      <c r="L158" s="6" t="s">
        <v>1192</v>
      </c>
      <c r="M158" s="6" t="s">
        <v>1840</v>
      </c>
      <c r="N158" s="6" t="s">
        <v>815</v>
      </c>
    </row>
    <row r="159" spans="1:14" ht="12" x14ac:dyDescent="0.3">
      <c r="A159" s="200" t="s">
        <v>435</v>
      </c>
      <c r="B159" s="183" t="s">
        <v>436</v>
      </c>
      <c r="C159" s="183" t="s">
        <v>420</v>
      </c>
      <c r="D159" s="184"/>
      <c r="E159" s="183" t="s">
        <v>436</v>
      </c>
      <c r="F159" s="189" t="s">
        <v>1552</v>
      </c>
      <c r="H159" s="6" t="s">
        <v>1193</v>
      </c>
      <c r="I159" s="6" t="s">
        <v>1194</v>
      </c>
      <c r="J159" s="6" t="s">
        <v>1195</v>
      </c>
      <c r="K159" s="6" t="s">
        <v>1196</v>
      </c>
      <c r="L159" s="6" t="s">
        <v>1197</v>
      </c>
      <c r="M159" s="6" t="s">
        <v>1840</v>
      </c>
      <c r="N159" s="6" t="s">
        <v>815</v>
      </c>
    </row>
    <row r="160" spans="1:14" ht="12" x14ac:dyDescent="0.3">
      <c r="A160" s="200" t="s">
        <v>407</v>
      </c>
      <c r="B160" s="183" t="s">
        <v>347</v>
      </c>
      <c r="C160" s="183" t="s">
        <v>420</v>
      </c>
      <c r="D160" s="184"/>
      <c r="E160" s="183" t="s">
        <v>347</v>
      </c>
      <c r="F160" s="189" t="s">
        <v>1553</v>
      </c>
      <c r="H160" s="6" t="s">
        <v>1303</v>
      </c>
      <c r="I160" s="6" t="s">
        <v>1304</v>
      </c>
      <c r="J160" s="6" t="s">
        <v>1305</v>
      </c>
      <c r="K160" s="6" t="s">
        <v>1306</v>
      </c>
      <c r="L160" s="6" t="s">
        <v>1307</v>
      </c>
      <c r="M160" s="6" t="s">
        <v>1840</v>
      </c>
      <c r="N160" s="6" t="s">
        <v>815</v>
      </c>
    </row>
    <row r="161" spans="1:14" ht="12" x14ac:dyDescent="0.3">
      <c r="A161" s="200" t="s">
        <v>437</v>
      </c>
      <c r="B161" s="183" t="s">
        <v>438</v>
      </c>
      <c r="C161" s="183" t="s">
        <v>420</v>
      </c>
      <c r="D161" s="184"/>
      <c r="E161" s="183" t="s">
        <v>438</v>
      </c>
      <c r="F161" s="189" t="s">
        <v>1554</v>
      </c>
      <c r="H161" s="6" t="s">
        <v>1308</v>
      </c>
      <c r="I161" s="6" t="s">
        <v>1309</v>
      </c>
      <c r="J161" s="6" t="s">
        <v>1310</v>
      </c>
      <c r="K161" s="6" t="s">
        <v>1311</v>
      </c>
      <c r="L161" s="6" t="s">
        <v>1312</v>
      </c>
      <c r="M161" s="6" t="s">
        <v>1840</v>
      </c>
      <c r="N161" s="6" t="s">
        <v>815</v>
      </c>
    </row>
    <row r="162" spans="1:14" ht="12" x14ac:dyDescent="0.3">
      <c r="A162" s="200" t="s">
        <v>653</v>
      </c>
      <c r="B162" s="183" t="s">
        <v>654</v>
      </c>
      <c r="C162" s="183" t="s">
        <v>420</v>
      </c>
      <c r="D162" s="184"/>
      <c r="E162" s="183" t="s">
        <v>654</v>
      </c>
      <c r="F162" s="189" t="s">
        <v>1555</v>
      </c>
      <c r="H162" s="6" t="s">
        <v>1333</v>
      </c>
      <c r="I162" s="6" t="s">
        <v>1334</v>
      </c>
      <c r="J162" s="6" t="s">
        <v>1335</v>
      </c>
      <c r="K162" s="6" t="s">
        <v>1336</v>
      </c>
      <c r="L162" s="6" t="s">
        <v>1337</v>
      </c>
      <c r="M162" s="6" t="s">
        <v>1840</v>
      </c>
      <c r="N162" s="6" t="s">
        <v>815</v>
      </c>
    </row>
    <row r="163" spans="1:14" ht="12" x14ac:dyDescent="0.3">
      <c r="A163" s="200" t="s">
        <v>655</v>
      </c>
      <c r="B163" s="183" t="s">
        <v>656</v>
      </c>
      <c r="C163" s="183" t="s">
        <v>420</v>
      </c>
      <c r="D163" s="184"/>
      <c r="E163" s="183" t="s">
        <v>656</v>
      </c>
      <c r="F163" s="189" t="s">
        <v>1556</v>
      </c>
      <c r="H163" s="6" t="s">
        <v>1313</v>
      </c>
      <c r="I163" s="6" t="s">
        <v>1314</v>
      </c>
      <c r="J163" s="6" t="s">
        <v>1315</v>
      </c>
      <c r="K163" s="6" t="s">
        <v>1316</v>
      </c>
      <c r="L163" s="6" t="s">
        <v>1317</v>
      </c>
      <c r="M163" s="6" t="s">
        <v>1840</v>
      </c>
      <c r="N163" s="6" t="s">
        <v>815</v>
      </c>
    </row>
    <row r="164" spans="1:14" ht="12" x14ac:dyDescent="0.3">
      <c r="A164" s="200" t="s">
        <v>2102</v>
      </c>
      <c r="B164" s="183" t="s">
        <v>355</v>
      </c>
      <c r="C164" s="183" t="s">
        <v>420</v>
      </c>
      <c r="D164" s="184"/>
      <c r="E164" s="183" t="s">
        <v>355</v>
      </c>
      <c r="F164" s="189" t="s">
        <v>1557</v>
      </c>
      <c r="H164" s="6" t="s">
        <v>1198</v>
      </c>
      <c r="I164" s="6" t="s">
        <v>1199</v>
      </c>
      <c r="J164" s="6" t="s">
        <v>1200</v>
      </c>
      <c r="K164" s="6" t="s">
        <v>1201</v>
      </c>
      <c r="L164" s="6" t="s">
        <v>1202</v>
      </c>
      <c r="M164" s="6" t="s">
        <v>1840</v>
      </c>
      <c r="N164" s="6" t="s">
        <v>815</v>
      </c>
    </row>
    <row r="165" spans="1:14" ht="12" x14ac:dyDescent="0.3">
      <c r="A165" s="200" t="s">
        <v>439</v>
      </c>
      <c r="B165" s="183" t="s">
        <v>440</v>
      </c>
      <c r="C165" s="183" t="s">
        <v>420</v>
      </c>
      <c r="D165" s="184"/>
      <c r="E165" s="183" t="s">
        <v>440</v>
      </c>
      <c r="F165" s="189" t="s">
        <v>1558</v>
      </c>
      <c r="H165" s="6" t="s">
        <v>1203</v>
      </c>
      <c r="I165" s="6" t="s">
        <v>1204</v>
      </c>
      <c r="J165" s="6" t="s">
        <v>1205</v>
      </c>
      <c r="K165" s="6" t="s">
        <v>1206</v>
      </c>
      <c r="L165" s="6" t="s">
        <v>1207</v>
      </c>
      <c r="M165" s="6" t="s">
        <v>1840</v>
      </c>
      <c r="N165" s="6" t="s">
        <v>815</v>
      </c>
    </row>
    <row r="166" spans="1:14" ht="12" x14ac:dyDescent="0.3">
      <c r="A166" s="200" t="s">
        <v>657</v>
      </c>
      <c r="B166" s="183" t="s">
        <v>658</v>
      </c>
      <c r="C166" s="183" t="s">
        <v>420</v>
      </c>
      <c r="D166" s="184"/>
      <c r="E166" s="183" t="s">
        <v>658</v>
      </c>
      <c r="F166" s="189" t="s">
        <v>1559</v>
      </c>
      <c r="H166" s="6" t="s">
        <v>1208</v>
      </c>
      <c r="I166" s="6" t="s">
        <v>1209</v>
      </c>
      <c r="J166" s="6" t="s">
        <v>1210</v>
      </c>
      <c r="K166" s="6" t="s">
        <v>1211</v>
      </c>
      <c r="L166" s="6" t="s">
        <v>1212</v>
      </c>
      <c r="M166" s="6" t="s">
        <v>1840</v>
      </c>
      <c r="N166" s="6" t="s">
        <v>815</v>
      </c>
    </row>
    <row r="167" spans="1:14" ht="12" x14ac:dyDescent="0.3">
      <c r="A167" s="200" t="s">
        <v>408</v>
      </c>
      <c r="B167" s="183" t="s">
        <v>409</v>
      </c>
      <c r="C167" s="183" t="s">
        <v>420</v>
      </c>
      <c r="D167" s="184"/>
      <c r="E167" s="183" t="s">
        <v>409</v>
      </c>
      <c r="F167" s="189" t="s">
        <v>1560</v>
      </c>
      <c r="H167" s="6" t="s">
        <v>1213</v>
      </c>
      <c r="I167" s="6" t="s">
        <v>1214</v>
      </c>
      <c r="J167" s="6" t="s">
        <v>1215</v>
      </c>
      <c r="K167" s="6" t="s">
        <v>1216</v>
      </c>
      <c r="L167" s="6" t="s">
        <v>1217</v>
      </c>
      <c r="M167" s="6" t="s">
        <v>1840</v>
      </c>
      <c r="N167" s="6" t="s">
        <v>815</v>
      </c>
    </row>
    <row r="168" spans="1:14" ht="12" x14ac:dyDescent="0.3">
      <c r="A168" s="200" t="s">
        <v>358</v>
      </c>
      <c r="B168" s="183" t="s">
        <v>359</v>
      </c>
      <c r="C168" s="183" t="s">
        <v>420</v>
      </c>
      <c r="D168" s="184"/>
      <c r="E168" s="183" t="s">
        <v>359</v>
      </c>
      <c r="F168" s="189" t="s">
        <v>1561</v>
      </c>
      <c r="H168" s="6" t="s">
        <v>1223</v>
      </c>
      <c r="I168" s="6" t="s">
        <v>1224</v>
      </c>
      <c r="J168" s="6" t="s">
        <v>1225</v>
      </c>
      <c r="K168" s="6" t="s">
        <v>1226</v>
      </c>
      <c r="L168" s="6" t="s">
        <v>1227</v>
      </c>
      <c r="M168" s="6" t="s">
        <v>1840</v>
      </c>
      <c r="N168" s="6" t="s">
        <v>815</v>
      </c>
    </row>
    <row r="169" spans="1:14" ht="12" x14ac:dyDescent="0.3">
      <c r="A169" s="200" t="s">
        <v>659</v>
      </c>
      <c r="B169" s="183" t="s">
        <v>660</v>
      </c>
      <c r="C169" s="183" t="s">
        <v>420</v>
      </c>
      <c r="D169" s="184"/>
      <c r="E169" s="183" t="s">
        <v>660</v>
      </c>
      <c r="F169" s="189" t="s">
        <v>1562</v>
      </c>
      <c r="H169" s="6" t="s">
        <v>1338</v>
      </c>
      <c r="I169" s="6" t="s">
        <v>1339</v>
      </c>
      <c r="J169" s="6" t="s">
        <v>1340</v>
      </c>
      <c r="K169" s="6" t="s">
        <v>1341</v>
      </c>
      <c r="L169" s="6" t="s">
        <v>1342</v>
      </c>
      <c r="M169" s="6" t="s">
        <v>1840</v>
      </c>
      <c r="N169" s="6" t="s">
        <v>815</v>
      </c>
    </row>
    <row r="170" spans="1:14" ht="12" x14ac:dyDescent="0.3">
      <c r="A170" s="200" t="s">
        <v>661</v>
      </c>
      <c r="B170" s="183" t="s">
        <v>662</v>
      </c>
      <c r="C170" s="183" t="s">
        <v>420</v>
      </c>
      <c r="D170" s="184"/>
      <c r="E170" s="183" t="s">
        <v>662</v>
      </c>
      <c r="F170" s="189" t="s">
        <v>1563</v>
      </c>
      <c r="H170" s="6" t="s">
        <v>1243</v>
      </c>
      <c r="I170" s="6" t="s">
        <v>1244</v>
      </c>
      <c r="J170" s="6" t="s">
        <v>1245</v>
      </c>
      <c r="K170" s="6" t="s">
        <v>1246</v>
      </c>
      <c r="L170" s="6" t="s">
        <v>1247</v>
      </c>
      <c r="M170" s="6" t="s">
        <v>1840</v>
      </c>
      <c r="N170" s="6" t="s">
        <v>815</v>
      </c>
    </row>
    <row r="171" spans="1:14" ht="12" x14ac:dyDescent="0.3">
      <c r="A171" s="200" t="s">
        <v>410</v>
      </c>
      <c r="B171" s="183" t="s">
        <v>411</v>
      </c>
      <c r="C171" s="183" t="s">
        <v>420</v>
      </c>
      <c r="D171" s="184"/>
      <c r="E171" s="183" t="s">
        <v>411</v>
      </c>
      <c r="F171" s="189" t="s">
        <v>1564</v>
      </c>
      <c r="H171" s="6" t="s">
        <v>1238</v>
      </c>
      <c r="I171" s="6" t="s">
        <v>1239</v>
      </c>
      <c r="J171" s="6" t="s">
        <v>1240</v>
      </c>
      <c r="K171" s="6" t="s">
        <v>1241</v>
      </c>
      <c r="L171" s="6" t="s">
        <v>1242</v>
      </c>
      <c r="M171" s="6" t="s">
        <v>1840</v>
      </c>
      <c r="N171" s="6" t="s">
        <v>815</v>
      </c>
    </row>
    <row r="172" spans="1:14" ht="12" x14ac:dyDescent="0.3">
      <c r="A172" s="200" t="s">
        <v>360</v>
      </c>
      <c r="B172" s="183" t="s">
        <v>361</v>
      </c>
      <c r="C172" s="183" t="s">
        <v>420</v>
      </c>
      <c r="D172" s="184"/>
      <c r="E172" s="183" t="s">
        <v>361</v>
      </c>
      <c r="F172" s="189" t="s">
        <v>1565</v>
      </c>
      <c r="H172" s="6" t="s">
        <v>1248</v>
      </c>
      <c r="I172" s="6" t="s">
        <v>1249</v>
      </c>
      <c r="J172" s="6" t="s">
        <v>1250</v>
      </c>
      <c r="K172" s="6" t="s">
        <v>1251</v>
      </c>
      <c r="L172" s="6" t="s">
        <v>1252</v>
      </c>
      <c r="M172" s="6" t="s">
        <v>1840</v>
      </c>
      <c r="N172" s="6" t="s">
        <v>815</v>
      </c>
    </row>
    <row r="173" spans="1:14" ht="12" x14ac:dyDescent="0.3">
      <c r="A173" s="200" t="s">
        <v>663</v>
      </c>
      <c r="B173" s="183" t="s">
        <v>664</v>
      </c>
      <c r="C173" s="183" t="s">
        <v>420</v>
      </c>
      <c r="D173" s="184"/>
      <c r="E173" s="183" t="s">
        <v>664</v>
      </c>
      <c r="F173" s="189" t="s">
        <v>1566</v>
      </c>
      <c r="H173" s="6" t="s">
        <v>1253</v>
      </c>
      <c r="I173" s="6" t="s">
        <v>1254</v>
      </c>
      <c r="J173" s="6" t="s">
        <v>1255</v>
      </c>
      <c r="K173" s="6" t="s">
        <v>1256</v>
      </c>
      <c r="L173" s="6" t="s">
        <v>1257</v>
      </c>
      <c r="M173" s="6" t="s">
        <v>1840</v>
      </c>
      <c r="N173" s="6" t="s">
        <v>815</v>
      </c>
    </row>
    <row r="174" spans="1:14" ht="12" x14ac:dyDescent="0.3">
      <c r="A174" s="200" t="s">
        <v>231</v>
      </c>
      <c r="B174" s="183" t="s">
        <v>232</v>
      </c>
      <c r="C174" s="183" t="s">
        <v>420</v>
      </c>
      <c r="D174" s="6"/>
      <c r="E174" s="183" t="s">
        <v>232</v>
      </c>
      <c r="F174" s="189" t="s">
        <v>1488</v>
      </c>
      <c r="H174" s="6" t="s">
        <v>1343</v>
      </c>
      <c r="I174" s="6" t="s">
        <v>1344</v>
      </c>
      <c r="J174" s="6" t="s">
        <v>1345</v>
      </c>
      <c r="K174" s="6" t="s">
        <v>1346</v>
      </c>
      <c r="L174" s="6" t="s">
        <v>1347</v>
      </c>
      <c r="M174" s="6" t="s">
        <v>1840</v>
      </c>
      <c r="N174" s="6" t="s">
        <v>815</v>
      </c>
    </row>
    <row r="175" spans="1:14" ht="12" x14ac:dyDescent="0.3">
      <c r="A175" s="208" t="s">
        <v>665</v>
      </c>
      <c r="B175" s="186" t="s">
        <v>666</v>
      </c>
      <c r="C175" s="186" t="s">
        <v>420</v>
      </c>
      <c r="D175" s="209"/>
      <c r="E175" s="186" t="s">
        <v>666</v>
      </c>
      <c r="F175" s="210" t="s">
        <v>1567</v>
      </c>
      <c r="H175" s="6" t="s">
        <v>1348</v>
      </c>
      <c r="I175" s="6" t="s">
        <v>1349</v>
      </c>
      <c r="J175" s="6" t="s">
        <v>1350</v>
      </c>
      <c r="K175" s="6" t="s">
        <v>1351</v>
      </c>
      <c r="L175" s="6" t="s">
        <v>1352</v>
      </c>
      <c r="M175" s="122" t="s">
        <v>1840</v>
      </c>
      <c r="N175" s="124" t="s">
        <v>818</v>
      </c>
    </row>
    <row r="176" spans="1:14" ht="12" x14ac:dyDescent="0.3">
      <c r="H176" s="6" t="s">
        <v>985</v>
      </c>
      <c r="I176" s="6" t="s">
        <v>986</v>
      </c>
      <c r="J176" s="6" t="s">
        <v>987</v>
      </c>
      <c r="K176" s="6" t="s">
        <v>988</v>
      </c>
      <c r="L176" s="6" t="s">
        <v>989</v>
      </c>
      <c r="M176" s="6" t="s">
        <v>1841</v>
      </c>
      <c r="N176" s="6" t="s">
        <v>815</v>
      </c>
    </row>
    <row r="177" spans="8:14" ht="12" x14ac:dyDescent="0.3">
      <c r="H177" s="6" t="s">
        <v>990</v>
      </c>
      <c r="I177" s="6" t="s">
        <v>991</v>
      </c>
      <c r="J177" s="6" t="s">
        <v>992</v>
      </c>
      <c r="K177" s="6" t="s">
        <v>993</v>
      </c>
      <c r="L177" s="6" t="s">
        <v>994</v>
      </c>
      <c r="M177" s="6" t="s">
        <v>1841</v>
      </c>
      <c r="N177" s="6" t="s">
        <v>815</v>
      </c>
    </row>
    <row r="178" spans="8:14" ht="12" x14ac:dyDescent="0.3">
      <c r="H178" s="6" t="s">
        <v>995</v>
      </c>
      <c r="I178" s="6" t="s">
        <v>996</v>
      </c>
      <c r="J178" s="6" t="s">
        <v>997</v>
      </c>
      <c r="K178" s="6" t="s">
        <v>998</v>
      </c>
      <c r="L178" s="6" t="s">
        <v>999</v>
      </c>
      <c r="M178" s="6" t="s">
        <v>1841</v>
      </c>
      <c r="N178" s="6" t="s">
        <v>815</v>
      </c>
    </row>
    <row r="179" spans="8:14" ht="12" x14ac:dyDescent="0.3">
      <c r="H179" s="6" t="s">
        <v>1000</v>
      </c>
      <c r="I179" s="6" t="s">
        <v>1001</v>
      </c>
      <c r="J179" s="6" t="s">
        <v>1002</v>
      </c>
      <c r="K179" s="6" t="s">
        <v>1003</v>
      </c>
      <c r="L179" s="6" t="s">
        <v>1004</v>
      </c>
      <c r="M179" s="6" t="s">
        <v>1841</v>
      </c>
      <c r="N179" s="6" t="s">
        <v>815</v>
      </c>
    </row>
    <row r="180" spans="8:14" ht="12" x14ac:dyDescent="0.3">
      <c r="H180" s="6" t="s">
        <v>1005</v>
      </c>
      <c r="I180" s="6" t="s">
        <v>1006</v>
      </c>
      <c r="J180" s="6" t="s">
        <v>1007</v>
      </c>
      <c r="K180" s="6" t="s">
        <v>1008</v>
      </c>
      <c r="L180" s="6" t="s">
        <v>1009</v>
      </c>
      <c r="M180" s="6" t="s">
        <v>1841</v>
      </c>
      <c r="N180" s="6" t="s">
        <v>815</v>
      </c>
    </row>
    <row r="181" spans="8:14" ht="12" x14ac:dyDescent="0.3">
      <c r="H181" s="6" t="s">
        <v>1010</v>
      </c>
      <c r="I181" s="6" t="s">
        <v>1011</v>
      </c>
      <c r="J181" s="6" t="s">
        <v>1012</v>
      </c>
      <c r="K181" s="6" t="s">
        <v>1013</v>
      </c>
      <c r="L181" s="6" t="s">
        <v>1014</v>
      </c>
      <c r="M181" s="6" t="s">
        <v>1841</v>
      </c>
      <c r="N181" s="6" t="s">
        <v>815</v>
      </c>
    </row>
    <row r="182" spans="8:14" ht="12" x14ac:dyDescent="0.3">
      <c r="H182" s="6" t="s">
        <v>1015</v>
      </c>
      <c r="I182" s="6" t="s">
        <v>1016</v>
      </c>
      <c r="J182" s="6" t="s">
        <v>1017</v>
      </c>
      <c r="K182" s="6" t="s">
        <v>1018</v>
      </c>
      <c r="L182" s="6" t="s">
        <v>1019</v>
      </c>
      <c r="M182" s="6" t="s">
        <v>1841</v>
      </c>
      <c r="N182" s="6" t="s">
        <v>815</v>
      </c>
    </row>
    <row r="183" spans="8:14" ht="12" x14ac:dyDescent="0.3">
      <c r="H183" s="6" t="s">
        <v>1020</v>
      </c>
      <c r="I183" s="6" t="s">
        <v>1021</v>
      </c>
      <c r="J183" s="6" t="s">
        <v>1022</v>
      </c>
      <c r="K183" s="6" t="s">
        <v>1023</v>
      </c>
      <c r="L183" s="6" t="s">
        <v>1024</v>
      </c>
      <c r="M183" s="6" t="s">
        <v>1841</v>
      </c>
      <c r="N183" s="6" t="s">
        <v>815</v>
      </c>
    </row>
    <row r="184" spans="8:14" ht="12" x14ac:dyDescent="0.3">
      <c r="H184" s="6" t="s">
        <v>1025</v>
      </c>
      <c r="I184" s="6" t="s">
        <v>1026</v>
      </c>
      <c r="J184" s="6" t="s">
        <v>1027</v>
      </c>
      <c r="K184" s="6" t="s">
        <v>1028</v>
      </c>
      <c r="L184" s="6" t="s">
        <v>1029</v>
      </c>
      <c r="M184" s="6" t="s">
        <v>1841</v>
      </c>
      <c r="N184" s="6" t="s">
        <v>815</v>
      </c>
    </row>
    <row r="185" spans="8:14" ht="12" x14ac:dyDescent="0.3">
      <c r="H185" s="6" t="s">
        <v>1030</v>
      </c>
      <c r="I185" s="6" t="s">
        <v>1031</v>
      </c>
      <c r="J185" s="6" t="s">
        <v>1032</v>
      </c>
      <c r="K185" s="6" t="s">
        <v>1033</v>
      </c>
      <c r="L185" s="6" t="s">
        <v>1034</v>
      </c>
      <c r="M185" s="6" t="s">
        <v>1841</v>
      </c>
      <c r="N185" s="6" t="s">
        <v>815</v>
      </c>
    </row>
    <row r="186" spans="8:14" ht="12" x14ac:dyDescent="0.3">
      <c r="H186" s="6" t="s">
        <v>1035</v>
      </c>
      <c r="I186" s="6" t="s">
        <v>1036</v>
      </c>
      <c r="J186" s="6" t="s">
        <v>1037</v>
      </c>
      <c r="K186" s="6" t="s">
        <v>1038</v>
      </c>
      <c r="L186" s="6" t="s">
        <v>1039</v>
      </c>
      <c r="M186" s="6" t="s">
        <v>1841</v>
      </c>
      <c r="N186" s="6" t="s">
        <v>815</v>
      </c>
    </row>
    <row r="187" spans="8:14" ht="12" x14ac:dyDescent="0.3">
      <c r="H187" s="6" t="s">
        <v>1040</v>
      </c>
      <c r="I187" s="6" t="s">
        <v>1041</v>
      </c>
      <c r="J187" s="6" t="s">
        <v>1042</v>
      </c>
      <c r="K187" s="6" t="s">
        <v>1043</v>
      </c>
      <c r="L187" s="6" t="s">
        <v>1044</v>
      </c>
      <c r="M187" s="6" t="s">
        <v>1841</v>
      </c>
      <c r="N187" s="6" t="s">
        <v>815</v>
      </c>
    </row>
    <row r="188" spans="8:14" ht="12" x14ac:dyDescent="0.3">
      <c r="H188" s="6" t="s">
        <v>1045</v>
      </c>
      <c r="I188" s="6" t="s">
        <v>1046</v>
      </c>
      <c r="J188" s="6" t="s">
        <v>1047</v>
      </c>
      <c r="K188" s="6" t="s">
        <v>1048</v>
      </c>
      <c r="L188" s="6" t="s">
        <v>1049</v>
      </c>
      <c r="M188" s="6" t="s">
        <v>1841</v>
      </c>
      <c r="N188" s="6" t="s">
        <v>815</v>
      </c>
    </row>
    <row r="189" spans="8:14" ht="12" x14ac:dyDescent="0.3">
      <c r="H189" s="6" t="s">
        <v>1050</v>
      </c>
      <c r="I189" s="6" t="s">
        <v>1051</v>
      </c>
      <c r="J189" s="6" t="s">
        <v>1052</v>
      </c>
      <c r="K189" s="6" t="s">
        <v>1053</v>
      </c>
      <c r="L189" s="6" t="s">
        <v>1054</v>
      </c>
      <c r="M189" s="6" t="s">
        <v>1841</v>
      </c>
      <c r="N189" s="6" t="s">
        <v>815</v>
      </c>
    </row>
    <row r="190" spans="8:14" ht="12" x14ac:dyDescent="0.3">
      <c r="H190" s="6" t="s">
        <v>1055</v>
      </c>
      <c r="I190" s="6" t="s">
        <v>1056</v>
      </c>
      <c r="J190" s="6" t="s">
        <v>1057</v>
      </c>
      <c r="K190" s="6" t="s">
        <v>1058</v>
      </c>
      <c r="L190" s="6" t="s">
        <v>1059</v>
      </c>
      <c r="M190" s="6" t="s">
        <v>1841</v>
      </c>
      <c r="N190" s="6" t="s">
        <v>815</v>
      </c>
    </row>
    <row r="191" spans="8:14" ht="12" x14ac:dyDescent="0.3">
      <c r="H191" s="6" t="s">
        <v>1060</v>
      </c>
      <c r="I191" s="6" t="s">
        <v>1061</v>
      </c>
      <c r="J191" s="6" t="s">
        <v>1062</v>
      </c>
      <c r="K191" s="6" t="s">
        <v>1063</v>
      </c>
      <c r="L191" s="6" t="s">
        <v>1064</v>
      </c>
      <c r="M191" s="6" t="s">
        <v>1841</v>
      </c>
      <c r="N191" s="6" t="s">
        <v>815</v>
      </c>
    </row>
    <row r="192" spans="8:14" ht="12" x14ac:dyDescent="0.3">
      <c r="H192" s="6" t="s">
        <v>1065</v>
      </c>
      <c r="I192" s="6" t="s">
        <v>1066</v>
      </c>
      <c r="J192" s="6" t="s">
        <v>1067</v>
      </c>
      <c r="K192" s="6" t="s">
        <v>1068</v>
      </c>
      <c r="L192" s="6" t="s">
        <v>1069</v>
      </c>
      <c r="M192" s="6" t="s">
        <v>1841</v>
      </c>
      <c r="N192" s="6" t="s">
        <v>815</v>
      </c>
    </row>
    <row r="193" spans="8:14" ht="12" x14ac:dyDescent="0.3">
      <c r="H193" s="6" t="s">
        <v>1070</v>
      </c>
      <c r="I193" s="6" t="s">
        <v>1071</v>
      </c>
      <c r="J193" s="6" t="s">
        <v>1072</v>
      </c>
      <c r="K193" s="6" t="s">
        <v>1073</v>
      </c>
      <c r="L193" s="6" t="s">
        <v>1074</v>
      </c>
      <c r="M193" s="6" t="s">
        <v>1841</v>
      </c>
      <c r="N193" s="6" t="s">
        <v>815</v>
      </c>
    </row>
    <row r="194" spans="8:14" ht="12" x14ac:dyDescent="0.3">
      <c r="H194" s="6" t="s">
        <v>1075</v>
      </c>
      <c r="I194" s="6" t="s">
        <v>1076</v>
      </c>
      <c r="J194" s="6" t="s">
        <v>1077</v>
      </c>
      <c r="K194" s="6" t="s">
        <v>1078</v>
      </c>
      <c r="L194" s="6" t="s">
        <v>1079</v>
      </c>
      <c r="M194" s="6" t="s">
        <v>1841</v>
      </c>
      <c r="N194" s="6" t="s">
        <v>815</v>
      </c>
    </row>
    <row r="195" spans="8:14" ht="12" x14ac:dyDescent="0.3">
      <c r="H195" s="6" t="s">
        <v>1080</v>
      </c>
      <c r="I195" s="6" t="s">
        <v>1081</v>
      </c>
      <c r="J195" s="6" t="s">
        <v>1082</v>
      </c>
      <c r="K195" s="6" t="s">
        <v>1083</v>
      </c>
      <c r="L195" s="6" t="s">
        <v>1084</v>
      </c>
      <c r="M195" s="6" t="s">
        <v>1841</v>
      </c>
      <c r="N195" s="6" t="s">
        <v>815</v>
      </c>
    </row>
    <row r="196" spans="8:14" ht="12" x14ac:dyDescent="0.3">
      <c r="H196" s="6" t="s">
        <v>1085</v>
      </c>
      <c r="I196" s="6" t="s">
        <v>1086</v>
      </c>
      <c r="J196" s="6" t="s">
        <v>1087</v>
      </c>
      <c r="K196" s="6" t="s">
        <v>1088</v>
      </c>
      <c r="L196" s="6" t="s">
        <v>1089</v>
      </c>
      <c r="M196" s="6" t="s">
        <v>1841</v>
      </c>
      <c r="N196" s="6" t="s">
        <v>815</v>
      </c>
    </row>
    <row r="197" spans="8:14" ht="12" x14ac:dyDescent="0.3">
      <c r="H197" s="6" t="s">
        <v>1090</v>
      </c>
      <c r="I197" s="6" t="s">
        <v>1091</v>
      </c>
      <c r="J197" s="6" t="s">
        <v>1092</v>
      </c>
      <c r="K197" s="6" t="s">
        <v>1093</v>
      </c>
      <c r="L197" s="6" t="s">
        <v>1094</v>
      </c>
      <c r="M197" s="6" t="s">
        <v>1841</v>
      </c>
      <c r="N197" s="6" t="s">
        <v>815</v>
      </c>
    </row>
    <row r="198" spans="8:14" ht="12" x14ac:dyDescent="0.3">
      <c r="H198" s="6" t="s">
        <v>1095</v>
      </c>
      <c r="I198" s="6" t="s">
        <v>1096</v>
      </c>
      <c r="J198" s="6" t="s">
        <v>1097</v>
      </c>
      <c r="K198" s="6" t="s">
        <v>1098</v>
      </c>
      <c r="L198" s="6" t="s">
        <v>1099</v>
      </c>
      <c r="M198" s="6" t="s">
        <v>1841</v>
      </c>
      <c r="N198" s="6" t="s">
        <v>815</v>
      </c>
    </row>
    <row r="199" spans="8:14" ht="12" x14ac:dyDescent="0.3">
      <c r="H199" s="6" t="s">
        <v>1100</v>
      </c>
      <c r="I199" s="6" t="s">
        <v>1101</v>
      </c>
      <c r="J199" s="6" t="s">
        <v>1102</v>
      </c>
      <c r="K199" s="6" t="s">
        <v>1103</v>
      </c>
      <c r="L199" s="6" t="s">
        <v>1104</v>
      </c>
      <c r="M199" s="6" t="s">
        <v>1841</v>
      </c>
      <c r="N199" s="6" t="s">
        <v>815</v>
      </c>
    </row>
    <row r="200" spans="8:14" ht="12" x14ac:dyDescent="0.3">
      <c r="H200" s="6" t="s">
        <v>1105</v>
      </c>
      <c r="I200" s="6" t="s">
        <v>1106</v>
      </c>
      <c r="J200" s="6" t="s">
        <v>1107</v>
      </c>
      <c r="K200" s="6" t="s">
        <v>1108</v>
      </c>
      <c r="L200" s="6" t="s">
        <v>1109</v>
      </c>
      <c r="M200" s="6" t="s">
        <v>1841</v>
      </c>
      <c r="N200" s="6" t="s">
        <v>815</v>
      </c>
    </row>
    <row r="201" spans="8:14" ht="12" x14ac:dyDescent="0.3">
      <c r="H201" s="6" t="s">
        <v>1110</v>
      </c>
      <c r="I201" s="6" t="s">
        <v>1111</v>
      </c>
      <c r="J201" s="6" t="s">
        <v>1112</v>
      </c>
      <c r="K201" s="6" t="s">
        <v>1113</v>
      </c>
      <c r="L201" s="6" t="s">
        <v>1114</v>
      </c>
      <c r="M201" s="6" t="s">
        <v>1841</v>
      </c>
      <c r="N201" s="6" t="s">
        <v>815</v>
      </c>
    </row>
    <row r="202" spans="8:14" ht="12" x14ac:dyDescent="0.3">
      <c r="H202" s="6" t="s">
        <v>1115</v>
      </c>
      <c r="I202" s="6" t="s">
        <v>1116</v>
      </c>
      <c r="J202" s="6" t="s">
        <v>1117</v>
      </c>
      <c r="K202" s="6" t="s">
        <v>1118</v>
      </c>
      <c r="L202" s="6" t="s">
        <v>1119</v>
      </c>
      <c r="M202" s="6" t="s">
        <v>1841</v>
      </c>
      <c r="N202" s="123" t="s">
        <v>816</v>
      </c>
    </row>
    <row r="203" spans="8:14" ht="12" x14ac:dyDescent="0.3">
      <c r="H203" s="6" t="s">
        <v>1120</v>
      </c>
      <c r="I203" s="6" t="s">
        <v>1121</v>
      </c>
      <c r="J203" s="6" t="s">
        <v>1122</v>
      </c>
      <c r="K203" s="6"/>
      <c r="L203" s="6"/>
      <c r="M203" s="6" t="s">
        <v>1841</v>
      </c>
      <c r="N203" s="123" t="s">
        <v>816</v>
      </c>
    </row>
    <row r="204" spans="8:14" ht="12" x14ac:dyDescent="0.3">
      <c r="H204" s="6" t="s">
        <v>1123</v>
      </c>
      <c r="I204" s="6" t="s">
        <v>1124</v>
      </c>
      <c r="J204" s="6" t="s">
        <v>1125</v>
      </c>
      <c r="K204" s="6" t="s">
        <v>1126</v>
      </c>
      <c r="L204" s="6" t="s">
        <v>1127</v>
      </c>
      <c r="M204" s="122" t="s">
        <v>1841</v>
      </c>
      <c r="N204" s="124" t="s">
        <v>818</v>
      </c>
    </row>
  </sheetData>
  <sheetProtection algorithmName="SHA-512" hashValue="SnQbcStT/y6JzUg7JkBFT1sz0QLrOO9nhWh5CBHlhefNsq8QvBDuWVhEM27rDJlAjA36A16C+ktraVcwPuyVNw==" saltValue="uc6w/pxvA6N6/QXSpGGsQQ==" spinCount="100000" sheet="1" objects="1" scenarios="1" formatCells="0" autoFilter="0"/>
  <sortState xmlns:xlrd2="http://schemas.microsoft.com/office/spreadsheetml/2017/richdata2" ref="A3:F160">
    <sortCondition ref="C3:C160"/>
    <sortCondition ref="A3:A160"/>
  </sortState>
  <mergeCells count="8">
    <mergeCell ref="T15:U15"/>
    <mergeCell ref="T23:U23"/>
    <mergeCell ref="T31:U31"/>
    <mergeCell ref="T37:U37"/>
    <mergeCell ref="A1:F1"/>
    <mergeCell ref="H1:N1"/>
    <mergeCell ref="P1:R1"/>
    <mergeCell ref="T1:U1"/>
  </mergeCells>
  <phoneticPr fontId="0" type="noConversion"/>
  <pageMargins left="0.45" right="0.44" top="0.36" bottom="0.4" header="0.23" footer="0.32"/>
  <pageSetup paperSize="9" scale="54" fitToWidth="3" orientation="portrait" r:id="rId1"/>
  <headerFooter alignWithMargins="0"/>
  <colBreaks count="1" manualBreakCount="1">
    <brk id="1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H52"/>
  <sheetViews>
    <sheetView showGridLines="0" zoomScaleNormal="100" workbookViewId="0">
      <selection sqref="A1:H1"/>
    </sheetView>
  </sheetViews>
  <sheetFormatPr defaultColWidth="8" defaultRowHeight="12" x14ac:dyDescent="0.3"/>
  <cols>
    <col min="1" max="1" width="6" style="160" bestFit="1" customWidth="1"/>
    <col min="2" max="2" width="10.36328125" style="160" bestFit="1" customWidth="1"/>
    <col min="3" max="3" width="5.36328125" style="160" bestFit="1" customWidth="1"/>
    <col min="4" max="4" width="19.36328125" style="160" customWidth="1"/>
    <col min="5" max="5" width="14.36328125" style="160" customWidth="1"/>
    <col min="6" max="6" width="27.453125" style="160" bestFit="1" customWidth="1"/>
    <col min="7" max="7" width="13.90625" style="160" bestFit="1" customWidth="1"/>
    <col min="8" max="8" width="86.453125" style="160" customWidth="1"/>
    <col min="9" max="16384" width="8" style="160"/>
  </cols>
  <sheetData>
    <row r="1" spans="1:8" x14ac:dyDescent="0.3">
      <c r="A1" s="305" t="str">
        <f>VLOOKUP("G00",tblTrans3Langs[],LangNameID,FALSE) &amp;" ( "&amp;Idiom&amp;" )"</f>
        <v>Instructions to complete the form ( ENG )</v>
      </c>
      <c r="B1" s="305"/>
      <c r="C1" s="305"/>
      <c r="D1" s="305"/>
      <c r="E1" s="305"/>
      <c r="F1" s="305"/>
      <c r="G1" s="305"/>
      <c r="H1" s="305"/>
    </row>
    <row r="2" spans="1:8" x14ac:dyDescent="0.3">
      <c r="A2" s="306" t="str">
        <f>VLOOKUP("G01",tblTrans3Langs[],LangFieldID,FALSE)</f>
        <v>General</v>
      </c>
      <c r="B2" s="306"/>
      <c r="C2" s="306"/>
      <c r="D2" s="306"/>
      <c r="E2" s="306"/>
      <c r="F2" s="306"/>
      <c r="G2" s="161"/>
      <c r="H2" s="162"/>
    </row>
    <row r="3" spans="1:8" x14ac:dyDescent="0.3">
      <c r="A3" s="163" t="s">
        <v>1656</v>
      </c>
      <c r="B3" s="307" t="str">
        <f>VLOOKUP("G01a",tblTrans3Langs[],LangNameID,FALSE)</f>
        <v>Complete as far as possible the Header and Detail sections (don't leave fields empty when information is known)</v>
      </c>
      <c r="C3" s="307"/>
      <c r="D3" s="307"/>
      <c r="E3" s="307"/>
      <c r="F3" s="307"/>
      <c r="G3" s="307"/>
      <c r="H3" s="307"/>
    </row>
    <row r="4" spans="1:8" x14ac:dyDescent="0.3">
      <c r="A4" s="163" t="s">
        <v>1657</v>
      </c>
      <c r="B4" s="307" t="str">
        <f>VLOOKUP("G01b",tblTrans3Langs[],LangNameID,FALSE)</f>
        <v>In Header section, only white cells can be filled (manually or by selecting from the Combo Box the corresponding code)</v>
      </c>
      <c r="C4" s="307"/>
      <c r="D4" s="307"/>
      <c r="E4" s="307"/>
      <c r="F4" s="307"/>
      <c r="G4" s="307"/>
      <c r="H4" s="307"/>
    </row>
    <row r="5" spans="1:8" x14ac:dyDescent="0.3">
      <c r="A5" s="163" t="s">
        <v>1658</v>
      </c>
      <c r="B5" s="307" t="str">
        <f>VLOOKUP("G01c",tblTrans3Langs[],LangNameID,FALSE)</f>
        <v>Always use ICCAT standard codes (when element "OTHERS" of various fields is required it must be explicitly described in "Notes")</v>
      </c>
      <c r="C5" s="307"/>
      <c r="D5" s="307"/>
      <c r="E5" s="307"/>
      <c r="F5" s="307"/>
      <c r="G5" s="307"/>
      <c r="H5" s="307"/>
    </row>
    <row r="6" spans="1:8" x14ac:dyDescent="0.3">
      <c r="A6" s="163" t="s">
        <v>1659</v>
      </c>
      <c r="B6" s="307" t="str">
        <f>VLOOKUP("G01d",tblTrans3Langs[],LangNameID,FALSE)</f>
        <v>Recommendation for users with databases: To paste an entire dataset into the Detail section (must have the same structure and format) use "Paste special (values)"</v>
      </c>
      <c r="C6" s="307"/>
      <c r="D6" s="307"/>
      <c r="E6" s="307"/>
      <c r="F6" s="307"/>
      <c r="G6" s="307"/>
      <c r="H6" s="307"/>
    </row>
    <row r="7" spans="1:8" x14ac:dyDescent="0.3">
      <c r="A7" s="163" t="s">
        <v>1678</v>
      </c>
      <c r="B7" s="307" t="str">
        <f>VLOOKUP("G01e",tblTrans3Langs[],LangNameID,FALSE)</f>
        <v>Leave "blank" the fields for which you don't collect information</v>
      </c>
      <c r="C7" s="307"/>
      <c r="D7" s="307"/>
      <c r="E7" s="307"/>
      <c r="F7" s="307"/>
      <c r="G7" s="307"/>
      <c r="H7" s="307"/>
    </row>
    <row r="8" spans="1:8" x14ac:dyDescent="0.3">
      <c r="A8" s="162"/>
      <c r="B8" s="162"/>
      <c r="C8" s="162"/>
      <c r="D8" s="162"/>
      <c r="E8" s="162"/>
      <c r="F8" s="162"/>
      <c r="G8" s="164"/>
      <c r="H8" s="162"/>
    </row>
    <row r="9" spans="1:8" x14ac:dyDescent="0.3">
      <c r="A9" s="308" t="str">
        <f>VLOOKUP("S00",tblTrans3Langs[],LangFieldID,FALSE)</f>
        <v>Specific (by field)</v>
      </c>
      <c r="B9" s="308"/>
      <c r="C9" s="308"/>
      <c r="D9" s="308"/>
      <c r="E9" s="308"/>
      <c r="F9" s="308"/>
      <c r="G9" s="165"/>
      <c r="H9" s="166"/>
    </row>
    <row r="10" spans="1:8" x14ac:dyDescent="0.3">
      <c r="A10" s="167" t="str">
        <f>VLOOKUP("SC01",tblTrans3Langs[],LangFieldID,FALSE)</f>
        <v>Form</v>
      </c>
      <c r="B10" s="167" t="str">
        <f>VLOOKUP("SC02",tblTrans3Langs[],LangFieldID,FALSE)</f>
        <v>Sub-form</v>
      </c>
      <c r="C10" s="167" t="str">
        <f>VLOOKUP("SC03",tblTrans3Langs[],LangFieldID,FALSE)</f>
        <v>Part</v>
      </c>
      <c r="D10" s="167" t="str">
        <f>VLOOKUP("SC04",tblTrans3Langs[],LangFieldID,FALSE)</f>
        <v>Section</v>
      </c>
      <c r="E10" s="167" t="str">
        <f>VLOOKUP("SC05",tblTrans3Langs[],LangFieldID,FALSE)</f>
        <v>Sub-section</v>
      </c>
      <c r="F10" s="167" t="str">
        <f>VLOOKUP("SC06",tblTrans3Langs[],LangFieldID,FALSE)</f>
        <v>Field (name)</v>
      </c>
      <c r="G10" s="168" t="str">
        <f>VLOOKUP("SC07",tblTrans3Langs[],LangFieldID,FALSE)</f>
        <v>Field (format)</v>
      </c>
      <c r="H10" s="167" t="str">
        <f>VLOOKUP("SC08",tblTrans3Langs[],LangFieldID,FALSE)</f>
        <v>Description</v>
      </c>
    </row>
    <row r="11" spans="1:8" x14ac:dyDescent="0.3">
      <c r="A11" s="316" t="str">
        <f>VLOOKUP("T00",tblTrans3Langs[],LangFieldID,FALSE)</f>
        <v>ST10-PrtSmp</v>
      </c>
      <c r="B11" s="316" t="str">
        <f>VLOOKUP("T03",tblTrans3Langs[],LangFieldID,FALSE)</f>
        <v>ST10A</v>
      </c>
      <c r="C11" s="292" t="str">
        <f>VLOOKUP("T02",tblTrans3Langs[],LangFieldID,FALSE)</f>
        <v>Title</v>
      </c>
      <c r="D11" s="292"/>
      <c r="E11" s="292"/>
      <c r="F11" s="169" t="str">
        <f>VLOOKUP("TvERSION",tblTrans3Langs[],LangFieldID,FALSE)</f>
        <v>Version</v>
      </c>
      <c r="G11" s="170" t="str">
        <f>VLOOKUP("TvERSION",tblTrans3Langs[],7,FALSE)</f>
        <v>(fixed)</v>
      </c>
      <c r="H11" s="171" t="str">
        <f>VLOOKUP("TvERSION",tblTrans3Langs[],LangNameID,FALSE)</f>
        <v>Always use the lastest version of this form</v>
      </c>
    </row>
    <row r="12" spans="1:8" x14ac:dyDescent="0.3">
      <c r="A12" s="316"/>
      <c r="B12" s="316"/>
      <c r="C12" s="292"/>
      <c r="D12" s="293"/>
      <c r="E12" s="293"/>
      <c r="F12" s="169" t="str">
        <f>VLOOKUP("tLAng",tblTrans3Langs[],LangFieldID,FALSE)</f>
        <v>Language</v>
      </c>
      <c r="G12" s="170" t="str">
        <f>VLOOKUP("tLang",tblTrans3Langs[],7,FALSE)</f>
        <v>ICCAT code</v>
      </c>
      <c r="H12" s="172" t="str">
        <f>VLOOKUP("tLang",tblTrans3Langs[],LangNameID,FALSE)</f>
        <v>Choose the language (ENG, FRA, ESP) for form translation</v>
      </c>
    </row>
    <row r="13" spans="1:8" x14ac:dyDescent="0.3">
      <c r="A13" s="316"/>
      <c r="B13" s="316"/>
      <c r="C13" s="310" t="str">
        <f>VLOOKUP("H00",tblTrans3Langs[],LangFieldID,FALSE)</f>
        <v>Header</v>
      </c>
      <c r="D13" s="314" t="str">
        <f>VLOOKUP("H10",tblTrans3Langs[],LangFieldID,FALSE)</f>
        <v>Statistical correspondent</v>
      </c>
      <c r="E13" s="321" t="str">
        <f>VLOOKUP("H11",tblTrans3Langs[],LangFieldID,FALSE)</f>
        <v>Identification</v>
      </c>
      <c r="F13" s="173" t="str">
        <f>VLOOKUP("hName",tblTrans3Langs[],LangFieldID,FALSE)</f>
        <v>Name</v>
      </c>
      <c r="G13" s="170" t="str">
        <f>VLOOKUP("hName",tblTrans3Langs[],7,FALSE)</f>
        <v>string</v>
      </c>
      <c r="H13" s="172" t="str">
        <f>VLOOKUP("hName",tblTrans3Langs[],LangNameID,FALSE)</f>
        <v>Name (full OR Name &amp; Surname) of the Statistical Correspondent (officially nominated by the CPC)</v>
      </c>
    </row>
    <row r="14" spans="1:8" x14ac:dyDescent="0.3">
      <c r="A14" s="316"/>
      <c r="B14" s="316"/>
      <c r="C14" s="310"/>
      <c r="D14" s="315"/>
      <c r="E14" s="322"/>
      <c r="F14" s="173" t="str">
        <f>VLOOKUP("hEmail",tblTrans3Langs[],LangFieldID,FALSE)</f>
        <v>E-mail</v>
      </c>
      <c r="G14" s="170" t="str">
        <f>VLOOKUP("hEmail",tblTrans3Langs[],7,FALSE)</f>
        <v>string</v>
      </c>
      <c r="H14" s="172" t="str">
        <f>VLOOKUP("hEmail",tblTrans3Langs[],LangNameID,FALSE)</f>
        <v>Email address of the Statistical Correspondent</v>
      </c>
    </row>
    <row r="15" spans="1:8" x14ac:dyDescent="0.3">
      <c r="A15" s="316"/>
      <c r="B15" s="316"/>
      <c r="C15" s="310"/>
      <c r="D15" s="315"/>
      <c r="E15" s="322"/>
      <c r="F15" s="173" t="str">
        <f>VLOOKUP("hPhone",tblTrans3Langs[],LangFieldID,FALSE)</f>
        <v>Phone</v>
      </c>
      <c r="G15" s="170" t="str">
        <f>VLOOKUP("hPhone",tblTrans3Langs[],7,FALSE)</f>
        <v>string</v>
      </c>
      <c r="H15" s="172" t="str">
        <f>VLOOKUP("hPhone",tblTrans3Langs[],LangNameID,FALSE)</f>
        <v>Telephone number of the Statistical Correspondent</v>
      </c>
    </row>
    <row r="16" spans="1:8" x14ac:dyDescent="0.3">
      <c r="A16" s="316"/>
      <c r="B16" s="316"/>
      <c r="C16" s="310"/>
      <c r="D16" s="315"/>
      <c r="E16" s="322" t="str">
        <f>VLOOKUP("H12",tblTrans3Langs[],LangFieldID,FALSE)</f>
        <v>Affiliation</v>
      </c>
      <c r="F16" s="173" t="str">
        <f>VLOOKUP("hInstit",tblTrans3Langs[],LangFieldID,FALSE)</f>
        <v>Institution</v>
      </c>
      <c r="G16" s="170" t="str">
        <f>VLOOKUP("hInstit",tblTrans3Langs[],7,FALSE)</f>
        <v>string</v>
      </c>
      <c r="H16" s="172" t="str">
        <f>VLOOKUP("hInstit",tblTrans3Langs[],LangNameID,FALSE)</f>
        <v>Institute (ministry, agency, research Institute, etc.) to which the Statistical Correspondent is affiliated</v>
      </c>
    </row>
    <row r="17" spans="1:8" x14ac:dyDescent="0.3">
      <c r="A17" s="316"/>
      <c r="B17" s="316"/>
      <c r="C17" s="310"/>
      <c r="D17" s="315"/>
      <c r="E17" s="322"/>
      <c r="F17" s="173" t="str">
        <f>VLOOKUP("hDepart",tblTrans3Langs[],LangFieldID,FALSE)</f>
        <v>Department</v>
      </c>
      <c r="G17" s="170" t="str">
        <f>VLOOKUP("hDepart",tblTrans3Langs[],7,FALSE)</f>
        <v>string</v>
      </c>
      <c r="H17" s="172" t="str">
        <f>VLOOKUP("hDepart",tblTrans3Langs[],LangNameID,FALSE)</f>
        <v>Department within the Institution, where applicable</v>
      </c>
    </row>
    <row r="18" spans="1:8" x14ac:dyDescent="0.3">
      <c r="A18" s="316"/>
      <c r="B18" s="316"/>
      <c r="C18" s="310"/>
      <c r="D18" s="315"/>
      <c r="E18" s="322"/>
      <c r="F18" s="173" t="str">
        <f>VLOOKUP("hAddress",tblTrans3Langs[],LangFieldID,FALSE)</f>
        <v>Address</v>
      </c>
      <c r="G18" s="170" t="str">
        <f>VLOOKUP("hAddress",tblTrans3Langs[],7,FALSE)</f>
        <v>string</v>
      </c>
      <c r="H18" s="172" t="str">
        <f>VLOOKUP("hAddress",tblTrans3Langs[],LangNameID,FALSE)</f>
        <v>Postal address of the institution (street, number, city, state)</v>
      </c>
    </row>
    <row r="19" spans="1:8" x14ac:dyDescent="0.3">
      <c r="A19" s="316"/>
      <c r="B19" s="316"/>
      <c r="C19" s="310"/>
      <c r="D19" s="315"/>
      <c r="E19" s="322"/>
      <c r="F19" s="173" t="str">
        <f>VLOOKUP("hCountry",tblTrans3Langs[],LangFieldID,FALSE)</f>
        <v>Country</v>
      </c>
      <c r="G19" s="170" t="str">
        <f>VLOOKUP("hCountry",tblTrans3Langs[],7,FALSE)</f>
        <v>ICCAT code</v>
      </c>
      <c r="H19" s="172" t="str">
        <f>VLOOKUP("hCountry",tblTrans3Langs[],LangNameID,FALSE)</f>
        <v>Country in which the Institution is based</v>
      </c>
    </row>
    <row r="20" spans="1:8" x14ac:dyDescent="0.3">
      <c r="A20" s="316"/>
      <c r="B20" s="316"/>
      <c r="C20" s="310"/>
      <c r="D20" s="302" t="str">
        <f>VLOOKUP("H20",tblTrans3Langs[],LangFieldID,FALSE)</f>
        <v>Secretariat use only</v>
      </c>
      <c r="E20" s="174"/>
      <c r="F20" s="99" t="str">
        <f>VLOOKUP("hDaterep",tblTrans3Langs[],LangFieldID,FALSE)</f>
        <v>Date reported</v>
      </c>
      <c r="G20" s="47" t="str">
        <f>VLOOKUP("hDaterep",tblTrans3Langs[],7,FALSE)</f>
        <v>date</v>
      </c>
      <c r="H20" s="61" t="str">
        <f>VLOOKUP("hDaterep",tblTrans3Langs[],LangNameID,FALSE)</f>
        <v>Secretariat use only</v>
      </c>
    </row>
    <row r="21" spans="1:8" x14ac:dyDescent="0.3">
      <c r="A21" s="316"/>
      <c r="B21" s="316"/>
      <c r="C21" s="310"/>
      <c r="D21" s="303"/>
      <c r="E21" s="175"/>
      <c r="F21" s="99" t="str">
        <f>VLOOKUP("hRef",tblTrans3Langs[],LangFieldID,FALSE)</f>
        <v>Reference Nº</v>
      </c>
      <c r="G21" s="47" t="str">
        <f>VLOOKUP("hRef",tblTrans3Langs[],7,FALSE)</f>
        <v>ICCAT code</v>
      </c>
      <c r="H21" s="61" t="str">
        <f>VLOOKUP("hRef",tblTrans3Langs[],LangNameID,FALSE)</f>
        <v>Secretariat use only</v>
      </c>
    </row>
    <row r="22" spans="1:8" x14ac:dyDescent="0.3">
      <c r="A22" s="316"/>
      <c r="B22" s="316"/>
      <c r="C22" s="310"/>
      <c r="D22" s="303"/>
      <c r="E22" s="175"/>
      <c r="F22" s="99" t="str">
        <f>VLOOKUP("hFname",tblTrans3Langs[],LangFieldID,FALSE)</f>
        <v>File name (proposed)</v>
      </c>
      <c r="G22" s="47" t="str">
        <f>VLOOKUP("hFname",tblTrans3Langs[],7,FALSE)</f>
        <v>string</v>
      </c>
      <c r="H22" s="61" t="str">
        <f>VLOOKUP("hFname",tblTrans3Langs[],LangNameID,FALSE)</f>
        <v>Send the form to ICCAT with the proposed file name (if required, suffix it with an ID at the end)</v>
      </c>
    </row>
    <row r="23" spans="1:8" x14ac:dyDescent="0.3">
      <c r="A23" s="316"/>
      <c r="B23" s="316"/>
      <c r="C23" s="310"/>
      <c r="D23" s="303"/>
      <c r="E23" s="176" t="str">
        <f>VLOOKUP("H21",tblTrans3Langs[],LangFieldID,FALSE)</f>
        <v>Filtering criteria</v>
      </c>
      <c r="F23" s="99" t="str">
        <f>VLOOKUP("hFilter1",tblTrans3Langs[],LangFieldID,FALSE)</f>
        <v>Filter 1</v>
      </c>
      <c r="G23" s="47" t="str">
        <f>VLOOKUP("hFilter1",tblTrans3Langs[],7,FALSE)</f>
        <v>boolean</v>
      </c>
      <c r="H23" s="61" t="str">
        <f>VLOOKUP("hFilter1",tblTrans3Langs[],LangNameID,FALSE)</f>
        <v>Secretariat use only</v>
      </c>
    </row>
    <row r="24" spans="1:8" x14ac:dyDescent="0.3">
      <c r="A24" s="316"/>
      <c r="B24" s="316"/>
      <c r="C24" s="310"/>
      <c r="D24" s="304"/>
      <c r="E24" s="177"/>
      <c r="F24" s="99" t="str">
        <f>VLOOKUP("hFilter2",tblTrans3Langs[],LangFieldID,FALSE)</f>
        <v>Filter 2</v>
      </c>
      <c r="G24" s="47" t="str">
        <f>VLOOKUP("hFilter2",tblTrans3Langs[],7,FALSE)</f>
        <v>boolean</v>
      </c>
      <c r="H24" s="61" t="str">
        <f>VLOOKUP("hFilter2",tblTrans3Langs[],LangNameID,FALSE)</f>
        <v>Secretariat use only</v>
      </c>
    </row>
    <row r="25" spans="1:8" x14ac:dyDescent="0.3">
      <c r="A25" s="316"/>
      <c r="B25" s="316"/>
      <c r="C25" s="311"/>
      <c r="D25" s="294" t="str">
        <f>VLOOKUP("H30",tblTrans3Langs[],LangFieldID,FALSE)</f>
        <v>Data set characteristics</v>
      </c>
      <c r="E25" s="295"/>
      <c r="F25" s="178" t="str">
        <f>VLOOKUP("hFlagrep",tblTrans3Langs[],LangFieldID,FALSE)</f>
        <v>Reporting Flag</v>
      </c>
      <c r="G25" s="170" t="str">
        <f>VLOOKUP("hFlagrep",tblTrans3Langs[],7,FALSE)</f>
        <v>ICCAT code</v>
      </c>
      <c r="H25" s="172" t="str">
        <f>VLOOKUP("hFlagrep",tblTrans3Langs[],LangNameID,FALSE)</f>
        <v>Choose the Flag CPC reporting the data (ICCAT codes)</v>
      </c>
    </row>
    <row r="26" spans="1:8" x14ac:dyDescent="0.3">
      <c r="A26" s="316"/>
      <c r="B26" s="316"/>
      <c r="C26" s="311"/>
      <c r="D26" s="296"/>
      <c r="E26" s="297"/>
      <c r="F26" s="178" t="str">
        <f>VLOOKUP("hYearC",tblTrans3Langs[],LangFieldID,FALSE)</f>
        <v>Year (calendar)</v>
      </c>
      <c r="G26" s="170" t="str">
        <f>VLOOKUP("hYearC",tblTrans3Langs[],7,FALSE)</f>
        <v>integer</v>
      </c>
      <c r="H26" s="172" t="str">
        <f>VLOOKUP("hYearC",tblTrans3Langs[],LangNameID,FALSE)</f>
        <v>Calendar year (4 digits) to which the data relate</v>
      </c>
    </row>
    <row r="27" spans="1:8" x14ac:dyDescent="0.3">
      <c r="A27" s="316"/>
      <c r="B27" s="316"/>
      <c r="C27" s="311"/>
      <c r="D27" s="296"/>
      <c r="E27" s="297"/>
      <c r="F27" s="178" t="str">
        <f>VLOOKUP("hLandingPort",tblTrans3Langs[],LangFieldID,FALSE)</f>
        <v>Landing/sampling Port (name)</v>
      </c>
      <c r="G27" s="170" t="str">
        <f>VLOOKUP("hLandingPort",tblTrans3Langs[],7,FALSE)</f>
        <v>string</v>
      </c>
      <c r="H27" s="172" t="str">
        <f>VLOOKUP("hLandingPort",tblTrans3Langs[],LangNameID,FALSE)</f>
        <v>Indicate the port of landing and sampling</v>
      </c>
    </row>
    <row r="28" spans="1:8" x14ac:dyDescent="0.3">
      <c r="A28" s="316"/>
      <c r="B28" s="316"/>
      <c r="C28" s="311"/>
      <c r="D28" s="296"/>
      <c r="E28" s="297"/>
      <c r="F28" s="178" t="str">
        <f>VLOOKUP("hVersion",tblTrans3Langs[],LangFieldID,FALSE)</f>
        <v>Version reported</v>
      </c>
      <c r="G28" s="170" t="str">
        <f>VLOOKUP("hVersion",tblTrans3Langs[],7,FALSE)</f>
        <v>ICCAT code</v>
      </c>
      <c r="H28" s="172" t="str">
        <f>VLOOKUP("hVersion",tblTrans3Langs[],LangNameID,FALSE)</f>
        <v>Specify if this submission is Preliminary (subject to revision) or Final (already validated)</v>
      </c>
    </row>
    <row r="29" spans="1:8" x14ac:dyDescent="0.3">
      <c r="A29" s="316"/>
      <c r="B29" s="316"/>
      <c r="C29" s="311"/>
      <c r="D29" s="298"/>
      <c r="E29" s="299"/>
      <c r="F29" s="178" t="str">
        <f>VLOOKUP("hContent",tblTrans3Langs[],LangFieldID,FALSE)</f>
        <v>Content (data)</v>
      </c>
      <c r="G29" s="170" t="str">
        <f>VLOOKUP("hContent",tblTrans3Langs[],7,FALSE)</f>
        <v>ICCAT code</v>
      </c>
      <c r="H29" s="172" t="str">
        <f>VLOOKUP("hContent",tblTrans3Langs[],LangNameID,FALSE)</f>
        <v>Specify if the overall data content is NEW (full set OR partial set) OR a REVISION (full set OR partial set)</v>
      </c>
    </row>
    <row r="30" spans="1:8" x14ac:dyDescent="0.3">
      <c r="A30" s="316"/>
      <c r="B30" s="316"/>
      <c r="C30" s="312"/>
      <c r="D30" s="300" t="str">
        <f>VLOOKUP("H40",tblTrans3Langs[],LangFieldID,FALSE)</f>
        <v>Other attributes</v>
      </c>
      <c r="E30" s="301"/>
      <c r="F30" s="179" t="str">
        <f>VLOOKUP("hNotes",tblTrans3Langs[],LangFieldID,FALSE)</f>
        <v>Notes</v>
      </c>
      <c r="G30" s="180" t="str">
        <f>VLOOKUP("hNotes",tblTrans3Langs[],7,FALSE)</f>
        <v>string</v>
      </c>
      <c r="H30" s="172" t="str">
        <f>VLOOKUP("hNotes",tblTrans3Langs[],LangNameID,FALSE)</f>
        <v>Add additional (complementary) notes in respect to the overall dataset (if needed)</v>
      </c>
    </row>
    <row r="31" spans="1:8" x14ac:dyDescent="0.3">
      <c r="A31" s="316"/>
      <c r="B31" s="316"/>
      <c r="C31" s="317" t="str">
        <f>VLOOKUP("D00",tblTrans3Langs[],LangFieldID,FALSE)</f>
        <v>Detail</v>
      </c>
      <c r="D31" s="313" t="str">
        <f>VLOOKUP("D10",tblTrans3Langs[],LangFieldID,FALSE)</f>
        <v>Landing operation details</v>
      </c>
      <c r="E31" s="313"/>
      <c r="F31" s="181" t="str">
        <f>VLOOKUP("LandingID",tblTrans3Langs[],LangFieldID,FALSE)</f>
        <v>Landing ID (secuencial number)</v>
      </c>
      <c r="G31" s="170" t="str">
        <f>VLOOKUP("LandingID",tblTrans3Langs[],7,FALSE)</f>
        <v>integer</v>
      </c>
      <c r="H31" s="171" t="str">
        <f>VLOOKUP("LandingID",tblTrans3Langs[],LangNameID,FALSE)</f>
        <v xml:space="preserve">Corresponding "Landing ID" number for this size sample </v>
      </c>
    </row>
    <row r="32" spans="1:8" x14ac:dyDescent="0.3">
      <c r="A32" s="316"/>
      <c r="B32" s="316"/>
      <c r="C32" s="317"/>
      <c r="D32" s="313"/>
      <c r="E32" s="313"/>
      <c r="F32" s="178" t="str">
        <f>VLOOKUP("DtLanding",tblTrans3Langs[],LangFieldID,FALSE)</f>
        <v>Landing date (yyyy/mm/dd)</v>
      </c>
      <c r="G32" s="170" t="str">
        <f>VLOOKUP("DtLanding",tblTrans3Langs[],7,FALSE)</f>
        <v>date</v>
      </c>
      <c r="H32" s="172" t="str">
        <f>VLOOKUP("DtLanding",tblTrans3Langs[],LangNameID,FALSE)</f>
        <v>Specify the date of the landing operation (e.g. 2014/03/25 format)</v>
      </c>
    </row>
    <row r="33" spans="1:8" x14ac:dyDescent="0.3">
      <c r="A33" s="316"/>
      <c r="B33" s="316"/>
      <c r="C33" s="317"/>
      <c r="D33" s="313"/>
      <c r="E33" s="313"/>
      <c r="F33" s="181" t="str">
        <f>VLOOKUP("ICCATSerialNo",tblTrans3Langs[],LangFieldID,FALSE)</f>
        <v>Vessel ICCAT Serial number</v>
      </c>
      <c r="G33" s="170" t="str">
        <f>VLOOKUP("ICCATSerialNo",tblTrans3Langs[],7,FALSE)</f>
        <v>ICCAT code</v>
      </c>
      <c r="H33" s="172" t="str">
        <f>VLOOKUP("ICCATSerialNo",tblTrans3Langs[],LangNameID,FALSE)</f>
        <v>Enter the ICCAT Vessel Serial Number if applicable</v>
      </c>
    </row>
    <row r="34" spans="1:8" x14ac:dyDescent="0.3">
      <c r="A34" s="316"/>
      <c r="B34" s="316"/>
      <c r="C34" s="317"/>
      <c r="D34" s="313"/>
      <c r="E34" s="313"/>
      <c r="F34" s="178" t="str">
        <f>VLOOKUP("VesselName",tblTrans3Langs[],LangFieldID,FALSE)</f>
        <v>Vessel name (latin)</v>
      </c>
      <c r="G34" s="170" t="str">
        <f>VLOOKUP("VesselName",tblTrans3Langs[],7,FALSE)</f>
        <v>string</v>
      </c>
      <c r="H34" s="172" t="str">
        <f>VLOOKUP("VesselName",tblTrans3Langs[],LangNameID,FALSE)</f>
        <v>Vessel name in latin script</v>
      </c>
    </row>
    <row r="35" spans="1:8" x14ac:dyDescent="0.3">
      <c r="A35" s="316"/>
      <c r="B35" s="316"/>
      <c r="C35" s="317"/>
      <c r="D35" s="313"/>
      <c r="E35" s="313"/>
      <c r="F35" s="178" t="str">
        <f>VLOOKUP('ST10A-PrtSmp'!$E$26,tblTrans3Langs[],LangFieldID,FALSE)</f>
        <v>Vessel National Register number</v>
      </c>
      <c r="G35" s="170" t="str">
        <f>VLOOKUP('ST10A-PrtSmp'!$E$26,tblTrans3Langs[],7,FALSE)</f>
        <v>string</v>
      </c>
      <c r="H35" s="172" t="str">
        <f>VLOOKUP('ST10A-PrtSmp'!$E$26,tblTrans3Langs[],LangNameID,FALSE)</f>
        <v>If the vessel does not have an ICCAT Serial Number, please enter National Register Number</v>
      </c>
    </row>
    <row r="36" spans="1:8" x14ac:dyDescent="0.3">
      <c r="A36" s="316"/>
      <c r="B36" s="316"/>
      <c r="C36" s="317"/>
      <c r="D36" s="313"/>
      <c r="E36" s="313"/>
      <c r="F36" s="178" t="str">
        <f>VLOOKUP("FlagVesCd",tblTrans3Langs[],LangFieldID,FALSE)</f>
        <v>Flag of Vessel (cod)</v>
      </c>
      <c r="G36" s="170" t="str">
        <f>VLOOKUP("FlagVesCd",tblTrans3Langs[],7,FALSE)</f>
        <v>ICCAT code</v>
      </c>
      <c r="H36" s="172" t="str">
        <f>VLOOKUP("FlagVesCd",tblTrans3Langs[],LangNameID,FALSE)</f>
        <v>Choose the flag of the vessel for which the data apply (whether national or foreign flagged vessel)</v>
      </c>
    </row>
    <row r="37" spans="1:8" x14ac:dyDescent="0.3">
      <c r="A37" s="316"/>
      <c r="B37" s="316"/>
      <c r="C37" s="317"/>
      <c r="D37" s="313"/>
      <c r="E37" s="313"/>
      <c r="F37" s="178" t="str">
        <f>VLOOKUP("GearCd",tblTrans3Langs[],LangFieldID,FALSE)</f>
        <v>Gear (cod)</v>
      </c>
      <c r="G37" s="170" t="str">
        <f>VLOOKUP("GearCd",tblTrans3Langs[],7,FALSE)</f>
        <v>ICCAT code</v>
      </c>
      <c r="H37" s="172" t="str">
        <f>VLOOKUP("GearCd",tblTrans3Langs[],LangNameID,FALSE)</f>
        <v>Choose the Gear code (ICCAT codes)</v>
      </c>
    </row>
    <row r="38" spans="1:8" x14ac:dyDescent="0.3">
      <c r="A38" s="316"/>
      <c r="B38" s="316"/>
      <c r="C38" s="317"/>
      <c r="D38" s="313" t="str">
        <f>VLOOKUP("D20",tblTrans3Langs[],LangFieldID,FALSE)</f>
        <v>Landings (YFT, BET, SKJ)</v>
      </c>
      <c r="E38" s="291" t="s">
        <v>27</v>
      </c>
      <c r="F38" s="57" t="str">
        <f>VLOOKUP("YFTw",tblTrans3Langs[],LangFieldID,FALSE)</f>
        <v>Weight (kg)</v>
      </c>
      <c r="G38" s="47" t="str">
        <f>VLOOKUP("YFTw",tblTrans3Langs[],7,FALSE)</f>
        <v>float</v>
      </c>
      <c r="H38" s="61" t="str">
        <f>VLOOKUP("YFTw",tblTrans3Langs[],LangNameID,FALSE)</f>
        <v>Indicate the landed catch (kg) for each of the tuna species</v>
      </c>
    </row>
    <row r="39" spans="1:8" x14ac:dyDescent="0.3">
      <c r="A39" s="316"/>
      <c r="B39" s="316"/>
      <c r="C39" s="317"/>
      <c r="D39" s="313"/>
      <c r="E39" s="291"/>
      <c r="F39" s="57" t="str">
        <f>VLOOKUP("YFTpt",tblTrans3Langs[],LangFieldID,FALSE)</f>
        <v>Product type</v>
      </c>
      <c r="G39" s="47" t="str">
        <f>VLOOKUP("YFTpt",tblTrans3Langs[],7,FALSE)</f>
        <v>ICCAT code</v>
      </c>
      <c r="H39" s="61" t="str">
        <f>VLOOKUP("YFTpt",tblTrans3Langs[],LangNameID,FALSE)</f>
        <v>Choose the type of product landed (ICCAT Codes)</v>
      </c>
    </row>
    <row r="40" spans="1:8" x14ac:dyDescent="0.3">
      <c r="A40" s="316"/>
      <c r="B40" s="316"/>
      <c r="C40" s="317"/>
      <c r="D40" s="313"/>
      <c r="E40" s="291" t="s">
        <v>40</v>
      </c>
      <c r="F40" s="57" t="str">
        <f>VLOOKUP("BETw",tblTrans3Langs[],LangFieldID,FALSE)</f>
        <v>Weight (kg)</v>
      </c>
      <c r="G40" s="47" t="str">
        <f>VLOOKUP("BETw",tblTrans3Langs[],7,FALSE)</f>
        <v>float</v>
      </c>
      <c r="H40" s="61" t="str">
        <f>VLOOKUP("BETw",tblTrans3Langs[],LangNameID,FALSE)</f>
        <v>Indicate the landed catch (kg) for each of the tuna species</v>
      </c>
    </row>
    <row r="41" spans="1:8" x14ac:dyDescent="0.3">
      <c r="A41" s="316"/>
      <c r="B41" s="316"/>
      <c r="C41" s="317"/>
      <c r="D41" s="313"/>
      <c r="E41" s="291"/>
      <c r="F41" s="57" t="str">
        <f>VLOOKUP("BETpt",tblTrans3Langs[],LangFieldID,FALSE)</f>
        <v>Product type</v>
      </c>
      <c r="G41" s="47" t="str">
        <f>VLOOKUP("BETpt",tblTrans3Langs[],7,FALSE)</f>
        <v>ICCAT code</v>
      </c>
      <c r="H41" s="61" t="str">
        <f>VLOOKUP("BETpt",tblTrans3Langs[],LangNameID,FALSE)</f>
        <v>Choose the type of product landed (ICCAT Codes)</v>
      </c>
    </row>
    <row r="42" spans="1:8" x14ac:dyDescent="0.3">
      <c r="A42" s="316"/>
      <c r="B42" s="316"/>
      <c r="C42" s="317"/>
      <c r="D42" s="313"/>
      <c r="E42" s="291" t="s">
        <v>56</v>
      </c>
      <c r="F42" s="57" t="str">
        <f>VLOOKUP("SKJw",tblTrans3Langs[],LangFieldID,FALSE)</f>
        <v>Weight (kg)</v>
      </c>
      <c r="G42" s="47" t="str">
        <f>VLOOKUP("SKJw",tblTrans3Langs[],7,FALSE)</f>
        <v>float</v>
      </c>
      <c r="H42" s="61" t="str">
        <f>VLOOKUP("SKJw",tblTrans3Langs[],LangNameID,FALSE)</f>
        <v>Indicate the landed catch (kg) for each of the tuna species</v>
      </c>
    </row>
    <row r="43" spans="1:8" x14ac:dyDescent="0.3">
      <c r="A43" s="316"/>
      <c r="B43" s="316"/>
      <c r="C43" s="317"/>
      <c r="D43" s="313"/>
      <c r="E43" s="291"/>
      <c r="F43" s="57" t="str">
        <f>VLOOKUP("SKJpt",tblTrans3Langs[],LangFieldID,FALSE)</f>
        <v>Product type</v>
      </c>
      <c r="G43" s="47" t="str">
        <f>VLOOKUP("SKJpt",tblTrans3Langs[],7,FALSE)</f>
        <v>ICCAT code</v>
      </c>
      <c r="H43" s="61" t="str">
        <f>VLOOKUP("SKJpt",tblTrans3Langs[],LangNameID,FALSE)</f>
        <v>Choose the type of product landed (ICCAT Codes)</v>
      </c>
    </row>
    <row r="44" spans="1:8" x14ac:dyDescent="0.3">
      <c r="A44" s="316"/>
      <c r="B44" s="316"/>
      <c r="C44" s="317"/>
      <c r="D44" s="291" t="str">
        <f>VLOOKUP("D30",tblTrans3Langs[],LangFieldID,FALSE)</f>
        <v>Sampling (size availability)</v>
      </c>
      <c r="E44" s="291"/>
      <c r="F44" s="97" t="str">
        <f>VLOOKUP("SzDataYN",tblTrans3Langs[],LangFieldID,FALSE)</f>
        <v>Landings with samples (Y/N ?</v>
      </c>
      <c r="G44" s="47" t="str">
        <f>VLOOKUP("SzDataYN",tblTrans3Langs[],7,FALSE)</f>
        <v>boolean</v>
      </c>
      <c r="H44" s="98" t="str">
        <f>VLOOKUP("SzDataYN",tblTrans3Langs[],LangNameID,FALSE)</f>
        <v>Indicate if Size Samples were collected from the corresponding Landing Operation and provide Size data in PRTSMP-SZ page</v>
      </c>
    </row>
    <row r="45" spans="1:8" x14ac:dyDescent="0.3">
      <c r="A45" s="316"/>
      <c r="B45" s="320" t="str">
        <f>VLOOKUP("T04",tblTrans3Langs[],LangFieldID,FALSE)</f>
        <v>ST10B</v>
      </c>
      <c r="C45" s="309" t="str">
        <f>VLOOKUP("H00b",tblTrans3Langs[],LangFieldID,FALSE)</f>
        <v>Header</v>
      </c>
      <c r="D45" s="309"/>
      <c r="E45" s="309"/>
      <c r="F45" s="95" t="str">
        <f>VLOOKUP("H00b",tblTrans3Langs[],LangFieldID,FALSE)</f>
        <v>Header</v>
      </c>
      <c r="G45" s="96" t="str">
        <f>VLOOKUP("H00b",tblTrans3Langs[],7,FALSE)</f>
        <v>(auto)</v>
      </c>
      <c r="H45" s="61" t="str">
        <f>VLOOKUP("H00b",tblTrans3Langs[],LangNameID,FALSE)</f>
        <v>(automatic completion)</v>
      </c>
    </row>
    <row r="46" spans="1:8" x14ac:dyDescent="0.3">
      <c r="A46" s="316"/>
      <c r="B46" s="316"/>
      <c r="C46" s="318" t="str">
        <f>VLOOKUP("D00",tblTrans3Langs[],LangFieldID,FALSE)</f>
        <v>Detail</v>
      </c>
      <c r="D46" s="319" t="str">
        <f>VLOOKUP("D40",tblTrans3Langs[],LangFieldID,FALSE)</f>
        <v>Size Frequency Sample details by landing operation</v>
      </c>
      <c r="E46" s="319"/>
      <c r="F46" s="178" t="str">
        <f>VLOOKUP("szLandingID",tblTrans3Langs[],LangFieldID,FALSE)</f>
        <v>Landing ID (from ST10A)</v>
      </c>
      <c r="G46" s="170" t="str">
        <f>VLOOKUP("szLandingID",tblTrans3Langs[],7,FALSE)</f>
        <v>integer</v>
      </c>
      <c r="H46" s="171" t="str">
        <f>VLOOKUP("szLandingID",tblTrans3Langs[],LangNameID,FALSE)</f>
        <v xml:space="preserve">Corresponding "Landing ID" number for this size sample </v>
      </c>
    </row>
    <row r="47" spans="1:8" x14ac:dyDescent="0.3">
      <c r="A47" s="316"/>
      <c r="B47" s="316"/>
      <c r="C47" s="318"/>
      <c r="D47" s="319"/>
      <c r="E47" s="319"/>
      <c r="F47" s="178" t="str">
        <f>VLOOKUP("SpeciesCd",tblTrans3Langs[],LangFieldID,FALSE)</f>
        <v>Species (cod)</v>
      </c>
      <c r="G47" s="170" t="str">
        <f>VLOOKUP("SpeciesCd",tblTrans3Langs[],7,FALSE)</f>
        <v>ICCAT code</v>
      </c>
      <c r="H47" s="172" t="str">
        <f>VLOOKUP("SpeciesCd",tblTrans3Langs[],LangNameID,FALSE)</f>
        <v>Choose the species code (ICCAT codes)</v>
      </c>
    </row>
    <row r="48" spans="1:8" x14ac:dyDescent="0.3">
      <c r="A48" s="316"/>
      <c r="B48" s="316"/>
      <c r="C48" s="318"/>
      <c r="D48" s="319"/>
      <c r="E48" s="319"/>
      <c r="F48" s="178" t="str">
        <f>VLOOKUP("SzFreqTypCd",tblTrans3Langs[],LangFieldID,FALSE)</f>
        <v>Size class type</v>
      </c>
      <c r="G48" s="170" t="str">
        <f>VLOOKUP("SzFreqTypCd",tblTrans3Langs[],7,FALSE)</f>
        <v>ICCAT code</v>
      </c>
      <c r="H48" s="172" t="str">
        <f>VLOOKUP("SzFreqTypCd",tblTrans3Langs[],LangNameID,FALSE)</f>
        <v>Type of size measurement of sample</v>
      </c>
    </row>
    <row r="49" spans="1:8" x14ac:dyDescent="0.3">
      <c r="A49" s="316"/>
      <c r="B49" s="316"/>
      <c r="C49" s="318"/>
      <c r="D49" s="319"/>
      <c r="E49" s="319"/>
      <c r="F49" s="178" t="str">
        <f>VLOOKUP("SzPTypeCd",tblTrans3Langs[],LangFieldID,FALSE)</f>
        <v>Product type</v>
      </c>
      <c r="G49" s="170" t="str">
        <f>VLOOKUP("SzPTypeCd",tblTrans3Langs[],7,FALSE)</f>
        <v>ICCAT code</v>
      </c>
      <c r="H49" s="172" t="str">
        <f>VLOOKUP("SzPTypeCd",tblTrans3Langs[],LangNameID,FALSE)</f>
        <v>Choose the type of product landed (ICCAT Codes)</v>
      </c>
    </row>
    <row r="50" spans="1:8" x14ac:dyDescent="0.3">
      <c r="A50" s="316"/>
      <c r="B50" s="316"/>
      <c r="C50" s="318"/>
      <c r="D50" s="319"/>
      <c r="E50" s="319"/>
      <c r="F50" s="178" t="str">
        <f>VLOOKUP("SexCd",tblTrans3Langs[],LangFieldID,FALSE)</f>
        <v>Sex code</v>
      </c>
      <c r="G50" s="170" t="str">
        <f>VLOOKUP("SexCd",tblTrans3Langs[],7,FALSE)</f>
        <v>ICCAT code</v>
      </c>
      <c r="H50" s="172" t="str">
        <f>VLOOKUP("SexCd",tblTrans3Langs[],LangNameID,FALSE)</f>
        <v>Sex code ID: Male (M), Female (F), Inmature (i), Unknown (U)</v>
      </c>
    </row>
    <row r="51" spans="1:8" x14ac:dyDescent="0.3">
      <c r="A51" s="316"/>
      <c r="B51" s="316"/>
      <c r="C51" s="318"/>
      <c r="D51" s="319"/>
      <c r="E51" s="319"/>
      <c r="F51" s="178" t="str">
        <f>VLOOKUP("LenghCm",tblTrans3Langs[],LangFieldID,FALSE)</f>
        <v>Size (cm)</v>
      </c>
      <c r="G51" s="170" t="str">
        <f>VLOOKUP("LenghCm",tblTrans3Langs[],7,FALSE)</f>
        <v>float</v>
      </c>
      <c r="H51" s="172" t="str">
        <f>VLOOKUP("LenghCm",tblTrans3Langs[],LangNameID,FALSE)</f>
        <v>Size measurement in centimeters (cm)</v>
      </c>
    </row>
    <row r="52" spans="1:8" ht="24" x14ac:dyDescent="0.3">
      <c r="A52" s="316"/>
      <c r="B52" s="316"/>
      <c r="C52" s="318"/>
      <c r="D52" s="319"/>
      <c r="E52" s="319"/>
      <c r="F52" s="178" t="str">
        <f>VLOOKUP("Notes",tblTrans3Langs[],LangFieldID,FALSE)</f>
        <v>Notes</v>
      </c>
      <c r="G52" s="170" t="str">
        <f>VLOOKUP("Notes",tblTrans3Langs[],7,FALSE)</f>
        <v>string</v>
      </c>
      <c r="H52" s="182" t="str">
        <f>VLOOKUP("Notes",tblTrans3Langs[],LangNameID,FALSE)</f>
        <v>Free form field to provide any other information relevant to the collection of observer data for the given strata. Also used to clarify when the option "OTH" is selected in previous fields</v>
      </c>
    </row>
  </sheetData>
  <sheetProtection algorithmName="SHA-512" hashValue="SdoNLn6g7CyK9UxvpQFCknIdnEXe8BhACoE1vaEHKJwWoqtg6lJd+PCX/fEgHwb02DGuIqlIPLZOGkyGmrp5rw==" saltValue="XbAkfHvseyHiR9sZdntrEQ==" spinCount="100000" sheet="1" objects="1" scenarios="1" formatCells="0" autoFilter="0"/>
  <mergeCells count="29">
    <mergeCell ref="B6:H6"/>
    <mergeCell ref="B7:H7"/>
    <mergeCell ref="A9:F9"/>
    <mergeCell ref="C45:E45"/>
    <mergeCell ref="C13:C30"/>
    <mergeCell ref="D38:D43"/>
    <mergeCell ref="D13:D19"/>
    <mergeCell ref="A11:A52"/>
    <mergeCell ref="C31:C44"/>
    <mergeCell ref="B11:B44"/>
    <mergeCell ref="C46:C52"/>
    <mergeCell ref="D46:E52"/>
    <mergeCell ref="B45:B52"/>
    <mergeCell ref="D31:E37"/>
    <mergeCell ref="E13:E15"/>
    <mergeCell ref="E16:E19"/>
    <mergeCell ref="A1:H1"/>
    <mergeCell ref="A2:F2"/>
    <mergeCell ref="B3:H3"/>
    <mergeCell ref="B4:H4"/>
    <mergeCell ref="B5:H5"/>
    <mergeCell ref="D44:E44"/>
    <mergeCell ref="C11:E12"/>
    <mergeCell ref="E38:E39"/>
    <mergeCell ref="E40:E41"/>
    <mergeCell ref="E42:E43"/>
    <mergeCell ref="D25:E29"/>
    <mergeCell ref="D30:E30"/>
    <mergeCell ref="D20:D24"/>
  </mergeCells>
  <pageMargins left="0.7" right="0.7" top="0.75" bottom="0.75" header="0.3" footer="0.3"/>
  <pageSetup paperSize="256"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B6D77-E306-49EF-8780-1D4C2729027C}">
  <dimension ref="A1:G10"/>
  <sheetViews>
    <sheetView zoomScaleNormal="100" workbookViewId="0">
      <selection activeCell="A10" sqref="A10:G10"/>
    </sheetView>
  </sheetViews>
  <sheetFormatPr defaultColWidth="9.08984375" defaultRowHeight="12" x14ac:dyDescent="0.3"/>
  <cols>
    <col min="1" max="1" width="6.453125" style="6" customWidth="1"/>
    <col min="2" max="2" width="7.453125" style="6" customWidth="1"/>
    <col min="3" max="3" width="6.90625" style="6" customWidth="1"/>
    <col min="4" max="4" width="77.08984375" style="6" customWidth="1"/>
    <col min="5" max="5" width="11" style="6" bestFit="1" customWidth="1"/>
    <col min="6" max="6" width="15.36328125" style="6" bestFit="1" customWidth="1"/>
    <col min="7" max="7" width="11.6328125" style="6" bestFit="1" customWidth="1"/>
    <col min="8" max="16384" width="9.08984375" style="6"/>
  </cols>
  <sheetData>
    <row r="1" spans="1:7" ht="18.5" x14ac:dyDescent="0.3">
      <c r="A1" s="326" t="s">
        <v>2000</v>
      </c>
      <c r="B1" s="326"/>
      <c r="C1" s="326"/>
      <c r="D1" s="326"/>
      <c r="E1" s="326"/>
      <c r="F1" s="326"/>
    </row>
    <row r="3" spans="1:7" x14ac:dyDescent="0.3">
      <c r="A3" s="137" t="str">
        <f>VLOOKUP("SC01",tblTrans3Langs[],LangFieldID,FALSE)</f>
        <v>Form</v>
      </c>
      <c r="B3" s="138" t="s">
        <v>1999</v>
      </c>
      <c r="C3" s="138" t="s">
        <v>1571</v>
      </c>
      <c r="D3" s="138" t="s">
        <v>428</v>
      </c>
      <c r="E3" s="138" t="s">
        <v>1998</v>
      </c>
      <c r="F3" s="138" t="s">
        <v>1997</v>
      </c>
      <c r="G3" s="137" t="str">
        <f>"Status ("&amp;LEFT('ST10A-PrtSmp'!Q2,4)&amp;")"</f>
        <v>Status (2025)</v>
      </c>
    </row>
    <row r="4" spans="1:7" x14ac:dyDescent="0.3">
      <c r="A4" s="323" t="str">
        <f>VLOOKUP("T00",tblTrans3Langs[],LangFieldID,FALSE)</f>
        <v>ST10-PrtSmp</v>
      </c>
      <c r="B4" s="327">
        <v>1</v>
      </c>
      <c r="C4" s="136" t="s">
        <v>1656</v>
      </c>
      <c r="D4" s="135" t="s">
        <v>1996</v>
      </c>
      <c r="E4" s="134" t="s">
        <v>1992</v>
      </c>
      <c r="F4" s="133" t="str">
        <f>"{"&amp;LEFT('ST10A-PrtSmp'!Q2,4)&amp;"a}*"</f>
        <v>{2025a}*</v>
      </c>
      <c r="G4" s="129" t="s">
        <v>1989</v>
      </c>
    </row>
    <row r="5" spans="1:7" x14ac:dyDescent="0.3">
      <c r="A5" s="324"/>
      <c r="B5" s="328"/>
      <c r="C5" s="5" t="s">
        <v>1657</v>
      </c>
      <c r="D5" s="132" t="s">
        <v>1995</v>
      </c>
      <c r="E5" s="6" t="s">
        <v>1992</v>
      </c>
      <c r="F5" s="130" t="s">
        <v>1994</v>
      </c>
      <c r="G5" s="129" t="s">
        <v>1989</v>
      </c>
    </row>
    <row r="6" spans="1:7" x14ac:dyDescent="0.3">
      <c r="A6" s="324"/>
      <c r="B6" s="329"/>
      <c r="C6" s="128" t="s">
        <v>1658</v>
      </c>
      <c r="D6" s="131" t="s">
        <v>1993</v>
      </c>
      <c r="E6" s="122" t="s">
        <v>1992</v>
      </c>
      <c r="F6" s="126" t="s">
        <v>1991</v>
      </c>
      <c r="G6" s="129" t="s">
        <v>1989</v>
      </c>
    </row>
    <row r="7" spans="1:7" x14ac:dyDescent="0.3">
      <c r="A7" s="324"/>
      <c r="B7" s="327">
        <v>2</v>
      </c>
      <c r="C7" s="5"/>
      <c r="D7" s="143" t="s">
        <v>2001</v>
      </c>
      <c r="E7" s="144" t="s">
        <v>1990</v>
      </c>
      <c r="F7" s="145" t="s">
        <v>2002</v>
      </c>
      <c r="G7" s="146" t="s">
        <v>1580</v>
      </c>
    </row>
    <row r="8" spans="1:7" x14ac:dyDescent="0.3">
      <c r="A8" s="325"/>
      <c r="B8" s="329"/>
      <c r="C8" s="128"/>
      <c r="D8" s="122"/>
      <c r="E8" s="127"/>
      <c r="F8" s="126"/>
      <c r="G8" s="125"/>
    </row>
    <row r="10" spans="1:7" x14ac:dyDescent="0.3">
      <c r="A10" s="330" t="s">
        <v>2198</v>
      </c>
      <c r="B10" s="330"/>
      <c r="C10" s="330"/>
      <c r="D10" s="330"/>
      <c r="E10" s="330"/>
      <c r="F10" s="330"/>
      <c r="G10" s="330"/>
    </row>
  </sheetData>
  <sheetProtection algorithmName="SHA-512" hashValue="6cyWli+845Iwxn9E9kcNGuidyK3nA3ZxrXNGA63PJq5V7KLHwHlfSJr+xKmh22kyi7Kxf9Xc0oIvStXpZC4Upw==" saltValue="nCWXrSaAjJsTokduaf3wVw==" spinCount="100000" sheet="1" objects="1" scenarios="1"/>
  <mergeCells count="5">
    <mergeCell ref="A4:A8"/>
    <mergeCell ref="A1:F1"/>
    <mergeCell ref="B4:B6"/>
    <mergeCell ref="B7:B8"/>
    <mergeCell ref="A10:G1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M82"/>
  <sheetViews>
    <sheetView zoomScale="115" zoomScaleNormal="115" workbookViewId="0">
      <selection activeCell="A41" sqref="A41"/>
    </sheetView>
  </sheetViews>
  <sheetFormatPr defaultColWidth="9.08984375" defaultRowHeight="10.5" x14ac:dyDescent="0.25"/>
  <cols>
    <col min="1" max="1" width="9.453125" style="9" bestFit="1" customWidth="1"/>
    <col min="2" max="2" width="6.08984375" style="9" bestFit="1" customWidth="1"/>
    <col min="3" max="3" width="6.08984375" style="9" customWidth="1"/>
    <col min="4" max="4" width="8.6328125" style="9" bestFit="1" customWidth="1"/>
    <col min="5" max="5" width="8" style="9" bestFit="1" customWidth="1"/>
    <col min="6" max="6" width="8.90625" style="9" bestFit="1" customWidth="1"/>
    <col min="7" max="7" width="9.90625" style="9" bestFit="1" customWidth="1"/>
    <col min="8" max="10" width="29.90625" style="9" customWidth="1"/>
    <col min="11" max="13" width="53.90625" style="9" customWidth="1"/>
    <col min="14" max="16384" width="9.08984375" style="9"/>
  </cols>
  <sheetData>
    <row r="1" spans="1:13" x14ac:dyDescent="0.25">
      <c r="A1" s="331" t="s">
        <v>1742</v>
      </c>
      <c r="B1" s="331"/>
      <c r="C1" s="331"/>
      <c r="D1" s="331"/>
      <c r="E1" s="331"/>
      <c r="F1" s="331"/>
      <c r="H1" s="58" t="s">
        <v>1743</v>
      </c>
      <c r="I1" s="59">
        <f>IF(Idiom="ENG",8,IF(Idiom="FRA",9,10))</f>
        <v>8</v>
      </c>
      <c r="K1" s="147"/>
    </row>
    <row r="2" spans="1:13" x14ac:dyDescent="0.25">
      <c r="A2" s="10"/>
      <c r="B2" s="10"/>
      <c r="C2" s="10"/>
      <c r="D2" s="10"/>
      <c r="E2" s="10"/>
      <c r="F2" s="10"/>
      <c r="G2" s="10"/>
      <c r="H2" s="58" t="s">
        <v>1744</v>
      </c>
      <c r="I2" s="59">
        <f>IF(Idiom="ENG",11,IF(Idiom="FRA",12,13))</f>
        <v>11</v>
      </c>
    </row>
    <row r="4" spans="1:13" x14ac:dyDescent="0.25">
      <c r="A4" s="147" t="s">
        <v>1569</v>
      </c>
      <c r="B4" s="147" t="s">
        <v>1570</v>
      </c>
      <c r="C4" s="147" t="s">
        <v>1850</v>
      </c>
      <c r="D4" s="147" t="s">
        <v>1852</v>
      </c>
      <c r="E4" s="147" t="s">
        <v>464</v>
      </c>
      <c r="F4" s="147" t="s">
        <v>1571</v>
      </c>
      <c r="G4" s="147" t="s">
        <v>1572</v>
      </c>
      <c r="H4" s="147" t="s">
        <v>1573</v>
      </c>
      <c r="I4" s="147" t="s">
        <v>1574</v>
      </c>
      <c r="J4" s="147" t="s">
        <v>1575</v>
      </c>
      <c r="K4" s="147" t="s">
        <v>1576</v>
      </c>
      <c r="L4" s="147" t="s">
        <v>1577</v>
      </c>
      <c r="M4" s="147" t="s">
        <v>1578</v>
      </c>
    </row>
    <row r="5" spans="1:13" x14ac:dyDescent="0.25">
      <c r="A5" s="148" t="s">
        <v>1579</v>
      </c>
      <c r="B5" s="149">
        <v>785</v>
      </c>
      <c r="C5" s="149" t="s">
        <v>1851</v>
      </c>
      <c r="D5" s="150" t="s">
        <v>1757</v>
      </c>
      <c r="E5" s="149" t="s">
        <v>1853</v>
      </c>
      <c r="F5" s="150" t="s">
        <v>471</v>
      </c>
      <c r="G5" s="150" t="s">
        <v>1580</v>
      </c>
      <c r="H5" s="149" t="s">
        <v>598</v>
      </c>
      <c r="I5" s="149" t="s">
        <v>598</v>
      </c>
      <c r="J5" s="149" t="s">
        <v>598</v>
      </c>
      <c r="K5" s="150" t="s">
        <v>2012</v>
      </c>
      <c r="L5" s="150" t="s">
        <v>2013</v>
      </c>
      <c r="M5" s="150" t="s">
        <v>2014</v>
      </c>
    </row>
    <row r="6" spans="1:13" ht="21" x14ac:dyDescent="0.25">
      <c r="A6" s="151" t="s">
        <v>1581</v>
      </c>
      <c r="B6" s="149">
        <v>786</v>
      </c>
      <c r="C6" s="149" t="s">
        <v>1851</v>
      </c>
      <c r="D6" s="150" t="s">
        <v>1757</v>
      </c>
      <c r="E6" s="149" t="s">
        <v>1853</v>
      </c>
      <c r="F6" s="150" t="s">
        <v>1582</v>
      </c>
      <c r="G6" s="150" t="s">
        <v>1580</v>
      </c>
      <c r="H6" s="149" t="s">
        <v>1583</v>
      </c>
      <c r="I6" s="149" t="s">
        <v>1584</v>
      </c>
      <c r="J6" s="149" t="s">
        <v>1585</v>
      </c>
      <c r="K6" s="150" t="s">
        <v>441</v>
      </c>
      <c r="L6" s="150" t="s">
        <v>442</v>
      </c>
      <c r="M6" s="150" t="s">
        <v>454</v>
      </c>
    </row>
    <row r="7" spans="1:13" x14ac:dyDescent="0.25">
      <c r="A7" s="152" t="s">
        <v>1754</v>
      </c>
      <c r="B7" s="149">
        <v>787</v>
      </c>
      <c r="C7" s="149" t="s">
        <v>1851</v>
      </c>
      <c r="D7" s="150" t="s">
        <v>1757</v>
      </c>
      <c r="E7" s="149" t="s">
        <v>1853</v>
      </c>
      <c r="F7" s="149" t="s">
        <v>1587</v>
      </c>
      <c r="G7" s="149" t="s">
        <v>1580</v>
      </c>
      <c r="H7" s="149" t="s">
        <v>1755</v>
      </c>
      <c r="I7" s="149" t="s">
        <v>1758</v>
      </c>
      <c r="J7" s="149" t="s">
        <v>1759</v>
      </c>
      <c r="K7" s="150" t="s">
        <v>1760</v>
      </c>
      <c r="L7" s="150" t="s">
        <v>1761</v>
      </c>
      <c r="M7" s="150" t="s">
        <v>1762</v>
      </c>
    </row>
    <row r="8" spans="1:13" x14ac:dyDescent="0.25">
      <c r="A8" s="151" t="s">
        <v>1586</v>
      </c>
      <c r="B8" s="149">
        <v>788</v>
      </c>
      <c r="C8" s="149" t="s">
        <v>1851</v>
      </c>
      <c r="D8" s="150" t="s">
        <v>1757</v>
      </c>
      <c r="E8" s="149" t="s">
        <v>1853</v>
      </c>
      <c r="F8" s="150" t="s">
        <v>1587</v>
      </c>
      <c r="G8" s="150" t="s">
        <v>1580</v>
      </c>
      <c r="H8" s="149" t="s">
        <v>1757</v>
      </c>
      <c r="I8" s="149" t="s">
        <v>1757</v>
      </c>
      <c r="J8" s="149" t="s">
        <v>1757</v>
      </c>
      <c r="K8" s="150" t="s">
        <v>1793</v>
      </c>
      <c r="L8" s="150" t="s">
        <v>1854</v>
      </c>
      <c r="M8" s="150" t="s">
        <v>1794</v>
      </c>
    </row>
    <row r="9" spans="1:13" x14ac:dyDescent="0.25">
      <c r="A9" s="151" t="s">
        <v>1588</v>
      </c>
      <c r="B9" s="149">
        <v>789</v>
      </c>
      <c r="C9" s="149" t="s">
        <v>1851</v>
      </c>
      <c r="D9" s="150" t="s">
        <v>1756</v>
      </c>
      <c r="E9" s="149" t="s">
        <v>1853</v>
      </c>
      <c r="F9" s="150" t="s">
        <v>1587</v>
      </c>
      <c r="G9" s="150" t="s">
        <v>1580</v>
      </c>
      <c r="H9" s="149" t="s">
        <v>1756</v>
      </c>
      <c r="I9" s="149" t="s">
        <v>1756</v>
      </c>
      <c r="J9" s="149" t="s">
        <v>1756</v>
      </c>
      <c r="K9" s="150" t="s">
        <v>1795</v>
      </c>
      <c r="L9" s="150" t="s">
        <v>573</v>
      </c>
      <c r="M9" s="150" t="s">
        <v>584</v>
      </c>
    </row>
    <row r="10" spans="1:13" x14ac:dyDescent="0.25">
      <c r="A10" s="153" t="s">
        <v>1855</v>
      </c>
      <c r="B10" s="149">
        <v>790</v>
      </c>
      <c r="C10" s="149" t="s">
        <v>1851</v>
      </c>
      <c r="D10" s="150" t="s">
        <v>1757</v>
      </c>
      <c r="E10" s="149" t="s">
        <v>1853</v>
      </c>
      <c r="F10" s="150" t="s">
        <v>1589</v>
      </c>
      <c r="G10" s="150" t="s">
        <v>1590</v>
      </c>
      <c r="H10" s="149" t="s">
        <v>472</v>
      </c>
      <c r="I10" s="149" t="s">
        <v>472</v>
      </c>
      <c r="J10" s="149" t="s">
        <v>1591</v>
      </c>
      <c r="K10" s="150" t="s">
        <v>1856</v>
      </c>
      <c r="L10" s="150" t="s">
        <v>1857</v>
      </c>
      <c r="M10" s="150" t="s">
        <v>1858</v>
      </c>
    </row>
    <row r="11" spans="1:13" x14ac:dyDescent="0.25">
      <c r="A11" s="153" t="s">
        <v>1859</v>
      </c>
      <c r="B11" s="149">
        <v>791</v>
      </c>
      <c r="C11" s="149" t="s">
        <v>1851</v>
      </c>
      <c r="D11" s="150" t="s">
        <v>1757</v>
      </c>
      <c r="E11" s="149" t="s">
        <v>1853</v>
      </c>
      <c r="F11" s="150" t="s">
        <v>1589</v>
      </c>
      <c r="G11" s="150" t="s">
        <v>1592</v>
      </c>
      <c r="H11" s="149" t="s">
        <v>465</v>
      </c>
      <c r="I11" s="149" t="s">
        <v>466</v>
      </c>
      <c r="J11" s="149" t="s">
        <v>467</v>
      </c>
      <c r="K11" s="150" t="s">
        <v>1860</v>
      </c>
      <c r="L11" s="150" t="s">
        <v>1861</v>
      </c>
      <c r="M11" s="150" t="s">
        <v>1862</v>
      </c>
    </row>
    <row r="12" spans="1:13" x14ac:dyDescent="0.25">
      <c r="A12" s="148" t="s">
        <v>1593</v>
      </c>
      <c r="B12" s="149">
        <v>792</v>
      </c>
      <c r="C12" s="149" t="s">
        <v>1851</v>
      </c>
      <c r="D12" s="150" t="s">
        <v>1757</v>
      </c>
      <c r="E12" s="149" t="s">
        <v>427</v>
      </c>
      <c r="F12" s="150" t="s">
        <v>471</v>
      </c>
      <c r="G12" s="150" t="s">
        <v>1580</v>
      </c>
      <c r="H12" s="149" t="s">
        <v>427</v>
      </c>
      <c r="I12" s="149" t="s">
        <v>1594</v>
      </c>
      <c r="J12" s="149" t="s">
        <v>1595</v>
      </c>
      <c r="K12" s="150" t="s">
        <v>1580</v>
      </c>
      <c r="L12" s="150" t="s">
        <v>1580</v>
      </c>
      <c r="M12" s="150" t="s">
        <v>1580</v>
      </c>
    </row>
    <row r="13" spans="1:13" x14ac:dyDescent="0.25">
      <c r="A13" s="153" t="s">
        <v>1952</v>
      </c>
      <c r="B13" s="149">
        <v>793</v>
      </c>
      <c r="C13" s="149" t="s">
        <v>1851</v>
      </c>
      <c r="D13" s="150" t="s">
        <v>1756</v>
      </c>
      <c r="E13" s="149" t="s">
        <v>427</v>
      </c>
      <c r="F13" s="149" t="s">
        <v>471</v>
      </c>
      <c r="G13" s="150" t="s">
        <v>1596</v>
      </c>
      <c r="H13" s="149" t="s">
        <v>427</v>
      </c>
      <c r="I13" s="149" t="s">
        <v>1594</v>
      </c>
      <c r="J13" s="149" t="s">
        <v>1595</v>
      </c>
      <c r="K13" s="150" t="s">
        <v>1848</v>
      </c>
      <c r="L13" s="150" t="s">
        <v>1849</v>
      </c>
      <c r="M13" s="150" t="s">
        <v>1863</v>
      </c>
    </row>
    <row r="14" spans="1:13" x14ac:dyDescent="0.25">
      <c r="A14" s="148" t="s">
        <v>1597</v>
      </c>
      <c r="B14" s="149">
        <v>794</v>
      </c>
      <c r="C14" s="149" t="s">
        <v>1851</v>
      </c>
      <c r="D14" s="150" t="s">
        <v>1757</v>
      </c>
      <c r="E14" s="149" t="s">
        <v>427</v>
      </c>
      <c r="F14" s="150" t="s">
        <v>1587</v>
      </c>
      <c r="G14" s="150" t="s">
        <v>1580</v>
      </c>
      <c r="H14" s="149" t="s">
        <v>0</v>
      </c>
      <c r="I14" s="149" t="s">
        <v>443</v>
      </c>
      <c r="J14" s="149" t="s">
        <v>1598</v>
      </c>
      <c r="K14" s="150" t="s">
        <v>1580</v>
      </c>
      <c r="L14" s="150" t="s">
        <v>1580</v>
      </c>
      <c r="M14" s="150" t="s">
        <v>1580</v>
      </c>
    </row>
    <row r="15" spans="1:13" x14ac:dyDescent="0.25">
      <c r="A15" s="151" t="s">
        <v>1599</v>
      </c>
      <c r="B15" s="149">
        <v>795</v>
      </c>
      <c r="C15" s="149" t="s">
        <v>1851</v>
      </c>
      <c r="D15" s="150" t="s">
        <v>1757</v>
      </c>
      <c r="E15" s="149" t="s">
        <v>427</v>
      </c>
      <c r="F15" s="150" t="s">
        <v>1600</v>
      </c>
      <c r="G15" s="150" t="s">
        <v>1580</v>
      </c>
      <c r="H15" s="149" t="s">
        <v>1676</v>
      </c>
      <c r="I15" s="149" t="s">
        <v>1676</v>
      </c>
      <c r="J15" s="149" t="s">
        <v>1677</v>
      </c>
      <c r="K15" s="150" t="s">
        <v>1580</v>
      </c>
      <c r="L15" s="150" t="s">
        <v>1580</v>
      </c>
      <c r="M15" s="150" t="s">
        <v>1580</v>
      </c>
    </row>
    <row r="16" spans="1:13" x14ac:dyDescent="0.25">
      <c r="A16" s="151" t="s">
        <v>1601</v>
      </c>
      <c r="B16" s="149">
        <v>796</v>
      </c>
      <c r="C16" s="149" t="s">
        <v>1851</v>
      </c>
      <c r="D16" s="150" t="s">
        <v>1757</v>
      </c>
      <c r="E16" s="149" t="s">
        <v>427</v>
      </c>
      <c r="F16" s="150" t="s">
        <v>1600</v>
      </c>
      <c r="G16" s="150" t="s">
        <v>1580</v>
      </c>
      <c r="H16" s="149" t="s">
        <v>11</v>
      </c>
      <c r="I16" s="149" t="s">
        <v>11</v>
      </c>
      <c r="J16" s="149" t="s">
        <v>456</v>
      </c>
      <c r="K16" s="150" t="s">
        <v>1580</v>
      </c>
      <c r="L16" s="150" t="s">
        <v>1580</v>
      </c>
      <c r="M16" s="150" t="s">
        <v>1580</v>
      </c>
    </row>
    <row r="17" spans="1:13" x14ac:dyDescent="0.25">
      <c r="A17" s="151" t="s">
        <v>1602</v>
      </c>
      <c r="B17" s="149">
        <v>797</v>
      </c>
      <c r="C17" s="149" t="s">
        <v>1851</v>
      </c>
      <c r="D17" s="150" t="s">
        <v>1757</v>
      </c>
      <c r="E17" s="149" t="s">
        <v>427</v>
      </c>
      <c r="F17" s="150" t="s">
        <v>1587</v>
      </c>
      <c r="G17" s="150" t="s">
        <v>1580</v>
      </c>
      <c r="H17" s="149" t="s">
        <v>9</v>
      </c>
      <c r="I17" s="149" t="s">
        <v>1603</v>
      </c>
      <c r="J17" s="149" t="s">
        <v>1604</v>
      </c>
      <c r="K17" s="150" t="s">
        <v>1580</v>
      </c>
      <c r="L17" s="150" t="s">
        <v>1580</v>
      </c>
      <c r="M17" s="150" t="s">
        <v>1580</v>
      </c>
    </row>
    <row r="18" spans="1:13" x14ac:dyDescent="0.25">
      <c r="A18" s="154" t="s">
        <v>1605</v>
      </c>
      <c r="B18" s="149">
        <v>798</v>
      </c>
      <c r="C18" s="149" t="s">
        <v>1851</v>
      </c>
      <c r="D18" s="150" t="s">
        <v>1757</v>
      </c>
      <c r="E18" s="149" t="s">
        <v>427</v>
      </c>
      <c r="F18" s="155" t="s">
        <v>1600</v>
      </c>
      <c r="G18" s="155" t="s">
        <v>1580</v>
      </c>
      <c r="H18" s="156" t="s">
        <v>1606</v>
      </c>
      <c r="I18" s="149" t="s">
        <v>1607</v>
      </c>
      <c r="J18" s="149" t="s">
        <v>1608</v>
      </c>
      <c r="K18" s="150" t="s">
        <v>1580</v>
      </c>
      <c r="L18" s="150" t="s">
        <v>1580</v>
      </c>
      <c r="M18" s="150" t="s">
        <v>1580</v>
      </c>
    </row>
    <row r="19" spans="1:13" x14ac:dyDescent="0.25">
      <c r="A19" s="151" t="s">
        <v>1609</v>
      </c>
      <c r="B19" s="149">
        <v>799</v>
      </c>
      <c r="C19" s="149" t="s">
        <v>1851</v>
      </c>
      <c r="D19" s="150" t="s">
        <v>1757</v>
      </c>
      <c r="E19" s="149" t="s">
        <v>427</v>
      </c>
      <c r="F19" s="150" t="s">
        <v>1587</v>
      </c>
      <c r="G19" s="150" t="s">
        <v>1580</v>
      </c>
      <c r="H19" s="149" t="s">
        <v>8</v>
      </c>
      <c r="I19" s="149" t="s">
        <v>1864</v>
      </c>
      <c r="J19" s="149" t="s">
        <v>1865</v>
      </c>
      <c r="K19" s="150" t="s">
        <v>1580</v>
      </c>
      <c r="L19" s="150" t="s">
        <v>1580</v>
      </c>
      <c r="M19" s="150" t="s">
        <v>1580</v>
      </c>
    </row>
    <row r="20" spans="1:13" x14ac:dyDescent="0.25">
      <c r="A20" s="151" t="s">
        <v>1610</v>
      </c>
      <c r="B20" s="149">
        <v>800</v>
      </c>
      <c r="C20" s="149" t="s">
        <v>1851</v>
      </c>
      <c r="D20" s="150" t="s">
        <v>1757</v>
      </c>
      <c r="E20" s="149" t="s">
        <v>427</v>
      </c>
      <c r="F20" s="150" t="s">
        <v>1600</v>
      </c>
      <c r="G20" s="150" t="s">
        <v>1580</v>
      </c>
      <c r="H20" s="149" t="s">
        <v>1792</v>
      </c>
      <c r="I20" s="149" t="s">
        <v>1663</v>
      </c>
      <c r="J20" s="149" t="s">
        <v>1664</v>
      </c>
      <c r="K20" s="150" t="s">
        <v>1983</v>
      </c>
      <c r="L20" s="150" t="s">
        <v>1985</v>
      </c>
      <c r="M20" s="150" t="s">
        <v>1984</v>
      </c>
    </row>
    <row r="21" spans="1:13" x14ac:dyDescent="0.25">
      <c r="A21" s="148" t="s">
        <v>1611</v>
      </c>
      <c r="B21" s="149">
        <v>801</v>
      </c>
      <c r="C21" s="149" t="s">
        <v>1851</v>
      </c>
      <c r="D21" s="150" t="s">
        <v>1757</v>
      </c>
      <c r="E21" s="149" t="s">
        <v>427</v>
      </c>
      <c r="F21" s="150" t="s">
        <v>1587</v>
      </c>
      <c r="G21" s="150" t="s">
        <v>1580</v>
      </c>
      <c r="H21" s="149" t="s">
        <v>1612</v>
      </c>
      <c r="I21" s="149" t="s">
        <v>1613</v>
      </c>
      <c r="J21" s="149" t="s">
        <v>1614</v>
      </c>
      <c r="K21" s="150" t="s">
        <v>1580</v>
      </c>
      <c r="L21" s="150" t="s">
        <v>1580</v>
      </c>
      <c r="M21" s="150" t="s">
        <v>1580</v>
      </c>
    </row>
    <row r="22" spans="1:13" ht="21" x14ac:dyDescent="0.25">
      <c r="A22" s="148" t="s">
        <v>1615</v>
      </c>
      <c r="B22" s="149">
        <v>802</v>
      </c>
      <c r="C22" s="149" t="s">
        <v>1851</v>
      </c>
      <c r="D22" s="150" t="s">
        <v>1757</v>
      </c>
      <c r="E22" s="149" t="s">
        <v>427</v>
      </c>
      <c r="F22" s="150" t="s">
        <v>1589</v>
      </c>
      <c r="G22" s="149" t="s">
        <v>1763</v>
      </c>
      <c r="H22" s="149" t="s">
        <v>1</v>
      </c>
      <c r="I22" s="149" t="s">
        <v>444</v>
      </c>
      <c r="J22" s="149" t="s">
        <v>453</v>
      </c>
      <c r="K22" s="150" t="s">
        <v>1866</v>
      </c>
      <c r="L22" s="150" t="s">
        <v>1867</v>
      </c>
      <c r="M22" s="150" t="s">
        <v>1868</v>
      </c>
    </row>
    <row r="23" spans="1:13" x14ac:dyDescent="0.25">
      <c r="A23" s="148" t="s">
        <v>1616</v>
      </c>
      <c r="B23" s="149">
        <v>803</v>
      </c>
      <c r="C23" s="149" t="s">
        <v>1851</v>
      </c>
      <c r="D23" s="150" t="s">
        <v>1757</v>
      </c>
      <c r="E23" s="149" t="s">
        <v>427</v>
      </c>
      <c r="F23" s="150" t="s">
        <v>1589</v>
      </c>
      <c r="G23" s="149" t="s">
        <v>1763</v>
      </c>
      <c r="H23" s="156" t="s">
        <v>2</v>
      </c>
      <c r="I23" s="156" t="s">
        <v>2</v>
      </c>
      <c r="J23" s="156" t="s">
        <v>2</v>
      </c>
      <c r="K23" s="155" t="s">
        <v>1869</v>
      </c>
      <c r="L23" s="155" t="s">
        <v>1870</v>
      </c>
      <c r="M23" s="155" t="s">
        <v>1871</v>
      </c>
    </row>
    <row r="24" spans="1:13" x14ac:dyDescent="0.25">
      <c r="A24" s="148" t="s">
        <v>1617</v>
      </c>
      <c r="B24" s="149">
        <v>804</v>
      </c>
      <c r="C24" s="149" t="s">
        <v>1851</v>
      </c>
      <c r="D24" s="150" t="s">
        <v>1757</v>
      </c>
      <c r="E24" s="149" t="s">
        <v>427</v>
      </c>
      <c r="F24" s="150" t="s">
        <v>1589</v>
      </c>
      <c r="G24" s="149" t="s">
        <v>1763</v>
      </c>
      <c r="H24" s="149" t="s">
        <v>3</v>
      </c>
      <c r="I24" s="149" t="s">
        <v>445</v>
      </c>
      <c r="J24" s="149" t="s">
        <v>455</v>
      </c>
      <c r="K24" s="150" t="s">
        <v>1872</v>
      </c>
      <c r="L24" s="150" t="s">
        <v>1873</v>
      </c>
      <c r="M24" s="150" t="s">
        <v>1874</v>
      </c>
    </row>
    <row r="25" spans="1:13" ht="21" x14ac:dyDescent="0.25">
      <c r="A25" s="148" t="s">
        <v>1618</v>
      </c>
      <c r="B25" s="149">
        <v>805</v>
      </c>
      <c r="C25" s="149" t="s">
        <v>1851</v>
      </c>
      <c r="D25" s="150" t="s">
        <v>1757</v>
      </c>
      <c r="E25" s="149" t="s">
        <v>427</v>
      </c>
      <c r="F25" s="150" t="s">
        <v>1589</v>
      </c>
      <c r="G25" s="149" t="s">
        <v>1763</v>
      </c>
      <c r="H25" s="149" t="s">
        <v>4</v>
      </c>
      <c r="I25" s="149" t="s">
        <v>4</v>
      </c>
      <c r="J25" s="149" t="s">
        <v>457</v>
      </c>
      <c r="K25" s="150" t="s">
        <v>1875</v>
      </c>
      <c r="L25" s="150" t="s">
        <v>1876</v>
      </c>
      <c r="M25" s="150" t="s">
        <v>1877</v>
      </c>
    </row>
    <row r="26" spans="1:13" x14ac:dyDescent="0.25">
      <c r="A26" s="148" t="s">
        <v>1619</v>
      </c>
      <c r="B26" s="149">
        <v>806</v>
      </c>
      <c r="C26" s="149" t="s">
        <v>1851</v>
      </c>
      <c r="D26" s="150" t="s">
        <v>1757</v>
      </c>
      <c r="E26" s="149" t="s">
        <v>427</v>
      </c>
      <c r="F26" s="150" t="s">
        <v>1589</v>
      </c>
      <c r="G26" s="149" t="s">
        <v>1763</v>
      </c>
      <c r="H26" s="149" t="s">
        <v>5</v>
      </c>
      <c r="I26" s="149" t="s">
        <v>446</v>
      </c>
      <c r="J26" s="149" t="s">
        <v>458</v>
      </c>
      <c r="K26" s="150" t="s">
        <v>1878</v>
      </c>
      <c r="L26" s="150" t="s">
        <v>1879</v>
      </c>
      <c r="M26" s="150" t="s">
        <v>1880</v>
      </c>
    </row>
    <row r="27" spans="1:13" x14ac:dyDescent="0.25">
      <c r="A27" s="148" t="s">
        <v>1620</v>
      </c>
      <c r="B27" s="149">
        <v>807</v>
      </c>
      <c r="C27" s="149" t="s">
        <v>1851</v>
      </c>
      <c r="D27" s="150" t="s">
        <v>1757</v>
      </c>
      <c r="E27" s="149" t="s">
        <v>427</v>
      </c>
      <c r="F27" s="150" t="s">
        <v>1589</v>
      </c>
      <c r="G27" s="149" t="s">
        <v>1763</v>
      </c>
      <c r="H27" s="149" t="s">
        <v>6</v>
      </c>
      <c r="I27" s="149" t="s">
        <v>447</v>
      </c>
      <c r="J27" s="149" t="s">
        <v>459</v>
      </c>
      <c r="K27" s="150" t="s">
        <v>1881</v>
      </c>
      <c r="L27" s="150" t="s">
        <v>1882</v>
      </c>
      <c r="M27" s="150" t="s">
        <v>1883</v>
      </c>
    </row>
    <row r="28" spans="1:13" x14ac:dyDescent="0.25">
      <c r="A28" s="148" t="s">
        <v>1621</v>
      </c>
      <c r="B28" s="149">
        <v>808</v>
      </c>
      <c r="C28" s="149" t="s">
        <v>1851</v>
      </c>
      <c r="D28" s="150" t="s">
        <v>1757</v>
      </c>
      <c r="E28" s="149" t="s">
        <v>427</v>
      </c>
      <c r="F28" s="150" t="s">
        <v>1589</v>
      </c>
      <c r="G28" s="150" t="s">
        <v>1592</v>
      </c>
      <c r="H28" s="149" t="s">
        <v>7</v>
      </c>
      <c r="I28" s="149" t="s">
        <v>448</v>
      </c>
      <c r="J28" s="149" t="s">
        <v>460</v>
      </c>
      <c r="K28" s="150" t="s">
        <v>1884</v>
      </c>
      <c r="L28" s="150" t="s">
        <v>1885</v>
      </c>
      <c r="M28" s="150" t="s">
        <v>1886</v>
      </c>
    </row>
    <row r="29" spans="1:13" x14ac:dyDescent="0.25">
      <c r="A29" s="148" t="s">
        <v>1622</v>
      </c>
      <c r="B29" s="149">
        <v>809</v>
      </c>
      <c r="C29" s="149" t="s">
        <v>1851</v>
      </c>
      <c r="D29" s="150" t="s">
        <v>1757</v>
      </c>
      <c r="E29" s="149" t="s">
        <v>427</v>
      </c>
      <c r="F29" s="150" t="s">
        <v>1589</v>
      </c>
      <c r="G29" s="150" t="s">
        <v>1592</v>
      </c>
      <c r="H29" s="149" t="s">
        <v>1623</v>
      </c>
      <c r="I29" s="149" t="s">
        <v>449</v>
      </c>
      <c r="J29" s="149" t="s">
        <v>586</v>
      </c>
      <c r="K29" s="150" t="s">
        <v>1887</v>
      </c>
      <c r="L29" s="150" t="s">
        <v>1888</v>
      </c>
      <c r="M29" s="150" t="s">
        <v>1889</v>
      </c>
    </row>
    <row r="30" spans="1:13" x14ac:dyDescent="0.25">
      <c r="A30" s="148" t="s">
        <v>1624</v>
      </c>
      <c r="B30" s="149">
        <v>810</v>
      </c>
      <c r="C30" s="149" t="s">
        <v>1851</v>
      </c>
      <c r="D30" s="150" t="s">
        <v>1757</v>
      </c>
      <c r="E30" s="149" t="s">
        <v>427</v>
      </c>
      <c r="F30" s="150" t="s">
        <v>1589</v>
      </c>
      <c r="G30" s="150" t="s">
        <v>1625</v>
      </c>
      <c r="H30" s="149" t="s">
        <v>1890</v>
      </c>
      <c r="I30" s="149" t="s">
        <v>1891</v>
      </c>
      <c r="J30" s="149" t="s">
        <v>1892</v>
      </c>
      <c r="K30" s="150" t="s">
        <v>1893</v>
      </c>
      <c r="L30" s="150" t="s">
        <v>1894</v>
      </c>
      <c r="M30" s="150" t="s">
        <v>1895</v>
      </c>
    </row>
    <row r="31" spans="1:13" x14ac:dyDescent="0.25">
      <c r="A31" s="152" t="s">
        <v>1626</v>
      </c>
      <c r="B31" s="149">
        <v>812</v>
      </c>
      <c r="C31" s="149" t="s">
        <v>1851</v>
      </c>
      <c r="D31" s="150" t="s">
        <v>1757</v>
      </c>
      <c r="E31" s="149" t="s">
        <v>427</v>
      </c>
      <c r="F31" s="149" t="s">
        <v>1589</v>
      </c>
      <c r="G31" s="149" t="s">
        <v>1592</v>
      </c>
      <c r="H31" s="149" t="s">
        <v>1627</v>
      </c>
      <c r="I31" s="149" t="s">
        <v>1628</v>
      </c>
      <c r="J31" s="149" t="s">
        <v>1629</v>
      </c>
      <c r="K31" s="150" t="s">
        <v>1896</v>
      </c>
      <c r="L31" s="150" t="s">
        <v>1897</v>
      </c>
      <c r="M31" s="150" t="s">
        <v>1898</v>
      </c>
    </row>
    <row r="32" spans="1:13" ht="21" x14ac:dyDescent="0.25">
      <c r="A32" s="153" t="s">
        <v>1789</v>
      </c>
      <c r="B32" s="149">
        <v>813</v>
      </c>
      <c r="C32" s="149" t="s">
        <v>1851</v>
      </c>
      <c r="D32" s="150" t="s">
        <v>1757</v>
      </c>
      <c r="E32" s="149" t="s">
        <v>427</v>
      </c>
      <c r="F32" s="149" t="s">
        <v>1589</v>
      </c>
      <c r="G32" s="149" t="s">
        <v>1592</v>
      </c>
      <c r="H32" s="149" t="s">
        <v>1770</v>
      </c>
      <c r="I32" s="149" t="s">
        <v>1790</v>
      </c>
      <c r="J32" s="149" t="s">
        <v>1791</v>
      </c>
      <c r="K32" s="150" t="s">
        <v>1899</v>
      </c>
      <c r="L32" s="150" t="s">
        <v>1900</v>
      </c>
      <c r="M32" s="150" t="s">
        <v>1901</v>
      </c>
    </row>
    <row r="33" spans="1:13" x14ac:dyDescent="0.25">
      <c r="A33" s="151" t="s">
        <v>1660</v>
      </c>
      <c r="B33" s="149">
        <v>814</v>
      </c>
      <c r="C33" s="149" t="s">
        <v>1851</v>
      </c>
      <c r="D33" s="150" t="s">
        <v>1757</v>
      </c>
      <c r="E33" s="149" t="s">
        <v>427</v>
      </c>
      <c r="F33" s="150" t="s">
        <v>1589</v>
      </c>
      <c r="G33" s="149" t="s">
        <v>1763</v>
      </c>
      <c r="H33" s="149" t="s">
        <v>2007</v>
      </c>
      <c r="I33" s="149" t="s">
        <v>2009</v>
      </c>
      <c r="J33" s="149" t="s">
        <v>2008</v>
      </c>
      <c r="K33" s="150" t="s">
        <v>563</v>
      </c>
      <c r="L33" s="150" t="s">
        <v>575</v>
      </c>
      <c r="M33" s="150" t="s">
        <v>587</v>
      </c>
    </row>
    <row r="34" spans="1:13" x14ac:dyDescent="0.25">
      <c r="A34" s="151" t="s">
        <v>1630</v>
      </c>
      <c r="B34" s="149">
        <v>815</v>
      </c>
      <c r="C34" s="149" t="s">
        <v>1851</v>
      </c>
      <c r="D34" s="150" t="s">
        <v>1757</v>
      </c>
      <c r="E34" s="149" t="s">
        <v>427</v>
      </c>
      <c r="F34" s="150" t="s">
        <v>1589</v>
      </c>
      <c r="G34" s="150" t="s">
        <v>1631</v>
      </c>
      <c r="H34" s="149" t="s">
        <v>1632</v>
      </c>
      <c r="I34" s="149" t="s">
        <v>1633</v>
      </c>
      <c r="J34" s="149" t="s">
        <v>1634</v>
      </c>
      <c r="K34" s="150" t="s">
        <v>9</v>
      </c>
      <c r="L34" s="150" t="s">
        <v>1603</v>
      </c>
      <c r="M34" s="150" t="s">
        <v>1635</v>
      </c>
    </row>
    <row r="35" spans="1:13" x14ac:dyDescent="0.25">
      <c r="A35" s="148" t="s">
        <v>1636</v>
      </c>
      <c r="B35" s="149">
        <v>816</v>
      </c>
      <c r="C35" s="149" t="s">
        <v>1851</v>
      </c>
      <c r="D35" s="150" t="s">
        <v>1757</v>
      </c>
      <c r="E35" s="149" t="s">
        <v>427</v>
      </c>
      <c r="F35" s="150" t="s">
        <v>1589</v>
      </c>
      <c r="G35" s="150" t="s">
        <v>1592</v>
      </c>
      <c r="H35" s="149" t="s">
        <v>1637</v>
      </c>
      <c r="I35" s="149" t="s">
        <v>1638</v>
      </c>
      <c r="J35" s="149" t="s">
        <v>1639</v>
      </c>
      <c r="K35" s="150" t="s">
        <v>9</v>
      </c>
      <c r="L35" s="150" t="s">
        <v>1603</v>
      </c>
      <c r="M35" s="150" t="s">
        <v>1604</v>
      </c>
    </row>
    <row r="36" spans="1:13" ht="21" x14ac:dyDescent="0.25">
      <c r="A36" s="151" t="s">
        <v>1640</v>
      </c>
      <c r="B36" s="149">
        <v>817</v>
      </c>
      <c r="C36" s="149" t="s">
        <v>1851</v>
      </c>
      <c r="D36" s="150" t="s">
        <v>1757</v>
      </c>
      <c r="E36" s="149" t="s">
        <v>427</v>
      </c>
      <c r="F36" s="150" t="s">
        <v>1589</v>
      </c>
      <c r="G36" s="149" t="s">
        <v>1763</v>
      </c>
      <c r="H36" s="149" t="s">
        <v>1641</v>
      </c>
      <c r="I36" s="149" t="s">
        <v>1642</v>
      </c>
      <c r="J36" s="149" t="s">
        <v>1643</v>
      </c>
      <c r="K36" s="150" t="s">
        <v>1644</v>
      </c>
      <c r="L36" s="150" t="s">
        <v>1902</v>
      </c>
      <c r="M36" s="150" t="s">
        <v>1645</v>
      </c>
    </row>
    <row r="37" spans="1:13" x14ac:dyDescent="0.25">
      <c r="A37" s="151" t="s">
        <v>1646</v>
      </c>
      <c r="B37" s="149">
        <v>818</v>
      </c>
      <c r="C37" s="149" t="s">
        <v>1851</v>
      </c>
      <c r="D37" s="150" t="s">
        <v>1757</v>
      </c>
      <c r="E37" s="149" t="s">
        <v>427</v>
      </c>
      <c r="F37" s="150" t="s">
        <v>1589</v>
      </c>
      <c r="G37" s="150" t="s">
        <v>1647</v>
      </c>
      <c r="H37" s="149" t="s">
        <v>1648</v>
      </c>
      <c r="I37" s="149" t="s">
        <v>1649</v>
      </c>
      <c r="J37" s="149" t="s">
        <v>1650</v>
      </c>
      <c r="K37" s="150" t="s">
        <v>9</v>
      </c>
      <c r="L37" s="150" t="s">
        <v>1603</v>
      </c>
      <c r="M37" s="150" t="s">
        <v>1635</v>
      </c>
    </row>
    <row r="38" spans="1:13" x14ac:dyDescent="0.25">
      <c r="A38" s="151" t="s">
        <v>1651</v>
      </c>
      <c r="B38" s="149">
        <v>819</v>
      </c>
      <c r="C38" s="149" t="s">
        <v>1851</v>
      </c>
      <c r="D38" s="150" t="s">
        <v>1757</v>
      </c>
      <c r="E38" s="149" t="s">
        <v>427</v>
      </c>
      <c r="F38" s="150" t="s">
        <v>1589</v>
      </c>
      <c r="G38" s="150" t="s">
        <v>1647</v>
      </c>
      <c r="H38" s="149" t="s">
        <v>1652</v>
      </c>
      <c r="I38" s="149" t="s">
        <v>1653</v>
      </c>
      <c r="J38" s="149" t="s">
        <v>1654</v>
      </c>
      <c r="K38" s="150" t="s">
        <v>9</v>
      </c>
      <c r="L38" s="150" t="s">
        <v>1603</v>
      </c>
      <c r="M38" s="150" t="s">
        <v>1635</v>
      </c>
    </row>
    <row r="39" spans="1:13" ht="21" x14ac:dyDescent="0.25">
      <c r="A39" s="151" t="s">
        <v>1655</v>
      </c>
      <c r="B39" s="149">
        <v>820</v>
      </c>
      <c r="C39" s="149" t="s">
        <v>1851</v>
      </c>
      <c r="D39" s="150" t="s">
        <v>1757</v>
      </c>
      <c r="E39" s="149" t="s">
        <v>427</v>
      </c>
      <c r="F39" s="150" t="s">
        <v>1589</v>
      </c>
      <c r="G39" s="149" t="s">
        <v>1763</v>
      </c>
      <c r="H39" s="149" t="s">
        <v>426</v>
      </c>
      <c r="I39" s="149" t="s">
        <v>426</v>
      </c>
      <c r="J39" s="149" t="s">
        <v>462</v>
      </c>
      <c r="K39" s="150" t="s">
        <v>1903</v>
      </c>
      <c r="L39" s="150" t="s">
        <v>1904</v>
      </c>
      <c r="M39" s="150" t="s">
        <v>1905</v>
      </c>
    </row>
    <row r="40" spans="1:13" x14ac:dyDescent="0.25">
      <c r="A40" s="152" t="s">
        <v>1769</v>
      </c>
      <c r="B40" s="149">
        <v>821</v>
      </c>
      <c r="C40" s="149" t="s">
        <v>1851</v>
      </c>
      <c r="D40" s="150" t="s">
        <v>1757</v>
      </c>
      <c r="E40" s="149" t="s">
        <v>1741</v>
      </c>
      <c r="F40" s="149" t="s">
        <v>471</v>
      </c>
      <c r="G40" s="149" t="s">
        <v>1580</v>
      </c>
      <c r="H40" s="149" t="s">
        <v>1741</v>
      </c>
      <c r="I40" s="149" t="s">
        <v>1804</v>
      </c>
      <c r="J40" s="149" t="s">
        <v>1805</v>
      </c>
      <c r="K40" s="150" t="s">
        <v>1580</v>
      </c>
      <c r="L40" s="150" t="s">
        <v>1580</v>
      </c>
      <c r="M40" s="150" t="s">
        <v>1580</v>
      </c>
    </row>
    <row r="41" spans="1:13" ht="31.5" x14ac:dyDescent="0.25">
      <c r="A41" s="148" t="s">
        <v>1806</v>
      </c>
      <c r="B41" s="149">
        <v>822</v>
      </c>
      <c r="C41" s="149" t="s">
        <v>1851</v>
      </c>
      <c r="D41" s="150" t="s">
        <v>1757</v>
      </c>
      <c r="E41" s="149" t="s">
        <v>1741</v>
      </c>
      <c r="F41" s="150" t="s">
        <v>1582</v>
      </c>
      <c r="G41" s="150" t="s">
        <v>1580</v>
      </c>
      <c r="H41" s="149" t="s">
        <v>1661</v>
      </c>
      <c r="I41" s="149" t="s">
        <v>1662</v>
      </c>
      <c r="J41" s="149" t="s">
        <v>1777</v>
      </c>
      <c r="K41" s="150" t="s">
        <v>1811</v>
      </c>
      <c r="L41" s="150" t="s">
        <v>1906</v>
      </c>
      <c r="M41" s="150" t="s">
        <v>1907</v>
      </c>
    </row>
    <row r="42" spans="1:13" x14ac:dyDescent="0.25">
      <c r="A42" s="148" t="s">
        <v>1772</v>
      </c>
      <c r="B42" s="149">
        <v>823</v>
      </c>
      <c r="C42" s="149" t="s">
        <v>1851</v>
      </c>
      <c r="D42" s="150" t="s">
        <v>1757</v>
      </c>
      <c r="E42" s="149" t="s">
        <v>1741</v>
      </c>
      <c r="F42" s="150" t="s">
        <v>1587</v>
      </c>
      <c r="G42" s="150" t="s">
        <v>1580</v>
      </c>
      <c r="H42" s="149" t="s">
        <v>1776</v>
      </c>
      <c r="I42" s="149" t="s">
        <v>574</v>
      </c>
      <c r="J42" s="149" t="s">
        <v>585</v>
      </c>
      <c r="K42" s="150" t="s">
        <v>1580</v>
      </c>
      <c r="L42" s="150" t="s">
        <v>1580</v>
      </c>
      <c r="M42" s="150" t="s">
        <v>1580</v>
      </c>
    </row>
    <row r="43" spans="1:13" x14ac:dyDescent="0.25">
      <c r="A43" s="148" t="s">
        <v>1773</v>
      </c>
      <c r="B43" s="149">
        <v>824</v>
      </c>
      <c r="C43" s="149" t="s">
        <v>1851</v>
      </c>
      <c r="D43" s="150" t="s">
        <v>1757</v>
      </c>
      <c r="E43" s="149" t="s">
        <v>1741</v>
      </c>
      <c r="F43" s="150" t="s">
        <v>1587</v>
      </c>
      <c r="G43" s="150" t="s">
        <v>1580</v>
      </c>
      <c r="H43" s="149" t="s">
        <v>1796</v>
      </c>
      <c r="I43" s="149" t="s">
        <v>1797</v>
      </c>
      <c r="J43" s="149" t="s">
        <v>1798</v>
      </c>
      <c r="K43" s="150" t="s">
        <v>1580</v>
      </c>
      <c r="L43" s="150" t="s">
        <v>1580</v>
      </c>
      <c r="M43" s="150" t="s">
        <v>1580</v>
      </c>
    </row>
    <row r="44" spans="1:13" x14ac:dyDescent="0.25">
      <c r="A44" s="148" t="s">
        <v>1774</v>
      </c>
      <c r="B44" s="149">
        <v>825</v>
      </c>
      <c r="C44" s="149" t="s">
        <v>1851</v>
      </c>
      <c r="D44" s="150" t="s">
        <v>1757</v>
      </c>
      <c r="E44" s="149" t="s">
        <v>1741</v>
      </c>
      <c r="F44" s="150" t="s">
        <v>1587</v>
      </c>
      <c r="G44" s="150" t="s">
        <v>1580</v>
      </c>
      <c r="H44" s="149" t="s">
        <v>1782</v>
      </c>
      <c r="I44" s="149" t="s">
        <v>1779</v>
      </c>
      <c r="J44" s="149" t="s">
        <v>1778</v>
      </c>
      <c r="K44" s="150" t="s">
        <v>1580</v>
      </c>
      <c r="L44" s="150" t="s">
        <v>1580</v>
      </c>
      <c r="M44" s="150" t="s">
        <v>1580</v>
      </c>
    </row>
    <row r="45" spans="1:13" x14ac:dyDescent="0.25">
      <c r="A45" s="148" t="s">
        <v>1775</v>
      </c>
      <c r="B45" s="149">
        <v>826</v>
      </c>
      <c r="C45" s="149" t="s">
        <v>1851</v>
      </c>
      <c r="D45" s="150" t="s">
        <v>1756</v>
      </c>
      <c r="E45" s="149" t="s">
        <v>1741</v>
      </c>
      <c r="F45" s="150" t="s">
        <v>1587</v>
      </c>
      <c r="G45" s="150" t="s">
        <v>1580</v>
      </c>
      <c r="H45" s="149" t="s">
        <v>545</v>
      </c>
      <c r="I45" s="149" t="s">
        <v>573</v>
      </c>
      <c r="J45" s="149" t="s">
        <v>584</v>
      </c>
      <c r="K45" s="150" t="s">
        <v>1580</v>
      </c>
      <c r="L45" s="150" t="s">
        <v>1580</v>
      </c>
      <c r="M45" s="150" t="s">
        <v>1580</v>
      </c>
    </row>
    <row r="46" spans="1:13" x14ac:dyDescent="0.25">
      <c r="A46" s="148" t="s">
        <v>558</v>
      </c>
      <c r="B46" s="149">
        <v>827</v>
      </c>
      <c r="C46" s="149" t="s">
        <v>1851</v>
      </c>
      <c r="D46" s="150" t="s">
        <v>1757</v>
      </c>
      <c r="E46" s="149" t="s">
        <v>1741</v>
      </c>
      <c r="F46" s="150" t="s">
        <v>1589</v>
      </c>
      <c r="G46" s="150" t="s">
        <v>1625</v>
      </c>
      <c r="H46" s="149" t="s">
        <v>559</v>
      </c>
      <c r="I46" s="149" t="s">
        <v>571</v>
      </c>
      <c r="J46" s="149" t="s">
        <v>597</v>
      </c>
      <c r="K46" s="150" t="s">
        <v>596</v>
      </c>
      <c r="L46" s="150" t="s">
        <v>1908</v>
      </c>
      <c r="M46" s="150" t="s">
        <v>1909</v>
      </c>
    </row>
    <row r="47" spans="1:13" x14ac:dyDescent="0.25">
      <c r="A47" s="148" t="s">
        <v>1799</v>
      </c>
      <c r="B47" s="149">
        <v>828</v>
      </c>
      <c r="C47" s="149" t="s">
        <v>1851</v>
      </c>
      <c r="D47" s="150" t="s">
        <v>1757</v>
      </c>
      <c r="E47" s="149" t="s">
        <v>1741</v>
      </c>
      <c r="F47" s="150" t="s">
        <v>1589</v>
      </c>
      <c r="G47" s="150" t="s">
        <v>1631</v>
      </c>
      <c r="H47" s="149" t="s">
        <v>555</v>
      </c>
      <c r="I47" s="149" t="s">
        <v>569</v>
      </c>
      <c r="J47" s="149" t="s">
        <v>581</v>
      </c>
      <c r="K47" s="150" t="s">
        <v>1910</v>
      </c>
      <c r="L47" s="150" t="s">
        <v>1911</v>
      </c>
      <c r="M47" s="150" t="s">
        <v>588</v>
      </c>
    </row>
    <row r="48" spans="1:13" x14ac:dyDescent="0.25">
      <c r="A48" s="148" t="s">
        <v>1771</v>
      </c>
      <c r="B48" s="149">
        <v>829</v>
      </c>
      <c r="C48" s="149" t="s">
        <v>1851</v>
      </c>
      <c r="D48" s="150" t="s">
        <v>1757</v>
      </c>
      <c r="E48" s="149" t="s">
        <v>1741</v>
      </c>
      <c r="F48" s="150" t="s">
        <v>1589</v>
      </c>
      <c r="G48" s="150" t="s">
        <v>1592</v>
      </c>
      <c r="H48" s="149" t="s">
        <v>556</v>
      </c>
      <c r="I48" s="149" t="s">
        <v>570</v>
      </c>
      <c r="J48" s="149" t="s">
        <v>582</v>
      </c>
      <c r="K48" s="150" t="s">
        <v>1912</v>
      </c>
      <c r="L48" s="150" t="s">
        <v>576</v>
      </c>
      <c r="M48" s="150" t="s">
        <v>589</v>
      </c>
    </row>
    <row r="49" spans="1:13" x14ac:dyDescent="0.25">
      <c r="A49" s="148" t="s">
        <v>1800</v>
      </c>
      <c r="B49" s="149">
        <v>830</v>
      </c>
      <c r="C49" s="149" t="s">
        <v>1851</v>
      </c>
      <c r="D49" s="150" t="s">
        <v>1757</v>
      </c>
      <c r="E49" s="149" t="s">
        <v>1741</v>
      </c>
      <c r="F49" s="150" t="s">
        <v>1589</v>
      </c>
      <c r="G49" s="149" t="s">
        <v>1763</v>
      </c>
      <c r="H49" s="149" t="s">
        <v>1913</v>
      </c>
      <c r="I49" s="149" t="s">
        <v>1914</v>
      </c>
      <c r="J49" s="149" t="s">
        <v>1915</v>
      </c>
      <c r="K49" s="150" t="s">
        <v>1916</v>
      </c>
      <c r="L49" s="150" t="s">
        <v>1917</v>
      </c>
      <c r="M49" s="150" t="s">
        <v>1918</v>
      </c>
    </row>
    <row r="50" spans="1:13" ht="21" x14ac:dyDescent="0.25">
      <c r="A50" s="148" t="s">
        <v>1801</v>
      </c>
      <c r="B50" s="149">
        <v>831</v>
      </c>
      <c r="C50" s="149" t="s">
        <v>1851</v>
      </c>
      <c r="D50" s="150" t="s">
        <v>1757</v>
      </c>
      <c r="E50" s="149" t="s">
        <v>1741</v>
      </c>
      <c r="F50" s="150" t="s">
        <v>1589</v>
      </c>
      <c r="G50" s="149" t="s">
        <v>1763</v>
      </c>
      <c r="H50" s="149" t="s">
        <v>557</v>
      </c>
      <c r="I50" s="149" t="s">
        <v>572</v>
      </c>
      <c r="J50" s="149" t="s">
        <v>583</v>
      </c>
      <c r="K50" s="150" t="s">
        <v>1919</v>
      </c>
      <c r="L50" s="150" t="s">
        <v>1920</v>
      </c>
      <c r="M50" s="150" t="s">
        <v>590</v>
      </c>
    </row>
    <row r="51" spans="1:13" ht="21" x14ac:dyDescent="0.25">
      <c r="A51" s="148" t="s">
        <v>1802</v>
      </c>
      <c r="B51" s="149">
        <v>832</v>
      </c>
      <c r="C51" s="149" t="s">
        <v>1851</v>
      </c>
      <c r="D51" s="150" t="s">
        <v>1757</v>
      </c>
      <c r="E51" s="149" t="s">
        <v>1741</v>
      </c>
      <c r="F51" s="150" t="s">
        <v>1589</v>
      </c>
      <c r="G51" s="150" t="s">
        <v>1592</v>
      </c>
      <c r="H51" s="156" t="s">
        <v>1921</v>
      </c>
      <c r="I51" s="156" t="s">
        <v>1922</v>
      </c>
      <c r="J51" s="156" t="s">
        <v>1923</v>
      </c>
      <c r="K51" s="155" t="s">
        <v>1924</v>
      </c>
      <c r="L51" s="155" t="s">
        <v>1925</v>
      </c>
      <c r="M51" s="155" t="s">
        <v>1926</v>
      </c>
    </row>
    <row r="52" spans="1:13" x14ac:dyDescent="0.25">
      <c r="A52" s="148" t="s">
        <v>1803</v>
      </c>
      <c r="B52" s="149">
        <v>833</v>
      </c>
      <c r="C52" s="149" t="s">
        <v>1851</v>
      </c>
      <c r="D52" s="150" t="s">
        <v>1757</v>
      </c>
      <c r="E52" s="149" t="s">
        <v>1741</v>
      </c>
      <c r="F52" s="150" t="s">
        <v>1589</v>
      </c>
      <c r="G52" s="150" t="s">
        <v>1592</v>
      </c>
      <c r="H52" s="149" t="s">
        <v>1927</v>
      </c>
      <c r="I52" s="149" t="s">
        <v>1928</v>
      </c>
      <c r="J52" s="149" t="s">
        <v>1929</v>
      </c>
      <c r="K52" s="150" t="s">
        <v>1930</v>
      </c>
      <c r="L52" s="150" t="s">
        <v>1931</v>
      </c>
      <c r="M52" s="150" t="s">
        <v>1932</v>
      </c>
    </row>
    <row r="53" spans="1:13" x14ac:dyDescent="0.25">
      <c r="A53" s="148" t="s">
        <v>560</v>
      </c>
      <c r="B53" s="149">
        <v>834</v>
      </c>
      <c r="C53" s="149" t="s">
        <v>1851</v>
      </c>
      <c r="D53" s="150" t="s">
        <v>1757</v>
      </c>
      <c r="E53" s="149" t="s">
        <v>1741</v>
      </c>
      <c r="F53" s="150" t="s">
        <v>1589</v>
      </c>
      <c r="G53" s="150" t="s">
        <v>1764</v>
      </c>
      <c r="H53" s="149" t="s">
        <v>429</v>
      </c>
      <c r="I53" s="149" t="s">
        <v>452</v>
      </c>
      <c r="J53" s="149" t="s">
        <v>463</v>
      </c>
      <c r="K53" s="150" t="s">
        <v>564</v>
      </c>
      <c r="L53" s="150" t="s">
        <v>577</v>
      </c>
      <c r="M53" s="150" t="s">
        <v>591</v>
      </c>
    </row>
    <row r="54" spans="1:13" x14ac:dyDescent="0.25">
      <c r="A54" s="148" t="s">
        <v>1768</v>
      </c>
      <c r="B54" s="149">
        <v>835</v>
      </c>
      <c r="C54" s="149" t="s">
        <v>1851</v>
      </c>
      <c r="D54" s="150" t="s">
        <v>1757</v>
      </c>
      <c r="E54" s="149" t="s">
        <v>1741</v>
      </c>
      <c r="F54" s="150" t="s">
        <v>1589</v>
      </c>
      <c r="G54" s="150" t="s">
        <v>1592</v>
      </c>
      <c r="H54" s="149" t="s">
        <v>10</v>
      </c>
      <c r="I54" s="149" t="s">
        <v>450</v>
      </c>
      <c r="J54" s="149" t="s">
        <v>461</v>
      </c>
      <c r="K54" s="150" t="s">
        <v>565</v>
      </c>
      <c r="L54" s="150" t="s">
        <v>578</v>
      </c>
      <c r="M54" s="150" t="s">
        <v>592</v>
      </c>
    </row>
    <row r="55" spans="1:13" x14ac:dyDescent="0.25">
      <c r="A55" s="148" t="s">
        <v>561</v>
      </c>
      <c r="B55" s="149">
        <v>836</v>
      </c>
      <c r="C55" s="149" t="s">
        <v>1851</v>
      </c>
      <c r="D55" s="150" t="s">
        <v>1757</v>
      </c>
      <c r="E55" s="149" t="s">
        <v>1741</v>
      </c>
      <c r="F55" s="150" t="s">
        <v>1589</v>
      </c>
      <c r="G55" s="150" t="s">
        <v>1764</v>
      </c>
      <c r="H55" s="149" t="s">
        <v>429</v>
      </c>
      <c r="I55" s="149" t="s">
        <v>452</v>
      </c>
      <c r="J55" s="149" t="s">
        <v>463</v>
      </c>
      <c r="K55" s="150" t="s">
        <v>564</v>
      </c>
      <c r="L55" s="150" t="s">
        <v>577</v>
      </c>
      <c r="M55" s="150" t="s">
        <v>591</v>
      </c>
    </row>
    <row r="56" spans="1:13" x14ac:dyDescent="0.25">
      <c r="A56" s="148" t="s">
        <v>1766</v>
      </c>
      <c r="B56" s="149">
        <v>837</v>
      </c>
      <c r="C56" s="149" t="s">
        <v>1851</v>
      </c>
      <c r="D56" s="150" t="s">
        <v>1757</v>
      </c>
      <c r="E56" s="149" t="s">
        <v>1741</v>
      </c>
      <c r="F56" s="150" t="s">
        <v>1589</v>
      </c>
      <c r="G56" s="150" t="s">
        <v>1592</v>
      </c>
      <c r="H56" s="149" t="s">
        <v>10</v>
      </c>
      <c r="I56" s="149" t="s">
        <v>450</v>
      </c>
      <c r="J56" s="149" t="s">
        <v>461</v>
      </c>
      <c r="K56" s="150" t="s">
        <v>565</v>
      </c>
      <c r="L56" s="150" t="s">
        <v>578</v>
      </c>
      <c r="M56" s="150" t="s">
        <v>592</v>
      </c>
    </row>
    <row r="57" spans="1:13" x14ac:dyDescent="0.25">
      <c r="A57" s="148" t="s">
        <v>562</v>
      </c>
      <c r="B57" s="149">
        <v>838</v>
      </c>
      <c r="C57" s="149" t="s">
        <v>1851</v>
      </c>
      <c r="D57" s="150" t="s">
        <v>1757</v>
      </c>
      <c r="E57" s="149" t="s">
        <v>1741</v>
      </c>
      <c r="F57" s="150" t="s">
        <v>1589</v>
      </c>
      <c r="G57" s="150" t="s">
        <v>1764</v>
      </c>
      <c r="H57" s="149" t="s">
        <v>429</v>
      </c>
      <c r="I57" s="149" t="s">
        <v>452</v>
      </c>
      <c r="J57" s="149" t="s">
        <v>463</v>
      </c>
      <c r="K57" s="150" t="s">
        <v>564</v>
      </c>
      <c r="L57" s="150" t="s">
        <v>577</v>
      </c>
      <c r="M57" s="150" t="s">
        <v>591</v>
      </c>
    </row>
    <row r="58" spans="1:13" x14ac:dyDescent="0.25">
      <c r="A58" s="148" t="s">
        <v>1767</v>
      </c>
      <c r="B58" s="149">
        <v>839</v>
      </c>
      <c r="C58" s="149" t="s">
        <v>1851</v>
      </c>
      <c r="D58" s="150" t="s">
        <v>1757</v>
      </c>
      <c r="E58" s="149" t="s">
        <v>1741</v>
      </c>
      <c r="F58" s="150" t="s">
        <v>1589</v>
      </c>
      <c r="G58" s="150" t="s">
        <v>1592</v>
      </c>
      <c r="H58" s="149" t="s">
        <v>10</v>
      </c>
      <c r="I58" s="149" t="s">
        <v>450</v>
      </c>
      <c r="J58" s="149" t="s">
        <v>461</v>
      </c>
      <c r="K58" s="150" t="s">
        <v>565</v>
      </c>
      <c r="L58" s="150" t="s">
        <v>578</v>
      </c>
      <c r="M58" s="150" t="s">
        <v>592</v>
      </c>
    </row>
    <row r="59" spans="1:13" ht="21" x14ac:dyDescent="0.25">
      <c r="A59" s="148" t="s">
        <v>1765</v>
      </c>
      <c r="B59" s="149">
        <v>840</v>
      </c>
      <c r="C59" s="149" t="s">
        <v>1851</v>
      </c>
      <c r="D59" s="150" t="s">
        <v>1757</v>
      </c>
      <c r="E59" s="149" t="s">
        <v>1741</v>
      </c>
      <c r="F59" s="150" t="s">
        <v>1589</v>
      </c>
      <c r="G59" s="150" t="s">
        <v>1647</v>
      </c>
      <c r="H59" s="149" t="s">
        <v>1781</v>
      </c>
      <c r="I59" s="149" t="s">
        <v>1783</v>
      </c>
      <c r="J59" s="149" t="s">
        <v>1780</v>
      </c>
      <c r="K59" s="150" t="s">
        <v>566</v>
      </c>
      <c r="L59" s="150" t="s">
        <v>1933</v>
      </c>
      <c r="M59" s="150" t="s">
        <v>593</v>
      </c>
    </row>
    <row r="60" spans="1:13" x14ac:dyDescent="0.25">
      <c r="A60" s="148" t="s">
        <v>1787</v>
      </c>
      <c r="B60" s="149">
        <v>841</v>
      </c>
      <c r="C60" s="149" t="s">
        <v>1851</v>
      </c>
      <c r="D60" s="150" t="s">
        <v>1756</v>
      </c>
      <c r="E60" s="149" t="s">
        <v>1741</v>
      </c>
      <c r="F60" s="150" t="s">
        <v>1589</v>
      </c>
      <c r="G60" s="150" t="s">
        <v>1625</v>
      </c>
      <c r="H60" s="149" t="s">
        <v>1953</v>
      </c>
      <c r="I60" s="149" t="s">
        <v>1786</v>
      </c>
      <c r="J60" s="149" t="s">
        <v>1785</v>
      </c>
      <c r="K60" s="150" t="s">
        <v>596</v>
      </c>
      <c r="L60" s="150" t="s">
        <v>1908</v>
      </c>
      <c r="M60" s="150" t="s">
        <v>1934</v>
      </c>
    </row>
    <row r="61" spans="1:13" x14ac:dyDescent="0.25">
      <c r="A61" s="148" t="s">
        <v>1568</v>
      </c>
      <c r="B61" s="149">
        <v>842</v>
      </c>
      <c r="C61" s="149" t="s">
        <v>1851</v>
      </c>
      <c r="D61" s="150" t="s">
        <v>1756</v>
      </c>
      <c r="E61" s="149" t="s">
        <v>1741</v>
      </c>
      <c r="F61" s="150" t="s">
        <v>1589</v>
      </c>
      <c r="G61" s="150" t="s">
        <v>1592</v>
      </c>
      <c r="H61" s="149" t="s">
        <v>1935</v>
      </c>
      <c r="I61" s="149" t="s">
        <v>1936</v>
      </c>
      <c r="J61" s="149" t="s">
        <v>1937</v>
      </c>
      <c r="K61" s="150" t="s">
        <v>1938</v>
      </c>
      <c r="L61" s="150" t="s">
        <v>1939</v>
      </c>
      <c r="M61" s="150" t="s">
        <v>1940</v>
      </c>
    </row>
    <row r="62" spans="1:13" x14ac:dyDescent="0.25">
      <c r="A62" s="148" t="s">
        <v>1812</v>
      </c>
      <c r="B62" s="149">
        <v>843</v>
      </c>
      <c r="C62" s="149" t="s">
        <v>1851</v>
      </c>
      <c r="D62" s="150" t="s">
        <v>1756</v>
      </c>
      <c r="E62" s="149" t="s">
        <v>1741</v>
      </c>
      <c r="F62" s="150" t="s">
        <v>1589</v>
      </c>
      <c r="G62" s="150" t="s">
        <v>1592</v>
      </c>
      <c r="H62" s="149" t="s">
        <v>387</v>
      </c>
      <c r="I62" s="149" t="s">
        <v>451</v>
      </c>
      <c r="J62" s="149" t="s">
        <v>469</v>
      </c>
      <c r="K62" s="150" t="s">
        <v>567</v>
      </c>
      <c r="L62" s="150" t="s">
        <v>579</v>
      </c>
      <c r="M62" s="150" t="s">
        <v>594</v>
      </c>
    </row>
    <row r="63" spans="1:13" x14ac:dyDescent="0.25">
      <c r="A63" s="148" t="s">
        <v>1784</v>
      </c>
      <c r="B63" s="149">
        <v>844</v>
      </c>
      <c r="C63" s="149" t="s">
        <v>1851</v>
      </c>
      <c r="D63" s="150" t="s">
        <v>1756</v>
      </c>
      <c r="E63" s="149" t="s">
        <v>1741</v>
      </c>
      <c r="F63" s="150" t="s">
        <v>1589</v>
      </c>
      <c r="G63" s="150" t="s">
        <v>1592</v>
      </c>
      <c r="H63" s="149" t="s">
        <v>10</v>
      </c>
      <c r="I63" s="149" t="s">
        <v>450</v>
      </c>
      <c r="J63" s="149" t="s">
        <v>461</v>
      </c>
      <c r="K63" s="150" t="s">
        <v>565</v>
      </c>
      <c r="L63" s="150" t="s">
        <v>578</v>
      </c>
      <c r="M63" s="150" t="s">
        <v>592</v>
      </c>
    </row>
    <row r="64" spans="1:13" x14ac:dyDescent="0.25">
      <c r="A64" s="148" t="s">
        <v>1788</v>
      </c>
      <c r="B64" s="149">
        <v>845</v>
      </c>
      <c r="C64" s="149" t="s">
        <v>1851</v>
      </c>
      <c r="D64" s="150" t="s">
        <v>1756</v>
      </c>
      <c r="E64" s="149" t="s">
        <v>1741</v>
      </c>
      <c r="F64" s="150" t="s">
        <v>1589</v>
      </c>
      <c r="G64" s="150" t="s">
        <v>1592</v>
      </c>
      <c r="H64" s="149" t="s">
        <v>552</v>
      </c>
      <c r="I64" s="149" t="s">
        <v>553</v>
      </c>
      <c r="J64" s="149" t="s">
        <v>554</v>
      </c>
      <c r="K64" s="150" t="s">
        <v>568</v>
      </c>
      <c r="L64" s="150" t="s">
        <v>1941</v>
      </c>
      <c r="M64" s="150" t="s">
        <v>1942</v>
      </c>
    </row>
    <row r="65" spans="1:13" x14ac:dyDescent="0.25">
      <c r="A65" s="148" t="s">
        <v>1807</v>
      </c>
      <c r="B65" s="149">
        <v>846</v>
      </c>
      <c r="C65" s="149" t="s">
        <v>1851</v>
      </c>
      <c r="D65" s="150" t="s">
        <v>1756</v>
      </c>
      <c r="E65" s="149" t="s">
        <v>1741</v>
      </c>
      <c r="F65" s="150" t="s">
        <v>1589</v>
      </c>
      <c r="G65" s="150" t="s">
        <v>1764</v>
      </c>
      <c r="H65" s="149" t="s">
        <v>1808</v>
      </c>
      <c r="I65" s="149" t="s">
        <v>1809</v>
      </c>
      <c r="J65" s="149" t="s">
        <v>1810</v>
      </c>
      <c r="K65" s="150" t="s">
        <v>1943</v>
      </c>
      <c r="L65" s="150" t="s">
        <v>580</v>
      </c>
      <c r="M65" s="150" t="s">
        <v>595</v>
      </c>
    </row>
    <row r="66" spans="1:13" ht="31.5" x14ac:dyDescent="0.25">
      <c r="A66" s="148" t="s">
        <v>426</v>
      </c>
      <c r="B66" s="149">
        <v>847</v>
      </c>
      <c r="C66" s="149" t="s">
        <v>1851</v>
      </c>
      <c r="D66" s="150" t="s">
        <v>1756</v>
      </c>
      <c r="E66" s="149" t="s">
        <v>1741</v>
      </c>
      <c r="F66" s="150" t="s">
        <v>1589</v>
      </c>
      <c r="G66" s="149" t="s">
        <v>1763</v>
      </c>
      <c r="H66" s="149" t="s">
        <v>426</v>
      </c>
      <c r="I66" s="149" t="s">
        <v>426</v>
      </c>
      <c r="J66" s="149" t="s">
        <v>462</v>
      </c>
      <c r="K66" s="150" t="s">
        <v>1944</v>
      </c>
      <c r="L66" s="150" t="s">
        <v>1945</v>
      </c>
      <c r="M66" s="150" t="s">
        <v>1946</v>
      </c>
    </row>
    <row r="67" spans="1:13" x14ac:dyDescent="0.25">
      <c r="A67" s="148" t="s">
        <v>1679</v>
      </c>
      <c r="B67" s="149">
        <v>848</v>
      </c>
      <c r="C67" s="149" t="s">
        <v>1851</v>
      </c>
      <c r="D67" s="149" t="s">
        <v>1681</v>
      </c>
      <c r="E67" s="156" t="s">
        <v>1680</v>
      </c>
      <c r="F67" s="150" t="s">
        <v>471</v>
      </c>
      <c r="G67" s="150" t="s">
        <v>1580</v>
      </c>
      <c r="H67" s="149" t="s">
        <v>1681</v>
      </c>
      <c r="I67" s="149" t="s">
        <v>1681</v>
      </c>
      <c r="J67" s="149" t="s">
        <v>1682</v>
      </c>
      <c r="K67" s="150" t="s">
        <v>1683</v>
      </c>
      <c r="L67" s="150" t="s">
        <v>1684</v>
      </c>
      <c r="M67" s="150" t="s">
        <v>1685</v>
      </c>
    </row>
    <row r="68" spans="1:13" x14ac:dyDescent="0.25">
      <c r="A68" s="148" t="s">
        <v>1686</v>
      </c>
      <c r="B68" s="149">
        <v>849</v>
      </c>
      <c r="C68" s="149" t="s">
        <v>1851</v>
      </c>
      <c r="D68" s="149" t="s">
        <v>1681</v>
      </c>
      <c r="E68" s="156" t="s">
        <v>1680</v>
      </c>
      <c r="F68" s="150" t="s">
        <v>1582</v>
      </c>
      <c r="G68" s="150" t="s">
        <v>1580</v>
      </c>
      <c r="H68" s="149" t="s">
        <v>1680</v>
      </c>
      <c r="I68" s="149" t="s">
        <v>1680</v>
      </c>
      <c r="J68" s="149" t="s">
        <v>1680</v>
      </c>
      <c r="K68" s="150" t="s">
        <v>1580</v>
      </c>
      <c r="L68" s="150" t="s">
        <v>1580</v>
      </c>
      <c r="M68" s="150" t="s">
        <v>1580</v>
      </c>
    </row>
    <row r="69" spans="1:13" ht="21" x14ac:dyDescent="0.25">
      <c r="A69" s="148" t="s">
        <v>1687</v>
      </c>
      <c r="B69" s="149">
        <v>850</v>
      </c>
      <c r="C69" s="149" t="s">
        <v>1851</v>
      </c>
      <c r="D69" s="149" t="s">
        <v>1681</v>
      </c>
      <c r="E69" s="156" t="s">
        <v>1680</v>
      </c>
      <c r="F69" s="150" t="s">
        <v>1688</v>
      </c>
      <c r="G69" s="150" t="s">
        <v>1580</v>
      </c>
      <c r="H69" s="149" t="s">
        <v>1689</v>
      </c>
      <c r="I69" s="149" t="s">
        <v>1689</v>
      </c>
      <c r="J69" s="149" t="s">
        <v>1689</v>
      </c>
      <c r="K69" s="150" t="s">
        <v>1690</v>
      </c>
      <c r="L69" s="150" t="s">
        <v>1691</v>
      </c>
      <c r="M69" s="150" t="s">
        <v>1692</v>
      </c>
    </row>
    <row r="70" spans="1:13" ht="21" x14ac:dyDescent="0.25">
      <c r="A70" s="148" t="s">
        <v>1693</v>
      </c>
      <c r="B70" s="149">
        <v>851</v>
      </c>
      <c r="C70" s="149" t="s">
        <v>1851</v>
      </c>
      <c r="D70" s="149" t="s">
        <v>1681</v>
      </c>
      <c r="E70" s="156" t="s">
        <v>1680</v>
      </c>
      <c r="F70" s="150" t="s">
        <v>1688</v>
      </c>
      <c r="G70" s="150" t="s">
        <v>1580</v>
      </c>
      <c r="H70" s="149" t="s">
        <v>1694</v>
      </c>
      <c r="I70" s="149" t="s">
        <v>1694</v>
      </c>
      <c r="J70" s="149" t="s">
        <v>1694</v>
      </c>
      <c r="K70" s="150" t="s">
        <v>1695</v>
      </c>
      <c r="L70" s="150" t="s">
        <v>1696</v>
      </c>
      <c r="M70" s="150" t="s">
        <v>1697</v>
      </c>
    </row>
    <row r="71" spans="1:13" ht="21" x14ac:dyDescent="0.25">
      <c r="A71" s="148" t="s">
        <v>1698</v>
      </c>
      <c r="B71" s="149">
        <v>852</v>
      </c>
      <c r="C71" s="149" t="s">
        <v>1851</v>
      </c>
      <c r="D71" s="149" t="s">
        <v>1681</v>
      </c>
      <c r="E71" s="156" t="s">
        <v>1680</v>
      </c>
      <c r="F71" s="150" t="s">
        <v>1688</v>
      </c>
      <c r="G71" s="150" t="s">
        <v>1580</v>
      </c>
      <c r="H71" s="149" t="s">
        <v>1699</v>
      </c>
      <c r="I71" s="149" t="s">
        <v>1699</v>
      </c>
      <c r="J71" s="149" t="s">
        <v>1699</v>
      </c>
      <c r="K71" s="150" t="s">
        <v>1700</v>
      </c>
      <c r="L71" s="150" t="s">
        <v>1701</v>
      </c>
      <c r="M71" s="150" t="s">
        <v>1702</v>
      </c>
    </row>
    <row r="72" spans="1:13" ht="31.5" x14ac:dyDescent="0.25">
      <c r="A72" s="148" t="s">
        <v>1703</v>
      </c>
      <c r="B72" s="149">
        <v>853</v>
      </c>
      <c r="C72" s="149" t="s">
        <v>1851</v>
      </c>
      <c r="D72" s="149" t="s">
        <v>1681</v>
      </c>
      <c r="E72" s="156" t="s">
        <v>1680</v>
      </c>
      <c r="F72" s="150" t="s">
        <v>1688</v>
      </c>
      <c r="G72" s="150" t="s">
        <v>1580</v>
      </c>
      <c r="H72" s="149" t="s">
        <v>1704</v>
      </c>
      <c r="I72" s="149" t="s">
        <v>1704</v>
      </c>
      <c r="J72" s="149" t="s">
        <v>1704</v>
      </c>
      <c r="K72" s="150" t="s">
        <v>1947</v>
      </c>
      <c r="L72" s="150" t="s">
        <v>1948</v>
      </c>
      <c r="M72" s="150" t="s">
        <v>1705</v>
      </c>
    </row>
    <row r="73" spans="1:13" x14ac:dyDescent="0.25">
      <c r="A73" s="148" t="s">
        <v>1706</v>
      </c>
      <c r="B73" s="149">
        <v>854</v>
      </c>
      <c r="C73" s="149" t="s">
        <v>1851</v>
      </c>
      <c r="D73" s="149" t="s">
        <v>1681</v>
      </c>
      <c r="E73" s="156" t="s">
        <v>1680</v>
      </c>
      <c r="F73" s="150" t="s">
        <v>1688</v>
      </c>
      <c r="G73" s="150" t="s">
        <v>1580</v>
      </c>
      <c r="H73" s="149" t="s">
        <v>1707</v>
      </c>
      <c r="I73" s="149" t="s">
        <v>1707</v>
      </c>
      <c r="J73" s="149" t="s">
        <v>1707</v>
      </c>
      <c r="K73" s="150" t="s">
        <v>1708</v>
      </c>
      <c r="L73" s="150" t="s">
        <v>1949</v>
      </c>
      <c r="M73" s="150" t="s">
        <v>1950</v>
      </c>
    </row>
    <row r="74" spans="1:13" x14ac:dyDescent="0.25">
      <c r="A74" s="152" t="s">
        <v>1951</v>
      </c>
      <c r="B74" s="149">
        <v>855</v>
      </c>
      <c r="C74" s="149" t="s">
        <v>1851</v>
      </c>
      <c r="D74" s="149" t="s">
        <v>1681</v>
      </c>
      <c r="E74" s="150" t="s">
        <v>1709</v>
      </c>
      <c r="F74" s="149" t="s">
        <v>1582</v>
      </c>
      <c r="G74" s="150" t="s">
        <v>1580</v>
      </c>
      <c r="H74" s="149" t="s">
        <v>1710</v>
      </c>
      <c r="I74" s="149" t="s">
        <v>1711</v>
      </c>
      <c r="J74" s="149" t="s">
        <v>1712</v>
      </c>
      <c r="K74" s="150" t="s">
        <v>1580</v>
      </c>
      <c r="L74" s="150" t="s">
        <v>1580</v>
      </c>
      <c r="M74" s="150" t="s">
        <v>1580</v>
      </c>
    </row>
    <row r="75" spans="1:13" x14ac:dyDescent="0.25">
      <c r="A75" s="151" t="s">
        <v>1713</v>
      </c>
      <c r="B75" s="149">
        <v>856</v>
      </c>
      <c r="C75" s="149" t="s">
        <v>1851</v>
      </c>
      <c r="D75" s="149" t="s">
        <v>1681</v>
      </c>
      <c r="E75" s="150" t="s">
        <v>1709</v>
      </c>
      <c r="F75" s="150" t="s">
        <v>1688</v>
      </c>
      <c r="G75" s="150" t="s">
        <v>1580</v>
      </c>
      <c r="H75" s="149" t="s">
        <v>1714</v>
      </c>
      <c r="I75" s="149" t="s">
        <v>1715</v>
      </c>
      <c r="J75" s="149" t="s">
        <v>1716</v>
      </c>
      <c r="K75" s="150" t="s">
        <v>1580</v>
      </c>
      <c r="L75" s="150" t="s">
        <v>1580</v>
      </c>
      <c r="M75" s="150" t="s">
        <v>1580</v>
      </c>
    </row>
    <row r="76" spans="1:13" x14ac:dyDescent="0.25">
      <c r="A76" s="151" t="s">
        <v>1717</v>
      </c>
      <c r="B76" s="149">
        <v>857</v>
      </c>
      <c r="C76" s="149" t="s">
        <v>1851</v>
      </c>
      <c r="D76" s="149" t="s">
        <v>1681</v>
      </c>
      <c r="E76" s="150" t="s">
        <v>1709</v>
      </c>
      <c r="F76" s="150" t="s">
        <v>1688</v>
      </c>
      <c r="G76" s="150" t="s">
        <v>1580</v>
      </c>
      <c r="H76" s="149" t="s">
        <v>1718</v>
      </c>
      <c r="I76" s="149" t="s">
        <v>1719</v>
      </c>
      <c r="J76" s="149" t="s">
        <v>1720</v>
      </c>
      <c r="K76" s="150" t="s">
        <v>1580</v>
      </c>
      <c r="L76" s="150" t="s">
        <v>1580</v>
      </c>
      <c r="M76" s="150" t="s">
        <v>1580</v>
      </c>
    </row>
    <row r="77" spans="1:13" x14ac:dyDescent="0.25">
      <c r="A77" s="148" t="s">
        <v>1721</v>
      </c>
      <c r="B77" s="149">
        <v>858</v>
      </c>
      <c r="C77" s="149" t="s">
        <v>1851</v>
      </c>
      <c r="D77" s="149" t="s">
        <v>1681</v>
      </c>
      <c r="E77" s="150" t="s">
        <v>1709</v>
      </c>
      <c r="F77" s="150" t="s">
        <v>1688</v>
      </c>
      <c r="G77" s="150" t="s">
        <v>1580</v>
      </c>
      <c r="H77" s="149" t="s">
        <v>1722</v>
      </c>
      <c r="I77" s="149" t="s">
        <v>1723</v>
      </c>
      <c r="J77" s="149" t="s">
        <v>1724</v>
      </c>
      <c r="K77" s="150" t="s">
        <v>1580</v>
      </c>
      <c r="L77" s="150" t="s">
        <v>1580</v>
      </c>
      <c r="M77" s="150" t="s">
        <v>1580</v>
      </c>
    </row>
    <row r="78" spans="1:13" x14ac:dyDescent="0.25">
      <c r="A78" s="148" t="s">
        <v>1725</v>
      </c>
      <c r="B78" s="149">
        <v>859</v>
      </c>
      <c r="C78" s="149" t="s">
        <v>1851</v>
      </c>
      <c r="D78" s="149" t="s">
        <v>1681</v>
      </c>
      <c r="E78" s="150" t="s">
        <v>1709</v>
      </c>
      <c r="F78" s="150" t="s">
        <v>1688</v>
      </c>
      <c r="G78" s="150" t="s">
        <v>1580</v>
      </c>
      <c r="H78" s="149" t="s">
        <v>464</v>
      </c>
      <c r="I78" s="149" t="s">
        <v>1726</v>
      </c>
      <c r="J78" s="149" t="s">
        <v>1727</v>
      </c>
      <c r="K78" s="150" t="s">
        <v>1580</v>
      </c>
      <c r="L78" s="150" t="s">
        <v>1580</v>
      </c>
      <c r="M78" s="150" t="s">
        <v>1580</v>
      </c>
    </row>
    <row r="79" spans="1:13" x14ac:dyDescent="0.25">
      <c r="A79" s="152" t="s">
        <v>1728</v>
      </c>
      <c r="B79" s="149">
        <v>860</v>
      </c>
      <c r="C79" s="149" t="s">
        <v>1851</v>
      </c>
      <c r="D79" s="149" t="s">
        <v>1681</v>
      </c>
      <c r="E79" s="150" t="s">
        <v>1709</v>
      </c>
      <c r="F79" s="150" t="s">
        <v>1688</v>
      </c>
      <c r="G79" s="150" t="s">
        <v>1580</v>
      </c>
      <c r="H79" s="149" t="s">
        <v>1729</v>
      </c>
      <c r="I79" s="149" t="s">
        <v>1730</v>
      </c>
      <c r="J79" s="149" t="s">
        <v>1731</v>
      </c>
      <c r="K79" s="150" t="s">
        <v>1580</v>
      </c>
      <c r="L79" s="150" t="s">
        <v>1580</v>
      </c>
      <c r="M79" s="150" t="s">
        <v>1580</v>
      </c>
    </row>
    <row r="80" spans="1:13" x14ac:dyDescent="0.25">
      <c r="A80" s="148" t="s">
        <v>1732</v>
      </c>
      <c r="B80" s="149">
        <v>861</v>
      </c>
      <c r="C80" s="149" t="s">
        <v>1851</v>
      </c>
      <c r="D80" s="149" t="s">
        <v>1681</v>
      </c>
      <c r="E80" s="150" t="s">
        <v>1709</v>
      </c>
      <c r="F80" s="150" t="s">
        <v>1688</v>
      </c>
      <c r="G80" s="150" t="s">
        <v>1580</v>
      </c>
      <c r="H80" s="149" t="s">
        <v>1733</v>
      </c>
      <c r="I80" s="149" t="s">
        <v>1734</v>
      </c>
      <c r="J80" s="149" t="s">
        <v>1735</v>
      </c>
      <c r="K80" s="150" t="s">
        <v>1580</v>
      </c>
      <c r="L80" s="150" t="s">
        <v>1580</v>
      </c>
      <c r="M80" s="150" t="s">
        <v>1580</v>
      </c>
    </row>
    <row r="81" spans="1:13" x14ac:dyDescent="0.25">
      <c r="A81" s="152" t="s">
        <v>1736</v>
      </c>
      <c r="B81" s="149">
        <v>862</v>
      </c>
      <c r="C81" s="149" t="s">
        <v>1851</v>
      </c>
      <c r="D81" s="149" t="s">
        <v>1681</v>
      </c>
      <c r="E81" s="150" t="s">
        <v>1709</v>
      </c>
      <c r="F81" s="150" t="s">
        <v>1688</v>
      </c>
      <c r="G81" s="150" t="s">
        <v>1580</v>
      </c>
      <c r="H81" s="149" t="s">
        <v>1737</v>
      </c>
      <c r="I81" s="149" t="s">
        <v>1738</v>
      </c>
      <c r="J81" s="149" t="s">
        <v>1739</v>
      </c>
      <c r="K81" s="150" t="s">
        <v>1580</v>
      </c>
      <c r="L81" s="150" t="s">
        <v>1580</v>
      </c>
      <c r="M81" s="150" t="s">
        <v>1580</v>
      </c>
    </row>
    <row r="82" spans="1:13" x14ac:dyDescent="0.25">
      <c r="A82" s="157" t="s">
        <v>1740</v>
      </c>
      <c r="B82" s="158">
        <v>863</v>
      </c>
      <c r="C82" s="158" t="s">
        <v>1851</v>
      </c>
      <c r="D82" s="158" t="s">
        <v>1681</v>
      </c>
      <c r="E82" s="159" t="s">
        <v>1709</v>
      </c>
      <c r="F82" s="159" t="s">
        <v>1688</v>
      </c>
      <c r="G82" s="159" t="s">
        <v>1580</v>
      </c>
      <c r="H82" s="158" t="s">
        <v>428</v>
      </c>
      <c r="I82" s="158" t="s">
        <v>428</v>
      </c>
      <c r="J82" s="158" t="s">
        <v>468</v>
      </c>
      <c r="K82" s="159" t="s">
        <v>1580</v>
      </c>
      <c r="L82" s="159" t="s">
        <v>1580</v>
      </c>
      <c r="M82" s="159" t="s">
        <v>1580</v>
      </c>
    </row>
  </sheetData>
  <sheetProtection algorithmName="SHA-512" hashValue="jDNQ85jTE9Cf1Rp01bJTBAMLMrEB2PZOiQT1ctlZ2hgptkYdxxgHSI514F77WM+bGsrn9K3S2e/FbUtnwJRAMQ==" saltValue="M7LrtkhCzBR7aU4CjTB2Dg==" spinCount="100000" sheet="1" objects="1" scenarios="1" formatCells="0" autoFilter="0"/>
  <mergeCells count="1">
    <mergeCell ref="A1:F1"/>
  </mergeCells>
  <printOptions horizontalCentered="1"/>
  <pageMargins left="0.11811023622047245" right="0.11811023622047245" top="0.74803149606299213" bottom="0.74803149606299213" header="0.31496062992125984" footer="0.31496062992125984"/>
  <pageSetup paperSize="9" scale="95"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ST10A-PrtSmp</vt:lpstr>
      <vt:lpstr>ST10B-PrtSmpSZ</vt:lpstr>
      <vt:lpstr>Codes</vt:lpstr>
      <vt:lpstr>Instructions</vt:lpstr>
      <vt:lpstr>Filters</vt:lpstr>
      <vt:lpstr>Translation</vt:lpstr>
      <vt:lpstr>Content</vt:lpstr>
      <vt:lpstr>FlagA3ISO</vt:lpstr>
      <vt:lpstr>FlagCode</vt:lpstr>
      <vt:lpstr>FlagName</vt:lpstr>
      <vt:lpstr>FleetSuffixes</vt:lpstr>
      <vt:lpstr>FreqType</vt:lpstr>
      <vt:lpstr>FreqTypeCode</vt:lpstr>
      <vt:lpstr>GearCode</vt:lpstr>
      <vt:lpstr>IccSpcGrp</vt:lpstr>
      <vt:lpstr>Idiom</vt:lpstr>
      <vt:lpstr>LandingID</vt:lpstr>
      <vt:lpstr>LangFieldID</vt:lpstr>
      <vt:lpstr>LangNameID</vt:lpstr>
      <vt:lpstr>ProdTypeCode</vt:lpstr>
      <vt:lpstr>SexCode</vt:lpstr>
      <vt:lpstr>SpeciesCode</vt:lpstr>
      <vt:lpstr>Version</vt:lpstr>
    </vt:vector>
  </TitlesOfParts>
  <Company>ICCAT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cpalma</dc:creator>
  <cp:lastModifiedBy>Carlos Palma</cp:lastModifiedBy>
  <cp:lastPrinted>2015-03-18T08:43:48Z</cp:lastPrinted>
  <dcterms:created xsi:type="dcterms:W3CDTF">2004-02-12T11:14:25Z</dcterms:created>
  <dcterms:modified xsi:type="dcterms:W3CDTF">2025-01-29T11:36:31Z</dcterms:modified>
</cp:coreProperties>
</file>